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M:\2020\2020 WA Elec and Gas GRC\Compliance Filing - Final Order\Filing\"/>
    </mc:Choice>
  </mc:AlternateContent>
  <xr:revisionPtr revIDLastSave="0" documentId="13_ncr:1_{E93B4F52-7E97-4C39-BBFC-F018FEE4C80B}" xr6:coauthVersionLast="45" xr6:coauthVersionMax="45" xr10:uidLastSave="{00000000-0000-0000-0000-000000000000}"/>
  <bookViews>
    <workbookView xWindow="4290" yWindow="450" windowWidth="25245" windowHeight="21150" activeTab="1" xr2:uid="{00000000-000D-0000-FFFF-FFFF00000000}"/>
  </bookViews>
  <sheets>
    <sheet name="Pres &amp; Prop Rev" sheetId="1" r:id="rId1"/>
    <sheet name="Rate Design" sheetId="14" r:id="rId2"/>
    <sheet name="RS" sheetId="18" r:id="rId3"/>
    <sheet name="RD" sheetId="20" r:id="rId4"/>
    <sheet name="Rate Spread GRC" sheetId="41" r:id="rId5"/>
    <sheet name="Bill Determ" sheetId="5" r:id="rId6"/>
    <sheet name="IEP" sheetId="49" r:id="rId7"/>
    <sheet name="IEP Adj RB" sheetId="51" r:id="rId8"/>
    <sheet name="Tax Adj" sheetId="38" r:id="rId9"/>
    <sheet name="Bill Impact" sheetId="30" r:id="rId10"/>
    <sheet name="LIRAP" sheetId="46" r:id="rId11"/>
    <sheet name="WA Sch 25" sheetId="6" r:id="rId12"/>
    <sheet name="Lighting summary" sheetId="7" r:id="rId13"/>
    <sheet name="St Lts" sheetId="9" r:id="rId14"/>
    <sheet name="Area Lts" sheetId="10" r:id="rId15"/>
    <sheet name="Capital Recovery Factor Calc" sheetId="32" r:id="rId16"/>
    <sheet name="Block Data" sheetId="27" r:id="rId17"/>
    <sheet name="REVRUNS 12ME1219" sheetId="37" r:id="rId18"/>
  </sheets>
  <externalReferences>
    <externalReference r:id="rId19"/>
  </externalReferences>
  <definedNames>
    <definedName name="_xlnm._FilterDatabase" localSheetId="14" hidden="1">'Area Lts'!$D$7:$D$91</definedName>
    <definedName name="_xlnm._FilterDatabase" localSheetId="13" hidden="1">'St Lts'!$D$7:$D$135</definedName>
    <definedName name="Base1_Billing2">'Pres &amp; Prop Rev'!$Q$8</definedName>
    <definedName name="ERM">'Rate Design'!$D$45</definedName>
    <definedName name="_xlnm.Extract" localSheetId="14">'Area Lts'!#REF!</definedName>
    <definedName name="_xlnm.Print_Area" localSheetId="14">'Area Lts'!$I$1:$AH$55</definedName>
    <definedName name="_xlnm.Print_Area" localSheetId="5">'Bill Determ'!$A$1:$G$84</definedName>
    <definedName name="_xlnm.Print_Area" localSheetId="9">'Bill Impact'!$A$1:$M$24</definedName>
    <definedName name="_xlnm.Print_Area" localSheetId="16">'Block Data'!$A$3:$O$153</definedName>
    <definedName name="_xlnm.Print_Area" localSheetId="15">'Capital Recovery Factor Calc'!$F$5:$P$40</definedName>
    <definedName name="_xlnm.Print_Area" localSheetId="12">'Lighting summary'!$B$1:$J$24</definedName>
    <definedName name="_xlnm.Print_Area" localSheetId="10">LIRAP!$B$6:$H$36</definedName>
    <definedName name="_xlnm.Print_Area" localSheetId="0">'Pres &amp; Prop Rev'!$A$1:$L$295</definedName>
    <definedName name="_xlnm.Print_Area" localSheetId="1">'Rate Design'!$A$49:$M$107</definedName>
    <definedName name="_xlnm.Print_Area" localSheetId="4">'Rate Spread GRC'!$A$3:$J$33</definedName>
    <definedName name="_xlnm.Print_Area" localSheetId="3">RD!$A$1:$N$93</definedName>
    <definedName name="_xlnm.Print_Area" localSheetId="17">'REVRUNS 12ME1219'!$A$332:$P$392</definedName>
    <definedName name="_xlnm.Print_Area" localSheetId="2">RS!$A$1:$T$43</definedName>
    <definedName name="_xlnm.Print_Area" localSheetId="13">'St Lts'!$I$1:$AC$99</definedName>
    <definedName name="_xlnm.Print_Area" localSheetId="8">'Tax Adj'!$A$3:$G$27</definedName>
    <definedName name="_xlnm.Print_Area" localSheetId="11">'WA Sch 25'!$A$1:$S$108</definedName>
    <definedName name="_xlnm.Print_Titles" localSheetId="14">'Area Lts'!$I:$L</definedName>
    <definedName name="_xlnm.Print_Titles" localSheetId="1">'Rate Design'!$1:$2</definedName>
    <definedName name="_xlnm.Print_Titles" localSheetId="13">'St Lts'!$I:$L</definedName>
    <definedName name="Print1" localSheetId="14">'Area Lts'!$M$1:$T$55</definedName>
    <definedName name="Print1" localSheetId="13">'St Lts'!$M$1:$AC$98</definedName>
    <definedName name="Print1">'St Lts'!$M$1:$AC$100</definedName>
    <definedName name="Print2" localSheetId="14">'Area Lts'!$AA$1:$AH$55</definedName>
    <definedName name="Print2" localSheetId="13">'St Lts'!$AE$1:$AU$98</definedName>
    <definedName name="Print2">'St Lts'!$AE$1:$AU$98</definedName>
    <definedName name="PrintHeader" localSheetId="0">'Pres &amp; Prop Rev'!$S$6</definedName>
    <definedName name="Rates_Base_Present">'Rate Design'!$D$4:$M$11</definedName>
    <definedName name="Rates_Base_Proposed">'Rate Design'!$D$26:$M$33</definedName>
    <definedName name="Rates_Billing_Present">'Rate Design'!$D$14:$M$21</definedName>
    <definedName name="Rates_Billing_Proposed">'Rate Design'!$D$36:$M$43</definedName>
    <definedName name="Sch25_Annual_excess_kva">'WA Sch 25'!$P$74:$P$98</definedName>
    <definedName name="Sch25_Annual_kva">'WA Sch 25'!$P$47:$P$71</definedName>
    <definedName name="Sch25_Annual_kW">'WA Sch 25'!$P$74:$P$98</definedName>
    <definedName name="Sch25_Annual_kWh">'WA Sch 25'!$P$4:$P$37</definedName>
    <definedName name="Sch25_kWh">'WA Sch 25'!$D$4:$O$37</definedName>
    <definedName name="Sch25_n">'WA Sch 25'!$A$4:$A$37</definedName>
    <definedName name="Sch25_nD">'WA Sch 25'!$A$74:$A$98</definedName>
    <definedName name="SL_RateIncr">'St Lts'!$AD$1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1" i="41" l="1"/>
  <c r="M29" i="41"/>
  <c r="M27" i="41"/>
  <c r="M25" i="41"/>
  <c r="M21" i="41"/>
  <c r="K86" i="20" l="1"/>
  <c r="K71" i="20"/>
  <c r="K57" i="20"/>
  <c r="K41" i="20"/>
  <c r="K23" i="20"/>
  <c r="M33" i="41"/>
  <c r="M17" i="41"/>
  <c r="M15" i="41"/>
  <c r="O32" i="18"/>
  <c r="O30" i="18"/>
  <c r="O28" i="18"/>
  <c r="O26" i="18"/>
  <c r="O22" i="18"/>
  <c r="O18" i="18"/>
  <c r="K16" i="20"/>
  <c r="O34" i="18" l="1"/>
  <c r="T85" i="9" l="1"/>
  <c r="U37" i="38" l="1"/>
  <c r="M81" i="20"/>
  <c r="J73" i="20"/>
  <c r="O19" i="41"/>
  <c r="O20" i="41"/>
  <c r="O23" i="41"/>
  <c r="O24" i="41"/>
  <c r="N20" i="41"/>
  <c r="P20" i="41" s="1"/>
  <c r="N24" i="41"/>
  <c r="P24" i="41" s="1"/>
  <c r="F24" i="46"/>
  <c r="Q20" i="41" l="1"/>
  <c r="Q24" i="41"/>
  <c r="P48" i="10"/>
  <c r="I21" i="18"/>
  <c r="I25" i="18"/>
  <c r="T36" i="9" l="1"/>
  <c r="L19" i="7"/>
  <c r="L12" i="7"/>
  <c r="L31" i="41"/>
  <c r="I17" i="7"/>
  <c r="L15" i="41"/>
  <c r="H11" i="49"/>
  <c r="H29" i="49"/>
  <c r="H12" i="49"/>
  <c r="H13" i="49"/>
  <c r="J24" i="49"/>
  <c r="J13" i="49"/>
  <c r="H36" i="49"/>
  <c r="L45" i="41" l="1"/>
  <c r="L44" i="41"/>
  <c r="P21" i="18" l="1"/>
  <c r="P25" i="18"/>
  <c r="R20" i="41"/>
  <c r="R24" i="41"/>
  <c r="M67" i="20"/>
  <c r="I87" i="14"/>
  <c r="E28" i="18"/>
  <c r="C48" i="51" l="1"/>
  <c r="L27" i="41" l="1"/>
  <c r="H23" i="51"/>
  <c r="E27" i="41" s="1"/>
  <c r="R54" i="51"/>
  <c r="T54" i="51" s="1"/>
  <c r="T53" i="51"/>
  <c r="R53" i="51"/>
  <c r="S53" i="51" s="1"/>
  <c r="S52" i="51"/>
  <c r="R52" i="51"/>
  <c r="T52" i="51" s="1"/>
  <c r="S51" i="51"/>
  <c r="R51" i="51"/>
  <c r="T51" i="51" s="1"/>
  <c r="C51" i="51"/>
  <c r="D50" i="51" s="1"/>
  <c r="E50" i="51" s="1"/>
  <c r="R50" i="51"/>
  <c r="T50" i="51" s="1"/>
  <c r="S49" i="51"/>
  <c r="R49" i="51"/>
  <c r="T49" i="51" s="1"/>
  <c r="R48" i="51"/>
  <c r="T48" i="51" s="1"/>
  <c r="D48" i="51"/>
  <c r="E48" i="51" s="1"/>
  <c r="D45" i="51"/>
  <c r="S43" i="51"/>
  <c r="R43" i="51"/>
  <c r="T43" i="51" s="1"/>
  <c r="T42" i="51"/>
  <c r="R42" i="51"/>
  <c r="S42" i="51" s="1"/>
  <c r="S41" i="51"/>
  <c r="R41" i="51"/>
  <c r="T41" i="51" s="1"/>
  <c r="C39" i="51"/>
  <c r="R37" i="51"/>
  <c r="T37" i="51" s="1"/>
  <c r="R36" i="51"/>
  <c r="T36" i="51" s="1"/>
  <c r="T35" i="51"/>
  <c r="R35" i="51"/>
  <c r="S35" i="51" s="1"/>
  <c r="R30" i="51"/>
  <c r="S30" i="51" s="1"/>
  <c r="S29" i="51"/>
  <c r="R29" i="51"/>
  <c r="T29" i="51" s="1"/>
  <c r="E27" i="51"/>
  <c r="E25" i="51"/>
  <c r="R22" i="51"/>
  <c r="T22" i="51" s="1"/>
  <c r="T21" i="51"/>
  <c r="S21" i="51"/>
  <c r="R21" i="51"/>
  <c r="E21" i="51"/>
  <c r="E19" i="51"/>
  <c r="S17" i="51"/>
  <c r="R17" i="51"/>
  <c r="T17" i="51" s="1"/>
  <c r="E17" i="51"/>
  <c r="R16" i="51"/>
  <c r="T16" i="51" s="1"/>
  <c r="S15" i="51"/>
  <c r="R15" i="51"/>
  <c r="C40" i="51" s="1"/>
  <c r="E15" i="51"/>
  <c r="E29" i="51" s="1"/>
  <c r="D49" i="51" l="1"/>
  <c r="E49" i="51" s="1"/>
  <c r="F25" i="51"/>
  <c r="S44" i="51"/>
  <c r="C42" i="51"/>
  <c r="F19" i="51"/>
  <c r="F27" i="51"/>
  <c r="F17" i="51"/>
  <c r="F15" i="51"/>
  <c r="F21" i="51"/>
  <c r="C41" i="51"/>
  <c r="S31" i="51"/>
  <c r="S16" i="51"/>
  <c r="S18" i="51" s="1"/>
  <c r="S22" i="51"/>
  <c r="S25" i="51" s="1"/>
  <c r="T30" i="51"/>
  <c r="S36" i="51"/>
  <c r="S38" i="51" s="1"/>
  <c r="D46" i="51"/>
  <c r="E46" i="51" s="1"/>
  <c r="T15" i="51"/>
  <c r="S37" i="51"/>
  <c r="D47" i="51"/>
  <c r="E47" i="51" s="1"/>
  <c r="S50" i="51"/>
  <c r="S54" i="51"/>
  <c r="E45" i="51"/>
  <c r="S48" i="51"/>
  <c r="S55" i="51" s="1"/>
  <c r="E51" i="51" l="1"/>
  <c r="D51" i="51"/>
  <c r="V13" i="49" l="1"/>
  <c r="V11" i="49"/>
  <c r="N13" i="49"/>
  <c r="N12" i="49"/>
  <c r="N11" i="49"/>
  <c r="M12" i="49"/>
  <c r="M11" i="49"/>
  <c r="K32" i="18" l="1"/>
  <c r="K30" i="18"/>
  <c r="K22" i="18"/>
  <c r="K18" i="18"/>
  <c r="K16" i="18"/>
  <c r="K71" i="18"/>
  <c r="K68" i="18"/>
  <c r="K65" i="18"/>
  <c r="K62" i="18"/>
  <c r="K56" i="18"/>
  <c r="K50" i="18"/>
  <c r="K51" i="18"/>
  <c r="K52" i="18"/>
  <c r="K49" i="18"/>
  <c r="K15" i="14"/>
  <c r="K16" i="14"/>
  <c r="J17" i="14"/>
  <c r="J16" i="14"/>
  <c r="J15" i="14"/>
  <c r="I15" i="14"/>
  <c r="I17" i="14"/>
  <c r="I16" i="14"/>
  <c r="H16" i="14"/>
  <c r="H15" i="14"/>
  <c r="G15" i="14"/>
  <c r="G16" i="14"/>
  <c r="F16" i="14"/>
  <c r="F15" i="14"/>
  <c r="E15" i="14"/>
  <c r="E16" i="14"/>
  <c r="D15" i="14"/>
  <c r="D16" i="14" l="1"/>
  <c r="D17" i="14"/>
  <c r="E20" i="46" l="1"/>
  <c r="N14" i="49" l="1"/>
  <c r="M14" i="49"/>
  <c r="H30" i="49" l="1"/>
  <c r="I20" i="49"/>
  <c r="J20" i="49" s="1"/>
  <c r="E22" i="49"/>
  <c r="I22" i="49" s="1"/>
  <c r="J22" i="49" s="1"/>
  <c r="E21" i="49"/>
  <c r="F21" i="49" s="1"/>
  <c r="J117" i="6"/>
  <c r="F20" i="49"/>
  <c r="E17" i="49"/>
  <c r="I17" i="49" s="1"/>
  <c r="J17" i="49" s="1"/>
  <c r="E16" i="49"/>
  <c r="I16" i="49" s="1"/>
  <c r="J16" i="49" s="1"/>
  <c r="E13" i="49"/>
  <c r="F13" i="49" s="1"/>
  <c r="E12" i="49"/>
  <c r="I12" i="49" s="1"/>
  <c r="E11" i="49"/>
  <c r="F11" i="49" s="1"/>
  <c r="F22" i="49" l="1"/>
  <c r="F12" i="49"/>
  <c r="I21" i="49"/>
  <c r="J21" i="49" s="1"/>
  <c r="I11" i="49"/>
  <c r="I13" i="49"/>
  <c r="J12" i="49"/>
  <c r="J11" i="49"/>
  <c r="BE1" i="9" l="1"/>
  <c r="G29" i="41" l="1"/>
  <c r="G31" i="41"/>
  <c r="L140" i="6" l="1"/>
  <c r="T140" i="6"/>
  <c r="T139" i="6"/>
  <c r="T138" i="6"/>
  <c r="T137" i="6"/>
  <c r="T136" i="6"/>
  <c r="T133" i="6"/>
  <c r="L137" i="6"/>
  <c r="E123" i="6"/>
  <c r="F123" i="6"/>
  <c r="G123" i="6"/>
  <c r="H123" i="6"/>
  <c r="I123" i="6"/>
  <c r="J123" i="6"/>
  <c r="K123" i="6"/>
  <c r="L123" i="6"/>
  <c r="M123" i="6"/>
  <c r="N123" i="6"/>
  <c r="O123" i="6"/>
  <c r="O124" i="6" s="1"/>
  <c r="D123" i="6"/>
  <c r="E118" i="6"/>
  <c r="F118" i="6"/>
  <c r="G118" i="6"/>
  <c r="H118" i="6"/>
  <c r="I118" i="6"/>
  <c r="J118" i="6"/>
  <c r="K118" i="6"/>
  <c r="L118" i="6"/>
  <c r="M118" i="6"/>
  <c r="N118" i="6"/>
  <c r="O118" i="6"/>
  <c r="D118" i="6"/>
  <c r="O122" i="6"/>
  <c r="N122" i="6"/>
  <c r="M122" i="6"/>
  <c r="L122" i="6"/>
  <c r="L124" i="6" s="1"/>
  <c r="K122" i="6"/>
  <c r="J122" i="6"/>
  <c r="J124" i="6" s="1"/>
  <c r="I122" i="6"/>
  <c r="H122" i="6"/>
  <c r="G122" i="6"/>
  <c r="F122" i="6"/>
  <c r="E122" i="6"/>
  <c r="D122" i="6"/>
  <c r="C117" i="6"/>
  <c r="D117" i="6" s="1"/>
  <c r="D137" i="6"/>
  <c r="D130" i="6"/>
  <c r="E137" i="6"/>
  <c r="F137" i="6"/>
  <c r="G137" i="6"/>
  <c r="H137" i="6"/>
  <c r="I137" i="6"/>
  <c r="J137" i="6"/>
  <c r="K137" i="6"/>
  <c r="M137" i="6"/>
  <c r="N137" i="6"/>
  <c r="O137" i="6"/>
  <c r="E101" i="6"/>
  <c r="E139" i="6" s="1"/>
  <c r="E141" i="6" s="1"/>
  <c r="F101" i="6"/>
  <c r="F139" i="6" s="1"/>
  <c r="F141" i="6" s="1"/>
  <c r="G101" i="6"/>
  <c r="G139" i="6" s="1"/>
  <c r="G141" i="6" s="1"/>
  <c r="H101" i="6"/>
  <c r="H139" i="6" s="1"/>
  <c r="H141" i="6" s="1"/>
  <c r="I101" i="6"/>
  <c r="I139" i="6" s="1"/>
  <c r="I141" i="6" s="1"/>
  <c r="J101" i="6"/>
  <c r="J139" i="6" s="1"/>
  <c r="J141" i="6" s="1"/>
  <c r="K101" i="6"/>
  <c r="K139" i="6" s="1"/>
  <c r="K141" i="6" s="1"/>
  <c r="L101" i="6"/>
  <c r="T135" i="6" s="1"/>
  <c r="M101" i="6"/>
  <c r="M139" i="6" s="1"/>
  <c r="M141" i="6" s="1"/>
  <c r="N101" i="6"/>
  <c r="N139" i="6" s="1"/>
  <c r="N141" i="6" s="1"/>
  <c r="O101" i="6"/>
  <c r="O139" i="6" s="1"/>
  <c r="O141" i="6" s="1"/>
  <c r="D101" i="6"/>
  <c r="D139" i="6" s="1"/>
  <c r="D141" i="6" s="1"/>
  <c r="G58" i="5"/>
  <c r="O184" i="37"/>
  <c r="O183" i="37"/>
  <c r="O182" i="37"/>
  <c r="E182" i="37"/>
  <c r="F182" i="37"/>
  <c r="G182" i="37"/>
  <c r="H182" i="37"/>
  <c r="I182" i="37"/>
  <c r="J182" i="37"/>
  <c r="K182" i="37"/>
  <c r="L182" i="37"/>
  <c r="M182" i="37"/>
  <c r="N182" i="37"/>
  <c r="E183" i="37"/>
  <c r="F183" i="37"/>
  <c r="G183" i="37"/>
  <c r="H183" i="37"/>
  <c r="I183" i="37"/>
  <c r="J183" i="37"/>
  <c r="K183" i="37"/>
  <c r="L183" i="37"/>
  <c r="M183" i="37"/>
  <c r="N183" i="37"/>
  <c r="E184" i="37"/>
  <c r="F184" i="37"/>
  <c r="G184" i="37"/>
  <c r="H184" i="37"/>
  <c r="I184" i="37"/>
  <c r="J184" i="37"/>
  <c r="K184" i="37"/>
  <c r="L184" i="37"/>
  <c r="M184" i="37"/>
  <c r="N184" i="37"/>
  <c r="D184" i="37"/>
  <c r="D183" i="37"/>
  <c r="D182" i="37"/>
  <c r="M117" i="6" l="1"/>
  <c r="M119" i="6" s="1"/>
  <c r="T141" i="6"/>
  <c r="I117" i="6"/>
  <c r="I119" i="6" s="1"/>
  <c r="G124" i="6"/>
  <c r="H124" i="6"/>
  <c r="E117" i="6"/>
  <c r="L117" i="6"/>
  <c r="L119" i="6" s="1"/>
  <c r="K117" i="6"/>
  <c r="K119" i="6" s="1"/>
  <c r="J119" i="6"/>
  <c r="I124" i="6"/>
  <c r="L139" i="6"/>
  <c r="L141" i="6" s="1"/>
  <c r="H117" i="6"/>
  <c r="H119" i="6" s="1"/>
  <c r="O117" i="6"/>
  <c r="O119" i="6" s="1"/>
  <c r="G117" i="6"/>
  <c r="G119" i="6" s="1"/>
  <c r="N124" i="6"/>
  <c r="N117" i="6"/>
  <c r="N119" i="6" s="1"/>
  <c r="F117" i="6"/>
  <c r="M124" i="6"/>
  <c r="P122" i="6"/>
  <c r="P123" i="6"/>
  <c r="K124" i="6"/>
  <c r="P118" i="6"/>
  <c r="P117" i="6" l="1"/>
  <c r="F49" i="20"/>
  <c r="D49" i="20"/>
  <c r="L161" i="1" l="1"/>
  <c r="K161" i="1"/>
  <c r="J161" i="1"/>
  <c r="I161" i="1"/>
  <c r="H161" i="1"/>
  <c r="G161" i="1"/>
  <c r="F161" i="1"/>
  <c r="E161" i="1"/>
  <c r="D161" i="1"/>
  <c r="L160" i="1"/>
  <c r="K160" i="1"/>
  <c r="J160" i="1"/>
  <c r="I160" i="1"/>
  <c r="H160" i="1"/>
  <c r="G160" i="1"/>
  <c r="F160" i="1"/>
  <c r="E160" i="1"/>
  <c r="D160" i="1"/>
  <c r="L57" i="1"/>
  <c r="K57" i="1"/>
  <c r="J57" i="1"/>
  <c r="I57" i="1"/>
  <c r="H57" i="1"/>
  <c r="G57" i="1"/>
  <c r="F57" i="1"/>
  <c r="E57" i="1"/>
  <c r="D57" i="1"/>
  <c r="L56" i="1"/>
  <c r="K56" i="1"/>
  <c r="J56" i="1"/>
  <c r="I56" i="1"/>
  <c r="H56" i="1"/>
  <c r="G56" i="1"/>
  <c r="F56" i="1"/>
  <c r="E56" i="1"/>
  <c r="D56" i="1"/>
  <c r="L108" i="1"/>
  <c r="L107" i="1"/>
  <c r="K108" i="1"/>
  <c r="K107" i="1"/>
  <c r="J108" i="1"/>
  <c r="J107" i="1"/>
  <c r="I108" i="1"/>
  <c r="I107" i="1"/>
  <c r="H108" i="1"/>
  <c r="H107" i="1"/>
  <c r="G108" i="1"/>
  <c r="G107" i="1"/>
  <c r="F108" i="1"/>
  <c r="F107" i="1"/>
  <c r="E108" i="1"/>
  <c r="E107" i="1"/>
  <c r="D108" i="1"/>
  <c r="D107" i="1"/>
  <c r="D76" i="20" l="1"/>
  <c r="D75" i="20"/>
  <c r="D73" i="20"/>
  <c r="D72" i="20"/>
  <c r="D71" i="20"/>
  <c r="S80" i="20"/>
  <c r="R80" i="20"/>
  <c r="Q80" i="20"/>
  <c r="J80" i="20"/>
  <c r="E80" i="20"/>
  <c r="Q79" i="20"/>
  <c r="J79" i="20"/>
  <c r="S79" i="20" s="1"/>
  <c r="E79" i="20"/>
  <c r="S78" i="20"/>
  <c r="Q78" i="20"/>
  <c r="J78" i="20"/>
  <c r="R78" i="20" s="1"/>
  <c r="E78" i="20"/>
  <c r="Q76" i="20"/>
  <c r="A76" i="20"/>
  <c r="Q75" i="20"/>
  <c r="A75" i="20"/>
  <c r="P71" i="20"/>
  <c r="P72" i="20" s="1"/>
  <c r="O71" i="20"/>
  <c r="O73" i="20" s="1"/>
  <c r="A71" i="20"/>
  <c r="D52" i="20"/>
  <c r="D51" i="20"/>
  <c r="J53" i="20"/>
  <c r="R53" i="20" s="1"/>
  <c r="E53" i="20"/>
  <c r="K52" i="20"/>
  <c r="P51" i="20"/>
  <c r="P52" i="20" s="1"/>
  <c r="O51" i="20"/>
  <c r="O52" i="20" s="1"/>
  <c r="D35" i="20"/>
  <c r="D34" i="20"/>
  <c r="K35" i="20"/>
  <c r="D23" i="20"/>
  <c r="D21" i="20"/>
  <c r="D32" i="20"/>
  <c r="P35" i="20"/>
  <c r="P34" i="20"/>
  <c r="O34" i="20"/>
  <c r="O35" i="20" s="1"/>
  <c r="W24" i="18"/>
  <c r="W20" i="18"/>
  <c r="H199" i="1"/>
  <c r="H192" i="1"/>
  <c r="H146" i="1"/>
  <c r="H139" i="1"/>
  <c r="F139" i="1"/>
  <c r="J25" i="1"/>
  <c r="P100" i="6"/>
  <c r="S53" i="20" l="1"/>
  <c r="R79" i="20"/>
  <c r="O72" i="20"/>
  <c r="P73" i="20"/>
  <c r="E49" i="20"/>
  <c r="P101" i="6"/>
  <c r="F62" i="5" s="1"/>
  <c r="Q41" i="6"/>
  <c r="R41" i="6" s="1"/>
  <c r="Q40" i="6"/>
  <c r="R40" i="6" s="1"/>
  <c r="P41" i="6"/>
  <c r="P40" i="6"/>
  <c r="R42" i="6" l="1"/>
  <c r="C62" i="5" s="1"/>
  <c r="J32" i="1" s="1"/>
  <c r="P42" i="6"/>
  <c r="J27" i="1"/>
  <c r="J50" i="1" s="1"/>
  <c r="Q42" i="6"/>
  <c r="B62" i="5" s="1"/>
  <c r="J8" i="1" s="1"/>
  <c r="J31" i="1" s="1"/>
  <c r="D20" i="46" s="1"/>
  <c r="S41" i="6"/>
  <c r="S40" i="6"/>
  <c r="J9" i="1" l="1"/>
  <c r="S42" i="6"/>
  <c r="D62" i="5" s="1"/>
  <c r="H25" i="1"/>
  <c r="C45" i="27"/>
  <c r="O70" i="27"/>
  <c r="C71" i="27"/>
  <c r="C75" i="27"/>
  <c r="J10" i="1" l="1"/>
  <c r="J33" i="1"/>
  <c r="D50" i="5"/>
  <c r="I127" i="27" l="1"/>
  <c r="I129" i="27" s="1"/>
  <c r="K127" i="27"/>
  <c r="C127" i="27"/>
  <c r="C123" i="27"/>
  <c r="C124" i="27" s="1"/>
  <c r="I75" i="27"/>
  <c r="I77" i="27" s="1"/>
  <c r="K75" i="27"/>
  <c r="K77" i="27" s="1"/>
  <c r="C77" i="27"/>
  <c r="E463" i="37"/>
  <c r="F463" i="37" s="1"/>
  <c r="G463" i="37" s="1"/>
  <c r="H463" i="37" s="1"/>
  <c r="I463" i="37" s="1"/>
  <c r="J463" i="37" s="1"/>
  <c r="K463" i="37" s="1"/>
  <c r="L463" i="37" s="1"/>
  <c r="M463" i="37" s="1"/>
  <c r="N463" i="37" s="1"/>
  <c r="O463" i="37" s="1"/>
  <c r="E462" i="37"/>
  <c r="F462" i="37" s="1"/>
  <c r="G462" i="37" s="1"/>
  <c r="H462" i="37" s="1"/>
  <c r="I462" i="37" s="1"/>
  <c r="J462" i="37" s="1"/>
  <c r="K462" i="37" s="1"/>
  <c r="L462" i="37" s="1"/>
  <c r="M462" i="37" s="1"/>
  <c r="N462" i="37" s="1"/>
  <c r="O462" i="37" s="1"/>
  <c r="E461" i="37"/>
  <c r="F461" i="37" s="1"/>
  <c r="G461" i="37" s="1"/>
  <c r="H461" i="37" s="1"/>
  <c r="I461" i="37" s="1"/>
  <c r="J461" i="37" s="1"/>
  <c r="K461" i="37" s="1"/>
  <c r="L461" i="37" s="1"/>
  <c r="M461" i="37" s="1"/>
  <c r="N461" i="37" s="1"/>
  <c r="O461" i="37" s="1"/>
  <c r="E460" i="37"/>
  <c r="F460" i="37" s="1"/>
  <c r="G460" i="37" s="1"/>
  <c r="H460" i="37" s="1"/>
  <c r="I460" i="37" s="1"/>
  <c r="J460" i="37" s="1"/>
  <c r="K460" i="37" s="1"/>
  <c r="L460" i="37" s="1"/>
  <c r="M460" i="37" s="1"/>
  <c r="N460" i="37" s="1"/>
  <c r="O460" i="37" s="1"/>
  <c r="P459" i="37"/>
  <c r="P458" i="37"/>
  <c r="P457" i="37"/>
  <c r="P456" i="37"/>
  <c r="E445" i="37"/>
  <c r="F445" i="37" s="1"/>
  <c r="G445" i="37" s="1"/>
  <c r="H445" i="37" s="1"/>
  <c r="I445" i="37" s="1"/>
  <c r="J445" i="37" s="1"/>
  <c r="K445" i="37" s="1"/>
  <c r="L445" i="37" s="1"/>
  <c r="M445" i="37" s="1"/>
  <c r="N445" i="37" s="1"/>
  <c r="O445" i="37" s="1"/>
  <c r="E444" i="37"/>
  <c r="F444" i="37" s="1"/>
  <c r="G444" i="37" s="1"/>
  <c r="H444" i="37" s="1"/>
  <c r="I444" i="37" s="1"/>
  <c r="J444" i="37" s="1"/>
  <c r="K444" i="37" s="1"/>
  <c r="L444" i="37" s="1"/>
  <c r="M444" i="37" s="1"/>
  <c r="N444" i="37" s="1"/>
  <c r="O444" i="37" s="1"/>
  <c r="N127" i="27" s="1"/>
  <c r="N129" i="27" s="1"/>
  <c r="E443" i="37"/>
  <c r="F443" i="37" s="1"/>
  <c r="G443" i="37" s="1"/>
  <c r="H443" i="37" s="1"/>
  <c r="I443" i="37" s="1"/>
  <c r="J443" i="37" s="1"/>
  <c r="K443" i="37" s="1"/>
  <c r="L443" i="37" s="1"/>
  <c r="M443" i="37" s="1"/>
  <c r="N443" i="37" s="1"/>
  <c r="O443" i="37" s="1"/>
  <c r="N123" i="27" s="1"/>
  <c r="N124" i="27" s="1"/>
  <c r="P442" i="37"/>
  <c r="H120" i="1" s="1"/>
  <c r="P441" i="37"/>
  <c r="P440" i="37"/>
  <c r="E424" i="37"/>
  <c r="F424" i="37" s="1"/>
  <c r="G424" i="37" s="1"/>
  <c r="H424" i="37" s="1"/>
  <c r="I424" i="37" s="1"/>
  <c r="J424" i="37" s="1"/>
  <c r="K424" i="37" s="1"/>
  <c r="L424" i="37" s="1"/>
  <c r="M424" i="37" s="1"/>
  <c r="N424" i="37" s="1"/>
  <c r="O424" i="37" s="1"/>
  <c r="N75" i="27" s="1"/>
  <c r="N77" i="27" s="1"/>
  <c r="E423" i="37"/>
  <c r="P422" i="37"/>
  <c r="P421" i="37"/>
  <c r="J109" i="27"/>
  <c r="D106" i="27"/>
  <c r="E106" i="27"/>
  <c r="F106" i="27"/>
  <c r="G106" i="27"/>
  <c r="H106" i="27"/>
  <c r="I106" i="27"/>
  <c r="J106" i="27"/>
  <c r="K106" i="27"/>
  <c r="L106" i="27"/>
  <c r="M106" i="27"/>
  <c r="N106" i="27"/>
  <c r="D107" i="27"/>
  <c r="E107" i="27"/>
  <c r="F107" i="27"/>
  <c r="G107" i="27"/>
  <c r="H107" i="27"/>
  <c r="I107" i="27"/>
  <c r="J107" i="27"/>
  <c r="K107" i="27"/>
  <c r="L107" i="27"/>
  <c r="M107" i="27"/>
  <c r="N107" i="27"/>
  <c r="C107" i="27"/>
  <c r="C106" i="27"/>
  <c r="K129" i="27"/>
  <c r="C129" i="27"/>
  <c r="R124" i="27"/>
  <c r="O122" i="27"/>
  <c r="R108" i="27"/>
  <c r="H57" i="27"/>
  <c r="E384" i="37"/>
  <c r="F384" i="37"/>
  <c r="G384" i="37"/>
  <c r="H384" i="37"/>
  <c r="I384" i="37"/>
  <c r="J384" i="37"/>
  <c r="K384" i="37"/>
  <c r="P384" i="37" s="1"/>
  <c r="F134" i="1" s="1"/>
  <c r="F187" i="1" s="1"/>
  <c r="L384" i="37"/>
  <c r="M384" i="37"/>
  <c r="N384" i="37"/>
  <c r="O384" i="37"/>
  <c r="E386" i="37"/>
  <c r="F386" i="37"/>
  <c r="G386" i="37"/>
  <c r="H386" i="37"/>
  <c r="I386" i="37"/>
  <c r="J386" i="37"/>
  <c r="K386" i="37"/>
  <c r="L386" i="37"/>
  <c r="M386" i="37"/>
  <c r="N386" i="37"/>
  <c r="O386" i="37"/>
  <c r="E388" i="37"/>
  <c r="P388" i="37" s="1"/>
  <c r="F388" i="37"/>
  <c r="G388" i="37"/>
  <c r="H388" i="37"/>
  <c r="I388" i="37"/>
  <c r="J388" i="37"/>
  <c r="K388" i="37"/>
  <c r="L388" i="37"/>
  <c r="M388" i="37"/>
  <c r="N388" i="37"/>
  <c r="O388" i="37"/>
  <c r="D388" i="37"/>
  <c r="D386" i="37"/>
  <c r="P386" i="37" s="1"/>
  <c r="H134" i="1" s="1"/>
  <c r="H142" i="1" s="1"/>
  <c r="H21" i="1" s="1"/>
  <c r="H44" i="1" s="1"/>
  <c r="H54" i="14" s="1"/>
  <c r="D384" i="37"/>
  <c r="D387" i="37"/>
  <c r="D382" i="37"/>
  <c r="D54" i="27"/>
  <c r="E54" i="27"/>
  <c r="F54" i="27"/>
  <c r="G54" i="27"/>
  <c r="H54" i="27"/>
  <c r="I54" i="27"/>
  <c r="J54" i="27"/>
  <c r="K54" i="27"/>
  <c r="L54" i="27"/>
  <c r="M54" i="27"/>
  <c r="N54" i="27"/>
  <c r="D55" i="27"/>
  <c r="E55" i="27"/>
  <c r="F55" i="27"/>
  <c r="G55" i="27"/>
  <c r="H55" i="27"/>
  <c r="I55" i="27"/>
  <c r="J55" i="27"/>
  <c r="K55" i="27"/>
  <c r="L55" i="27"/>
  <c r="M55" i="27"/>
  <c r="N55" i="27"/>
  <c r="C55" i="27"/>
  <c r="C54" i="27"/>
  <c r="D45" i="37"/>
  <c r="E45" i="37"/>
  <c r="F45" i="37"/>
  <c r="G45" i="37"/>
  <c r="H45" i="37"/>
  <c r="I45" i="37"/>
  <c r="J45" i="37"/>
  <c r="K45" i="37"/>
  <c r="L45" i="37"/>
  <c r="M45" i="37"/>
  <c r="N45" i="37"/>
  <c r="D43" i="37"/>
  <c r="E43" i="37"/>
  <c r="F43" i="37"/>
  <c r="G43" i="37"/>
  <c r="H43" i="37"/>
  <c r="I43" i="37"/>
  <c r="J43" i="37"/>
  <c r="K43" i="37"/>
  <c r="L43" i="37"/>
  <c r="M43" i="37"/>
  <c r="N43" i="37"/>
  <c r="D41" i="37"/>
  <c r="E41" i="37"/>
  <c r="F41" i="37"/>
  <c r="G41" i="37"/>
  <c r="H41" i="37"/>
  <c r="I41" i="37"/>
  <c r="J41" i="37"/>
  <c r="K41" i="37"/>
  <c r="L41" i="37"/>
  <c r="M41" i="37"/>
  <c r="N41" i="37"/>
  <c r="C41" i="37"/>
  <c r="C43" i="37"/>
  <c r="C45" i="37"/>
  <c r="C44" i="37"/>
  <c r="P19" i="37"/>
  <c r="O19" i="37"/>
  <c r="P17" i="37"/>
  <c r="O17" i="37"/>
  <c r="O14" i="37"/>
  <c r="P14" i="37"/>
  <c r="O209" i="37"/>
  <c r="O339" i="37" s="1"/>
  <c r="N209" i="37"/>
  <c r="N339" i="37" s="1"/>
  <c r="M209" i="37"/>
  <c r="M339" i="37" s="1"/>
  <c r="L209" i="37"/>
  <c r="L339" i="37" s="1"/>
  <c r="K209" i="37"/>
  <c r="K339" i="37" s="1"/>
  <c r="J209" i="37"/>
  <c r="J339" i="37" s="1"/>
  <c r="I209" i="37"/>
  <c r="I339" i="37" s="1"/>
  <c r="H209" i="37"/>
  <c r="H339" i="37" s="1"/>
  <c r="G209" i="37"/>
  <c r="G339" i="37" s="1"/>
  <c r="F209" i="37"/>
  <c r="F339" i="37" s="1"/>
  <c r="E209" i="37"/>
  <c r="E339" i="37" s="1"/>
  <c r="D209" i="37"/>
  <c r="D339" i="37" s="1"/>
  <c r="P208" i="37"/>
  <c r="P207" i="37"/>
  <c r="P206" i="37"/>
  <c r="P205" i="37"/>
  <c r="P204" i="37"/>
  <c r="P203" i="37"/>
  <c r="P202" i="37"/>
  <c r="P201" i="37"/>
  <c r="P200" i="37"/>
  <c r="P199" i="37"/>
  <c r="P198" i="37"/>
  <c r="P197" i="37"/>
  <c r="P196" i="37"/>
  <c r="P195" i="37"/>
  <c r="O179" i="37"/>
  <c r="O337" i="37" s="1"/>
  <c r="N109" i="27" s="1"/>
  <c r="N179" i="37"/>
  <c r="N337" i="37" s="1"/>
  <c r="M109" i="27" s="1"/>
  <c r="M179" i="37"/>
  <c r="M337" i="37" s="1"/>
  <c r="L109" i="27" s="1"/>
  <c r="L179" i="37"/>
  <c r="L337" i="37" s="1"/>
  <c r="K109" i="27" s="1"/>
  <c r="K179" i="37"/>
  <c r="K337" i="37" s="1"/>
  <c r="J179" i="37"/>
  <c r="J337" i="37" s="1"/>
  <c r="I109" i="27" s="1"/>
  <c r="I179" i="37"/>
  <c r="I337" i="37" s="1"/>
  <c r="H109" i="27" s="1"/>
  <c r="H179" i="37"/>
  <c r="H337" i="37" s="1"/>
  <c r="G109" i="27" s="1"/>
  <c r="G179" i="37"/>
  <c r="G337" i="37" s="1"/>
  <c r="F109" i="27" s="1"/>
  <c r="F179" i="37"/>
  <c r="F337" i="37" s="1"/>
  <c r="E109" i="27" s="1"/>
  <c r="E179" i="37"/>
  <c r="E337" i="37" s="1"/>
  <c r="D109" i="27" s="1"/>
  <c r="D179" i="37"/>
  <c r="D337" i="37" s="1"/>
  <c r="C109" i="27" s="1"/>
  <c r="P168" i="37"/>
  <c r="P167" i="37"/>
  <c r="O134" i="37"/>
  <c r="O335" i="37" s="1"/>
  <c r="N57" i="27" s="1"/>
  <c r="N134" i="37"/>
  <c r="N335" i="37" s="1"/>
  <c r="M57" i="27" s="1"/>
  <c r="M134" i="37"/>
  <c r="M335" i="37" s="1"/>
  <c r="L57" i="27" s="1"/>
  <c r="L134" i="37"/>
  <c r="L335" i="37" s="1"/>
  <c r="K57" i="27" s="1"/>
  <c r="K134" i="37"/>
  <c r="K335" i="37" s="1"/>
  <c r="J57" i="27" s="1"/>
  <c r="J134" i="37"/>
  <c r="J335" i="37" s="1"/>
  <c r="I57" i="27" s="1"/>
  <c r="I134" i="37"/>
  <c r="I335" i="37" s="1"/>
  <c r="H134" i="37"/>
  <c r="H335" i="37" s="1"/>
  <c r="G57" i="27" s="1"/>
  <c r="G134" i="37"/>
  <c r="G335" i="37" s="1"/>
  <c r="F57" i="27" s="1"/>
  <c r="F134" i="37"/>
  <c r="F335" i="37" s="1"/>
  <c r="E57" i="27" s="1"/>
  <c r="E134" i="37"/>
  <c r="E335" i="37" s="1"/>
  <c r="D57" i="27" s="1"/>
  <c r="D134" i="37"/>
  <c r="D335" i="37" s="1"/>
  <c r="C57" i="27" s="1"/>
  <c r="P133" i="37"/>
  <c r="P132" i="37"/>
  <c r="P131" i="37"/>
  <c r="P130" i="37"/>
  <c r="P129" i="37"/>
  <c r="P128" i="37"/>
  <c r="P127" i="37"/>
  <c r="P126" i="37"/>
  <c r="P125" i="37"/>
  <c r="P124" i="37"/>
  <c r="P123" i="37"/>
  <c r="P122" i="37"/>
  <c r="P121" i="37"/>
  <c r="P120" i="37"/>
  <c r="R72" i="27"/>
  <c r="C72" i="27"/>
  <c r="R56" i="27"/>
  <c r="E62" i="5"/>
  <c r="D26" i="5"/>
  <c r="D29" i="5" s="1"/>
  <c r="J128" i="1"/>
  <c r="H198" i="1"/>
  <c r="H191" i="1"/>
  <c r="H193" i="1" s="1"/>
  <c r="H147" i="1"/>
  <c r="H140" i="1"/>
  <c r="H173" i="1"/>
  <c r="F199" i="1"/>
  <c r="F198" i="1"/>
  <c r="F192" i="1"/>
  <c r="F193" i="1" s="1"/>
  <c r="F191" i="1"/>
  <c r="F146" i="1"/>
  <c r="F147" i="1" s="1"/>
  <c r="F140" i="1"/>
  <c r="J41" i="1"/>
  <c r="J181" i="1" s="1"/>
  <c r="J38" i="1"/>
  <c r="J35" i="1"/>
  <c r="J34" i="1"/>
  <c r="J21" i="1"/>
  <c r="J44" i="1" s="1"/>
  <c r="J54" i="14" s="1"/>
  <c r="H38" i="1"/>
  <c r="H35" i="1"/>
  <c r="H34" i="1"/>
  <c r="H33" i="1"/>
  <c r="H52" i="14" s="1"/>
  <c r="F38" i="1"/>
  <c r="F35" i="1"/>
  <c r="F34" i="1"/>
  <c r="F33" i="1"/>
  <c r="F52" i="14" s="1"/>
  <c r="L23" i="41"/>
  <c r="L19" i="41"/>
  <c r="T28" i="18"/>
  <c r="M28" i="18"/>
  <c r="T24" i="18"/>
  <c r="M24" i="18"/>
  <c r="T20" i="18"/>
  <c r="M20" i="18"/>
  <c r="F32" i="14"/>
  <c r="F42" i="14" s="1"/>
  <c r="W42" i="14"/>
  <c r="W39" i="14"/>
  <c r="W38" i="14"/>
  <c r="W37" i="14"/>
  <c r="W20" i="14"/>
  <c r="W17" i="14"/>
  <c r="W16" i="14"/>
  <c r="W15" i="14"/>
  <c r="U42" i="14"/>
  <c r="U39" i="14"/>
  <c r="U38" i="14"/>
  <c r="U37" i="14"/>
  <c r="U20" i="14"/>
  <c r="U17" i="14"/>
  <c r="U16" i="14"/>
  <c r="U15" i="14"/>
  <c r="S42" i="14"/>
  <c r="S39" i="14"/>
  <c r="S38" i="14"/>
  <c r="S37" i="14"/>
  <c r="S20" i="14"/>
  <c r="S17" i="14"/>
  <c r="S16" i="14"/>
  <c r="S15" i="14"/>
  <c r="J103" i="14"/>
  <c r="J100" i="14"/>
  <c r="J90" i="14"/>
  <c r="J76" i="14"/>
  <c r="J84" i="14" s="1"/>
  <c r="J87" i="14" s="1"/>
  <c r="J29" i="14" s="1"/>
  <c r="J39" i="14" s="1"/>
  <c r="J75" i="14"/>
  <c r="J83" i="14" s="1"/>
  <c r="J86" i="14" s="1"/>
  <c r="J28" i="14" s="1"/>
  <c r="J38" i="14" s="1"/>
  <c r="J74" i="14"/>
  <c r="J82" i="14" s="1"/>
  <c r="J85" i="14" s="1"/>
  <c r="J70" i="14"/>
  <c r="J65" i="14"/>
  <c r="J67" i="14" s="1"/>
  <c r="J61" i="14"/>
  <c r="J63" i="14" s="1"/>
  <c r="H76" i="14"/>
  <c r="H84" i="14" s="1"/>
  <c r="H87" i="14" s="1"/>
  <c r="H29" i="14" s="1"/>
  <c r="H75" i="14"/>
  <c r="H83" i="14" s="1"/>
  <c r="H86" i="14" s="1"/>
  <c r="H28" i="14" s="1"/>
  <c r="H38" i="14" s="1"/>
  <c r="H74" i="14"/>
  <c r="H82" i="14" s="1"/>
  <c r="H85" i="14" s="1"/>
  <c r="H27" i="14" s="1"/>
  <c r="H37" i="14" s="1"/>
  <c r="H70" i="14"/>
  <c r="H65" i="14"/>
  <c r="H67" i="14" s="1"/>
  <c r="H61" i="14"/>
  <c r="H63" i="14" s="1"/>
  <c r="F76" i="14"/>
  <c r="F84" i="14" s="1"/>
  <c r="F87" i="14" s="1"/>
  <c r="F29" i="14" s="1"/>
  <c r="F75" i="14"/>
  <c r="F83" i="14" s="1"/>
  <c r="F86" i="14" s="1"/>
  <c r="F28" i="14" s="1"/>
  <c r="F38" i="14" s="1"/>
  <c r="F74" i="14"/>
  <c r="F82" i="14" s="1"/>
  <c r="F85" i="14" s="1"/>
  <c r="F27" i="14" s="1"/>
  <c r="F37" i="14" s="1"/>
  <c r="F70" i="14"/>
  <c r="F65" i="14"/>
  <c r="F67" i="14" s="1"/>
  <c r="F61" i="14"/>
  <c r="F63" i="14" s="1"/>
  <c r="F12" i="14"/>
  <c r="F34" i="20"/>
  <c r="J34" i="14"/>
  <c r="J32" i="14"/>
  <c r="N76" i="20" s="1"/>
  <c r="J31" i="14"/>
  <c r="J26" i="14"/>
  <c r="J36" i="14" s="1"/>
  <c r="J24" i="14"/>
  <c r="J20" i="14"/>
  <c r="F76" i="20" s="1"/>
  <c r="E76" i="20" s="1"/>
  <c r="J19" i="14"/>
  <c r="F75" i="20" s="1"/>
  <c r="E75" i="20" s="1"/>
  <c r="F73" i="20"/>
  <c r="F72" i="20"/>
  <c r="F71" i="20"/>
  <c r="J14" i="14"/>
  <c r="J12" i="14"/>
  <c r="H34" i="14"/>
  <c r="H32" i="14"/>
  <c r="H42" i="14" s="1"/>
  <c r="H31" i="14"/>
  <c r="H26" i="14"/>
  <c r="H24" i="14"/>
  <c r="H20" i="14"/>
  <c r="F52" i="20"/>
  <c r="F51" i="20"/>
  <c r="H12" i="14"/>
  <c r="F34" i="14"/>
  <c r="F31" i="14"/>
  <c r="F26" i="14"/>
  <c r="F24" i="14"/>
  <c r="F20" i="14"/>
  <c r="F35" i="20"/>
  <c r="F14" i="14"/>
  <c r="F32" i="20" s="1"/>
  <c r="E32" i="20" s="1"/>
  <c r="G123" i="27" l="1"/>
  <c r="G124" i="27" s="1"/>
  <c r="J75" i="27"/>
  <c r="J77" i="27" s="1"/>
  <c r="F123" i="27"/>
  <c r="F124" i="27" s="1"/>
  <c r="J127" i="27"/>
  <c r="J129" i="27" s="1"/>
  <c r="M123" i="27"/>
  <c r="M124" i="27" s="1"/>
  <c r="E123" i="27"/>
  <c r="E124" i="27" s="1"/>
  <c r="F423" i="37"/>
  <c r="D71" i="27"/>
  <c r="H75" i="27"/>
  <c r="H77" i="27" s="1"/>
  <c r="L123" i="27"/>
  <c r="L124" i="27" s="1"/>
  <c r="D123" i="27"/>
  <c r="D124" i="27" s="1"/>
  <c r="H127" i="27"/>
  <c r="H129" i="27" s="1"/>
  <c r="P45" i="37"/>
  <c r="G75" i="27"/>
  <c r="G77" i="27" s="1"/>
  <c r="K123" i="27"/>
  <c r="K124" i="27" s="1"/>
  <c r="G127" i="27"/>
  <c r="G129" i="27" s="1"/>
  <c r="F75" i="27"/>
  <c r="F77" i="27" s="1"/>
  <c r="J123" i="27"/>
  <c r="J124" i="27" s="1"/>
  <c r="F127" i="27"/>
  <c r="F129" i="27" s="1"/>
  <c r="M75" i="27"/>
  <c r="M77" i="27" s="1"/>
  <c r="E75" i="27"/>
  <c r="E77" i="27" s="1"/>
  <c r="I123" i="27"/>
  <c r="I124" i="27" s="1"/>
  <c r="M127" i="27"/>
  <c r="M129" i="27" s="1"/>
  <c r="E127" i="27"/>
  <c r="J53" i="14"/>
  <c r="L75" i="27"/>
  <c r="L77" i="27" s="1"/>
  <c r="D75" i="27"/>
  <c r="D77" i="27" s="1"/>
  <c r="H123" i="27"/>
  <c r="H124" i="27" s="1"/>
  <c r="L127" i="27"/>
  <c r="L129" i="27" s="1"/>
  <c r="D127" i="27"/>
  <c r="D129" i="27" s="1"/>
  <c r="AF20" i="18"/>
  <c r="AE20" i="18"/>
  <c r="AD20" i="18"/>
  <c r="S20" i="18"/>
  <c r="AD24" i="18"/>
  <c r="S24" i="18"/>
  <c r="AE24" i="18"/>
  <c r="AF24" i="18"/>
  <c r="S19" i="41"/>
  <c r="S23" i="41"/>
  <c r="AF28" i="18"/>
  <c r="J42" i="14"/>
  <c r="M76" i="20" s="1"/>
  <c r="J76" i="20" s="1"/>
  <c r="N73" i="20"/>
  <c r="H51" i="20"/>
  <c r="E51" i="20"/>
  <c r="U51" i="20" s="1"/>
  <c r="H35" i="20"/>
  <c r="E35" i="20"/>
  <c r="U35" i="20" s="1"/>
  <c r="H52" i="20"/>
  <c r="E52" i="20"/>
  <c r="U52" i="20" s="1"/>
  <c r="J41" i="14"/>
  <c r="M75" i="20" s="1"/>
  <c r="N75" i="20"/>
  <c r="N72" i="20"/>
  <c r="J72" i="20" s="1"/>
  <c r="H71" i="20"/>
  <c r="E71" i="20"/>
  <c r="U71" i="20" s="1"/>
  <c r="N51" i="20"/>
  <c r="J51" i="20" s="1"/>
  <c r="F36" i="14"/>
  <c r="M32" i="20" s="1"/>
  <c r="N32" i="20"/>
  <c r="Q32" i="20" s="1"/>
  <c r="H36" i="14"/>
  <c r="M49" i="20" s="1"/>
  <c r="N49" i="20"/>
  <c r="Q49" i="20" s="1"/>
  <c r="N34" i="20"/>
  <c r="J34" i="20" s="1"/>
  <c r="H72" i="20"/>
  <c r="E72" i="20"/>
  <c r="U72" i="20" s="1"/>
  <c r="N52" i="20"/>
  <c r="J52" i="20" s="1"/>
  <c r="H73" i="20"/>
  <c r="E73" i="20"/>
  <c r="U73" i="20" s="1"/>
  <c r="N35" i="20"/>
  <c r="J35" i="20" s="1"/>
  <c r="H34" i="20"/>
  <c r="E34" i="20"/>
  <c r="U34" i="20" s="1"/>
  <c r="H41" i="14"/>
  <c r="F49" i="5"/>
  <c r="F200" i="1"/>
  <c r="O127" i="27"/>
  <c r="G108" i="27"/>
  <c r="E129" i="27"/>
  <c r="I108" i="27"/>
  <c r="I110" i="27" s="1"/>
  <c r="O109" i="27"/>
  <c r="G110" i="27"/>
  <c r="H108" i="27"/>
  <c r="J108" i="27"/>
  <c r="O106" i="27"/>
  <c r="C108" i="27"/>
  <c r="K108" i="27"/>
  <c r="D108" i="27"/>
  <c r="L108" i="27"/>
  <c r="E108" i="27"/>
  <c r="M108" i="27"/>
  <c r="O123" i="27"/>
  <c r="E47" i="5" s="1"/>
  <c r="O107" i="27"/>
  <c r="F108" i="27"/>
  <c r="N108" i="27"/>
  <c r="P179" i="37"/>
  <c r="P43" i="37"/>
  <c r="F47" i="5" s="1"/>
  <c r="O41" i="37"/>
  <c r="P41" i="37"/>
  <c r="F25" i="5" s="1"/>
  <c r="F27" i="5" s="1"/>
  <c r="F25" i="1" s="1"/>
  <c r="J56" i="27"/>
  <c r="O43" i="37"/>
  <c r="P337" i="37"/>
  <c r="P335" i="37"/>
  <c r="P339" i="37"/>
  <c r="P43" i="6" s="1"/>
  <c r="O45" i="37"/>
  <c r="P209" i="37"/>
  <c r="H56" i="27"/>
  <c r="G56" i="27"/>
  <c r="P134" i="37"/>
  <c r="F56" i="27"/>
  <c r="O57" i="27"/>
  <c r="D28" i="5" s="1"/>
  <c r="D30" i="5" s="1"/>
  <c r="N56" i="27"/>
  <c r="O55" i="27"/>
  <c r="I56" i="27"/>
  <c r="O54" i="27"/>
  <c r="C56" i="27"/>
  <c r="K56" i="27"/>
  <c r="D56" i="27"/>
  <c r="L56" i="27"/>
  <c r="E56" i="27"/>
  <c r="M56" i="27"/>
  <c r="J102" i="14"/>
  <c r="H200" i="1"/>
  <c r="H187" i="1"/>
  <c r="F195" i="1"/>
  <c r="F142" i="1"/>
  <c r="J27" i="14"/>
  <c r="J37" i="14" s="1"/>
  <c r="G36" i="6"/>
  <c r="J48" i="1"/>
  <c r="J56" i="14" s="1"/>
  <c r="J64" i="14" s="1"/>
  <c r="G58" i="27" l="1"/>
  <c r="G60" i="27"/>
  <c r="G61" i="27"/>
  <c r="M58" i="27"/>
  <c r="M60" i="27"/>
  <c r="M61" i="27"/>
  <c r="H58" i="27"/>
  <c r="H61" i="27"/>
  <c r="H60" i="27"/>
  <c r="M110" i="27"/>
  <c r="M112" i="27"/>
  <c r="M113" i="27"/>
  <c r="H110" i="27"/>
  <c r="H112" i="27"/>
  <c r="H113" i="27"/>
  <c r="L58" i="27"/>
  <c r="L60" i="27"/>
  <c r="L61" i="27"/>
  <c r="N58" i="27"/>
  <c r="N61" i="27"/>
  <c r="N60" i="27"/>
  <c r="L110" i="27"/>
  <c r="L113" i="27"/>
  <c r="L112" i="27"/>
  <c r="P123" i="27"/>
  <c r="J58" i="27"/>
  <c r="J61" i="27"/>
  <c r="J60" i="27"/>
  <c r="D58" i="27"/>
  <c r="D60" i="27"/>
  <c r="D61" i="27"/>
  <c r="D110" i="27"/>
  <c r="O110" i="27" s="1"/>
  <c r="P110" i="27" s="1"/>
  <c r="D112" i="27"/>
  <c r="D113" i="27"/>
  <c r="E58" i="27"/>
  <c r="E60" i="27"/>
  <c r="E61" i="27"/>
  <c r="K58" i="27"/>
  <c r="K60" i="27"/>
  <c r="K61" i="27"/>
  <c r="N110" i="27"/>
  <c r="N113" i="27"/>
  <c r="N112" i="27"/>
  <c r="K110" i="27"/>
  <c r="K113" i="27"/>
  <c r="K112" i="27"/>
  <c r="I112" i="27"/>
  <c r="I113" i="27"/>
  <c r="I58" i="27"/>
  <c r="I61" i="27"/>
  <c r="I60" i="27"/>
  <c r="O129" i="27"/>
  <c r="P129" i="27" s="1"/>
  <c r="G47" i="5"/>
  <c r="O75" i="27"/>
  <c r="F58" i="27"/>
  <c r="F60" i="27"/>
  <c r="F61" i="27"/>
  <c r="C58" i="27"/>
  <c r="C60" i="27"/>
  <c r="C64" i="27" s="1"/>
  <c r="C61" i="27"/>
  <c r="C65" i="27" s="1"/>
  <c r="F110" i="27"/>
  <c r="F112" i="27"/>
  <c r="F113" i="27"/>
  <c r="C110" i="27"/>
  <c r="C113" i="27"/>
  <c r="C112" i="27"/>
  <c r="C116" i="27" s="1"/>
  <c r="G423" i="37"/>
  <c r="E71" i="27"/>
  <c r="J110" i="27"/>
  <c r="J113" i="27"/>
  <c r="J112" i="27"/>
  <c r="E110" i="27"/>
  <c r="E112" i="27"/>
  <c r="E113" i="27"/>
  <c r="G112" i="27"/>
  <c r="G113" i="27"/>
  <c r="J32" i="20"/>
  <c r="R32" i="20" s="1"/>
  <c r="J75" i="20"/>
  <c r="S75" i="20" s="1"/>
  <c r="R34" i="20"/>
  <c r="V34" i="20"/>
  <c r="L34" i="20"/>
  <c r="M34" i="20" s="1"/>
  <c r="Q34" i="20" s="1"/>
  <c r="S76" i="20"/>
  <c r="R76" i="20"/>
  <c r="N71" i="20"/>
  <c r="J49" i="20"/>
  <c r="S49" i="20" s="1"/>
  <c r="V52" i="20"/>
  <c r="R52" i="20"/>
  <c r="L52" i="20"/>
  <c r="S52" i="20" s="1"/>
  <c r="R35" i="20"/>
  <c r="V35" i="20"/>
  <c r="L35" i="20"/>
  <c r="S35" i="20" s="1"/>
  <c r="R72" i="20"/>
  <c r="V72" i="20"/>
  <c r="R73" i="20"/>
  <c r="V73" i="20"/>
  <c r="S73" i="20"/>
  <c r="L51" i="20"/>
  <c r="M51" i="20" s="1"/>
  <c r="V51" i="20"/>
  <c r="R51" i="20"/>
  <c r="F21" i="1"/>
  <c r="F44" i="1" s="1"/>
  <c r="F54" i="14" s="1"/>
  <c r="O77" i="27"/>
  <c r="G25" i="5"/>
  <c r="G27" i="5" s="1"/>
  <c r="F119" i="1" s="1"/>
  <c r="F172" i="1" s="1"/>
  <c r="F72" i="14" s="1"/>
  <c r="O108" i="27"/>
  <c r="O124" i="27"/>
  <c r="O56" i="27"/>
  <c r="O58" i="27"/>
  <c r="P58" i="27" s="1"/>
  <c r="H195" i="1"/>
  <c r="S32" i="20" l="1"/>
  <c r="R75" i="20"/>
  <c r="H423" i="37"/>
  <c r="F71" i="27"/>
  <c r="W34" i="20"/>
  <c r="S34" i="20"/>
  <c r="S51" i="20"/>
  <c r="R49" i="20"/>
  <c r="Q51" i="20"/>
  <c r="W51" i="20"/>
  <c r="M35" i="20"/>
  <c r="Q35" i="20" s="1"/>
  <c r="J71" i="20"/>
  <c r="M73" i="20"/>
  <c r="Q73" i="20" s="1"/>
  <c r="M52" i="20"/>
  <c r="I423" i="37" l="1"/>
  <c r="G71" i="27"/>
  <c r="W35" i="20"/>
  <c r="Q81" i="20"/>
  <c r="R81" i="20"/>
  <c r="V71" i="20"/>
  <c r="R71" i="20"/>
  <c r="Q52" i="20"/>
  <c r="W52" i="20"/>
  <c r="W73" i="20"/>
  <c r="J423" i="37" l="1"/>
  <c r="H71" i="27"/>
  <c r="O21" i="32"/>
  <c r="K423" i="37" l="1"/>
  <c r="I71" i="27"/>
  <c r="L423" i="37" l="1"/>
  <c r="J71" i="27"/>
  <c r="V77" i="9"/>
  <c r="M423" i="37" l="1"/>
  <c r="K71" i="27"/>
  <c r="AL1" i="9"/>
  <c r="AK1" i="9"/>
  <c r="AL87" i="9" l="1"/>
  <c r="AL57" i="9"/>
  <c r="AL34" i="9"/>
  <c r="AL35" i="9" s="1"/>
  <c r="AL26" i="9"/>
  <c r="N423" i="37"/>
  <c r="L71" i="27"/>
  <c r="AL139" i="9"/>
  <c r="AL138" i="9"/>
  <c r="O423" i="37" l="1"/>
  <c r="N71" i="27" s="1"/>
  <c r="O71" i="27" s="1"/>
  <c r="M71" i="27"/>
  <c r="E25" i="5" l="1"/>
  <c r="P71" i="27"/>
  <c r="T74" i="9" l="1"/>
  <c r="BF2" i="9" l="1"/>
  <c r="BE150" i="9" l="1"/>
  <c r="BF150" i="9" s="1"/>
  <c r="G75" i="10"/>
  <c r="G53" i="10" l="1"/>
  <c r="G54" i="10"/>
  <c r="G55" i="10"/>
  <c r="G56" i="10"/>
  <c r="G57" i="10"/>
  <c r="G58" i="10"/>
  <c r="G59" i="10"/>
  <c r="G60" i="10"/>
  <c r="G61" i="10"/>
  <c r="G62" i="10"/>
  <c r="G63" i="10"/>
  <c r="G64" i="10"/>
  <c r="G65" i="10"/>
  <c r="G66" i="10"/>
  <c r="G67" i="10"/>
  <c r="G68" i="10"/>
  <c r="G69" i="10"/>
  <c r="G70" i="10"/>
  <c r="G71" i="10"/>
  <c r="G72" i="10"/>
  <c r="G73" i="10"/>
  <c r="G74" i="10"/>
  <c r="G76" i="10"/>
  <c r="G77" i="10"/>
  <c r="G78" i="10"/>
  <c r="G79" i="10"/>
  <c r="G80" i="10"/>
  <c r="G81" i="10"/>
  <c r="G82" i="10"/>
  <c r="G83" i="10"/>
  <c r="G84" i="10"/>
  <c r="G85" i="10"/>
  <c r="G86" i="10"/>
  <c r="G87" i="10"/>
  <c r="G88" i="10"/>
  <c r="G89" i="10"/>
  <c r="G90" i="10"/>
  <c r="G91" i="10"/>
  <c r="G92" i="10"/>
  <c r="G93" i="10"/>
  <c r="G52" i="10"/>
  <c r="Q45" i="10"/>
  <c r="G38" i="10"/>
  <c r="G39" i="10"/>
  <c r="G40" i="10"/>
  <c r="G41" i="10"/>
  <c r="G42" i="10"/>
  <c r="G43" i="10"/>
  <c r="G44" i="10"/>
  <c r="G45" i="10"/>
  <c r="G46" i="10"/>
  <c r="G47" i="10"/>
  <c r="G48" i="10"/>
  <c r="G49" i="10"/>
  <c r="G37" i="10"/>
  <c r="G36" i="10"/>
  <c r="G25" i="10" l="1"/>
  <c r="G23" i="10"/>
  <c r="G20" i="10"/>
  <c r="T47" i="9" l="1"/>
  <c r="T44" i="9"/>
  <c r="BE77" i="9" l="1"/>
  <c r="BI77" i="9" s="1"/>
  <c r="G99" i="9"/>
  <c r="E131" i="9" l="1"/>
  <c r="E136" i="9" s="1"/>
  <c r="G104" i="9"/>
  <c r="G105" i="9"/>
  <c r="G106" i="9"/>
  <c r="G107" i="9"/>
  <c r="G108" i="9"/>
  <c r="G109" i="9"/>
  <c r="G110" i="9"/>
  <c r="G111" i="9"/>
  <c r="G112" i="9"/>
  <c r="G113" i="9"/>
  <c r="G114" i="9"/>
  <c r="G115" i="9"/>
  <c r="G116" i="9"/>
  <c r="G117" i="9"/>
  <c r="G118" i="9"/>
  <c r="G119" i="9"/>
  <c r="G120" i="9"/>
  <c r="G121" i="9"/>
  <c r="G122" i="9"/>
  <c r="G123" i="9"/>
  <c r="G124" i="9"/>
  <c r="G125" i="9"/>
  <c r="E86" i="9"/>
  <c r="E85" i="9"/>
  <c r="E82" i="9"/>
  <c r="E74" i="9"/>
  <c r="E73" i="9"/>
  <c r="E72" i="9"/>
  <c r="E53" i="9"/>
  <c r="E52" i="9"/>
  <c r="E51" i="9"/>
  <c r="E29" i="9"/>
  <c r="E28" i="9"/>
  <c r="E27" i="9"/>
  <c r="B145" i="6" l="1"/>
  <c r="B146" i="6"/>
  <c r="B147" i="6"/>
  <c r="B148" i="6"/>
  <c r="B149" i="6"/>
  <c r="B150" i="6"/>
  <c r="B151" i="6"/>
  <c r="B152" i="6"/>
  <c r="B153" i="6"/>
  <c r="B154" i="6"/>
  <c r="B155" i="6"/>
  <c r="B156" i="6"/>
  <c r="B157" i="6"/>
  <c r="B158" i="6"/>
  <c r="B159" i="6"/>
  <c r="B160" i="6"/>
  <c r="B161" i="6"/>
  <c r="B162" i="6"/>
  <c r="B163" i="6"/>
  <c r="B164" i="6"/>
  <c r="B165" i="6"/>
  <c r="B166" i="6"/>
  <c r="B144" i="6"/>
  <c r="D95" i="6"/>
  <c r="D165" i="6" s="1"/>
  <c r="E95" i="6"/>
  <c r="E165" i="6" s="1"/>
  <c r="F95" i="6"/>
  <c r="F165" i="6" s="1"/>
  <c r="G95" i="6"/>
  <c r="G165" i="6" s="1"/>
  <c r="H95" i="6"/>
  <c r="H165" i="6" s="1"/>
  <c r="I95" i="6"/>
  <c r="I165" i="6" s="1"/>
  <c r="J95" i="6"/>
  <c r="J165" i="6" s="1"/>
  <c r="K95" i="6"/>
  <c r="K165" i="6" s="1"/>
  <c r="L95" i="6"/>
  <c r="L165" i="6" s="1"/>
  <c r="M95" i="6"/>
  <c r="M165" i="6" s="1"/>
  <c r="N95" i="6"/>
  <c r="N165" i="6" s="1"/>
  <c r="O95" i="6"/>
  <c r="O165" i="6" s="1"/>
  <c r="D96" i="6"/>
  <c r="D166" i="6" s="1"/>
  <c r="E96" i="6"/>
  <c r="E166" i="6" s="1"/>
  <c r="F96" i="6"/>
  <c r="F166" i="6" s="1"/>
  <c r="G96" i="6"/>
  <c r="G166" i="6" s="1"/>
  <c r="H96" i="6"/>
  <c r="H166" i="6" s="1"/>
  <c r="I96" i="6"/>
  <c r="I166" i="6" s="1"/>
  <c r="J96" i="6"/>
  <c r="J166" i="6" s="1"/>
  <c r="K96" i="6"/>
  <c r="K166" i="6" s="1"/>
  <c r="L96" i="6"/>
  <c r="L166" i="6" s="1"/>
  <c r="M96" i="6"/>
  <c r="M166" i="6" s="1"/>
  <c r="N96" i="6"/>
  <c r="N166" i="6" s="1"/>
  <c r="O96" i="6"/>
  <c r="O166" i="6" s="1"/>
  <c r="B75" i="6"/>
  <c r="B76" i="6"/>
  <c r="B77" i="6"/>
  <c r="B78" i="6"/>
  <c r="B79" i="6"/>
  <c r="B80" i="6"/>
  <c r="B81" i="6"/>
  <c r="B82" i="6"/>
  <c r="B83" i="6"/>
  <c r="B84" i="6"/>
  <c r="B85" i="6"/>
  <c r="B86" i="6"/>
  <c r="B87" i="6"/>
  <c r="B88" i="6"/>
  <c r="B89" i="6"/>
  <c r="B90" i="6"/>
  <c r="B91" i="6"/>
  <c r="B92" i="6"/>
  <c r="B93" i="6"/>
  <c r="B94" i="6"/>
  <c r="B95" i="6"/>
  <c r="B96" i="6"/>
  <c r="Q68" i="6"/>
  <c r="Q69" i="6"/>
  <c r="P68" i="6"/>
  <c r="P69" i="6"/>
  <c r="E70" i="6"/>
  <c r="E110" i="6" s="1"/>
  <c r="F70" i="6"/>
  <c r="F110" i="6" s="1"/>
  <c r="G70" i="6"/>
  <c r="G110" i="6" s="1"/>
  <c r="H70" i="6"/>
  <c r="H110" i="6" s="1"/>
  <c r="I70" i="6"/>
  <c r="I105" i="6" s="1"/>
  <c r="J70" i="6"/>
  <c r="J105" i="6" s="1"/>
  <c r="K70" i="6"/>
  <c r="K110" i="6" s="1"/>
  <c r="L70" i="6"/>
  <c r="L110" i="6" s="1"/>
  <c r="M70" i="6"/>
  <c r="M110" i="6" s="1"/>
  <c r="N70" i="6"/>
  <c r="N110" i="6" s="1"/>
  <c r="O70" i="6"/>
  <c r="O110" i="6" s="1"/>
  <c r="D70" i="6"/>
  <c r="D105" i="6" s="1"/>
  <c r="B48" i="6"/>
  <c r="B49" i="6"/>
  <c r="B50" i="6"/>
  <c r="B51" i="6"/>
  <c r="B52" i="6"/>
  <c r="B53" i="6"/>
  <c r="B54" i="6"/>
  <c r="B55" i="6"/>
  <c r="B56" i="6"/>
  <c r="B57" i="6"/>
  <c r="B58" i="6"/>
  <c r="B59" i="6"/>
  <c r="B60" i="6"/>
  <c r="B61" i="6"/>
  <c r="B62" i="6"/>
  <c r="B63" i="6"/>
  <c r="B64" i="6"/>
  <c r="B65" i="6"/>
  <c r="B66" i="6"/>
  <c r="B67" i="6"/>
  <c r="B68" i="6"/>
  <c r="B69" i="6"/>
  <c r="B47" i="6"/>
  <c r="E27" i="6"/>
  <c r="F27" i="6"/>
  <c r="G27" i="6"/>
  <c r="G37" i="6" s="1"/>
  <c r="H27" i="6"/>
  <c r="I27" i="6"/>
  <c r="J27" i="6"/>
  <c r="K27" i="6"/>
  <c r="L27" i="6"/>
  <c r="M27" i="6"/>
  <c r="N27" i="6"/>
  <c r="O27" i="6"/>
  <c r="D27" i="6"/>
  <c r="Q26" i="6"/>
  <c r="P26" i="6"/>
  <c r="Q25" i="6"/>
  <c r="P25" i="6"/>
  <c r="D110" i="6" l="1"/>
  <c r="O105" i="6"/>
  <c r="L105" i="6"/>
  <c r="K105" i="6"/>
  <c r="H105" i="6"/>
  <c r="G105" i="6"/>
  <c r="N105" i="6"/>
  <c r="F105" i="6"/>
  <c r="M105" i="6"/>
  <c r="E105" i="6"/>
  <c r="J110" i="6"/>
  <c r="I110" i="6"/>
  <c r="P95" i="6"/>
  <c r="P96" i="6"/>
  <c r="R26" i="6"/>
  <c r="S26" i="6" s="1"/>
  <c r="R25" i="6"/>
  <c r="S25" i="6" s="1"/>
  <c r="D151" i="27"/>
  <c r="E151" i="27"/>
  <c r="F151" i="27"/>
  <c r="G151" i="27"/>
  <c r="H151" i="27"/>
  <c r="I151" i="27"/>
  <c r="J151" i="27"/>
  <c r="K151" i="27"/>
  <c r="L151" i="27"/>
  <c r="M151" i="27"/>
  <c r="N151" i="27"/>
  <c r="C151" i="27"/>
  <c r="D49" i="27"/>
  <c r="E49" i="27"/>
  <c r="F49" i="27"/>
  <c r="G49" i="27"/>
  <c r="H49" i="27"/>
  <c r="I49" i="27"/>
  <c r="J49" i="27"/>
  <c r="K49" i="27"/>
  <c r="L49" i="27"/>
  <c r="M49" i="27"/>
  <c r="N49" i="27"/>
  <c r="C49" i="27"/>
  <c r="D101" i="27"/>
  <c r="E101" i="27"/>
  <c r="F101" i="27"/>
  <c r="G101" i="27"/>
  <c r="H101" i="27"/>
  <c r="I101" i="27"/>
  <c r="J101" i="27"/>
  <c r="K101" i="27"/>
  <c r="L101" i="27"/>
  <c r="M101" i="27"/>
  <c r="N101" i="27"/>
  <c r="C101" i="27"/>
  <c r="D97" i="27"/>
  <c r="E97" i="27"/>
  <c r="F97" i="27"/>
  <c r="G97" i="27"/>
  <c r="H97" i="27"/>
  <c r="I97" i="27"/>
  <c r="J97" i="27"/>
  <c r="K97" i="27"/>
  <c r="L97" i="27"/>
  <c r="M97" i="27"/>
  <c r="N97" i="27"/>
  <c r="C97" i="27"/>
  <c r="D45" i="27"/>
  <c r="E45" i="27"/>
  <c r="F45" i="27"/>
  <c r="G45" i="27"/>
  <c r="H45" i="27"/>
  <c r="I45" i="27"/>
  <c r="J45" i="27"/>
  <c r="K45" i="27"/>
  <c r="L45" i="27"/>
  <c r="M45" i="27"/>
  <c r="N45" i="27"/>
  <c r="E472" i="37"/>
  <c r="F472" i="37" s="1"/>
  <c r="G472" i="37" s="1"/>
  <c r="H472" i="37" s="1"/>
  <c r="I472" i="37" s="1"/>
  <c r="J472" i="37" s="1"/>
  <c r="K472" i="37" s="1"/>
  <c r="L472" i="37" s="1"/>
  <c r="M472" i="37" s="1"/>
  <c r="N472" i="37" s="1"/>
  <c r="O472" i="37" s="1"/>
  <c r="P471" i="37"/>
  <c r="E469" i="37"/>
  <c r="F469" i="37" s="1"/>
  <c r="G469" i="37" s="1"/>
  <c r="H469" i="37" s="1"/>
  <c r="I469" i="37" s="1"/>
  <c r="J469" i="37" s="1"/>
  <c r="K469" i="37" s="1"/>
  <c r="L469" i="37" s="1"/>
  <c r="M469" i="37" s="1"/>
  <c r="N469" i="37" s="1"/>
  <c r="O469" i="37" s="1"/>
  <c r="P468" i="37"/>
  <c r="E466" i="37"/>
  <c r="F466" i="37" s="1"/>
  <c r="G466" i="37" s="1"/>
  <c r="H466" i="37" s="1"/>
  <c r="I466" i="37" s="1"/>
  <c r="J466" i="37" s="1"/>
  <c r="K466" i="37" s="1"/>
  <c r="L466" i="37" s="1"/>
  <c r="M466" i="37" s="1"/>
  <c r="N466" i="37" s="1"/>
  <c r="O466" i="37" s="1"/>
  <c r="P465" i="37"/>
  <c r="E454" i="37"/>
  <c r="E453" i="37"/>
  <c r="F453" i="37" s="1"/>
  <c r="G453" i="37" s="1"/>
  <c r="H453" i="37" s="1"/>
  <c r="I453" i="37" s="1"/>
  <c r="J453" i="37" s="1"/>
  <c r="K453" i="37" s="1"/>
  <c r="L453" i="37" s="1"/>
  <c r="M453" i="37" s="1"/>
  <c r="N453" i="37" s="1"/>
  <c r="O453" i="37" s="1"/>
  <c r="E452" i="37"/>
  <c r="F452" i="37" s="1"/>
  <c r="G452" i="37" s="1"/>
  <c r="H452" i="37" s="1"/>
  <c r="I452" i="37" s="1"/>
  <c r="J452" i="37" s="1"/>
  <c r="K452" i="37" s="1"/>
  <c r="L452" i="37" s="1"/>
  <c r="M452" i="37" s="1"/>
  <c r="N452" i="37" s="1"/>
  <c r="O452" i="37" s="1"/>
  <c r="E451" i="37"/>
  <c r="F451" i="37" s="1"/>
  <c r="G451" i="37" s="1"/>
  <c r="H451" i="37" s="1"/>
  <c r="I451" i="37" s="1"/>
  <c r="J451" i="37" s="1"/>
  <c r="K451" i="37" s="1"/>
  <c r="L451" i="37" s="1"/>
  <c r="M451" i="37" s="1"/>
  <c r="N451" i="37" s="1"/>
  <c r="O451" i="37" s="1"/>
  <c r="P450" i="37"/>
  <c r="P77" i="27" s="1"/>
  <c r="P449" i="37"/>
  <c r="P448" i="37"/>
  <c r="P447" i="37"/>
  <c r="E438" i="37"/>
  <c r="F438" i="37" s="1"/>
  <c r="G438" i="37" s="1"/>
  <c r="H438" i="37" s="1"/>
  <c r="I438" i="37" s="1"/>
  <c r="J438" i="37" s="1"/>
  <c r="K438" i="37" s="1"/>
  <c r="L438" i="37" s="1"/>
  <c r="M438" i="37" s="1"/>
  <c r="N438" i="37" s="1"/>
  <c r="O438" i="37" s="1"/>
  <c r="E437" i="37"/>
  <c r="F437" i="37" s="1"/>
  <c r="G437" i="37" s="1"/>
  <c r="H437" i="37" s="1"/>
  <c r="I437" i="37" s="1"/>
  <c r="J437" i="37" s="1"/>
  <c r="K437" i="37" s="1"/>
  <c r="L437" i="37" s="1"/>
  <c r="M437" i="37" s="1"/>
  <c r="N437" i="37" s="1"/>
  <c r="O437" i="37" s="1"/>
  <c r="E436" i="37"/>
  <c r="F436" i="37" s="1"/>
  <c r="G436" i="37" s="1"/>
  <c r="H436" i="37" s="1"/>
  <c r="I436" i="37" s="1"/>
  <c r="J436" i="37" s="1"/>
  <c r="K436" i="37" s="1"/>
  <c r="L436" i="37" s="1"/>
  <c r="M436" i="37" s="1"/>
  <c r="N436" i="37" s="1"/>
  <c r="O436" i="37" s="1"/>
  <c r="P435" i="37"/>
  <c r="P434" i="37"/>
  <c r="P433" i="37"/>
  <c r="E431" i="37"/>
  <c r="F431" i="37" s="1"/>
  <c r="G431" i="37" s="1"/>
  <c r="H431" i="37" s="1"/>
  <c r="I431" i="37" s="1"/>
  <c r="J431" i="37" s="1"/>
  <c r="K431" i="37" s="1"/>
  <c r="L431" i="37" s="1"/>
  <c r="M431" i="37" s="1"/>
  <c r="N431" i="37" s="1"/>
  <c r="O431" i="37" s="1"/>
  <c r="E430" i="37"/>
  <c r="F430" i="37" s="1"/>
  <c r="G430" i="37" s="1"/>
  <c r="H430" i="37" s="1"/>
  <c r="I430" i="37" s="1"/>
  <c r="J430" i="37" s="1"/>
  <c r="K430" i="37" s="1"/>
  <c r="L430" i="37" s="1"/>
  <c r="M430" i="37" s="1"/>
  <c r="N430" i="37" s="1"/>
  <c r="O430" i="37" s="1"/>
  <c r="E429" i="37"/>
  <c r="F429" i="37" s="1"/>
  <c r="G429" i="37" s="1"/>
  <c r="H429" i="37" s="1"/>
  <c r="I429" i="37" s="1"/>
  <c r="J429" i="37" s="1"/>
  <c r="K429" i="37" s="1"/>
  <c r="L429" i="37" s="1"/>
  <c r="M429" i="37" s="1"/>
  <c r="N429" i="37" s="1"/>
  <c r="O429" i="37" s="1"/>
  <c r="P428" i="37"/>
  <c r="P427" i="37"/>
  <c r="P426" i="37"/>
  <c r="E419" i="37"/>
  <c r="F419" i="37" s="1"/>
  <c r="G419" i="37" s="1"/>
  <c r="H419" i="37" s="1"/>
  <c r="I419" i="37" s="1"/>
  <c r="J419" i="37" s="1"/>
  <c r="K419" i="37" s="1"/>
  <c r="L419" i="37" s="1"/>
  <c r="M419" i="37" s="1"/>
  <c r="N419" i="37" s="1"/>
  <c r="O419" i="37" s="1"/>
  <c r="E418" i="37"/>
  <c r="F418" i="37" s="1"/>
  <c r="G418" i="37" s="1"/>
  <c r="H418" i="37" s="1"/>
  <c r="I418" i="37" s="1"/>
  <c r="J418" i="37" s="1"/>
  <c r="K418" i="37" s="1"/>
  <c r="L418" i="37" s="1"/>
  <c r="M418" i="37" s="1"/>
  <c r="N418" i="37" s="1"/>
  <c r="O418" i="37" s="1"/>
  <c r="P417" i="37"/>
  <c r="P416" i="37"/>
  <c r="E414" i="37"/>
  <c r="F414" i="37" s="1"/>
  <c r="G414" i="37" s="1"/>
  <c r="H414" i="37" s="1"/>
  <c r="I414" i="37" s="1"/>
  <c r="J414" i="37" s="1"/>
  <c r="K414" i="37" s="1"/>
  <c r="L414" i="37" s="1"/>
  <c r="M414" i="37" s="1"/>
  <c r="N414" i="37" s="1"/>
  <c r="O414" i="37" s="1"/>
  <c r="E413" i="37"/>
  <c r="F413" i="37" s="1"/>
  <c r="G413" i="37" s="1"/>
  <c r="H413" i="37" s="1"/>
  <c r="I413" i="37" s="1"/>
  <c r="J413" i="37" s="1"/>
  <c r="K413" i="37" s="1"/>
  <c r="L413" i="37" s="1"/>
  <c r="M413" i="37" s="1"/>
  <c r="N413" i="37" s="1"/>
  <c r="O413" i="37" s="1"/>
  <c r="P412" i="37"/>
  <c r="P411" i="37"/>
  <c r="G120" i="1" l="1"/>
  <c r="F454" i="37"/>
  <c r="E379" i="37"/>
  <c r="F379" i="37"/>
  <c r="G379" i="37"/>
  <c r="H379" i="37"/>
  <c r="I379" i="37"/>
  <c r="J379" i="37"/>
  <c r="K379" i="37"/>
  <c r="L379" i="37"/>
  <c r="M379" i="37"/>
  <c r="N379" i="37"/>
  <c r="O379" i="37"/>
  <c r="P379" i="37"/>
  <c r="D379" i="37"/>
  <c r="E382" i="37"/>
  <c r="F382" i="37"/>
  <c r="G382" i="37"/>
  <c r="H382" i="37"/>
  <c r="I382" i="37"/>
  <c r="J382" i="37"/>
  <c r="K382" i="37"/>
  <c r="L382" i="37"/>
  <c r="M382" i="37"/>
  <c r="N382" i="37"/>
  <c r="O382" i="37"/>
  <c r="E383" i="37"/>
  <c r="F383" i="37"/>
  <c r="G383" i="37"/>
  <c r="H383" i="37"/>
  <c r="I383" i="37"/>
  <c r="J383" i="37"/>
  <c r="K383" i="37"/>
  <c r="L383" i="37"/>
  <c r="M383" i="37"/>
  <c r="N383" i="37"/>
  <c r="O383" i="37"/>
  <c r="E385" i="37"/>
  <c r="F385" i="37"/>
  <c r="G385" i="37"/>
  <c r="H385" i="37"/>
  <c r="I385" i="37"/>
  <c r="J385" i="37"/>
  <c r="K385" i="37"/>
  <c r="L385" i="37"/>
  <c r="M385" i="37"/>
  <c r="N385" i="37"/>
  <c r="O385" i="37"/>
  <c r="E387" i="37"/>
  <c r="F387" i="37"/>
  <c r="G387" i="37"/>
  <c r="H387" i="37"/>
  <c r="I387" i="37"/>
  <c r="J387" i="37"/>
  <c r="K387" i="37"/>
  <c r="L387" i="37"/>
  <c r="M387" i="37"/>
  <c r="N387" i="37"/>
  <c r="O387" i="37"/>
  <c r="E389" i="37"/>
  <c r="F389" i="37"/>
  <c r="G389" i="37"/>
  <c r="H389" i="37"/>
  <c r="I389" i="37"/>
  <c r="J389" i="37"/>
  <c r="K389" i="37"/>
  <c r="L389" i="37"/>
  <c r="M389" i="37"/>
  <c r="N389" i="37"/>
  <c r="O389" i="37"/>
  <c r="D389" i="37"/>
  <c r="D385" i="37"/>
  <c r="D383" i="37"/>
  <c r="P382" i="37" l="1"/>
  <c r="P385" i="37"/>
  <c r="G134" i="1" s="1"/>
  <c r="G454" i="37"/>
  <c r="E72" i="27"/>
  <c r="P383" i="37"/>
  <c r="E134" i="1" s="1"/>
  <c r="D72" i="27"/>
  <c r="P387" i="37"/>
  <c r="I390" i="37"/>
  <c r="I391" i="37" s="1"/>
  <c r="G390" i="37"/>
  <c r="G391" i="37" s="1"/>
  <c r="O390" i="37"/>
  <c r="J390" i="37"/>
  <c r="J391" i="37" s="1"/>
  <c r="P389" i="37"/>
  <c r="D390" i="37"/>
  <c r="D391" i="37" s="1"/>
  <c r="H390" i="37"/>
  <c r="H391" i="37" s="1"/>
  <c r="K390" i="37"/>
  <c r="K391" i="37" s="1"/>
  <c r="N390" i="37"/>
  <c r="N391" i="37" s="1"/>
  <c r="F390" i="37"/>
  <c r="F391" i="37" s="1"/>
  <c r="M390" i="37"/>
  <c r="M391" i="37" s="1"/>
  <c r="E390" i="37"/>
  <c r="E391" i="37" s="1"/>
  <c r="L390" i="37"/>
  <c r="L391" i="37" s="1"/>
  <c r="P306" i="37"/>
  <c r="P307" i="37"/>
  <c r="P308" i="37"/>
  <c r="P309" i="37"/>
  <c r="P310" i="37"/>
  <c r="P311" i="37"/>
  <c r="P312" i="37"/>
  <c r="P304" i="37"/>
  <c r="P305" i="37"/>
  <c r="E313" i="37"/>
  <c r="F313" i="37"/>
  <c r="G313" i="37"/>
  <c r="H313" i="37"/>
  <c r="I313" i="37"/>
  <c r="J313" i="37"/>
  <c r="K313" i="37"/>
  <c r="L313" i="37"/>
  <c r="M313" i="37"/>
  <c r="N313" i="37"/>
  <c r="O313" i="37"/>
  <c r="D313" i="37"/>
  <c r="P295" i="37"/>
  <c r="P297" i="37"/>
  <c r="P298" i="37"/>
  <c r="P299" i="37"/>
  <c r="P300" i="37"/>
  <c r="P301" i="37"/>
  <c r="P302" i="37"/>
  <c r="P296" i="37"/>
  <c r="E303" i="37"/>
  <c r="F303" i="37"/>
  <c r="G303" i="37"/>
  <c r="H303" i="37"/>
  <c r="I303" i="37"/>
  <c r="J303" i="37"/>
  <c r="K303" i="37"/>
  <c r="L303" i="37"/>
  <c r="M303" i="37"/>
  <c r="N303" i="37"/>
  <c r="O303" i="37"/>
  <c r="D303" i="37"/>
  <c r="P286" i="37"/>
  <c r="P288" i="37"/>
  <c r="P289" i="37"/>
  <c r="P290" i="37"/>
  <c r="P291" i="37"/>
  <c r="P292" i="37"/>
  <c r="P293" i="37"/>
  <c r="P287" i="37"/>
  <c r="E294" i="37"/>
  <c r="F294" i="37"/>
  <c r="G294" i="37"/>
  <c r="H294" i="37"/>
  <c r="I294" i="37"/>
  <c r="J294" i="37"/>
  <c r="K294" i="37"/>
  <c r="L294" i="37"/>
  <c r="M294" i="37"/>
  <c r="N294" i="37"/>
  <c r="O294" i="37"/>
  <c r="D294" i="37"/>
  <c r="P279" i="37"/>
  <c r="P280" i="37"/>
  <c r="P281" i="37"/>
  <c r="P282" i="37"/>
  <c r="P283" i="37"/>
  <c r="P284" i="37"/>
  <c r="P277" i="37"/>
  <c r="P278" i="37"/>
  <c r="E285" i="37"/>
  <c r="F285" i="37"/>
  <c r="G285" i="37"/>
  <c r="H285" i="37"/>
  <c r="I285" i="37"/>
  <c r="J285" i="37"/>
  <c r="K285" i="37"/>
  <c r="L285" i="37"/>
  <c r="M285" i="37"/>
  <c r="N285" i="37"/>
  <c r="O285" i="37"/>
  <c r="D285" i="37"/>
  <c r="P268" i="37"/>
  <c r="P270" i="37"/>
  <c r="P271" i="37"/>
  <c r="P272" i="37"/>
  <c r="P273" i="37"/>
  <c r="P274" i="37"/>
  <c r="P275" i="37"/>
  <c r="P269" i="37"/>
  <c r="E276" i="37"/>
  <c r="F276" i="37"/>
  <c r="G276" i="37"/>
  <c r="H276" i="37"/>
  <c r="I276" i="37"/>
  <c r="J276" i="37"/>
  <c r="K276" i="37"/>
  <c r="L276" i="37"/>
  <c r="M276" i="37"/>
  <c r="N276" i="37"/>
  <c r="O276" i="37"/>
  <c r="D276" i="37"/>
  <c r="P260" i="37"/>
  <c r="P261" i="37"/>
  <c r="P262" i="37"/>
  <c r="P263" i="37"/>
  <c r="P264" i="37"/>
  <c r="P265" i="37"/>
  <c r="P266" i="37"/>
  <c r="P259" i="37"/>
  <c r="E267" i="37"/>
  <c r="F267" i="37"/>
  <c r="G267" i="37"/>
  <c r="H267" i="37"/>
  <c r="I267" i="37"/>
  <c r="J267" i="37"/>
  <c r="K267" i="37"/>
  <c r="L267" i="37"/>
  <c r="M267" i="37"/>
  <c r="N267" i="37"/>
  <c r="O267" i="37"/>
  <c r="D267" i="37"/>
  <c r="E258" i="37"/>
  <c r="F258" i="37"/>
  <c r="G258" i="37"/>
  <c r="H258" i="37"/>
  <c r="I258" i="37"/>
  <c r="J258" i="37"/>
  <c r="K258" i="37"/>
  <c r="L258" i="37"/>
  <c r="M258" i="37"/>
  <c r="N258" i="37"/>
  <c r="O258" i="37"/>
  <c r="D258" i="37"/>
  <c r="P252" i="37"/>
  <c r="P253" i="37"/>
  <c r="P254" i="37"/>
  <c r="P255" i="37"/>
  <c r="P256" i="37"/>
  <c r="P257" i="37"/>
  <c r="P250" i="37"/>
  <c r="P251" i="37"/>
  <c r="P237" i="37"/>
  <c r="E249" i="37"/>
  <c r="F249" i="37"/>
  <c r="G249" i="37"/>
  <c r="H249" i="37"/>
  <c r="I249" i="37"/>
  <c r="J249" i="37"/>
  <c r="K249" i="37"/>
  <c r="L249" i="37"/>
  <c r="M249" i="37"/>
  <c r="N249" i="37"/>
  <c r="O249" i="37"/>
  <c r="D249" i="37"/>
  <c r="P236" i="37"/>
  <c r="P238" i="37"/>
  <c r="P239" i="37"/>
  <c r="P240" i="37"/>
  <c r="P241" i="37"/>
  <c r="P242" i="37"/>
  <c r="P243" i="37"/>
  <c r="P244" i="37"/>
  <c r="P245" i="37"/>
  <c r="P246" i="37"/>
  <c r="P247" i="37"/>
  <c r="P248" i="37"/>
  <c r="E235" i="37"/>
  <c r="F235" i="37"/>
  <c r="G235" i="37"/>
  <c r="H235" i="37"/>
  <c r="I235" i="37"/>
  <c r="J235" i="37"/>
  <c r="K235" i="37"/>
  <c r="L235" i="37"/>
  <c r="M235" i="37"/>
  <c r="N235" i="37"/>
  <c r="O235" i="37"/>
  <c r="D235" i="37"/>
  <c r="P222" i="37"/>
  <c r="P223" i="37"/>
  <c r="P225" i="37"/>
  <c r="P226" i="37"/>
  <c r="P227" i="37"/>
  <c r="P228" i="37"/>
  <c r="P229" i="37"/>
  <c r="P230" i="37"/>
  <c r="P231" i="37"/>
  <c r="P232" i="37"/>
  <c r="P233" i="37"/>
  <c r="P234" i="37"/>
  <c r="P224" i="37"/>
  <c r="P213" i="37"/>
  <c r="P214" i="37"/>
  <c r="P215" i="37"/>
  <c r="P216" i="37"/>
  <c r="P217" i="37"/>
  <c r="P218" i="37"/>
  <c r="P219" i="37"/>
  <c r="P220" i="37"/>
  <c r="P210" i="37"/>
  <c r="P211" i="37"/>
  <c r="P212" i="37"/>
  <c r="E221" i="37"/>
  <c r="F221" i="37"/>
  <c r="G221" i="37"/>
  <c r="H221" i="37"/>
  <c r="I221" i="37"/>
  <c r="J221" i="37"/>
  <c r="K221" i="37"/>
  <c r="L221" i="37"/>
  <c r="M221" i="37"/>
  <c r="N221" i="37"/>
  <c r="O221" i="37"/>
  <c r="D221" i="37"/>
  <c r="P180" i="37"/>
  <c r="P181" i="37"/>
  <c r="P183" i="37"/>
  <c r="P184" i="37"/>
  <c r="P185" i="37"/>
  <c r="P186" i="37"/>
  <c r="P187" i="37"/>
  <c r="P188" i="37"/>
  <c r="P189" i="37"/>
  <c r="P190" i="37"/>
  <c r="P191" i="37"/>
  <c r="P192" i="37"/>
  <c r="P193" i="37"/>
  <c r="P182" i="37"/>
  <c r="E194" i="37"/>
  <c r="F194" i="37"/>
  <c r="G194" i="37"/>
  <c r="H194" i="37"/>
  <c r="I194" i="37"/>
  <c r="J194" i="37"/>
  <c r="K194" i="37"/>
  <c r="L194" i="37"/>
  <c r="M194" i="37"/>
  <c r="N194" i="37"/>
  <c r="O194" i="37"/>
  <c r="D194" i="37"/>
  <c r="P153" i="37"/>
  <c r="P164" i="37" s="1"/>
  <c r="P152" i="37"/>
  <c r="E164" i="37"/>
  <c r="F164" i="37"/>
  <c r="G164" i="37"/>
  <c r="H164" i="37"/>
  <c r="I164" i="37"/>
  <c r="J164" i="37"/>
  <c r="K164" i="37"/>
  <c r="L164" i="37"/>
  <c r="M164" i="37"/>
  <c r="N164" i="37"/>
  <c r="O164" i="37"/>
  <c r="D164" i="37"/>
  <c r="E119" i="37"/>
  <c r="F119" i="37"/>
  <c r="G119" i="37"/>
  <c r="H119" i="37"/>
  <c r="I119" i="37"/>
  <c r="J119" i="37"/>
  <c r="K119" i="37"/>
  <c r="L119" i="37"/>
  <c r="M119" i="37"/>
  <c r="N119" i="37"/>
  <c r="O119" i="37"/>
  <c r="D119" i="37"/>
  <c r="P105" i="37"/>
  <c r="P106" i="37"/>
  <c r="P107" i="37"/>
  <c r="P109" i="37"/>
  <c r="P110" i="37"/>
  <c r="P111" i="37"/>
  <c r="P112" i="37"/>
  <c r="P113" i="37"/>
  <c r="P114" i="37"/>
  <c r="P115" i="37"/>
  <c r="P116" i="37"/>
  <c r="P117" i="37"/>
  <c r="P118" i="37"/>
  <c r="P108" i="37"/>
  <c r="P135" i="37"/>
  <c r="P136" i="37"/>
  <c r="P137" i="37"/>
  <c r="P139" i="37"/>
  <c r="P140" i="37"/>
  <c r="P141" i="37"/>
  <c r="P142" i="37"/>
  <c r="P143" i="37"/>
  <c r="P144" i="37"/>
  <c r="P145" i="37"/>
  <c r="P146" i="37"/>
  <c r="P147" i="37"/>
  <c r="P148" i="37"/>
  <c r="P138" i="37"/>
  <c r="E149" i="37"/>
  <c r="F149" i="37"/>
  <c r="G149" i="37"/>
  <c r="H149" i="37"/>
  <c r="I149" i="37"/>
  <c r="J149" i="37"/>
  <c r="K149" i="37"/>
  <c r="L149" i="37"/>
  <c r="M149" i="37"/>
  <c r="N149" i="37"/>
  <c r="O149" i="37"/>
  <c r="D149" i="37"/>
  <c r="E104" i="37"/>
  <c r="F104" i="37"/>
  <c r="G104" i="37"/>
  <c r="H104" i="37"/>
  <c r="I104" i="37"/>
  <c r="J104" i="37"/>
  <c r="K104" i="37"/>
  <c r="L104" i="37"/>
  <c r="M104" i="37"/>
  <c r="N104" i="37"/>
  <c r="O104" i="37"/>
  <c r="D104" i="37"/>
  <c r="D334" i="37" s="1"/>
  <c r="P90" i="37"/>
  <c r="P91" i="37"/>
  <c r="P92" i="37"/>
  <c r="P93" i="37"/>
  <c r="P95" i="37"/>
  <c r="P96" i="37"/>
  <c r="P97" i="37"/>
  <c r="P98" i="37"/>
  <c r="P99" i="37"/>
  <c r="P100" i="37"/>
  <c r="P101" i="37"/>
  <c r="P102" i="37"/>
  <c r="P103" i="37"/>
  <c r="P94" i="37"/>
  <c r="E89" i="37"/>
  <c r="F89" i="37"/>
  <c r="G89" i="37"/>
  <c r="H89" i="37"/>
  <c r="I89" i="37"/>
  <c r="J89" i="37"/>
  <c r="K89" i="37"/>
  <c r="L89" i="37"/>
  <c r="M89" i="37"/>
  <c r="N89" i="37"/>
  <c r="O89" i="37"/>
  <c r="D89" i="37"/>
  <c r="P77" i="37"/>
  <c r="P78" i="37"/>
  <c r="P79" i="37"/>
  <c r="P80" i="37"/>
  <c r="P81" i="37"/>
  <c r="P82" i="37"/>
  <c r="P83" i="37"/>
  <c r="P84" i="37"/>
  <c r="P85" i="37"/>
  <c r="P86" i="37"/>
  <c r="P87" i="37"/>
  <c r="P88" i="37"/>
  <c r="P76" i="37"/>
  <c r="E74" i="37"/>
  <c r="F74" i="37"/>
  <c r="G74" i="37"/>
  <c r="H74" i="37"/>
  <c r="I74" i="37"/>
  <c r="J74" i="37"/>
  <c r="K74" i="37"/>
  <c r="L74" i="37"/>
  <c r="M74" i="37"/>
  <c r="N74" i="37"/>
  <c r="O74" i="37"/>
  <c r="D74" i="37"/>
  <c r="P62" i="37"/>
  <c r="P63" i="37"/>
  <c r="P64" i="37"/>
  <c r="P65" i="37"/>
  <c r="P66" i="37"/>
  <c r="P67" i="37"/>
  <c r="P68" i="37"/>
  <c r="P69" i="37"/>
  <c r="P70" i="37"/>
  <c r="P71" i="37"/>
  <c r="P72" i="37"/>
  <c r="P61" i="37"/>
  <c r="H454" i="37" l="1"/>
  <c r="P119" i="37"/>
  <c r="P89" i="37"/>
  <c r="P391" i="37"/>
  <c r="P393" i="37" s="1"/>
  <c r="L326" i="37"/>
  <c r="P258" i="37"/>
  <c r="P235" i="37"/>
  <c r="P249" i="37"/>
  <c r="P294" i="37"/>
  <c r="I326" i="37"/>
  <c r="O326" i="37"/>
  <c r="G326" i="37"/>
  <c r="D326" i="37"/>
  <c r="M326" i="37"/>
  <c r="E326" i="37"/>
  <c r="N326" i="37"/>
  <c r="F326" i="37"/>
  <c r="K326" i="37"/>
  <c r="J326" i="37"/>
  <c r="H326" i="37"/>
  <c r="P74" i="37"/>
  <c r="P313" i="37"/>
  <c r="P303" i="37"/>
  <c r="P285" i="37"/>
  <c r="P276" i="37"/>
  <c r="P267" i="37"/>
  <c r="P221" i="37"/>
  <c r="P194" i="37"/>
  <c r="P149" i="37"/>
  <c r="P104" i="37"/>
  <c r="I21" i="32"/>
  <c r="T90" i="9"/>
  <c r="T73" i="9"/>
  <c r="F72" i="27" l="1"/>
  <c r="I454" i="37"/>
  <c r="G72" i="27"/>
  <c r="P326" i="37"/>
  <c r="T50" i="9"/>
  <c r="J454" i="37" l="1"/>
  <c r="H72" i="27"/>
  <c r="C106" i="6"/>
  <c r="K454" i="37" l="1"/>
  <c r="I72" i="27" l="1"/>
  <c r="L454" i="37"/>
  <c r="J72" i="27"/>
  <c r="J65" i="20"/>
  <c r="M454" i="37" l="1"/>
  <c r="I70" i="14"/>
  <c r="N454" i="37" l="1"/>
  <c r="L72" i="27"/>
  <c r="K72" i="27"/>
  <c r="P112" i="6"/>
  <c r="P111" i="6"/>
  <c r="O454" i="37" l="1"/>
  <c r="M72" i="27"/>
  <c r="M32" i="18"/>
  <c r="M30" i="18"/>
  <c r="M22" i="18"/>
  <c r="M18" i="18"/>
  <c r="M16" i="18"/>
  <c r="M26" i="18"/>
  <c r="N72" i="27" l="1"/>
  <c r="Q46" i="10"/>
  <c r="Q44" i="10"/>
  <c r="Q43" i="10"/>
  <c r="O72" i="27" l="1"/>
  <c r="E140" i="9"/>
  <c r="E141" i="9"/>
  <c r="O34" i="32" l="1"/>
  <c r="P390" i="37" l="1"/>
  <c r="H52" i="18" l="1"/>
  <c r="H51" i="18"/>
  <c r="H50" i="18"/>
  <c r="H49" i="18"/>
  <c r="H71" i="18" l="1"/>
  <c r="T123" i="9" l="1"/>
  <c r="G127" i="9" l="1"/>
  <c r="G126" i="9"/>
  <c r="AX139" i="9"/>
  <c r="F138" i="9"/>
  <c r="E11" i="9"/>
  <c r="BE14" i="9" l="1"/>
  <c r="BE21" i="9"/>
  <c r="BE24" i="9"/>
  <c r="BE5" i="9"/>
  <c r="BE16" i="9"/>
  <c r="BE17" i="9"/>
  <c r="BE23" i="9"/>
  <c r="BE8" i="9"/>
  <c r="BE15" i="9"/>
  <c r="BE25" i="9"/>
  <c r="BE4" i="9"/>
  <c r="BE7" i="9"/>
  <c r="BE11" i="9"/>
  <c r="BE19" i="9"/>
  <c r="BE13" i="9"/>
  <c r="BE9" i="9"/>
  <c r="BE10" i="9"/>
  <c r="BE20" i="9"/>
  <c r="BE22" i="9"/>
  <c r="BE6" i="9"/>
  <c r="BE12" i="9"/>
  <c r="BE18" i="9"/>
  <c r="BE123" i="9"/>
  <c r="BE114" i="9"/>
  <c r="BE115" i="9"/>
  <c r="BE142" i="9"/>
  <c r="BE144" i="9"/>
  <c r="BE146" i="9"/>
  <c r="BE147" i="9"/>
  <c r="BE145" i="9"/>
  <c r="BE141" i="9"/>
  <c r="K34" i="18"/>
  <c r="AQ94" i="9" l="1"/>
  <c r="AQ95" i="9"/>
  <c r="G75" i="9"/>
  <c r="G74" i="9"/>
  <c r="G71" i="9"/>
  <c r="G70" i="9"/>
  <c r="G68" i="9"/>
  <c r="T89" i="9"/>
  <c r="T122" i="9"/>
  <c r="T86" i="9"/>
  <c r="AL86" i="9" s="1"/>
  <c r="T88" i="9"/>
  <c r="G35" i="10" l="1"/>
  <c r="G34" i="10"/>
  <c r="G33" i="10"/>
  <c r="G32" i="10"/>
  <c r="G31" i="10"/>
  <c r="G30" i="10"/>
  <c r="G29" i="10"/>
  <c r="G28" i="10"/>
  <c r="G27" i="10"/>
  <c r="G26" i="10"/>
  <c r="G24" i="10"/>
  <c r="G22" i="10"/>
  <c r="G21" i="10"/>
  <c r="Q47" i="10"/>
  <c r="Q41" i="10"/>
  <c r="Q40" i="10"/>
  <c r="P31" i="10"/>
  <c r="Q31" i="10" s="1"/>
  <c r="J31" i="10"/>
  <c r="Q42" i="10" l="1"/>
  <c r="P49" i="10" l="1"/>
  <c r="N17" i="7" l="1"/>
  <c r="N16" i="7"/>
  <c r="N15" i="7"/>
  <c r="N14" i="7"/>
  <c r="N13" i="7"/>
  <c r="N12" i="7"/>
  <c r="N11" i="7"/>
  <c r="P166" i="6" l="1"/>
  <c r="T166" i="6" s="1"/>
  <c r="P165" i="6"/>
  <c r="T165" i="6" s="1"/>
  <c r="D132" i="27" l="1"/>
  <c r="E132" i="27"/>
  <c r="F132" i="27"/>
  <c r="G132" i="27"/>
  <c r="H132" i="27"/>
  <c r="I132" i="27"/>
  <c r="J132" i="27"/>
  <c r="K132" i="27"/>
  <c r="L132" i="27"/>
  <c r="M132" i="27"/>
  <c r="N132" i="27"/>
  <c r="D133" i="27"/>
  <c r="E133" i="27"/>
  <c r="F133" i="27"/>
  <c r="G133" i="27"/>
  <c r="H133" i="27"/>
  <c r="I133" i="27"/>
  <c r="J133" i="27"/>
  <c r="K133" i="27"/>
  <c r="L133" i="27"/>
  <c r="M133" i="27"/>
  <c r="N133" i="27"/>
  <c r="D134" i="27"/>
  <c r="E134" i="27"/>
  <c r="F134" i="27"/>
  <c r="G134" i="27"/>
  <c r="H134" i="27"/>
  <c r="I134" i="27"/>
  <c r="J134" i="27"/>
  <c r="K134" i="27"/>
  <c r="L134" i="27"/>
  <c r="M134" i="27"/>
  <c r="N134" i="27"/>
  <c r="C134" i="27"/>
  <c r="C133" i="27"/>
  <c r="C132" i="27"/>
  <c r="D80" i="27"/>
  <c r="E80" i="27"/>
  <c r="F80" i="27"/>
  <c r="G80" i="27"/>
  <c r="H80" i="27"/>
  <c r="I80" i="27"/>
  <c r="J80" i="27"/>
  <c r="K80" i="27"/>
  <c r="L80" i="27"/>
  <c r="M80" i="27"/>
  <c r="N80" i="27"/>
  <c r="D81" i="27"/>
  <c r="E81" i="27"/>
  <c r="F81" i="27"/>
  <c r="G81" i="27"/>
  <c r="H81" i="27"/>
  <c r="I81" i="27"/>
  <c r="J81" i="27"/>
  <c r="K81" i="27"/>
  <c r="L81" i="27"/>
  <c r="M81" i="27"/>
  <c r="N81" i="27"/>
  <c r="C81" i="27"/>
  <c r="C80" i="27"/>
  <c r="D28" i="27"/>
  <c r="E28" i="27"/>
  <c r="F28" i="27"/>
  <c r="G28" i="27"/>
  <c r="H28" i="27"/>
  <c r="I28" i="27"/>
  <c r="J28" i="27"/>
  <c r="K28" i="27"/>
  <c r="L28" i="27"/>
  <c r="M28" i="27"/>
  <c r="N28" i="27"/>
  <c r="D29" i="27"/>
  <c r="E29" i="27"/>
  <c r="F29" i="27"/>
  <c r="G29" i="27"/>
  <c r="H29" i="27"/>
  <c r="I29" i="27"/>
  <c r="J29" i="27"/>
  <c r="K29" i="27"/>
  <c r="L29" i="27"/>
  <c r="M29" i="27"/>
  <c r="N29" i="27"/>
  <c r="C29" i="27"/>
  <c r="C28" i="27"/>
  <c r="E333" i="37"/>
  <c r="F333" i="37"/>
  <c r="G333" i="37"/>
  <c r="H333" i="37"/>
  <c r="I333" i="37"/>
  <c r="J333" i="37"/>
  <c r="K333" i="37"/>
  <c r="L333" i="37"/>
  <c r="M333" i="37"/>
  <c r="N333" i="37"/>
  <c r="O333" i="37"/>
  <c r="E334" i="37"/>
  <c r="F334" i="37"/>
  <c r="G334" i="37"/>
  <c r="H334" i="37"/>
  <c r="I334" i="37"/>
  <c r="J334" i="37"/>
  <c r="K334" i="37"/>
  <c r="L334" i="37"/>
  <c r="M334" i="37"/>
  <c r="N334" i="37"/>
  <c r="O334" i="37"/>
  <c r="E336" i="37"/>
  <c r="F336" i="37"/>
  <c r="G336" i="37"/>
  <c r="H336" i="37"/>
  <c r="I336" i="37"/>
  <c r="J336" i="37"/>
  <c r="K336" i="37"/>
  <c r="L336" i="37"/>
  <c r="M336" i="37"/>
  <c r="N336" i="37"/>
  <c r="O336" i="37"/>
  <c r="E338" i="37"/>
  <c r="F338" i="37"/>
  <c r="G338" i="37"/>
  <c r="H338" i="37"/>
  <c r="I338" i="37"/>
  <c r="J338" i="37"/>
  <c r="K338" i="37"/>
  <c r="L338" i="37"/>
  <c r="M338" i="37"/>
  <c r="N338" i="37"/>
  <c r="O338" i="37"/>
  <c r="E340" i="37"/>
  <c r="F340" i="37"/>
  <c r="G340" i="37"/>
  <c r="H340" i="37"/>
  <c r="I340" i="37"/>
  <c r="J340" i="37"/>
  <c r="K340" i="37"/>
  <c r="L340" i="37"/>
  <c r="M340" i="37"/>
  <c r="N340" i="37"/>
  <c r="O340" i="37"/>
  <c r="E341" i="37"/>
  <c r="F341" i="37"/>
  <c r="G341" i="37"/>
  <c r="H341" i="37"/>
  <c r="I341" i="37"/>
  <c r="J341" i="37"/>
  <c r="K341" i="37"/>
  <c r="L341" i="37"/>
  <c r="M341" i="37"/>
  <c r="N341" i="37"/>
  <c r="O341" i="37"/>
  <c r="D341" i="37"/>
  <c r="D340" i="37"/>
  <c r="D338" i="37"/>
  <c r="D336" i="37"/>
  <c r="D333" i="37"/>
  <c r="P341" i="37" l="1"/>
  <c r="H62" i="18" s="1"/>
  <c r="N342" i="37"/>
  <c r="N344" i="37" s="1"/>
  <c r="J342" i="37"/>
  <c r="J344" i="37" s="1"/>
  <c r="F342" i="37"/>
  <c r="F344" i="37" s="1"/>
  <c r="M342" i="37"/>
  <c r="M344" i="37" s="1"/>
  <c r="I342" i="37"/>
  <c r="I344" i="37" s="1"/>
  <c r="E342" i="37"/>
  <c r="E344" i="37" s="1"/>
  <c r="L342" i="37"/>
  <c r="L344" i="37" s="1"/>
  <c r="H342" i="37"/>
  <c r="H344" i="37" s="1"/>
  <c r="O342" i="37"/>
  <c r="O344" i="37" s="1"/>
  <c r="K342" i="37"/>
  <c r="K344" i="37" s="1"/>
  <c r="G342" i="37"/>
  <c r="G344" i="37" s="1"/>
  <c r="P338" i="37"/>
  <c r="P340" i="37"/>
  <c r="P336" i="37"/>
  <c r="P334" i="37"/>
  <c r="P333" i="37"/>
  <c r="D342" i="37"/>
  <c r="D344" i="37" s="1"/>
  <c r="H56" i="18" l="1"/>
  <c r="H65" i="18"/>
  <c r="P342" i="37"/>
  <c r="O11" i="37" l="1"/>
  <c r="O12" i="37"/>
  <c r="O13" i="37"/>
  <c r="O15" i="37"/>
  <c r="O16" i="37"/>
  <c r="O18" i="37"/>
  <c r="O20" i="37"/>
  <c r="O21" i="37"/>
  <c r="O22" i="37"/>
  <c r="O23" i="37"/>
  <c r="O24" i="37"/>
  <c r="O25" i="37"/>
  <c r="O26" i="37"/>
  <c r="O27" i="37"/>
  <c r="O28" i="37"/>
  <c r="O29" i="37"/>
  <c r="O30" i="37"/>
  <c r="O31" i="37"/>
  <c r="O32" i="37"/>
  <c r="O33" i="37"/>
  <c r="O34" i="37"/>
  <c r="O10" i="37"/>
  <c r="D35" i="37"/>
  <c r="E35" i="37"/>
  <c r="F35" i="37"/>
  <c r="G35" i="37"/>
  <c r="H35" i="37"/>
  <c r="I35" i="37"/>
  <c r="J35" i="37"/>
  <c r="K35" i="37"/>
  <c r="L35" i="37"/>
  <c r="M35" i="37"/>
  <c r="N35" i="37"/>
  <c r="C35" i="37"/>
  <c r="AL37" i="9" l="1"/>
  <c r="B95" i="1"/>
  <c r="P11" i="37" l="1"/>
  <c r="P12" i="37"/>
  <c r="P13" i="37"/>
  <c r="P15" i="37"/>
  <c r="P16" i="37"/>
  <c r="P18" i="37"/>
  <c r="P20" i="37"/>
  <c r="P21" i="37"/>
  <c r="P22" i="37"/>
  <c r="P23" i="37"/>
  <c r="P24" i="37"/>
  <c r="P25" i="37"/>
  <c r="P26" i="37"/>
  <c r="P27" i="37"/>
  <c r="P10" i="37"/>
  <c r="P35" i="37" l="1"/>
  <c r="Q48" i="6" l="1"/>
  <c r="K63" i="14" l="1"/>
  <c r="D14" i="41" l="1"/>
  <c r="C48" i="6" l="1"/>
  <c r="C49" i="6"/>
  <c r="C50" i="6"/>
  <c r="C51" i="6"/>
  <c r="C52" i="6"/>
  <c r="C53" i="6"/>
  <c r="C54" i="6"/>
  <c r="C55" i="6"/>
  <c r="C56" i="6"/>
  <c r="C57" i="6"/>
  <c r="C58" i="6"/>
  <c r="C59" i="6"/>
  <c r="C60" i="6"/>
  <c r="C61" i="6"/>
  <c r="C62" i="6"/>
  <c r="C63" i="6"/>
  <c r="C64" i="6"/>
  <c r="C65" i="6"/>
  <c r="C66" i="6"/>
  <c r="C67" i="6"/>
  <c r="C47" i="6"/>
  <c r="D87" i="20" l="1"/>
  <c r="D23" i="38" l="1"/>
  <c r="D19" i="38"/>
  <c r="D13" i="38"/>
  <c r="A2" i="10" l="1"/>
  <c r="D67" i="5" l="1"/>
  <c r="E67" i="5" s="1"/>
  <c r="D21" i="38" l="1"/>
  <c r="D15" i="38" l="1"/>
  <c r="D17" i="38"/>
  <c r="G45" i="7"/>
  <c r="P30" i="6" l="1"/>
  <c r="P31" i="6"/>
  <c r="P32" i="6"/>
  <c r="P33" i="6"/>
  <c r="P34" i="6"/>
  <c r="P35" i="6"/>
  <c r="P29" i="6"/>
  <c r="F36" i="6"/>
  <c r="D7" i="27" l="1"/>
  <c r="E7" i="27"/>
  <c r="F7" i="27"/>
  <c r="G7" i="27"/>
  <c r="H7" i="27"/>
  <c r="I7" i="27"/>
  <c r="J7" i="27"/>
  <c r="K7" i="27"/>
  <c r="L7" i="27"/>
  <c r="M7" i="27"/>
  <c r="N7" i="27"/>
  <c r="D8" i="27"/>
  <c r="E8" i="27"/>
  <c r="F8" i="27"/>
  <c r="G8" i="27"/>
  <c r="H8" i="27"/>
  <c r="I8" i="27"/>
  <c r="J8" i="27"/>
  <c r="K8" i="27"/>
  <c r="L8" i="27"/>
  <c r="M8" i="27"/>
  <c r="N8" i="27"/>
  <c r="D9" i="27"/>
  <c r="E9" i="27"/>
  <c r="F9" i="27"/>
  <c r="G9" i="27"/>
  <c r="H9" i="27"/>
  <c r="I9" i="27"/>
  <c r="J9" i="27"/>
  <c r="K9" i="27"/>
  <c r="L9" i="27"/>
  <c r="M9" i="27"/>
  <c r="N9" i="27"/>
  <c r="C8" i="27"/>
  <c r="C9" i="27"/>
  <c r="C7" i="27"/>
  <c r="K134" i="1" l="1"/>
  <c r="D13" i="27"/>
  <c r="E13" i="27"/>
  <c r="F13" i="27"/>
  <c r="G13" i="27"/>
  <c r="H13" i="27"/>
  <c r="I13" i="27"/>
  <c r="J13" i="27"/>
  <c r="K13" i="27"/>
  <c r="L13" i="27"/>
  <c r="M13" i="27"/>
  <c r="D31" i="27"/>
  <c r="E31" i="27"/>
  <c r="F31" i="27"/>
  <c r="G31" i="27"/>
  <c r="H31" i="27"/>
  <c r="I31" i="27"/>
  <c r="J31" i="27"/>
  <c r="K31" i="27"/>
  <c r="L31" i="27"/>
  <c r="M31" i="27"/>
  <c r="N31" i="27"/>
  <c r="D83" i="27"/>
  <c r="E83" i="27"/>
  <c r="F83" i="27"/>
  <c r="G83" i="27"/>
  <c r="H83" i="27"/>
  <c r="I83" i="27"/>
  <c r="J83" i="27"/>
  <c r="K83" i="27"/>
  <c r="L83" i="27"/>
  <c r="M83" i="27"/>
  <c r="N83" i="27"/>
  <c r="D136" i="27"/>
  <c r="E136" i="27"/>
  <c r="F136" i="27"/>
  <c r="G136" i="27"/>
  <c r="H136" i="27"/>
  <c r="I136" i="27"/>
  <c r="J136" i="27"/>
  <c r="K136" i="27"/>
  <c r="L136" i="27"/>
  <c r="M136" i="27"/>
  <c r="N136" i="27"/>
  <c r="C136" i="27"/>
  <c r="C83" i="27"/>
  <c r="C31" i="27"/>
  <c r="C13" i="27"/>
  <c r="D39" i="37"/>
  <c r="D11" i="27" s="1"/>
  <c r="E39" i="37"/>
  <c r="E11" i="27" s="1"/>
  <c r="F39" i="37"/>
  <c r="F11" i="27" s="1"/>
  <c r="G39" i="37"/>
  <c r="G11" i="27" s="1"/>
  <c r="H39" i="37"/>
  <c r="H11" i="27" s="1"/>
  <c r="I39" i="37"/>
  <c r="I11" i="27" s="1"/>
  <c r="J39" i="37"/>
  <c r="J11" i="27" s="1"/>
  <c r="K39" i="37"/>
  <c r="K11" i="27" s="1"/>
  <c r="L39" i="37"/>
  <c r="L11" i="27" s="1"/>
  <c r="M39" i="37"/>
  <c r="M11" i="27" s="1"/>
  <c r="N39" i="37"/>
  <c r="N11" i="27" s="1"/>
  <c r="D40" i="37"/>
  <c r="E40" i="37"/>
  <c r="F40" i="37"/>
  <c r="G40" i="37"/>
  <c r="H40" i="37"/>
  <c r="I40" i="37"/>
  <c r="J40" i="37"/>
  <c r="K40" i="37"/>
  <c r="L40" i="37"/>
  <c r="M40" i="37"/>
  <c r="N40" i="37"/>
  <c r="D42" i="37"/>
  <c r="E42" i="37"/>
  <c r="F42" i="37"/>
  <c r="G42" i="37"/>
  <c r="H42" i="37"/>
  <c r="I42" i="37"/>
  <c r="J42" i="37"/>
  <c r="K42" i="37"/>
  <c r="L42" i="37"/>
  <c r="M42" i="37"/>
  <c r="N42" i="37"/>
  <c r="D44" i="37"/>
  <c r="E44" i="37"/>
  <c r="F44" i="37"/>
  <c r="G44" i="37"/>
  <c r="H44" i="37"/>
  <c r="I44" i="37"/>
  <c r="J44" i="37"/>
  <c r="K44" i="37"/>
  <c r="L44" i="37"/>
  <c r="M44" i="37"/>
  <c r="N44" i="37"/>
  <c r="D46" i="37"/>
  <c r="E46" i="37"/>
  <c r="F46" i="37"/>
  <c r="G46" i="37"/>
  <c r="H46" i="37"/>
  <c r="I46" i="37"/>
  <c r="J46" i="37"/>
  <c r="K46" i="37"/>
  <c r="L46" i="37"/>
  <c r="M46" i="37"/>
  <c r="N46" i="37"/>
  <c r="D47" i="37"/>
  <c r="E47" i="37"/>
  <c r="F47" i="37"/>
  <c r="G47" i="37"/>
  <c r="H47" i="37"/>
  <c r="I47" i="37"/>
  <c r="J47" i="37"/>
  <c r="K47" i="37"/>
  <c r="L47" i="37"/>
  <c r="M47" i="37"/>
  <c r="N47" i="37"/>
  <c r="C47" i="37"/>
  <c r="C46" i="37"/>
  <c r="C42" i="37"/>
  <c r="C40" i="37"/>
  <c r="C39" i="37"/>
  <c r="O42" i="37" l="1"/>
  <c r="O44" i="37"/>
  <c r="C11" i="27"/>
  <c r="C48" i="37"/>
  <c r="D48" i="37"/>
  <c r="N13" i="27"/>
  <c r="D134" i="1"/>
  <c r="P46" i="37"/>
  <c r="F66" i="5" s="1"/>
  <c r="P47" i="37"/>
  <c r="B107" i="5" s="1"/>
  <c r="L48" i="37"/>
  <c r="H48" i="37"/>
  <c r="P42" i="37"/>
  <c r="F35" i="5" s="1"/>
  <c r="J48" i="37"/>
  <c r="F48" i="37"/>
  <c r="N48" i="37"/>
  <c r="M48" i="37"/>
  <c r="I48" i="37"/>
  <c r="E48" i="37"/>
  <c r="P40" i="37"/>
  <c r="F15" i="5" s="1"/>
  <c r="K48" i="37"/>
  <c r="G48" i="37"/>
  <c r="P39" i="37"/>
  <c r="F9" i="5" s="1"/>
  <c r="P44" i="37"/>
  <c r="B105" i="5" s="1"/>
  <c r="O39" i="37"/>
  <c r="O46" i="37"/>
  <c r="O40" i="37"/>
  <c r="O47" i="37"/>
  <c r="H68" i="18" l="1"/>
  <c r="L12" i="1"/>
  <c r="L35" i="1" s="1"/>
  <c r="B94" i="5"/>
  <c r="P48" i="37"/>
  <c r="B103" i="5" s="1"/>
  <c r="B89" i="5"/>
  <c r="O48" i="37"/>
  <c r="G8" i="10" l="1"/>
  <c r="G73" i="9" l="1"/>
  <c r="G62" i="9" l="1"/>
  <c r="P140" i="6" l="1"/>
  <c r="P47" i="6" l="1"/>
  <c r="P48" i="6"/>
  <c r="P49" i="6"/>
  <c r="P50" i="6"/>
  <c r="P51" i="6"/>
  <c r="P52" i="6"/>
  <c r="P53" i="6"/>
  <c r="P54" i="6"/>
  <c r="P55" i="6"/>
  <c r="P56" i="6"/>
  <c r="P57" i="6"/>
  <c r="P58" i="6"/>
  <c r="P59" i="6"/>
  <c r="P60" i="6"/>
  <c r="P61" i="6"/>
  <c r="P62" i="6"/>
  <c r="P63" i="6"/>
  <c r="P64" i="6"/>
  <c r="P65" i="6"/>
  <c r="P66" i="6"/>
  <c r="P67" i="6"/>
  <c r="P70" i="6" l="1"/>
  <c r="D12" i="14"/>
  <c r="G60" i="9" l="1"/>
  <c r="G58" i="9"/>
  <c r="T71" i="9"/>
  <c r="G55" i="9"/>
  <c r="T68" i="9"/>
  <c r="G52" i="9"/>
  <c r="T65" i="9"/>
  <c r="G49" i="9"/>
  <c r="T62" i="9"/>
  <c r="G46" i="9"/>
  <c r="T59" i="9"/>
  <c r="G43" i="9"/>
  <c r="G41" i="9"/>
  <c r="T54" i="9"/>
  <c r="G37" i="9"/>
  <c r="T52" i="9"/>
  <c r="G35" i="9"/>
  <c r="G31" i="9"/>
  <c r="T46" i="9"/>
  <c r="G28" i="9"/>
  <c r="T43" i="9"/>
  <c r="G26" i="9"/>
  <c r="T41" i="9"/>
  <c r="T38" i="9" l="1"/>
  <c r="G23" i="9"/>
  <c r="T35" i="9"/>
  <c r="G20" i="9"/>
  <c r="T116" i="9"/>
  <c r="G17" i="9"/>
  <c r="T32" i="9"/>
  <c r="G15" i="9"/>
  <c r="G67" i="9" l="1"/>
  <c r="G59" i="9" l="1"/>
  <c r="T69" i="9"/>
  <c r="T66" i="9"/>
  <c r="T63" i="9"/>
  <c r="T60" i="9"/>
  <c r="AL95" i="9"/>
  <c r="AL96" i="9"/>
  <c r="AL94" i="9"/>
  <c r="AL36" i="9" s="1"/>
  <c r="G32" i="9"/>
  <c r="T39" i="9"/>
  <c r="G24" i="9"/>
  <c r="G21" i="9"/>
  <c r="AL88" i="9" l="1"/>
  <c r="AL85" i="9"/>
  <c r="C12" i="27"/>
  <c r="F87" i="20" l="1"/>
  <c r="H87" i="20" s="1"/>
  <c r="BE90" i="9" l="1"/>
  <c r="BE88" i="9" l="1"/>
  <c r="BE113" i="9"/>
  <c r="BE72" i="9"/>
  <c r="BE74" i="9"/>
  <c r="BE116" i="9"/>
  <c r="BE50" i="9"/>
  <c r="BE121" i="9"/>
  <c r="BE32" i="9"/>
  <c r="BE73" i="9"/>
  <c r="BE66" i="9"/>
  <c r="BE69" i="9"/>
  <c r="BE60" i="9"/>
  <c r="BE63" i="9"/>
  <c r="BE47" i="9"/>
  <c r="BE119" i="9"/>
  <c r="BE39" i="9"/>
  <c r="BE44" i="9"/>
  <c r="BE117" i="9"/>
  <c r="BE36" i="9"/>
  <c r="D52" i="7" l="1"/>
  <c r="G50" i="7" l="1"/>
  <c r="G51" i="7"/>
  <c r="J49" i="10" l="1"/>
  <c r="I34" i="32" l="1"/>
  <c r="I36" i="32" s="1"/>
  <c r="F52" i="7" l="1"/>
  <c r="G49" i="7"/>
  <c r="G48" i="7"/>
  <c r="G46" i="7"/>
  <c r="G47" i="7"/>
  <c r="C52" i="7" l="1"/>
  <c r="G52" i="7" s="1"/>
  <c r="Q39" i="10" l="1"/>
  <c r="Q38" i="10"/>
  <c r="P37" i="10"/>
  <c r="Q37" i="10" s="1"/>
  <c r="P36" i="10"/>
  <c r="Q36" i="10" s="1"/>
  <c r="P35" i="10"/>
  <c r="Q35" i="10" s="1"/>
  <c r="P34" i="10"/>
  <c r="P33" i="10"/>
  <c r="Q33" i="10" s="1"/>
  <c r="P32" i="10"/>
  <c r="Q32" i="10" s="1"/>
  <c r="P30" i="10"/>
  <c r="Q30" i="10" s="1"/>
  <c r="P29" i="10"/>
  <c r="Q29" i="10" s="1"/>
  <c r="Q34" i="10" l="1"/>
  <c r="Q48" i="10"/>
  <c r="O36" i="32"/>
  <c r="M16" i="32"/>
  <c r="O15" i="32"/>
  <c r="O24" i="32" s="1"/>
  <c r="O14" i="32"/>
  <c r="O26" i="32" s="1"/>
  <c r="O13" i="32"/>
  <c r="O25" i="32" s="1"/>
  <c r="O27" i="32" l="1"/>
  <c r="M40" i="32" s="1"/>
  <c r="O16" i="32"/>
  <c r="G61" i="9" l="1"/>
  <c r="G56" i="9"/>
  <c r="G53" i="9"/>
  <c r="G50" i="9"/>
  <c r="G47" i="9"/>
  <c r="G44" i="9"/>
  <c r="G34" i="9"/>
  <c r="G29" i="9"/>
  <c r="G18" i="9"/>
  <c r="P172" i="6" l="1"/>
  <c r="F173" i="6"/>
  <c r="G173" i="6"/>
  <c r="H173" i="6"/>
  <c r="H183" i="6" s="1"/>
  <c r="I173" i="6"/>
  <c r="J173" i="6"/>
  <c r="K173" i="6"/>
  <c r="L173" i="6"/>
  <c r="M173" i="6"/>
  <c r="N173" i="6"/>
  <c r="O173" i="6"/>
  <c r="E173" i="6"/>
  <c r="D173" i="6"/>
  <c r="F186" i="6"/>
  <c r="H188" i="6" l="1"/>
  <c r="P173" i="6"/>
  <c r="J39" i="10"/>
  <c r="J38" i="10"/>
  <c r="J37" i="10"/>
  <c r="J36" i="10"/>
  <c r="J35" i="10"/>
  <c r="J34" i="10"/>
  <c r="J33" i="10"/>
  <c r="J32" i="10"/>
  <c r="J30" i="10"/>
  <c r="J29" i="10"/>
  <c r="G38" i="9" l="1"/>
  <c r="BE140" i="9" l="1"/>
  <c r="BE139" i="9"/>
  <c r="BE35" i="9"/>
  <c r="BE38" i="9"/>
  <c r="BE41" i="9"/>
  <c r="BE43" i="9"/>
  <c r="BE46" i="9"/>
  <c r="BE136" i="9"/>
  <c r="BE49" i="9"/>
  <c r="BE52" i="9"/>
  <c r="BE54" i="9"/>
  <c r="BE138" i="9"/>
  <c r="BE118" i="9"/>
  <c r="BE59" i="9"/>
  <c r="BE62" i="9"/>
  <c r="BE65" i="9"/>
  <c r="BE68" i="9"/>
  <c r="BE71" i="9"/>
  <c r="BE108" i="9"/>
  <c r="BE92" i="9"/>
  <c r="BE153" i="9"/>
  <c r="BE83" i="9"/>
  <c r="BE79" i="9"/>
  <c r="BE75" i="9"/>
  <c r="BE67" i="9"/>
  <c r="BE57" i="9"/>
  <c r="BE55" i="9"/>
  <c r="BE51" i="9"/>
  <c r="BE42" i="9"/>
  <c r="BE33" i="9"/>
  <c r="BE28" i="9"/>
  <c r="BE93" i="9"/>
  <c r="BE87" i="9"/>
  <c r="BE84" i="9"/>
  <c r="BE80" i="9"/>
  <c r="BE76" i="9"/>
  <c r="BE110" i="9"/>
  <c r="BE58" i="9"/>
  <c r="BE106" i="9"/>
  <c r="BE124" i="9"/>
  <c r="BE45" i="9"/>
  <c r="BE34" i="9"/>
  <c r="BE29" i="9"/>
  <c r="BE112" i="9"/>
  <c r="BE81" i="9"/>
  <c r="BE78" i="9"/>
  <c r="BE70" i="9"/>
  <c r="BE61" i="9"/>
  <c r="BE56" i="9"/>
  <c r="BE53" i="9"/>
  <c r="BE48" i="9"/>
  <c r="BE37" i="9"/>
  <c r="BE30" i="9"/>
  <c r="BE26" i="9"/>
  <c r="BE91" i="9"/>
  <c r="BE120" i="9"/>
  <c r="BE82" i="9"/>
  <c r="BE152" i="9"/>
  <c r="BE111" i="9"/>
  <c r="BE64" i="9"/>
  <c r="BE109" i="9"/>
  <c r="BE148" i="9"/>
  <c r="BE107" i="9"/>
  <c r="BE40" i="9"/>
  <c r="BE31" i="9"/>
  <c r="BE27" i="9"/>
  <c r="BE151" i="9"/>
  <c r="E174" i="6"/>
  <c r="F174" i="6"/>
  <c r="G174" i="6"/>
  <c r="H174" i="6"/>
  <c r="I174" i="6"/>
  <c r="J174" i="6"/>
  <c r="K174" i="6"/>
  <c r="L174" i="6"/>
  <c r="M174" i="6"/>
  <c r="N174" i="6"/>
  <c r="O174" i="6"/>
  <c r="D174" i="6"/>
  <c r="D175" i="6"/>
  <c r="O185" i="6" l="1"/>
  <c r="E175" i="6"/>
  <c r="F175" i="6"/>
  <c r="G175" i="6"/>
  <c r="H175" i="6"/>
  <c r="I175" i="6"/>
  <c r="J175" i="6"/>
  <c r="K175" i="6"/>
  <c r="L175" i="6"/>
  <c r="M175" i="6"/>
  <c r="N175" i="6"/>
  <c r="O175" i="6"/>
  <c r="E176" i="6"/>
  <c r="F176" i="6"/>
  <c r="G176" i="6"/>
  <c r="H176" i="6"/>
  <c r="I176" i="6"/>
  <c r="J176" i="6"/>
  <c r="K176" i="6"/>
  <c r="L176" i="6"/>
  <c r="M176" i="6"/>
  <c r="N176" i="6"/>
  <c r="O176" i="6"/>
  <c r="E177" i="6"/>
  <c r="F177" i="6"/>
  <c r="G177" i="6"/>
  <c r="H177" i="6"/>
  <c r="I177" i="6"/>
  <c r="J177" i="6"/>
  <c r="K177" i="6"/>
  <c r="L177" i="6"/>
  <c r="M177" i="6"/>
  <c r="N177" i="6"/>
  <c r="O177" i="6"/>
  <c r="E178" i="6"/>
  <c r="F178" i="6"/>
  <c r="G178" i="6"/>
  <c r="H178" i="6"/>
  <c r="I178" i="6"/>
  <c r="J178" i="6"/>
  <c r="K178" i="6"/>
  <c r="L178" i="6"/>
  <c r="M178" i="6"/>
  <c r="N178" i="6"/>
  <c r="O178" i="6"/>
  <c r="E179" i="6"/>
  <c r="F179" i="6"/>
  <c r="G179" i="6"/>
  <c r="H179" i="6"/>
  <c r="I179" i="6"/>
  <c r="J179" i="6"/>
  <c r="K179" i="6"/>
  <c r="L179" i="6"/>
  <c r="M179" i="6"/>
  <c r="N179" i="6"/>
  <c r="O179" i="6"/>
  <c r="E180" i="6"/>
  <c r="F180" i="6"/>
  <c r="G180" i="6"/>
  <c r="H180" i="6"/>
  <c r="I180" i="6"/>
  <c r="J180" i="6"/>
  <c r="K180" i="6"/>
  <c r="L180" i="6"/>
  <c r="M180" i="6"/>
  <c r="N180" i="6"/>
  <c r="O180" i="6"/>
  <c r="E181" i="6"/>
  <c r="F181" i="6"/>
  <c r="G181" i="6"/>
  <c r="H181" i="6"/>
  <c r="I181" i="6"/>
  <c r="J181" i="6"/>
  <c r="K181" i="6"/>
  <c r="L181" i="6"/>
  <c r="M181" i="6"/>
  <c r="N181" i="6"/>
  <c r="O181" i="6"/>
  <c r="E182" i="6"/>
  <c r="F182" i="6"/>
  <c r="G182" i="6"/>
  <c r="H182" i="6"/>
  <c r="I182" i="6"/>
  <c r="J182" i="6"/>
  <c r="K182" i="6"/>
  <c r="L182" i="6"/>
  <c r="M182" i="6"/>
  <c r="N182" i="6"/>
  <c r="O182" i="6"/>
  <c r="E183" i="6"/>
  <c r="F183" i="6"/>
  <c r="G183" i="6"/>
  <c r="I183" i="6"/>
  <c r="J183" i="6"/>
  <c r="K183" i="6"/>
  <c r="L183" i="6"/>
  <c r="M183" i="6"/>
  <c r="N183" i="6"/>
  <c r="O183" i="6"/>
  <c r="E184" i="6"/>
  <c r="F184" i="6"/>
  <c r="G184" i="6"/>
  <c r="H184" i="6"/>
  <c r="I184" i="6"/>
  <c r="J184" i="6"/>
  <c r="K184" i="6"/>
  <c r="L184" i="6"/>
  <c r="M184" i="6"/>
  <c r="N184" i="6"/>
  <c r="O184" i="6"/>
  <c r="E185" i="6"/>
  <c r="F185" i="6"/>
  <c r="G185" i="6"/>
  <c r="H185" i="6"/>
  <c r="I185" i="6"/>
  <c r="J185" i="6"/>
  <c r="K185" i="6"/>
  <c r="L185" i="6"/>
  <c r="M185" i="6"/>
  <c r="N185" i="6"/>
  <c r="E186" i="6"/>
  <c r="G186" i="6"/>
  <c r="H186" i="6"/>
  <c r="I186" i="6"/>
  <c r="J186" i="6"/>
  <c r="K186" i="6"/>
  <c r="L186" i="6"/>
  <c r="M186" i="6"/>
  <c r="N186" i="6"/>
  <c r="O186" i="6"/>
  <c r="E187" i="6"/>
  <c r="F187" i="6"/>
  <c r="G187" i="6"/>
  <c r="H187" i="6"/>
  <c r="I187" i="6"/>
  <c r="J187" i="6"/>
  <c r="K187" i="6"/>
  <c r="L187" i="6"/>
  <c r="M187" i="6"/>
  <c r="N187" i="6"/>
  <c r="O187" i="6"/>
  <c r="E188" i="6"/>
  <c r="F188" i="6"/>
  <c r="G188" i="6"/>
  <c r="I188" i="6"/>
  <c r="J188" i="6"/>
  <c r="K188" i="6"/>
  <c r="L188" i="6"/>
  <c r="M188" i="6"/>
  <c r="N188" i="6"/>
  <c r="O188" i="6"/>
  <c r="E190" i="6"/>
  <c r="F190" i="6"/>
  <c r="G190" i="6"/>
  <c r="H190" i="6"/>
  <c r="I190" i="6"/>
  <c r="J190" i="6"/>
  <c r="K190" i="6"/>
  <c r="L190" i="6"/>
  <c r="M190" i="6"/>
  <c r="N190" i="6"/>
  <c r="O190" i="6"/>
  <c r="E191" i="6"/>
  <c r="F191" i="6"/>
  <c r="G191" i="6"/>
  <c r="H191" i="6"/>
  <c r="I191" i="6"/>
  <c r="J191" i="6"/>
  <c r="K191" i="6"/>
  <c r="L191" i="6"/>
  <c r="M191" i="6"/>
  <c r="N191" i="6"/>
  <c r="O191" i="6"/>
  <c r="E192" i="6"/>
  <c r="F192" i="6"/>
  <c r="G192" i="6"/>
  <c r="H192" i="6"/>
  <c r="I192" i="6"/>
  <c r="J192" i="6"/>
  <c r="K192" i="6"/>
  <c r="L192" i="6"/>
  <c r="M192" i="6"/>
  <c r="N192" i="6"/>
  <c r="O192" i="6"/>
  <c r="E193" i="6"/>
  <c r="F193" i="6"/>
  <c r="G193" i="6"/>
  <c r="H193" i="6"/>
  <c r="I193" i="6"/>
  <c r="J193" i="6"/>
  <c r="K193" i="6"/>
  <c r="L193" i="6"/>
  <c r="M193" i="6"/>
  <c r="N193" i="6"/>
  <c r="O193" i="6"/>
  <c r="E194" i="6"/>
  <c r="F194" i="6"/>
  <c r="G194" i="6"/>
  <c r="H194" i="6"/>
  <c r="I194" i="6"/>
  <c r="J194" i="6"/>
  <c r="K194" i="6"/>
  <c r="L194" i="6"/>
  <c r="M194" i="6"/>
  <c r="N194" i="6"/>
  <c r="O194" i="6"/>
  <c r="E195" i="6"/>
  <c r="F195" i="6"/>
  <c r="G195" i="6"/>
  <c r="H195" i="6"/>
  <c r="I195" i="6"/>
  <c r="J195" i="6"/>
  <c r="K195" i="6"/>
  <c r="L195" i="6"/>
  <c r="M195" i="6"/>
  <c r="N195" i="6"/>
  <c r="O195" i="6"/>
  <c r="D176" i="6"/>
  <c r="D177" i="6"/>
  <c r="D178" i="6"/>
  <c r="D179" i="6"/>
  <c r="D180" i="6"/>
  <c r="D181" i="6"/>
  <c r="D182" i="6"/>
  <c r="D183" i="6"/>
  <c r="D184" i="6"/>
  <c r="D185" i="6"/>
  <c r="D186" i="6"/>
  <c r="D187" i="6"/>
  <c r="D188" i="6"/>
  <c r="D190" i="6"/>
  <c r="D191" i="6"/>
  <c r="D192" i="6"/>
  <c r="D193" i="6"/>
  <c r="D194" i="6"/>
  <c r="D195" i="6"/>
  <c r="P193" i="6" l="1"/>
  <c r="P185" i="6"/>
  <c r="P181" i="6"/>
  <c r="P177" i="6"/>
  <c r="P190" i="6"/>
  <c r="P182" i="6"/>
  <c r="P195" i="6"/>
  <c r="P191" i="6"/>
  <c r="P187" i="6"/>
  <c r="P183" i="6"/>
  <c r="P179" i="6"/>
  <c r="P194" i="6"/>
  <c r="P186" i="6"/>
  <c r="P178" i="6"/>
  <c r="P175" i="6"/>
  <c r="P192" i="6"/>
  <c r="P188" i="6"/>
  <c r="P184" i="6"/>
  <c r="P180" i="6"/>
  <c r="P176" i="6"/>
  <c r="G16" i="32"/>
  <c r="I15" i="32"/>
  <c r="I24" i="32" s="1"/>
  <c r="I14" i="32"/>
  <c r="I13" i="32"/>
  <c r="I25" i="32" s="1"/>
  <c r="D34" i="32"/>
  <c r="D36" i="32" s="1"/>
  <c r="D21" i="32"/>
  <c r="B16" i="32"/>
  <c r="D15" i="32"/>
  <c r="D14" i="32"/>
  <c r="D13" i="32"/>
  <c r="D25" i="32" s="1"/>
  <c r="D24" i="32" l="1"/>
  <c r="I26" i="32"/>
  <c r="I27" i="32" s="1"/>
  <c r="G40" i="32" s="1"/>
  <c r="D26" i="32"/>
  <c r="I16" i="32"/>
  <c r="D16" i="32"/>
  <c r="D27" i="32" l="1"/>
  <c r="B40" i="32" s="1"/>
  <c r="P16" i="20"/>
  <c r="P23" i="20" s="1"/>
  <c r="P24" i="20" s="1"/>
  <c r="P41" i="20" l="1"/>
  <c r="P42" i="20" s="1"/>
  <c r="P57" i="20"/>
  <c r="P59" i="20" s="1"/>
  <c r="P17" i="20"/>
  <c r="P18" i="20"/>
  <c r="P86" i="20"/>
  <c r="P88" i="20" s="1"/>
  <c r="P58" i="20" l="1"/>
  <c r="O16" i="20" l="1"/>
  <c r="O57" i="20" l="1"/>
  <c r="O86" i="20"/>
  <c r="O23" i="20"/>
  <c r="O41" i="20"/>
  <c r="E82" i="6" l="1"/>
  <c r="D82" i="6"/>
  <c r="F82" i="6"/>
  <c r="E142" i="9"/>
  <c r="G129" i="9"/>
  <c r="G130" i="9"/>
  <c r="G79" i="9"/>
  <c r="H53" i="18" l="1"/>
  <c r="P135" i="6" l="1"/>
  <c r="P134" i="6"/>
  <c r="P133" i="6"/>
  <c r="P129" i="6"/>
  <c r="P128" i="6"/>
  <c r="P127" i="6"/>
  <c r="M36" i="6"/>
  <c r="N36" i="6"/>
  <c r="O36" i="6"/>
  <c r="D36" i="6"/>
  <c r="E36" i="6"/>
  <c r="H36" i="6"/>
  <c r="I36" i="6"/>
  <c r="J36" i="6"/>
  <c r="L36" i="6"/>
  <c r="K36" i="6"/>
  <c r="P36" i="6" l="1"/>
  <c r="R98" i="27"/>
  <c r="R82" i="27"/>
  <c r="R46" i="27"/>
  <c r="R30" i="27"/>
  <c r="M46" i="27"/>
  <c r="M98" i="27"/>
  <c r="R10" i="27"/>
  <c r="R135" i="27"/>
  <c r="S134" i="27" s="1"/>
  <c r="O134" i="27" s="1"/>
  <c r="C10" i="27"/>
  <c r="C14" i="27" s="1"/>
  <c r="D12" i="27"/>
  <c r="E12" i="27"/>
  <c r="F12" i="27"/>
  <c r="G12" i="27"/>
  <c r="H12" i="27"/>
  <c r="I12" i="27"/>
  <c r="J12" i="27"/>
  <c r="K12" i="27"/>
  <c r="L12" i="27"/>
  <c r="M12" i="27"/>
  <c r="N12" i="27"/>
  <c r="N153" i="27"/>
  <c r="M153" i="27"/>
  <c r="L153" i="27"/>
  <c r="K153" i="27"/>
  <c r="J153" i="27"/>
  <c r="I153" i="27"/>
  <c r="H153" i="27"/>
  <c r="G153" i="27"/>
  <c r="F153" i="27"/>
  <c r="E153" i="27"/>
  <c r="D153" i="27"/>
  <c r="C153" i="27"/>
  <c r="O151" i="27"/>
  <c r="O136" i="27"/>
  <c r="E69" i="5" s="1"/>
  <c r="N135" i="27"/>
  <c r="N137" i="27" s="1"/>
  <c r="L135" i="27"/>
  <c r="L137" i="27" s="1"/>
  <c r="L139" i="27" s="1"/>
  <c r="L144" i="27" s="1"/>
  <c r="K135" i="27"/>
  <c r="K137" i="27" s="1"/>
  <c r="J135" i="27"/>
  <c r="J137" i="27" s="1"/>
  <c r="I135" i="27"/>
  <c r="I137" i="27" s="1"/>
  <c r="H135" i="27"/>
  <c r="H137" i="27" s="1"/>
  <c r="G135" i="27"/>
  <c r="G137" i="27" s="1"/>
  <c r="F135" i="27"/>
  <c r="F137" i="27" s="1"/>
  <c r="E135" i="27"/>
  <c r="E137" i="27" s="1"/>
  <c r="D135" i="27"/>
  <c r="D137" i="27" s="1"/>
  <c r="C135" i="27"/>
  <c r="N103" i="27"/>
  <c r="M103" i="27"/>
  <c r="L103" i="27"/>
  <c r="K103" i="27"/>
  <c r="J103" i="27"/>
  <c r="I103" i="27"/>
  <c r="H103" i="27"/>
  <c r="G103" i="27"/>
  <c r="F103" i="27"/>
  <c r="E103" i="27"/>
  <c r="D103" i="27"/>
  <c r="C103" i="27"/>
  <c r="O101" i="27"/>
  <c r="N98" i="27"/>
  <c r="L98" i="27"/>
  <c r="K98" i="27"/>
  <c r="J98" i="27"/>
  <c r="I98" i="27"/>
  <c r="H98" i="27"/>
  <c r="G98" i="27"/>
  <c r="F98" i="27"/>
  <c r="E98" i="27"/>
  <c r="D98" i="27"/>
  <c r="C98" i="27"/>
  <c r="O97" i="27"/>
  <c r="P97" i="27" s="1"/>
  <c r="O96" i="27"/>
  <c r="O83" i="27"/>
  <c r="D39" i="5" s="1"/>
  <c r="N82" i="27"/>
  <c r="L82" i="27"/>
  <c r="K82" i="27"/>
  <c r="J82" i="27"/>
  <c r="I82" i="27"/>
  <c r="H82" i="27"/>
  <c r="G82" i="27"/>
  <c r="D82" i="27"/>
  <c r="C82" i="27"/>
  <c r="F82" i="27"/>
  <c r="N51" i="27"/>
  <c r="M51" i="27"/>
  <c r="L51" i="27"/>
  <c r="K51" i="27"/>
  <c r="J51" i="27"/>
  <c r="I51" i="27"/>
  <c r="H51" i="27"/>
  <c r="G51" i="27"/>
  <c r="F51" i="27"/>
  <c r="E51" i="27"/>
  <c r="D51" i="27"/>
  <c r="C51" i="27"/>
  <c r="O49" i="27"/>
  <c r="N46" i="27"/>
  <c r="L46" i="27"/>
  <c r="K46" i="27"/>
  <c r="J46" i="27"/>
  <c r="I46" i="27"/>
  <c r="H46" i="27"/>
  <c r="G46" i="27"/>
  <c r="F46" i="27"/>
  <c r="E46" i="27"/>
  <c r="D46" i="27"/>
  <c r="C46" i="27"/>
  <c r="O45" i="27"/>
  <c r="P45" i="27" s="1"/>
  <c r="N30" i="27"/>
  <c r="L30" i="27"/>
  <c r="K30" i="27"/>
  <c r="J30" i="27"/>
  <c r="I30" i="27"/>
  <c r="H30" i="27"/>
  <c r="G30" i="27"/>
  <c r="F30" i="27"/>
  <c r="E30" i="27"/>
  <c r="D30" i="27"/>
  <c r="C30" i="27"/>
  <c r="O11" i="27"/>
  <c r="N10" i="27"/>
  <c r="L10" i="27"/>
  <c r="K10" i="27"/>
  <c r="J10" i="27"/>
  <c r="I10" i="27"/>
  <c r="H10" i="27"/>
  <c r="G10" i="27"/>
  <c r="F10" i="27"/>
  <c r="E10" i="27"/>
  <c r="D10" i="27"/>
  <c r="S28" i="27" l="1"/>
  <c r="S55" i="27"/>
  <c r="S54" i="27"/>
  <c r="S56" i="27" s="1"/>
  <c r="S81" i="27"/>
  <c r="S106" i="27"/>
  <c r="S108" i="27" s="1"/>
  <c r="S107" i="27"/>
  <c r="G84" i="27"/>
  <c r="H84" i="27"/>
  <c r="H86" i="27" s="1"/>
  <c r="H117" i="27"/>
  <c r="I84" i="27"/>
  <c r="I117" i="27"/>
  <c r="J84" i="27"/>
  <c r="J117" i="27" s="1"/>
  <c r="K84" i="27"/>
  <c r="K86" i="27" s="1"/>
  <c r="L84" i="27"/>
  <c r="L86" i="27" s="1"/>
  <c r="L90" i="27" s="1"/>
  <c r="L117" i="27"/>
  <c r="N84" i="27"/>
  <c r="D84" i="27"/>
  <c r="S8" i="27"/>
  <c r="S7" i="27"/>
  <c r="C16" i="27"/>
  <c r="E15" i="5"/>
  <c r="E35" i="5"/>
  <c r="S9" i="27"/>
  <c r="S80" i="27"/>
  <c r="S82" i="27" s="1"/>
  <c r="D140" i="27"/>
  <c r="D145" i="27" s="1"/>
  <c r="D139" i="27"/>
  <c r="D141" i="27"/>
  <c r="D146" i="27" s="1"/>
  <c r="G140" i="27"/>
  <c r="G145" i="27" s="1"/>
  <c r="G139" i="27"/>
  <c r="G141" i="27"/>
  <c r="G146" i="27" s="1"/>
  <c r="F140" i="27"/>
  <c r="F145" i="27" s="1"/>
  <c r="F141" i="27"/>
  <c r="F146" i="27" s="1"/>
  <c r="F139" i="27"/>
  <c r="J140" i="27"/>
  <c r="J145" i="27" s="1"/>
  <c r="J139" i="27"/>
  <c r="J141" i="27"/>
  <c r="J146" i="27" s="1"/>
  <c r="L141" i="27"/>
  <c r="L146" i="27" s="1"/>
  <c r="L140" i="27"/>
  <c r="L145" i="27" s="1"/>
  <c r="K139" i="27"/>
  <c r="K141" i="27"/>
  <c r="K146" i="27" s="1"/>
  <c r="K140" i="27"/>
  <c r="K145" i="27" s="1"/>
  <c r="E141" i="27"/>
  <c r="E146" i="27" s="1"/>
  <c r="E140" i="27"/>
  <c r="E145" i="27" s="1"/>
  <c r="E139" i="27"/>
  <c r="I139" i="27"/>
  <c r="I140" i="27"/>
  <c r="I145" i="27" s="1"/>
  <c r="I141" i="27"/>
  <c r="I146" i="27" s="1"/>
  <c r="N141" i="27"/>
  <c r="N146" i="27" s="1"/>
  <c r="N140" i="27"/>
  <c r="N145" i="27" s="1"/>
  <c r="N139" i="27"/>
  <c r="H139" i="27"/>
  <c r="H141" i="27"/>
  <c r="H146" i="27" s="1"/>
  <c r="H140" i="27"/>
  <c r="H145" i="27" s="1"/>
  <c r="S132" i="27"/>
  <c r="O132" i="27" s="1"/>
  <c r="S29" i="27"/>
  <c r="S30" i="27" s="1"/>
  <c r="O81" i="27"/>
  <c r="E27" i="5" s="1"/>
  <c r="F27" i="1" s="1"/>
  <c r="D87" i="27"/>
  <c r="J86" i="27"/>
  <c r="J87" i="27"/>
  <c r="J91" i="27" s="1"/>
  <c r="G86" i="27"/>
  <c r="G90" i="27" s="1"/>
  <c r="G87" i="27"/>
  <c r="K87" i="27"/>
  <c r="K91" i="27" s="1"/>
  <c r="O44" i="27"/>
  <c r="O46" i="27" s="1"/>
  <c r="E14" i="27"/>
  <c r="E17" i="27" s="1"/>
  <c r="E22" i="27" s="1"/>
  <c r="I14" i="27"/>
  <c r="I18" i="27" s="1"/>
  <c r="I23" i="27" s="1"/>
  <c r="S133" i="27"/>
  <c r="O133" i="27" s="1"/>
  <c r="O103" i="27"/>
  <c r="G35" i="5"/>
  <c r="O51" i="27"/>
  <c r="P51" i="27" s="1"/>
  <c r="G15" i="5"/>
  <c r="O153" i="27"/>
  <c r="P153" i="27" s="1"/>
  <c r="G66" i="5"/>
  <c r="H14" i="27"/>
  <c r="L14" i="27"/>
  <c r="D14" i="27"/>
  <c r="N14" i="27"/>
  <c r="F14" i="27"/>
  <c r="J14" i="27"/>
  <c r="K14" i="27"/>
  <c r="O31" i="27"/>
  <c r="D18" i="5" s="1"/>
  <c r="G14" i="27"/>
  <c r="O28" i="27"/>
  <c r="O13" i="27"/>
  <c r="E10" i="5" s="1"/>
  <c r="O98" i="27"/>
  <c r="E32" i="27"/>
  <c r="E35" i="27" s="1"/>
  <c r="E39" i="27" s="1"/>
  <c r="I32" i="27"/>
  <c r="I35" i="27" s="1"/>
  <c r="I39" i="27" s="1"/>
  <c r="L32" i="27"/>
  <c r="L35" i="27" s="1"/>
  <c r="L39" i="27" s="1"/>
  <c r="G32" i="27"/>
  <c r="G34" i="27" s="1"/>
  <c r="K32" i="27"/>
  <c r="K35" i="27" s="1"/>
  <c r="K39" i="27" s="1"/>
  <c r="D32" i="27"/>
  <c r="D34" i="27" s="1"/>
  <c r="H32" i="27"/>
  <c r="H34" i="27" s="1"/>
  <c r="F32" i="27"/>
  <c r="F35" i="27" s="1"/>
  <c r="F39" i="27" s="1"/>
  <c r="J32" i="27"/>
  <c r="J35" i="27" s="1"/>
  <c r="J39" i="27" s="1"/>
  <c r="N32" i="27"/>
  <c r="N34" i="27" s="1"/>
  <c r="O12" i="27"/>
  <c r="F84" i="27"/>
  <c r="F117" i="27" s="1"/>
  <c r="C32" i="27"/>
  <c r="C35" i="27" s="1"/>
  <c r="C39" i="27" s="1"/>
  <c r="E82" i="27"/>
  <c r="C84" i="27"/>
  <c r="C137" i="27"/>
  <c r="H87" i="27" l="1"/>
  <c r="H91" i="27" s="1"/>
  <c r="N86" i="27"/>
  <c r="G117" i="27"/>
  <c r="D117" i="27"/>
  <c r="D86" i="27"/>
  <c r="D90" i="27" s="1"/>
  <c r="I87" i="27"/>
  <c r="I91" i="27" s="1"/>
  <c r="L114" i="27"/>
  <c r="L87" i="27"/>
  <c r="L88" i="27" s="1"/>
  <c r="N87" i="27"/>
  <c r="N91" i="27" s="1"/>
  <c r="I86" i="27"/>
  <c r="N117" i="27"/>
  <c r="F116" i="27"/>
  <c r="F118" i="27" s="1"/>
  <c r="F119" i="27" s="1"/>
  <c r="C114" i="27"/>
  <c r="I114" i="27"/>
  <c r="I116" i="27"/>
  <c r="I118" i="27" s="1"/>
  <c r="I119" i="27" s="1"/>
  <c r="N114" i="27"/>
  <c r="N116" i="27"/>
  <c r="K117" i="27"/>
  <c r="J114" i="27"/>
  <c r="J116" i="27"/>
  <c r="J118" i="27" s="1"/>
  <c r="J119" i="27" s="1"/>
  <c r="H114" i="27"/>
  <c r="H116" i="27"/>
  <c r="H118" i="27" s="1"/>
  <c r="H119" i="27" s="1"/>
  <c r="D116" i="27"/>
  <c r="G114" i="27"/>
  <c r="G116" i="27"/>
  <c r="G118" i="27" s="1"/>
  <c r="G119" i="27" s="1"/>
  <c r="E84" i="27"/>
  <c r="E117" i="27" s="1"/>
  <c r="N65" i="27"/>
  <c r="K65" i="27"/>
  <c r="I65" i="27"/>
  <c r="P103" i="27"/>
  <c r="H65" i="27"/>
  <c r="D65" i="27"/>
  <c r="G65" i="27"/>
  <c r="J65" i="27"/>
  <c r="F65" i="27"/>
  <c r="E65" i="27"/>
  <c r="L65" i="27"/>
  <c r="S10" i="27"/>
  <c r="I17" i="27"/>
  <c r="I22" i="27" s="1"/>
  <c r="I16" i="27"/>
  <c r="C17" i="27"/>
  <c r="C18" i="27"/>
  <c r="C23" i="27" s="1"/>
  <c r="H144" i="27"/>
  <c r="H147" i="27" s="1"/>
  <c r="H148" i="27" s="1"/>
  <c r="H142" i="27"/>
  <c r="E144" i="27"/>
  <c r="E147" i="27" s="1"/>
  <c r="E148" i="27" s="1"/>
  <c r="E142" i="27"/>
  <c r="L147" i="27"/>
  <c r="L148" i="27" s="1"/>
  <c r="L142" i="27"/>
  <c r="F142" i="27"/>
  <c r="F144" i="27"/>
  <c r="F147" i="27" s="1"/>
  <c r="F148" i="27" s="1"/>
  <c r="G142" i="27"/>
  <c r="G144" i="27"/>
  <c r="G147" i="27" s="1"/>
  <c r="G148" i="27" s="1"/>
  <c r="N144" i="27"/>
  <c r="N147" i="27" s="1"/>
  <c r="N148" i="27" s="1"/>
  <c r="N142" i="27"/>
  <c r="K142" i="27"/>
  <c r="K144" i="27"/>
  <c r="K147" i="27" s="1"/>
  <c r="K148" i="27" s="1"/>
  <c r="C139" i="27"/>
  <c r="C140" i="27"/>
  <c r="C145" i="27" s="1"/>
  <c r="C141" i="27"/>
  <c r="C146" i="27" s="1"/>
  <c r="I144" i="27"/>
  <c r="I147" i="27" s="1"/>
  <c r="I148" i="27" s="1"/>
  <c r="I142" i="27"/>
  <c r="D144" i="27"/>
  <c r="D147" i="27" s="1"/>
  <c r="D148" i="27" s="1"/>
  <c r="D142" i="27"/>
  <c r="J142" i="27"/>
  <c r="J144" i="27"/>
  <c r="J147" i="27" s="1"/>
  <c r="J148" i="27" s="1"/>
  <c r="E18" i="27"/>
  <c r="E23" i="27" s="1"/>
  <c r="E16" i="27"/>
  <c r="E21" i="27" s="1"/>
  <c r="M135" i="27"/>
  <c r="O135" i="27"/>
  <c r="E49" i="5" s="1"/>
  <c r="H27" i="1" s="1"/>
  <c r="F87" i="27"/>
  <c r="F91" i="27" s="1"/>
  <c r="F86" i="27"/>
  <c r="G88" i="27"/>
  <c r="G91" i="27"/>
  <c r="G92" i="27" s="1"/>
  <c r="G93" i="27" s="1"/>
  <c r="D88" i="27"/>
  <c r="D91" i="27"/>
  <c r="H90" i="27"/>
  <c r="I90" i="27"/>
  <c r="I92" i="27" s="1"/>
  <c r="I93" i="27" s="1"/>
  <c r="K90" i="27"/>
  <c r="K92" i="27" s="1"/>
  <c r="K93" i="27" s="1"/>
  <c r="K88" i="27"/>
  <c r="J90" i="27"/>
  <c r="J92" i="27" s="1"/>
  <c r="J93" i="27" s="1"/>
  <c r="J88" i="27"/>
  <c r="C86" i="27"/>
  <c r="C87" i="27"/>
  <c r="N90" i="27"/>
  <c r="H38" i="27"/>
  <c r="G38" i="27"/>
  <c r="N38" i="27"/>
  <c r="D38" i="27"/>
  <c r="L34" i="27"/>
  <c r="J34" i="27"/>
  <c r="H35" i="27"/>
  <c r="H39" i="27" s="1"/>
  <c r="E34" i="27"/>
  <c r="G35" i="27"/>
  <c r="G39" i="27" s="1"/>
  <c r="I34" i="27"/>
  <c r="F34" i="27"/>
  <c r="N35" i="27"/>
  <c r="N39" i="27" s="1"/>
  <c r="K34" i="27"/>
  <c r="D35" i="27"/>
  <c r="D39" i="27" s="1"/>
  <c r="S135" i="27"/>
  <c r="C34" i="27"/>
  <c r="M82" i="27"/>
  <c r="O80" i="27"/>
  <c r="O8" i="27"/>
  <c r="F18" i="27"/>
  <c r="F23" i="27" s="1"/>
  <c r="F16" i="27"/>
  <c r="F17" i="27"/>
  <c r="F22" i="27" s="1"/>
  <c r="O9" i="27"/>
  <c r="G18" i="27"/>
  <c r="G17" i="27"/>
  <c r="G22" i="27" s="1"/>
  <c r="G16" i="27"/>
  <c r="G21" i="27" s="1"/>
  <c r="J16" i="27"/>
  <c r="J18" i="27"/>
  <c r="J23" i="27" s="1"/>
  <c r="J17" i="27"/>
  <c r="J22" i="27" s="1"/>
  <c r="K18" i="27"/>
  <c r="K17" i="27"/>
  <c r="K22" i="27" s="1"/>
  <c r="K16" i="27"/>
  <c r="K21" i="27" s="1"/>
  <c r="N16" i="27"/>
  <c r="N18" i="27"/>
  <c r="N23" i="27" s="1"/>
  <c r="N17" i="27"/>
  <c r="N22" i="27" s="1"/>
  <c r="D16" i="27"/>
  <c r="D21" i="27" s="1"/>
  <c r="D17" i="27"/>
  <c r="D18" i="27"/>
  <c r="D23" i="27" s="1"/>
  <c r="H18" i="27"/>
  <c r="H23" i="27" s="1"/>
  <c r="H17" i="27"/>
  <c r="H16" i="27"/>
  <c r="H21" i="27" s="1"/>
  <c r="L18" i="27"/>
  <c r="L23" i="27" s="1"/>
  <c r="L17" i="27"/>
  <c r="L16" i="27"/>
  <c r="L21" i="27" s="1"/>
  <c r="C21" i="27"/>
  <c r="M10" i="27"/>
  <c r="O7" i="27"/>
  <c r="L91" i="27" l="1"/>
  <c r="L92" i="27" s="1"/>
  <c r="L93" i="27" s="1"/>
  <c r="H88" i="27"/>
  <c r="H92" i="27"/>
  <c r="H93" i="27" s="1"/>
  <c r="N118" i="27"/>
  <c r="N119" i="27" s="1"/>
  <c r="L116" i="27"/>
  <c r="L118" i="27" s="1"/>
  <c r="L119" i="27" s="1"/>
  <c r="N88" i="27"/>
  <c r="D118" i="27"/>
  <c r="D119" i="27" s="1"/>
  <c r="F114" i="27"/>
  <c r="N92" i="27"/>
  <c r="N93" i="27" s="1"/>
  <c r="D114" i="27"/>
  <c r="I88" i="27"/>
  <c r="C117" i="27"/>
  <c r="C118" i="27" s="1"/>
  <c r="C119" i="27" s="1"/>
  <c r="E87" i="27"/>
  <c r="E91" i="27" s="1"/>
  <c r="E86" i="27"/>
  <c r="E114" i="27"/>
  <c r="E116" i="27"/>
  <c r="E118" i="27" s="1"/>
  <c r="E119" i="27" s="1"/>
  <c r="K114" i="27"/>
  <c r="K116" i="27"/>
  <c r="K118" i="27" s="1"/>
  <c r="K119" i="27" s="1"/>
  <c r="K62" i="27"/>
  <c r="I62" i="27"/>
  <c r="I64" i="27"/>
  <c r="I66" i="27" s="1"/>
  <c r="I67" i="27" s="1"/>
  <c r="K64" i="27"/>
  <c r="K66" i="27" s="1"/>
  <c r="K67" i="27" s="1"/>
  <c r="E64" i="27"/>
  <c r="E66" i="27" s="1"/>
  <c r="E67" i="27" s="1"/>
  <c r="E62" i="27"/>
  <c r="D62" i="27"/>
  <c r="D64" i="27"/>
  <c r="D66" i="27" s="1"/>
  <c r="D67" i="27" s="1"/>
  <c r="L62" i="27"/>
  <c r="L64" i="27"/>
  <c r="L66" i="27" s="1"/>
  <c r="L67" i="27" s="1"/>
  <c r="N62" i="27"/>
  <c r="N64" i="27"/>
  <c r="N66" i="27" s="1"/>
  <c r="N67" i="27" s="1"/>
  <c r="G64" i="27"/>
  <c r="G66" i="27" s="1"/>
  <c r="G67" i="27" s="1"/>
  <c r="G62" i="27"/>
  <c r="H62" i="27"/>
  <c r="H64" i="27"/>
  <c r="H66" i="27" s="1"/>
  <c r="H67" i="27" s="1"/>
  <c r="J62" i="27"/>
  <c r="J64" i="27"/>
  <c r="J66" i="27" s="1"/>
  <c r="J67" i="27" s="1"/>
  <c r="C62" i="27"/>
  <c r="F62" i="27"/>
  <c r="F64" i="27"/>
  <c r="F66" i="27" s="1"/>
  <c r="F67" i="27" s="1"/>
  <c r="I19" i="27"/>
  <c r="I21" i="27"/>
  <c r="I24" i="27" s="1"/>
  <c r="I25" i="27" s="1"/>
  <c r="C19" i="27"/>
  <c r="E24" i="27"/>
  <c r="E25" i="27" s="1"/>
  <c r="C22" i="27"/>
  <c r="C24" i="27" s="1"/>
  <c r="C25" i="27" s="1"/>
  <c r="E19" i="27"/>
  <c r="C144" i="27"/>
  <c r="C147" i="27" s="1"/>
  <c r="C148" i="27" s="1"/>
  <c r="C142" i="27"/>
  <c r="M137" i="27"/>
  <c r="O137" i="27" s="1"/>
  <c r="P137" i="27" s="1"/>
  <c r="C88" i="27"/>
  <c r="C90" i="27"/>
  <c r="F90" i="27"/>
  <c r="F92" i="27" s="1"/>
  <c r="F93" i="27" s="1"/>
  <c r="F88" i="27"/>
  <c r="M84" i="27"/>
  <c r="C91" i="27"/>
  <c r="E88" i="27"/>
  <c r="E90" i="27"/>
  <c r="E92" i="27" s="1"/>
  <c r="E93" i="27" s="1"/>
  <c r="D92" i="27"/>
  <c r="D93" i="27" s="1"/>
  <c r="C36" i="27"/>
  <c r="C38" i="27"/>
  <c r="E36" i="27"/>
  <c r="E38" i="27"/>
  <c r="N36" i="27"/>
  <c r="H36" i="27"/>
  <c r="K36" i="27"/>
  <c r="K38" i="27"/>
  <c r="L38" i="27"/>
  <c r="L36" i="27"/>
  <c r="I38" i="27"/>
  <c r="I36" i="27"/>
  <c r="J36" i="27"/>
  <c r="J38" i="27"/>
  <c r="D36" i="27"/>
  <c r="G36" i="27"/>
  <c r="F36" i="27"/>
  <c r="F38" i="27"/>
  <c r="O82" i="27"/>
  <c r="G19" i="27"/>
  <c r="G23" i="27"/>
  <c r="G24" i="27" s="1"/>
  <c r="G25" i="27" s="1"/>
  <c r="F19" i="27"/>
  <c r="F21" i="27"/>
  <c r="F24" i="27" s="1"/>
  <c r="F25" i="27" s="1"/>
  <c r="M14" i="27"/>
  <c r="M16" i="27" s="1"/>
  <c r="L19" i="27"/>
  <c r="L22" i="27"/>
  <c r="L24" i="27" s="1"/>
  <c r="L25" i="27" s="1"/>
  <c r="D19" i="27"/>
  <c r="D22" i="27"/>
  <c r="N19" i="27"/>
  <c r="N21" i="27"/>
  <c r="N24" i="27" s="1"/>
  <c r="N25" i="27" s="1"/>
  <c r="H19" i="27"/>
  <c r="H22" i="27"/>
  <c r="H24" i="27" s="1"/>
  <c r="H25" i="27" s="1"/>
  <c r="K19" i="27"/>
  <c r="K23" i="27"/>
  <c r="K24" i="27" s="1"/>
  <c r="K25" i="27" s="1"/>
  <c r="J19" i="27"/>
  <c r="J21" i="27"/>
  <c r="J24" i="27" s="1"/>
  <c r="J25" i="27" s="1"/>
  <c r="O10" i="27"/>
  <c r="B106" i="5"/>
  <c r="M117" i="27" l="1"/>
  <c r="O117" i="27" s="1"/>
  <c r="C47" i="5" s="1"/>
  <c r="C49" i="5" s="1"/>
  <c r="H9" i="1" s="1"/>
  <c r="M114" i="27"/>
  <c r="M116" i="27"/>
  <c r="M118" i="27" s="1"/>
  <c r="M119" i="27" s="1"/>
  <c r="O112" i="27"/>
  <c r="O113" i="27"/>
  <c r="O116" i="27"/>
  <c r="C66" i="27"/>
  <c r="C67" i="27" s="1"/>
  <c r="O14" i="27"/>
  <c r="P14" i="27" s="1"/>
  <c r="O16" i="27"/>
  <c r="M139" i="27"/>
  <c r="M144" i="27" s="1"/>
  <c r="M141" i="27"/>
  <c r="M146" i="27" s="1"/>
  <c r="O146" i="27" s="1"/>
  <c r="M140" i="27"/>
  <c r="C92" i="27"/>
  <c r="C93" i="27" s="1"/>
  <c r="M86" i="27"/>
  <c r="O84" i="27"/>
  <c r="P84" i="27" s="1"/>
  <c r="M87" i="27"/>
  <c r="E40" i="27"/>
  <c r="E41" i="27" s="1"/>
  <c r="J40" i="27"/>
  <c r="J41" i="27" s="1"/>
  <c r="N40" i="27"/>
  <c r="N41" i="27" s="1"/>
  <c r="I40" i="27"/>
  <c r="I41" i="27" s="1"/>
  <c r="K40" i="27"/>
  <c r="K41" i="27" s="1"/>
  <c r="C40" i="27"/>
  <c r="C41" i="27" s="1"/>
  <c r="F40" i="27"/>
  <c r="F41" i="27" s="1"/>
  <c r="H40" i="27"/>
  <c r="H41" i="27" s="1"/>
  <c r="D24" i="27"/>
  <c r="D25" i="27" s="1"/>
  <c r="M17" i="27"/>
  <c r="M18" i="27"/>
  <c r="O118" i="27" l="1"/>
  <c r="O119" i="27" s="1"/>
  <c r="B47" i="5"/>
  <c r="D47" i="5" s="1"/>
  <c r="D51" i="5" s="1"/>
  <c r="O114" i="27"/>
  <c r="D66" i="5"/>
  <c r="D68" i="5" s="1"/>
  <c r="O141" i="27"/>
  <c r="O139" i="27"/>
  <c r="G49" i="5" s="1"/>
  <c r="H119" i="1" s="1"/>
  <c r="H172" i="1" s="1"/>
  <c r="H72" i="14" s="1"/>
  <c r="M142" i="27"/>
  <c r="M145" i="27"/>
  <c r="O145" i="27" s="1"/>
  <c r="O140" i="27"/>
  <c r="O144" i="27"/>
  <c r="M91" i="27"/>
  <c r="O91" i="27" s="1"/>
  <c r="C35" i="5" s="1"/>
  <c r="O87" i="27"/>
  <c r="M88" i="27"/>
  <c r="M90" i="27"/>
  <c r="O86" i="27"/>
  <c r="M22" i="27"/>
  <c r="O22" i="27" s="1"/>
  <c r="C9" i="5" s="1"/>
  <c r="O17" i="27"/>
  <c r="M23" i="27"/>
  <c r="O23" i="27" s="1"/>
  <c r="D9" i="5" s="1"/>
  <c r="O18" i="27"/>
  <c r="L40" i="27"/>
  <c r="L41" i="27" s="1"/>
  <c r="G40" i="27"/>
  <c r="G41" i="27" s="1"/>
  <c r="M19" i="27"/>
  <c r="M21" i="27"/>
  <c r="C66" i="5" l="1"/>
  <c r="C68" i="5" s="1"/>
  <c r="O142" i="27"/>
  <c r="M147" i="27"/>
  <c r="M148" i="27" s="1"/>
  <c r="O147" i="27"/>
  <c r="P144" i="27" s="1"/>
  <c r="B66" i="5"/>
  <c r="B68" i="5" s="1"/>
  <c r="K8" i="1" s="1"/>
  <c r="O88" i="27"/>
  <c r="O19" i="27"/>
  <c r="M92" i="27"/>
  <c r="M93" i="27" s="1"/>
  <c r="O90" i="27"/>
  <c r="M24" i="27"/>
  <c r="M25" i="27" s="1"/>
  <c r="O21" i="27"/>
  <c r="E66" i="5" l="1"/>
  <c r="E68" i="5" s="1"/>
  <c r="O148" i="27"/>
  <c r="P147" i="27"/>
  <c r="P146" i="27"/>
  <c r="P145" i="27"/>
  <c r="O92" i="27"/>
  <c r="O93" i="27" s="1"/>
  <c r="B35" i="5"/>
  <c r="D40" i="27"/>
  <c r="D41" i="27" s="1"/>
  <c r="O24" i="27"/>
  <c r="O25" i="27" s="1"/>
  <c r="B9" i="5"/>
  <c r="E125" i="14" l="1"/>
  <c r="D126" i="14"/>
  <c r="D127" i="14" s="1"/>
  <c r="E126" i="14"/>
  <c r="E127" i="14" l="1"/>
  <c r="Q65" i="20" l="1"/>
  <c r="Q66" i="20"/>
  <c r="Q64" i="20"/>
  <c r="Y14" i="18" l="1"/>
  <c r="G38" i="5" l="1"/>
  <c r="G119" i="1" s="1"/>
  <c r="E38" i="5"/>
  <c r="E17" i="5"/>
  <c r="G17" i="5"/>
  <c r="E119" i="1" s="1"/>
  <c r="D16" i="5"/>
  <c r="G27" i="1" l="1"/>
  <c r="H50" i="1"/>
  <c r="H57" i="14" s="1"/>
  <c r="E27" i="1"/>
  <c r="F50" i="1"/>
  <c r="F57" i="14" s="1"/>
  <c r="D19" i="5"/>
  <c r="B38" i="5"/>
  <c r="C134" i="1"/>
  <c r="G8" i="1" l="1"/>
  <c r="D37" i="5"/>
  <c r="D41" i="5" s="1"/>
  <c r="G50" i="1" l="1"/>
  <c r="C38" i="5"/>
  <c r="H32" i="1" s="1"/>
  <c r="H51" i="14" s="1"/>
  <c r="Q47" i="6"/>
  <c r="G9" i="1" l="1"/>
  <c r="D38" i="5"/>
  <c r="D36" i="5"/>
  <c r="D40" i="5" l="1"/>
  <c r="B93" i="5"/>
  <c r="J37" i="7" l="1"/>
  <c r="K37" i="7" s="1"/>
  <c r="L17" i="7"/>
  <c r="L16" i="7"/>
  <c r="AD1" i="10" s="1"/>
  <c r="L15" i="7"/>
  <c r="AO1" i="9" s="1"/>
  <c r="L14" i="7"/>
  <c r="AN1" i="9" s="1"/>
  <c r="L13" i="7"/>
  <c r="AM1" i="9" s="1"/>
  <c r="AO64" i="9" l="1"/>
  <c r="AO4" i="9"/>
  <c r="AD48" i="10"/>
  <c r="AE48" i="10" s="1"/>
  <c r="AD45" i="10"/>
  <c r="AE45" i="10" s="1"/>
  <c r="AD38" i="10"/>
  <c r="AE38" i="10" s="1"/>
  <c r="AD39" i="10"/>
  <c r="AE39" i="10" s="1"/>
  <c r="AD44" i="10"/>
  <c r="AD46" i="10"/>
  <c r="AD43" i="10"/>
  <c r="AD8" i="10"/>
  <c r="AD42" i="10"/>
  <c r="AE42" i="10" s="1"/>
  <c r="AD40" i="10"/>
  <c r="AE40" i="10" s="1"/>
  <c r="AD47" i="10"/>
  <c r="AD41" i="10"/>
  <c r="J36" i="7"/>
  <c r="K36" i="7" s="1"/>
  <c r="AE43" i="10" l="1"/>
  <c r="AE46" i="10"/>
  <c r="AE44" i="10"/>
  <c r="AE41" i="10"/>
  <c r="AE47" i="10"/>
  <c r="D42" i="5"/>
  <c r="D43" i="5" s="1"/>
  <c r="D20" i="5"/>
  <c r="G18" i="1" l="1"/>
  <c r="H18" i="1"/>
  <c r="K53" i="18"/>
  <c r="H41" i="1" l="1"/>
  <c r="N19" i="7"/>
  <c r="F38" i="5"/>
  <c r="F17" i="5"/>
  <c r="E25" i="1" l="1"/>
  <c r="F244" i="1" s="1"/>
  <c r="B263" i="1" s="1"/>
  <c r="F48" i="1"/>
  <c r="F56" i="14" s="1"/>
  <c r="G25" i="1"/>
  <c r="U24" i="18" s="1"/>
  <c r="H48" i="1"/>
  <c r="H56" i="14" s="1"/>
  <c r="H53" i="14"/>
  <c r="G48" i="1"/>
  <c r="F277" i="1" l="1"/>
  <c r="B295" i="1"/>
  <c r="H71" i="14"/>
  <c r="H64" i="14"/>
  <c r="F71" i="14"/>
  <c r="F64" i="14"/>
  <c r="Z1" i="10"/>
  <c r="E74" i="14" l="1"/>
  <c r="L38" i="1"/>
  <c r="K38" i="1"/>
  <c r="I38" i="1"/>
  <c r="G38" i="1"/>
  <c r="E38" i="1"/>
  <c r="D38" i="1"/>
  <c r="E82" i="14" l="1"/>
  <c r="E85" i="14" s="1"/>
  <c r="C38" i="1"/>
  <c r="L142" i="1" l="1"/>
  <c r="L21" i="1" s="1"/>
  <c r="Q67" i="6"/>
  <c r="Q66" i="6"/>
  <c r="Q65" i="6"/>
  <c r="Q64" i="6"/>
  <c r="Q63" i="6"/>
  <c r="Q62" i="6"/>
  <c r="Q61" i="6"/>
  <c r="Q60" i="6"/>
  <c r="Q59" i="6"/>
  <c r="Q58" i="6"/>
  <c r="Q57" i="6"/>
  <c r="Q56" i="6"/>
  <c r="Q55" i="6"/>
  <c r="Q54" i="6"/>
  <c r="Q53" i="6"/>
  <c r="Q52" i="6"/>
  <c r="Q51" i="6"/>
  <c r="Q50" i="6"/>
  <c r="Q49" i="6"/>
  <c r="P4" i="6"/>
  <c r="Q4" i="6"/>
  <c r="P5" i="6"/>
  <c r="Q5" i="6"/>
  <c r="P6" i="6"/>
  <c r="Q6" i="6"/>
  <c r="P7" i="6"/>
  <c r="Q7" i="6"/>
  <c r="P8" i="6"/>
  <c r="Q8" i="6"/>
  <c r="P9" i="6"/>
  <c r="Q9" i="6"/>
  <c r="P10" i="6"/>
  <c r="Q10" i="6"/>
  <c r="P11" i="6"/>
  <c r="Q11" i="6"/>
  <c r="P12" i="6"/>
  <c r="V12" i="6" s="1"/>
  <c r="Q12" i="6"/>
  <c r="P13" i="6"/>
  <c r="Q13" i="6"/>
  <c r="P14" i="6"/>
  <c r="Q14" i="6"/>
  <c r="P15" i="6"/>
  <c r="Q15" i="6"/>
  <c r="P16" i="6"/>
  <c r="Q16" i="6"/>
  <c r="P17" i="6"/>
  <c r="Q17" i="6"/>
  <c r="P18" i="6"/>
  <c r="Q18" i="6"/>
  <c r="P19" i="6"/>
  <c r="Q19" i="6"/>
  <c r="P20" i="6"/>
  <c r="Q20" i="6"/>
  <c r="P21" i="6"/>
  <c r="Q21" i="6"/>
  <c r="P22" i="6"/>
  <c r="Q22" i="6"/>
  <c r="P23" i="6"/>
  <c r="Q23" i="6"/>
  <c r="P24" i="6"/>
  <c r="Q24" i="6"/>
  <c r="P27" i="6" l="1"/>
  <c r="Q27" i="6"/>
  <c r="Q175" i="6"/>
  <c r="Q191" i="6"/>
  <c r="Q183" i="6"/>
  <c r="Q179" i="6"/>
  <c r="Q195" i="6"/>
  <c r="Q187" i="6"/>
  <c r="R17" i="6"/>
  <c r="R22" i="6"/>
  <c r="S22" i="6" s="1"/>
  <c r="R14" i="6"/>
  <c r="R10" i="6"/>
  <c r="R6" i="6"/>
  <c r="R5" i="6"/>
  <c r="R15" i="6"/>
  <c r="R13" i="6"/>
  <c r="R11" i="6"/>
  <c r="R9" i="6"/>
  <c r="R7" i="6"/>
  <c r="R24" i="6"/>
  <c r="R20" i="6"/>
  <c r="R18" i="6"/>
  <c r="R12" i="6"/>
  <c r="R8" i="6"/>
  <c r="R4" i="6"/>
  <c r="Q192" i="6"/>
  <c r="Q188" i="6"/>
  <c r="Q194" i="6"/>
  <c r="Q190" i="6"/>
  <c r="Q186" i="6"/>
  <c r="Q184" i="6"/>
  <c r="Q182" i="6"/>
  <c r="Q180" i="6"/>
  <c r="Q178" i="6"/>
  <c r="Q176" i="6"/>
  <c r="Q193" i="6"/>
  <c r="Q185" i="6"/>
  <c r="Q181" i="6"/>
  <c r="Q177" i="6"/>
  <c r="R23" i="6"/>
  <c r="R21" i="6"/>
  <c r="R19" i="6"/>
  <c r="R16" i="6"/>
  <c r="R27" i="6" l="1"/>
  <c r="S15" i="6"/>
  <c r="S20" i="6"/>
  <c r="S24" i="6"/>
  <c r="S16" i="6"/>
  <c r="S4" i="6"/>
  <c r="S19" i="6"/>
  <c r="S18" i="6"/>
  <c r="S21" i="6"/>
  <c r="S8" i="6"/>
  <c r="S11" i="6"/>
  <c r="S5" i="6"/>
  <c r="S10" i="6"/>
  <c r="S17" i="6"/>
  <c r="S7" i="6"/>
  <c r="S23" i="6"/>
  <c r="S12" i="6"/>
  <c r="S9" i="6"/>
  <c r="S13" i="6"/>
  <c r="S6" i="6"/>
  <c r="S14" i="6"/>
  <c r="G39" i="9"/>
  <c r="S27" i="6" l="1"/>
  <c r="S28" i="6" s="1"/>
  <c r="D36" i="7"/>
  <c r="I39" i="7"/>
  <c r="N62" i="14" l="1"/>
  <c r="J38" i="7" l="1"/>
  <c r="K38" i="7" l="1"/>
  <c r="J39" i="7"/>
  <c r="Q27" i="10" l="1"/>
  <c r="I56" i="10" l="1"/>
  <c r="Q10" i="1"/>
  <c r="O57" i="1" s="1"/>
  <c r="O58" i="1" s="1"/>
  <c r="E198" i="1"/>
  <c r="E50" i="1"/>
  <c r="E57" i="14" s="1"/>
  <c r="E172" i="1"/>
  <c r="E33" i="1"/>
  <c r="E52" i="14" s="1"/>
  <c r="E34" i="1"/>
  <c r="E35" i="1"/>
  <c r="D274" i="1"/>
  <c r="D275" i="1"/>
  <c r="D283" i="1" s="1"/>
  <c r="G198" i="1"/>
  <c r="G57" i="14"/>
  <c r="G172" i="1"/>
  <c r="G173" i="1"/>
  <c r="G33" i="1"/>
  <c r="G52" i="14" s="1"/>
  <c r="G34" i="1"/>
  <c r="G35" i="1"/>
  <c r="D35" i="5"/>
  <c r="I41" i="1"/>
  <c r="I128" i="1"/>
  <c r="K31" i="1"/>
  <c r="K119" i="1"/>
  <c r="K172" i="1" s="1"/>
  <c r="K72" i="14" s="1"/>
  <c r="K33" i="1"/>
  <c r="K52" i="14" s="1"/>
  <c r="K34" i="1"/>
  <c r="K35" i="1"/>
  <c r="AK77" i="9"/>
  <c r="AL77" i="9"/>
  <c r="AM77" i="9"/>
  <c r="AN77" i="9"/>
  <c r="L41" i="1"/>
  <c r="L181" i="1" s="1"/>
  <c r="L128" i="1"/>
  <c r="D8" i="1"/>
  <c r="D221" i="1" s="1"/>
  <c r="D9" i="1"/>
  <c r="D10" i="1"/>
  <c r="D198" i="1"/>
  <c r="D165" i="1"/>
  <c r="D34" i="1"/>
  <c r="D169" i="1" s="1"/>
  <c r="D35" i="1"/>
  <c r="E9" i="5"/>
  <c r="I34" i="1"/>
  <c r="I35" i="1"/>
  <c r="I21" i="1"/>
  <c r="I44" i="1" s="1"/>
  <c r="I54" i="14" s="1"/>
  <c r="Q4" i="10"/>
  <c r="Q5" i="10"/>
  <c r="Q98" i="10"/>
  <c r="Q6" i="10"/>
  <c r="Q7" i="10"/>
  <c r="Q8" i="10"/>
  <c r="Q9" i="10"/>
  <c r="Q10" i="10"/>
  <c r="Q11" i="10"/>
  <c r="Q12" i="10"/>
  <c r="Q13" i="10"/>
  <c r="Q14" i="10"/>
  <c r="Q15" i="10"/>
  <c r="Q16" i="10"/>
  <c r="Q17" i="10"/>
  <c r="Q18" i="10"/>
  <c r="Q19" i="10"/>
  <c r="Q20" i="10"/>
  <c r="Q21" i="10"/>
  <c r="Q99" i="10"/>
  <c r="Q22" i="10"/>
  <c r="Q23" i="10"/>
  <c r="Q24" i="10"/>
  <c r="Q25" i="10"/>
  <c r="Q26" i="10"/>
  <c r="Q100" i="10"/>
  <c r="Q101" i="10"/>
  <c r="Q102" i="10"/>
  <c r="Q28" i="10"/>
  <c r="Q103" i="10"/>
  <c r="D88" i="20"/>
  <c r="D86" i="20"/>
  <c r="D84" i="20"/>
  <c r="D62" i="20"/>
  <c r="D61" i="20"/>
  <c r="D59" i="20"/>
  <c r="D58" i="20"/>
  <c r="D57" i="20"/>
  <c r="D45" i="20"/>
  <c r="D44" i="20"/>
  <c r="D42" i="20"/>
  <c r="D41" i="20"/>
  <c r="D27" i="20"/>
  <c r="D24" i="20"/>
  <c r="D18" i="20"/>
  <c r="D17" i="20"/>
  <c r="D16" i="20"/>
  <c r="D14" i="20"/>
  <c r="B9" i="30" s="1"/>
  <c r="B2" i="1"/>
  <c r="D26" i="14"/>
  <c r="N14" i="20" s="1"/>
  <c r="Q14" i="20" s="1"/>
  <c r="E26" i="14"/>
  <c r="N21" i="20" s="1"/>
  <c r="Q21" i="20" s="1"/>
  <c r="K26" i="14"/>
  <c r="N84" i="20" s="1"/>
  <c r="Q84" i="20" s="1"/>
  <c r="E32" i="14"/>
  <c r="E42" i="14" s="1"/>
  <c r="M27" i="20" s="1"/>
  <c r="G31" i="14"/>
  <c r="N44" i="20" s="1"/>
  <c r="Q44" i="20" s="1"/>
  <c r="G32" i="14"/>
  <c r="G42" i="14" s="1"/>
  <c r="M45" i="20" s="1"/>
  <c r="I31" i="14"/>
  <c r="D169" i="6" s="1"/>
  <c r="I32" i="14"/>
  <c r="Q97" i="10"/>
  <c r="F7" i="7"/>
  <c r="C7" i="7"/>
  <c r="F88" i="20"/>
  <c r="H88" i="20" s="1"/>
  <c r="F86" i="20"/>
  <c r="F42" i="20"/>
  <c r="H42" i="20" s="1"/>
  <c r="F24" i="20"/>
  <c r="H24" i="20" s="1"/>
  <c r="F41" i="20"/>
  <c r="H41" i="20" s="1"/>
  <c r="F23" i="20"/>
  <c r="H23" i="20" s="1"/>
  <c r="F59" i="20"/>
  <c r="F58" i="20"/>
  <c r="F57" i="20"/>
  <c r="F18" i="20"/>
  <c r="H18" i="20" s="1"/>
  <c r="F17" i="20"/>
  <c r="H17" i="20" s="1"/>
  <c r="D9" i="30" s="1"/>
  <c r="F16" i="20"/>
  <c r="G7" i="10"/>
  <c r="G9" i="10"/>
  <c r="G10" i="10"/>
  <c r="G11" i="10"/>
  <c r="G12" i="10"/>
  <c r="G13" i="10"/>
  <c r="G14" i="10"/>
  <c r="G15" i="10"/>
  <c r="G16" i="10"/>
  <c r="G17" i="10"/>
  <c r="G18" i="10"/>
  <c r="G19" i="10"/>
  <c r="E50" i="10"/>
  <c r="G50" i="10"/>
  <c r="E94" i="10"/>
  <c r="G94" i="10"/>
  <c r="G7" i="9"/>
  <c r="G8" i="9"/>
  <c r="G9" i="9"/>
  <c r="G10" i="9"/>
  <c r="G12" i="9"/>
  <c r="G13" i="9"/>
  <c r="G14" i="9"/>
  <c r="G16" i="9"/>
  <c r="G19" i="9"/>
  <c r="G22" i="9"/>
  <c r="G25" i="9"/>
  <c r="G27" i="9"/>
  <c r="G30" i="9"/>
  <c r="G33" i="9"/>
  <c r="G36" i="9"/>
  <c r="G40" i="9"/>
  <c r="G42" i="9"/>
  <c r="G45" i="9"/>
  <c r="G48" i="9"/>
  <c r="G51" i="9"/>
  <c r="G54" i="9"/>
  <c r="G57" i="9"/>
  <c r="G63" i="9"/>
  <c r="G64" i="9"/>
  <c r="G65" i="9"/>
  <c r="G66" i="9"/>
  <c r="G69" i="9"/>
  <c r="G72" i="9"/>
  <c r="G76" i="9"/>
  <c r="G77" i="9"/>
  <c r="G78" i="9"/>
  <c r="G80" i="9"/>
  <c r="G81" i="9"/>
  <c r="G82" i="9"/>
  <c r="G83" i="9"/>
  <c r="G84" i="9"/>
  <c r="G85" i="9"/>
  <c r="AV96" i="9"/>
  <c r="G86" i="9"/>
  <c r="G87" i="9"/>
  <c r="E93" i="9"/>
  <c r="G88" i="9"/>
  <c r="G89" i="9"/>
  <c r="G90" i="9"/>
  <c r="G91" i="9"/>
  <c r="G92" i="9"/>
  <c r="G93" i="9"/>
  <c r="G94" i="9"/>
  <c r="G95" i="9"/>
  <c r="G96" i="9"/>
  <c r="G97" i="9"/>
  <c r="G98" i="9"/>
  <c r="G100" i="9"/>
  <c r="E101" i="9"/>
  <c r="G101" i="9"/>
  <c r="G102" i="9"/>
  <c r="G103" i="9"/>
  <c r="G128" i="9"/>
  <c r="G131" i="9"/>
  <c r="G132" i="9"/>
  <c r="G133" i="9"/>
  <c r="G134" i="9"/>
  <c r="G135" i="9"/>
  <c r="G136" i="9"/>
  <c r="G137" i="9"/>
  <c r="D7" i="7"/>
  <c r="G7" i="7"/>
  <c r="R1" i="6"/>
  <c r="S1" i="6"/>
  <c r="D37" i="6"/>
  <c r="E37" i="6"/>
  <c r="M37" i="6"/>
  <c r="O37" i="6"/>
  <c r="D46" i="6"/>
  <c r="E46" i="6"/>
  <c r="R69" i="6" s="1"/>
  <c r="F46" i="6"/>
  <c r="G46" i="6"/>
  <c r="H46" i="6"/>
  <c r="I46" i="6"/>
  <c r="J46" i="6"/>
  <c r="K46" i="6"/>
  <c r="L46" i="6"/>
  <c r="M46" i="6"/>
  <c r="R68" i="6" s="1"/>
  <c r="N46" i="6"/>
  <c r="O46" i="6"/>
  <c r="P72" i="6"/>
  <c r="D73" i="6"/>
  <c r="E73" i="6"/>
  <c r="F73" i="6"/>
  <c r="G73" i="6"/>
  <c r="H73" i="6"/>
  <c r="I73" i="6"/>
  <c r="J73" i="6"/>
  <c r="K73" i="6"/>
  <c r="L73" i="6"/>
  <c r="M73" i="6"/>
  <c r="N73" i="6"/>
  <c r="O73" i="6"/>
  <c r="B74" i="6"/>
  <c r="C74" i="6"/>
  <c r="D74" i="6"/>
  <c r="E74" i="6"/>
  <c r="F74" i="6"/>
  <c r="G74" i="6"/>
  <c r="H74" i="6"/>
  <c r="I74" i="6"/>
  <c r="J74" i="6"/>
  <c r="K74" i="6"/>
  <c r="L74" i="6"/>
  <c r="M74" i="6"/>
  <c r="N74" i="6"/>
  <c r="O74" i="6"/>
  <c r="C75" i="6"/>
  <c r="D75" i="6"/>
  <c r="D145" i="6" s="1"/>
  <c r="E75" i="6"/>
  <c r="E145" i="6" s="1"/>
  <c r="F75" i="6"/>
  <c r="F145" i="6" s="1"/>
  <c r="G75" i="6"/>
  <c r="G145" i="6" s="1"/>
  <c r="H75" i="6"/>
  <c r="H145" i="6" s="1"/>
  <c r="I75" i="6"/>
  <c r="I145" i="6" s="1"/>
  <c r="J75" i="6"/>
  <c r="J145" i="6" s="1"/>
  <c r="K75" i="6"/>
  <c r="K145" i="6" s="1"/>
  <c r="L75" i="6"/>
  <c r="L145" i="6" s="1"/>
  <c r="M75" i="6"/>
  <c r="M145" i="6" s="1"/>
  <c r="N75" i="6"/>
  <c r="N145" i="6" s="1"/>
  <c r="O75" i="6"/>
  <c r="O145" i="6" s="1"/>
  <c r="C76" i="6"/>
  <c r="D76" i="6"/>
  <c r="D146" i="6" s="1"/>
  <c r="E76" i="6"/>
  <c r="E146" i="6" s="1"/>
  <c r="F76" i="6"/>
  <c r="F146" i="6" s="1"/>
  <c r="G76" i="6"/>
  <c r="G146" i="6" s="1"/>
  <c r="H76" i="6"/>
  <c r="H146" i="6" s="1"/>
  <c r="I76" i="6"/>
  <c r="I146" i="6" s="1"/>
  <c r="J76" i="6"/>
  <c r="J146" i="6" s="1"/>
  <c r="K76" i="6"/>
  <c r="K146" i="6" s="1"/>
  <c r="L76" i="6"/>
  <c r="L146" i="6" s="1"/>
  <c r="M76" i="6"/>
  <c r="M146" i="6" s="1"/>
  <c r="N76" i="6"/>
  <c r="N146" i="6" s="1"/>
  <c r="O76" i="6"/>
  <c r="O146" i="6" s="1"/>
  <c r="C77" i="6"/>
  <c r="D77" i="6"/>
  <c r="D147" i="6" s="1"/>
  <c r="E77" i="6"/>
  <c r="E147" i="6" s="1"/>
  <c r="F77" i="6"/>
  <c r="F147" i="6" s="1"/>
  <c r="G77" i="6"/>
  <c r="G147" i="6" s="1"/>
  <c r="H77" i="6"/>
  <c r="H147" i="6" s="1"/>
  <c r="I77" i="6"/>
  <c r="I147" i="6" s="1"/>
  <c r="J77" i="6"/>
  <c r="J147" i="6" s="1"/>
  <c r="K77" i="6"/>
  <c r="K147" i="6" s="1"/>
  <c r="L77" i="6"/>
  <c r="L147" i="6" s="1"/>
  <c r="M77" i="6"/>
  <c r="M147" i="6" s="1"/>
  <c r="N77" i="6"/>
  <c r="N147" i="6" s="1"/>
  <c r="O77" i="6"/>
  <c r="O147" i="6" s="1"/>
  <c r="C78" i="6"/>
  <c r="D78" i="6"/>
  <c r="D148" i="6" s="1"/>
  <c r="E78" i="6"/>
  <c r="E148" i="6" s="1"/>
  <c r="F78" i="6"/>
  <c r="F148" i="6" s="1"/>
  <c r="G78" i="6"/>
  <c r="G148" i="6" s="1"/>
  <c r="H78" i="6"/>
  <c r="H148" i="6" s="1"/>
  <c r="I78" i="6"/>
  <c r="I148" i="6" s="1"/>
  <c r="J78" i="6"/>
  <c r="J148" i="6" s="1"/>
  <c r="K78" i="6"/>
  <c r="K148" i="6" s="1"/>
  <c r="L78" i="6"/>
  <c r="L148" i="6" s="1"/>
  <c r="M78" i="6"/>
  <c r="M148" i="6" s="1"/>
  <c r="N78" i="6"/>
  <c r="N148" i="6" s="1"/>
  <c r="O78" i="6"/>
  <c r="O148" i="6" s="1"/>
  <c r="C79" i="6"/>
  <c r="D79" i="6"/>
  <c r="D149" i="6" s="1"/>
  <c r="E79" i="6"/>
  <c r="E149" i="6" s="1"/>
  <c r="F79" i="6"/>
  <c r="F149" i="6" s="1"/>
  <c r="G79" i="6"/>
  <c r="G149" i="6" s="1"/>
  <c r="H79" i="6"/>
  <c r="H149" i="6" s="1"/>
  <c r="I79" i="6"/>
  <c r="I149" i="6" s="1"/>
  <c r="J79" i="6"/>
  <c r="J149" i="6" s="1"/>
  <c r="K79" i="6"/>
  <c r="K149" i="6" s="1"/>
  <c r="L79" i="6"/>
  <c r="L149" i="6" s="1"/>
  <c r="M79" i="6"/>
  <c r="M149" i="6" s="1"/>
  <c r="N79" i="6"/>
  <c r="N149" i="6" s="1"/>
  <c r="O79" i="6"/>
  <c r="O149" i="6" s="1"/>
  <c r="C80" i="6"/>
  <c r="D80" i="6"/>
  <c r="D150" i="6" s="1"/>
  <c r="E80" i="6"/>
  <c r="E150" i="6" s="1"/>
  <c r="F80" i="6"/>
  <c r="F150" i="6" s="1"/>
  <c r="G80" i="6"/>
  <c r="G150" i="6" s="1"/>
  <c r="H80" i="6"/>
  <c r="H150" i="6" s="1"/>
  <c r="I80" i="6"/>
  <c r="I150" i="6" s="1"/>
  <c r="J80" i="6"/>
  <c r="J150" i="6" s="1"/>
  <c r="K80" i="6"/>
  <c r="K150" i="6" s="1"/>
  <c r="L80" i="6"/>
  <c r="L150" i="6" s="1"/>
  <c r="M80" i="6"/>
  <c r="M150" i="6" s="1"/>
  <c r="N80" i="6"/>
  <c r="N150" i="6" s="1"/>
  <c r="O80" i="6"/>
  <c r="O150" i="6" s="1"/>
  <c r="D81" i="6"/>
  <c r="E81" i="6"/>
  <c r="F81" i="6"/>
  <c r="G81" i="6"/>
  <c r="G151" i="6" s="1"/>
  <c r="H81" i="6"/>
  <c r="H151" i="6" s="1"/>
  <c r="I81" i="6"/>
  <c r="I151" i="6" s="1"/>
  <c r="J81" i="6"/>
  <c r="J151" i="6" s="1"/>
  <c r="K81" i="6"/>
  <c r="K151" i="6" s="1"/>
  <c r="L81" i="6"/>
  <c r="L151" i="6" s="1"/>
  <c r="M81" i="6"/>
  <c r="M151" i="6" s="1"/>
  <c r="N81" i="6"/>
  <c r="N151" i="6" s="1"/>
  <c r="O81" i="6"/>
  <c r="O151" i="6" s="1"/>
  <c r="C82" i="6"/>
  <c r="G82" i="6"/>
  <c r="H82" i="6"/>
  <c r="I82" i="6"/>
  <c r="J82" i="6"/>
  <c r="K82" i="6"/>
  <c r="L82" i="6"/>
  <c r="M82" i="6"/>
  <c r="N82" i="6"/>
  <c r="O82" i="6"/>
  <c r="C83" i="6"/>
  <c r="D83" i="6"/>
  <c r="D153" i="6" s="1"/>
  <c r="E83" i="6"/>
  <c r="E153" i="6" s="1"/>
  <c r="F83" i="6"/>
  <c r="F153" i="6" s="1"/>
  <c r="G83" i="6"/>
  <c r="G153" i="6" s="1"/>
  <c r="H83" i="6"/>
  <c r="H153" i="6" s="1"/>
  <c r="I83" i="6"/>
  <c r="I153" i="6" s="1"/>
  <c r="J83" i="6"/>
  <c r="J153" i="6" s="1"/>
  <c r="K83" i="6"/>
  <c r="K153" i="6" s="1"/>
  <c r="L83" i="6"/>
  <c r="L153" i="6" s="1"/>
  <c r="M83" i="6"/>
  <c r="M153" i="6" s="1"/>
  <c r="N83" i="6"/>
  <c r="N153" i="6" s="1"/>
  <c r="O83" i="6"/>
  <c r="O153" i="6" s="1"/>
  <c r="C84" i="6"/>
  <c r="D84" i="6"/>
  <c r="D154" i="6" s="1"/>
  <c r="E84" i="6"/>
  <c r="E154" i="6" s="1"/>
  <c r="F84" i="6"/>
  <c r="F154" i="6" s="1"/>
  <c r="G84" i="6"/>
  <c r="G154" i="6" s="1"/>
  <c r="H84" i="6"/>
  <c r="H154" i="6" s="1"/>
  <c r="I84" i="6"/>
  <c r="I154" i="6" s="1"/>
  <c r="J84" i="6"/>
  <c r="J154" i="6" s="1"/>
  <c r="K84" i="6"/>
  <c r="K154" i="6" s="1"/>
  <c r="L84" i="6"/>
  <c r="L154" i="6" s="1"/>
  <c r="M84" i="6"/>
  <c r="M154" i="6" s="1"/>
  <c r="N84" i="6"/>
  <c r="N154" i="6" s="1"/>
  <c r="O84" i="6"/>
  <c r="O154" i="6" s="1"/>
  <c r="C85" i="6"/>
  <c r="D85" i="6"/>
  <c r="D155" i="6" s="1"/>
  <c r="E85" i="6"/>
  <c r="E155" i="6" s="1"/>
  <c r="F85" i="6"/>
  <c r="F155" i="6" s="1"/>
  <c r="G85" i="6"/>
  <c r="G155" i="6" s="1"/>
  <c r="H85" i="6"/>
  <c r="H155" i="6" s="1"/>
  <c r="I85" i="6"/>
  <c r="I155" i="6" s="1"/>
  <c r="J85" i="6"/>
  <c r="J155" i="6" s="1"/>
  <c r="K85" i="6"/>
  <c r="K155" i="6" s="1"/>
  <c r="L85" i="6"/>
  <c r="L155" i="6" s="1"/>
  <c r="M85" i="6"/>
  <c r="M155" i="6" s="1"/>
  <c r="N85" i="6"/>
  <c r="N155" i="6" s="1"/>
  <c r="O85" i="6"/>
  <c r="O155" i="6" s="1"/>
  <c r="C86" i="6"/>
  <c r="D86" i="6"/>
  <c r="D156" i="6" s="1"/>
  <c r="E86" i="6"/>
  <c r="E156" i="6" s="1"/>
  <c r="F86" i="6"/>
  <c r="F156" i="6" s="1"/>
  <c r="G86" i="6"/>
  <c r="G156" i="6" s="1"/>
  <c r="H86" i="6"/>
  <c r="H156" i="6" s="1"/>
  <c r="I86" i="6"/>
  <c r="I156" i="6" s="1"/>
  <c r="J86" i="6"/>
  <c r="J156" i="6" s="1"/>
  <c r="K86" i="6"/>
  <c r="K156" i="6" s="1"/>
  <c r="L86" i="6"/>
  <c r="L156" i="6" s="1"/>
  <c r="M86" i="6"/>
  <c r="M156" i="6" s="1"/>
  <c r="N86" i="6"/>
  <c r="N156" i="6" s="1"/>
  <c r="O86" i="6"/>
  <c r="O156" i="6" s="1"/>
  <c r="C87" i="6"/>
  <c r="D87" i="6"/>
  <c r="D157" i="6" s="1"/>
  <c r="E87" i="6"/>
  <c r="E157" i="6" s="1"/>
  <c r="F87" i="6"/>
  <c r="F157" i="6" s="1"/>
  <c r="G87" i="6"/>
  <c r="G157" i="6" s="1"/>
  <c r="H87" i="6"/>
  <c r="H157" i="6" s="1"/>
  <c r="I87" i="6"/>
  <c r="I157" i="6" s="1"/>
  <c r="J87" i="6"/>
  <c r="J157" i="6" s="1"/>
  <c r="K87" i="6"/>
  <c r="K157" i="6" s="1"/>
  <c r="L87" i="6"/>
  <c r="L157" i="6" s="1"/>
  <c r="M87" i="6"/>
  <c r="M157" i="6" s="1"/>
  <c r="N87" i="6"/>
  <c r="N157" i="6" s="1"/>
  <c r="O87" i="6"/>
  <c r="O157" i="6" s="1"/>
  <c r="C88" i="6"/>
  <c r="D88" i="6"/>
  <c r="E88" i="6"/>
  <c r="F88" i="6"/>
  <c r="G88" i="6"/>
  <c r="H88" i="6"/>
  <c r="I88" i="6"/>
  <c r="J88" i="6"/>
  <c r="K88" i="6"/>
  <c r="L88" i="6"/>
  <c r="M88" i="6"/>
  <c r="N88" i="6"/>
  <c r="O88" i="6"/>
  <c r="C89" i="6"/>
  <c r="D89" i="6"/>
  <c r="D159" i="6" s="1"/>
  <c r="E89" i="6"/>
  <c r="E159" i="6" s="1"/>
  <c r="F89" i="6"/>
  <c r="F159" i="6" s="1"/>
  <c r="G89" i="6"/>
  <c r="G159" i="6" s="1"/>
  <c r="H89" i="6"/>
  <c r="H159" i="6" s="1"/>
  <c r="I89" i="6"/>
  <c r="I159" i="6" s="1"/>
  <c r="J89" i="6"/>
  <c r="J159" i="6" s="1"/>
  <c r="K89" i="6"/>
  <c r="K159" i="6" s="1"/>
  <c r="L89" i="6"/>
  <c r="L159" i="6" s="1"/>
  <c r="M89" i="6"/>
  <c r="M159" i="6" s="1"/>
  <c r="N89" i="6"/>
  <c r="N159" i="6" s="1"/>
  <c r="O89" i="6"/>
  <c r="O159" i="6" s="1"/>
  <c r="C90" i="6"/>
  <c r="D90" i="6"/>
  <c r="D160" i="6" s="1"/>
  <c r="E90" i="6"/>
  <c r="E160" i="6" s="1"/>
  <c r="F90" i="6"/>
  <c r="F160" i="6" s="1"/>
  <c r="G90" i="6"/>
  <c r="G160" i="6" s="1"/>
  <c r="H90" i="6"/>
  <c r="H160" i="6" s="1"/>
  <c r="I90" i="6"/>
  <c r="I160" i="6" s="1"/>
  <c r="J90" i="6"/>
  <c r="J160" i="6" s="1"/>
  <c r="K90" i="6"/>
  <c r="K160" i="6" s="1"/>
  <c r="L90" i="6"/>
  <c r="L160" i="6" s="1"/>
  <c r="M90" i="6"/>
  <c r="M160" i="6" s="1"/>
  <c r="N90" i="6"/>
  <c r="N160" i="6" s="1"/>
  <c r="O90" i="6"/>
  <c r="O160" i="6" s="1"/>
  <c r="C91" i="6"/>
  <c r="D91" i="6"/>
  <c r="D161" i="6" s="1"/>
  <c r="E91" i="6"/>
  <c r="E161" i="6" s="1"/>
  <c r="F91" i="6"/>
  <c r="F161" i="6" s="1"/>
  <c r="G91" i="6"/>
  <c r="G161" i="6" s="1"/>
  <c r="H91" i="6"/>
  <c r="H161" i="6" s="1"/>
  <c r="I91" i="6"/>
  <c r="I161" i="6" s="1"/>
  <c r="J91" i="6"/>
  <c r="J161" i="6" s="1"/>
  <c r="K91" i="6"/>
  <c r="K161" i="6" s="1"/>
  <c r="L91" i="6"/>
  <c r="L161" i="6" s="1"/>
  <c r="M91" i="6"/>
  <c r="M161" i="6" s="1"/>
  <c r="N91" i="6"/>
  <c r="N161" i="6" s="1"/>
  <c r="O91" i="6"/>
  <c r="O161" i="6" s="1"/>
  <c r="C92" i="6"/>
  <c r="D92" i="6"/>
  <c r="D162" i="6" s="1"/>
  <c r="E92" i="6"/>
  <c r="E162" i="6" s="1"/>
  <c r="F92" i="6"/>
  <c r="F162" i="6" s="1"/>
  <c r="G92" i="6"/>
  <c r="G162" i="6" s="1"/>
  <c r="H92" i="6"/>
  <c r="H162" i="6" s="1"/>
  <c r="I92" i="6"/>
  <c r="I162" i="6" s="1"/>
  <c r="J92" i="6"/>
  <c r="J162" i="6" s="1"/>
  <c r="K92" i="6"/>
  <c r="K162" i="6" s="1"/>
  <c r="L92" i="6"/>
  <c r="L162" i="6" s="1"/>
  <c r="M92" i="6"/>
  <c r="M162" i="6" s="1"/>
  <c r="N92" i="6"/>
  <c r="N162" i="6" s="1"/>
  <c r="O92" i="6"/>
  <c r="O162" i="6" s="1"/>
  <c r="C93" i="6"/>
  <c r="D93" i="6"/>
  <c r="D163" i="6" s="1"/>
  <c r="E93" i="6"/>
  <c r="E163" i="6" s="1"/>
  <c r="F93" i="6"/>
  <c r="F163" i="6" s="1"/>
  <c r="G93" i="6"/>
  <c r="G163" i="6" s="1"/>
  <c r="H93" i="6"/>
  <c r="H163" i="6" s="1"/>
  <c r="I93" i="6"/>
  <c r="I163" i="6" s="1"/>
  <c r="J93" i="6"/>
  <c r="J163" i="6" s="1"/>
  <c r="K93" i="6"/>
  <c r="K163" i="6" s="1"/>
  <c r="L93" i="6"/>
  <c r="L163" i="6" s="1"/>
  <c r="M93" i="6"/>
  <c r="M163" i="6" s="1"/>
  <c r="N93" i="6"/>
  <c r="N163" i="6" s="1"/>
  <c r="O93" i="6"/>
  <c r="O163" i="6" s="1"/>
  <c r="C94" i="6"/>
  <c r="D94" i="6"/>
  <c r="D164" i="6" s="1"/>
  <c r="E94" i="6"/>
  <c r="E164" i="6" s="1"/>
  <c r="F94" i="6"/>
  <c r="F164" i="6" s="1"/>
  <c r="G94" i="6"/>
  <c r="G164" i="6" s="1"/>
  <c r="H94" i="6"/>
  <c r="H164" i="6" s="1"/>
  <c r="I94" i="6"/>
  <c r="I164" i="6" s="1"/>
  <c r="J94" i="6"/>
  <c r="J164" i="6" s="1"/>
  <c r="K94" i="6"/>
  <c r="K164" i="6" s="1"/>
  <c r="L94" i="6"/>
  <c r="L164" i="6" s="1"/>
  <c r="M94" i="6"/>
  <c r="M164" i="6" s="1"/>
  <c r="N94" i="6"/>
  <c r="N164" i="6" s="1"/>
  <c r="O94" i="6"/>
  <c r="O164" i="6" s="1"/>
  <c r="D126" i="6"/>
  <c r="E126" i="6"/>
  <c r="F126" i="6"/>
  <c r="G126" i="6"/>
  <c r="H126" i="6"/>
  <c r="I126" i="6"/>
  <c r="J126" i="6"/>
  <c r="K126" i="6"/>
  <c r="L126" i="6"/>
  <c r="M126" i="6"/>
  <c r="N126" i="6"/>
  <c r="O126" i="6"/>
  <c r="E130" i="6"/>
  <c r="F130" i="6"/>
  <c r="G130" i="6"/>
  <c r="H130" i="6"/>
  <c r="I130" i="6"/>
  <c r="J130" i="6"/>
  <c r="K130" i="6"/>
  <c r="L130" i="6"/>
  <c r="M130" i="6"/>
  <c r="N130" i="6"/>
  <c r="O130" i="6"/>
  <c r="D131" i="6"/>
  <c r="E131" i="6"/>
  <c r="F131" i="6"/>
  <c r="G131" i="6"/>
  <c r="H131" i="6"/>
  <c r="I131" i="6"/>
  <c r="J131" i="6"/>
  <c r="K131" i="6"/>
  <c r="L131" i="6"/>
  <c r="M131" i="6"/>
  <c r="N131" i="6"/>
  <c r="O131" i="6"/>
  <c r="D136" i="6"/>
  <c r="E136" i="6"/>
  <c r="F136" i="6"/>
  <c r="G136" i="6"/>
  <c r="H136" i="6"/>
  <c r="I136" i="6"/>
  <c r="J136" i="6"/>
  <c r="K136" i="6"/>
  <c r="L136" i="6"/>
  <c r="M136" i="6"/>
  <c r="N136" i="6"/>
  <c r="O136" i="6"/>
  <c r="D14" i="14"/>
  <c r="C119" i="14" s="1"/>
  <c r="A16" i="20"/>
  <c r="D74" i="14"/>
  <c r="A17" i="20"/>
  <c r="D75" i="14"/>
  <c r="D83" i="14" s="1"/>
  <c r="D86" i="14" s="1"/>
  <c r="A18" i="20"/>
  <c r="D76" i="14"/>
  <c r="D84" i="14" s="1"/>
  <c r="D87" i="14" s="1"/>
  <c r="E14" i="14"/>
  <c r="F21" i="20" s="1"/>
  <c r="A23" i="20"/>
  <c r="E27" i="14"/>
  <c r="E37" i="14" s="1"/>
  <c r="A24" i="20"/>
  <c r="E75" i="14"/>
  <c r="E83" i="14" s="1"/>
  <c r="E86" i="14" s="1"/>
  <c r="Z38" i="14"/>
  <c r="A26" i="20"/>
  <c r="A27" i="20"/>
  <c r="E20" i="14"/>
  <c r="F27" i="20" s="1"/>
  <c r="A41" i="20"/>
  <c r="G74" i="14"/>
  <c r="A42" i="20"/>
  <c r="G75" i="14"/>
  <c r="G83" i="14" s="1"/>
  <c r="G86" i="14" s="1"/>
  <c r="AA38" i="14"/>
  <c r="A44" i="20"/>
  <c r="G19" i="14"/>
  <c r="F44" i="20" s="1"/>
  <c r="A45" i="20"/>
  <c r="G20" i="14"/>
  <c r="F45" i="20" s="1"/>
  <c r="E46" i="20"/>
  <c r="J46" i="20"/>
  <c r="S46" i="20" s="1"/>
  <c r="A57" i="20"/>
  <c r="I74" i="14"/>
  <c r="I82" i="14" s="1"/>
  <c r="I85" i="14" s="1"/>
  <c r="A58" i="20"/>
  <c r="I75" i="14"/>
  <c r="AB38" i="14"/>
  <c r="A59" i="20"/>
  <c r="I76" i="14"/>
  <c r="I84" i="14" s="1"/>
  <c r="AB39" i="14"/>
  <c r="A61" i="20"/>
  <c r="I19" i="14"/>
  <c r="A62" i="20"/>
  <c r="I20" i="14"/>
  <c r="E64" i="20"/>
  <c r="J64" i="20"/>
  <c r="S64" i="20" s="1"/>
  <c r="E65" i="20"/>
  <c r="S65" i="20"/>
  <c r="E66" i="20"/>
  <c r="J66" i="20"/>
  <c r="S66" i="20" s="1"/>
  <c r="K14" i="14"/>
  <c r="F84" i="20" s="1"/>
  <c r="K74" i="14"/>
  <c r="K82" i="14" s="1"/>
  <c r="K85" i="14" s="1"/>
  <c r="K75" i="14"/>
  <c r="K83" i="14" s="1"/>
  <c r="K86" i="14" s="1"/>
  <c r="AC38" i="14"/>
  <c r="D15" i="18"/>
  <c r="E12" i="14"/>
  <c r="G12" i="14"/>
  <c r="I12" i="14"/>
  <c r="K12" i="14"/>
  <c r="G14" i="14"/>
  <c r="I14" i="14"/>
  <c r="Q15" i="14"/>
  <c r="R15" i="14"/>
  <c r="T15" i="14"/>
  <c r="V15" i="14"/>
  <c r="Q16" i="14"/>
  <c r="R16" i="14"/>
  <c r="T16" i="14"/>
  <c r="V16" i="14"/>
  <c r="Q17" i="14"/>
  <c r="R17" i="14"/>
  <c r="T17" i="14"/>
  <c r="V17" i="14"/>
  <c r="Q20" i="14"/>
  <c r="R20" i="14"/>
  <c r="T20" i="14"/>
  <c r="V20" i="14"/>
  <c r="D24" i="14"/>
  <c r="E24" i="14"/>
  <c r="G24" i="14"/>
  <c r="I24" i="14"/>
  <c r="K24" i="14"/>
  <c r="G26" i="14"/>
  <c r="G36" i="14" s="1"/>
  <c r="I26" i="14"/>
  <c r="I36" i="14" s="1"/>
  <c r="D31" i="14"/>
  <c r="E31" i="14"/>
  <c r="K31" i="14"/>
  <c r="D32" i="14"/>
  <c r="K32" i="14"/>
  <c r="D34" i="14"/>
  <c r="E34" i="14"/>
  <c r="G34" i="14"/>
  <c r="I34" i="14"/>
  <c r="K34" i="14"/>
  <c r="Q37" i="14"/>
  <c r="R37" i="14"/>
  <c r="T37" i="14"/>
  <c r="V37" i="14"/>
  <c r="Q38" i="14"/>
  <c r="R38" i="14"/>
  <c r="T38" i="14"/>
  <c r="V38" i="14"/>
  <c r="Y38" i="14"/>
  <c r="Q39" i="14"/>
  <c r="R39" i="14"/>
  <c r="T39" i="14"/>
  <c r="V39" i="14"/>
  <c r="Y39" i="14"/>
  <c r="Z39" i="14"/>
  <c r="AA39" i="14"/>
  <c r="AC39" i="14"/>
  <c r="Y40" i="14"/>
  <c r="Z40" i="14"/>
  <c r="AA40" i="14"/>
  <c r="AB40" i="14"/>
  <c r="AC40" i="14"/>
  <c r="Q42" i="14"/>
  <c r="R42" i="14"/>
  <c r="T42" i="14"/>
  <c r="V42" i="14"/>
  <c r="D57" i="14"/>
  <c r="K57" i="14"/>
  <c r="D61" i="14"/>
  <c r="D63" i="14" s="1"/>
  <c r="E61" i="14"/>
  <c r="E63" i="14" s="1"/>
  <c r="G61" i="14"/>
  <c r="G63" i="14" s="1"/>
  <c r="I61" i="14"/>
  <c r="I63" i="14" s="1"/>
  <c r="O62" i="14"/>
  <c r="P62" i="14"/>
  <c r="D65" i="14"/>
  <c r="D67" i="14" s="1"/>
  <c r="E65" i="14"/>
  <c r="G65" i="14"/>
  <c r="G67" i="14" s="1"/>
  <c r="I65" i="14"/>
  <c r="I67" i="14" s="1"/>
  <c r="K65" i="14"/>
  <c r="K67" i="14" s="1"/>
  <c r="N66" i="14"/>
  <c r="O66" i="14"/>
  <c r="P66" i="14"/>
  <c r="E67" i="14"/>
  <c r="D68" i="14"/>
  <c r="D70" i="14" s="1"/>
  <c r="G70" i="14"/>
  <c r="K68" i="14"/>
  <c r="K70" i="14" s="1"/>
  <c r="N69" i="14"/>
  <c r="O69" i="14"/>
  <c r="P69" i="14"/>
  <c r="E70" i="14"/>
  <c r="D72" i="14"/>
  <c r="E76" i="14"/>
  <c r="E84" i="14" s="1"/>
  <c r="E87" i="14" s="1"/>
  <c r="E29" i="14" s="1"/>
  <c r="G76" i="14"/>
  <c r="G84" i="14" s="1"/>
  <c r="G87" i="14" s="1"/>
  <c r="G29" i="14" s="1"/>
  <c r="K76" i="14"/>
  <c r="K84" i="14" s="1"/>
  <c r="K87" i="14" s="1"/>
  <c r="K29" i="14" s="1"/>
  <c r="P79" i="14"/>
  <c r="P83" i="14"/>
  <c r="P86" i="14" s="1"/>
  <c r="P85" i="14"/>
  <c r="Q86" i="14"/>
  <c r="P87" i="14"/>
  <c r="I90" i="14"/>
  <c r="A95" i="14"/>
  <c r="G100" i="14"/>
  <c r="I100" i="14"/>
  <c r="D101" i="14"/>
  <c r="K101" i="14"/>
  <c r="I103" i="14"/>
  <c r="C169" i="1"/>
  <c r="C116" i="1"/>
  <c r="C108" i="14"/>
  <c r="F108" i="14"/>
  <c r="B109" i="14"/>
  <c r="Q9" i="1"/>
  <c r="S6" i="1" s="1"/>
  <c r="L31" i="1"/>
  <c r="L32" i="1"/>
  <c r="L33" i="1"/>
  <c r="L34" i="1"/>
  <c r="L44" i="1"/>
  <c r="O55" i="1"/>
  <c r="O56" i="1"/>
  <c r="C112" i="1"/>
  <c r="C145" i="1"/>
  <c r="C165" i="1"/>
  <c r="B209" i="1"/>
  <c r="B264" i="1"/>
  <c r="D38" i="7"/>
  <c r="K9" i="1"/>
  <c r="AD50" i="10"/>
  <c r="AD51" i="10"/>
  <c r="AD52" i="10"/>
  <c r="G31" i="1"/>
  <c r="G69" i="1"/>
  <c r="F64" i="1"/>
  <c r="L59" i="1"/>
  <c r="F63" i="1"/>
  <c r="J70" i="1"/>
  <c r="F62" i="1"/>
  <c r="I70" i="1"/>
  <c r="K62" i="1"/>
  <c r="H63" i="1"/>
  <c r="D63" i="1"/>
  <c r="G63" i="1"/>
  <c r="J64" i="1"/>
  <c r="D59" i="1"/>
  <c r="K59" i="1"/>
  <c r="J59" i="1"/>
  <c r="K70" i="1"/>
  <c r="J69" i="1"/>
  <c r="K69" i="1"/>
  <c r="E70" i="1"/>
  <c r="L63" i="1"/>
  <c r="D70" i="1"/>
  <c r="F70" i="1"/>
  <c r="H70" i="1"/>
  <c r="G62" i="1"/>
  <c r="E63" i="1"/>
  <c r="I59" i="1"/>
  <c r="I64" i="1"/>
  <c r="H62" i="1"/>
  <c r="G59" i="1"/>
  <c r="K64" i="1"/>
  <c r="I63" i="1"/>
  <c r="J62" i="1"/>
  <c r="G64" i="1"/>
  <c r="D64" i="1"/>
  <c r="K63" i="1"/>
  <c r="E69" i="1"/>
  <c r="L70" i="1"/>
  <c r="F69" i="1"/>
  <c r="L64" i="1"/>
  <c r="E62" i="1"/>
  <c r="H59" i="1"/>
  <c r="L69" i="1"/>
  <c r="D69" i="1"/>
  <c r="I69" i="1"/>
  <c r="F59" i="1"/>
  <c r="E64" i="1"/>
  <c r="H64" i="1"/>
  <c r="H69" i="1"/>
  <c r="I62" i="1"/>
  <c r="L62" i="1"/>
  <c r="D62" i="1"/>
  <c r="G70" i="1"/>
  <c r="J63" i="1"/>
  <c r="E59" i="1"/>
  <c r="F16" i="49" l="1"/>
  <c r="F151" i="6"/>
  <c r="F124" i="6"/>
  <c r="F119" i="6"/>
  <c r="E151" i="6"/>
  <c r="E124" i="6"/>
  <c r="E119" i="6"/>
  <c r="D151" i="6"/>
  <c r="P151" i="6" s="1"/>
  <c r="T151" i="6" s="1"/>
  <c r="M144" i="6"/>
  <c r="E144" i="6"/>
  <c r="L144" i="6"/>
  <c r="D144" i="6"/>
  <c r="K144" i="6"/>
  <c r="J144" i="6"/>
  <c r="I144" i="6"/>
  <c r="H144" i="6"/>
  <c r="O144" i="6"/>
  <c r="G144" i="6"/>
  <c r="N144" i="6"/>
  <c r="F144" i="6"/>
  <c r="D82" i="14"/>
  <c r="D85" i="14" s="1"/>
  <c r="H111" i="1"/>
  <c r="A73" i="20"/>
  <c r="A72" i="20"/>
  <c r="J125" i="1"/>
  <c r="J117" i="1"/>
  <c r="H114" i="1"/>
  <c r="F111" i="1"/>
  <c r="H86" i="20"/>
  <c r="M77" i="9"/>
  <c r="N77" i="9"/>
  <c r="O77" i="9"/>
  <c r="P77" i="9"/>
  <c r="Q77" i="9"/>
  <c r="W49" i="10"/>
  <c r="N49" i="10"/>
  <c r="V49" i="10"/>
  <c r="AO25" i="9"/>
  <c r="AO77" i="9"/>
  <c r="N45" i="10"/>
  <c r="M45" i="10"/>
  <c r="W45" i="10"/>
  <c r="V45" i="10"/>
  <c r="V48" i="10"/>
  <c r="M48" i="10"/>
  <c r="W48" i="10"/>
  <c r="N48" i="10"/>
  <c r="AE5" i="9"/>
  <c r="AH6" i="9"/>
  <c r="AF8" i="9"/>
  <c r="AR8" i="9" s="1"/>
  <c r="AI9" i="9"/>
  <c r="AG11" i="9"/>
  <c r="AE13" i="9"/>
  <c r="AH14" i="9"/>
  <c r="AF16" i="9"/>
  <c r="AR16" i="9" s="1"/>
  <c r="AI17" i="9"/>
  <c r="AG19" i="9"/>
  <c r="AE21" i="9"/>
  <c r="AH22" i="9"/>
  <c r="AF24" i="9"/>
  <c r="AR24" i="9" s="1"/>
  <c r="AI25" i="9"/>
  <c r="N5" i="9"/>
  <c r="Z5" i="9" s="1"/>
  <c r="Q6" i="9"/>
  <c r="AC6" i="9" s="1"/>
  <c r="O8" i="9"/>
  <c r="AA8" i="9" s="1"/>
  <c r="M10" i="9"/>
  <c r="P11" i="9"/>
  <c r="AB11" i="9" s="1"/>
  <c r="N13" i="9"/>
  <c r="Z13" i="9" s="1"/>
  <c r="Q14" i="9"/>
  <c r="AC14" i="9" s="1"/>
  <c r="O16" i="9"/>
  <c r="AA16" i="9" s="1"/>
  <c r="M18" i="9"/>
  <c r="P19" i="9"/>
  <c r="AB19" i="9" s="1"/>
  <c r="N21" i="9"/>
  <c r="Z21" i="9" s="1"/>
  <c r="Q22" i="9"/>
  <c r="AC22" i="9" s="1"/>
  <c r="O24" i="9"/>
  <c r="AA24" i="9" s="1"/>
  <c r="AH4" i="9"/>
  <c r="M4" i="9"/>
  <c r="AF5" i="9"/>
  <c r="AR5" i="9" s="1"/>
  <c r="AI6" i="9"/>
  <c r="AG8" i="9"/>
  <c r="AE10" i="9"/>
  <c r="AH11" i="9"/>
  <c r="AF13" i="9"/>
  <c r="AR13" i="9" s="1"/>
  <c r="AI14" i="9"/>
  <c r="AG16" i="9"/>
  <c r="AE18" i="9"/>
  <c r="AH19" i="9"/>
  <c r="AF21" i="9"/>
  <c r="AR21" i="9" s="1"/>
  <c r="AI22" i="9"/>
  <c r="AG24" i="9"/>
  <c r="O5" i="9"/>
  <c r="AA5" i="9" s="1"/>
  <c r="M7" i="9"/>
  <c r="P8" i="9"/>
  <c r="AB8" i="9" s="1"/>
  <c r="N10" i="9"/>
  <c r="Z10" i="9" s="1"/>
  <c r="Q11" i="9"/>
  <c r="AC11" i="9" s="1"/>
  <c r="O13" i="9"/>
  <c r="AA13" i="9" s="1"/>
  <c r="M15" i="9"/>
  <c r="P16" i="9"/>
  <c r="AB16" i="9" s="1"/>
  <c r="N18" i="9"/>
  <c r="Z18" i="9" s="1"/>
  <c r="Q19" i="9"/>
  <c r="AC19" i="9" s="1"/>
  <c r="O21" i="9"/>
  <c r="AA21" i="9" s="1"/>
  <c r="M23" i="9"/>
  <c r="P24" i="9"/>
  <c r="AB24" i="9" s="1"/>
  <c r="AG4" i="9"/>
  <c r="AG5" i="9"/>
  <c r="AE7" i="9"/>
  <c r="AH8" i="9"/>
  <c r="AF10" i="9"/>
  <c r="AR10" i="9" s="1"/>
  <c r="AI11" i="9"/>
  <c r="AG13" i="9"/>
  <c r="AE15" i="9"/>
  <c r="AH16" i="9"/>
  <c r="AF18" i="9"/>
  <c r="AR18" i="9" s="1"/>
  <c r="AI19" i="9"/>
  <c r="AG21" i="9"/>
  <c r="AE23" i="9"/>
  <c r="AH24" i="9"/>
  <c r="P5" i="9"/>
  <c r="AB5" i="9" s="1"/>
  <c r="N7" i="9"/>
  <c r="Z7" i="9" s="1"/>
  <c r="Q8" i="9"/>
  <c r="AC8" i="9" s="1"/>
  <c r="O10" i="9"/>
  <c r="AA10" i="9" s="1"/>
  <c r="M12" i="9"/>
  <c r="P13" i="9"/>
  <c r="AB13" i="9" s="1"/>
  <c r="N15" i="9"/>
  <c r="Z15" i="9" s="1"/>
  <c r="Q16" i="9"/>
  <c r="AC16" i="9" s="1"/>
  <c r="O18" i="9"/>
  <c r="AA18" i="9" s="1"/>
  <c r="M20" i="9"/>
  <c r="P21" i="9"/>
  <c r="AB21" i="9" s="1"/>
  <c r="N23" i="9"/>
  <c r="Z23" i="9" s="1"/>
  <c r="Q24" i="9"/>
  <c r="AF4" i="9"/>
  <c r="AR4" i="9" s="1"/>
  <c r="Q4" i="9"/>
  <c r="AC4" i="9" s="1"/>
  <c r="AF14" i="9"/>
  <c r="AR14" i="9" s="1"/>
  <c r="AE19" i="9"/>
  <c r="AG25" i="9"/>
  <c r="AH5" i="9"/>
  <c r="AF7" i="9"/>
  <c r="AR7" i="9" s="1"/>
  <c r="AI8" i="9"/>
  <c r="AG10" i="9"/>
  <c r="AE12" i="9"/>
  <c r="AH13" i="9"/>
  <c r="AF15" i="9"/>
  <c r="AR15" i="9" s="1"/>
  <c r="AI16" i="9"/>
  <c r="AG18" i="9"/>
  <c r="AE20" i="9"/>
  <c r="AH21" i="9"/>
  <c r="AF23" i="9"/>
  <c r="AR23" i="9" s="1"/>
  <c r="AI24" i="9"/>
  <c r="Q5" i="9"/>
  <c r="AC5" i="9" s="1"/>
  <c r="O7" i="9"/>
  <c r="AA7" i="9" s="1"/>
  <c r="M9" i="9"/>
  <c r="P10" i="9"/>
  <c r="AB10" i="9" s="1"/>
  <c r="N12" i="9"/>
  <c r="Z12" i="9" s="1"/>
  <c r="Q13" i="9"/>
  <c r="AC13" i="9" s="1"/>
  <c r="O15" i="9"/>
  <c r="AA15" i="9" s="1"/>
  <c r="M17" i="9"/>
  <c r="P18" i="9"/>
  <c r="AB18" i="9" s="1"/>
  <c r="N20" i="9"/>
  <c r="Z20" i="9" s="1"/>
  <c r="Q21" i="9"/>
  <c r="AC21" i="9" s="1"/>
  <c r="O23" i="9"/>
  <c r="AA23" i="9" s="1"/>
  <c r="M25" i="9"/>
  <c r="AE4" i="9"/>
  <c r="AG9" i="9"/>
  <c r="AG17" i="9"/>
  <c r="AI23" i="9"/>
  <c r="AI5" i="9"/>
  <c r="AG7" i="9"/>
  <c r="AE9" i="9"/>
  <c r="AH10" i="9"/>
  <c r="AF12" i="9"/>
  <c r="AR12" i="9" s="1"/>
  <c r="AI13" i="9"/>
  <c r="AG15" i="9"/>
  <c r="AE17" i="9"/>
  <c r="AH18" i="9"/>
  <c r="AF20" i="9"/>
  <c r="AR20" i="9" s="1"/>
  <c r="AI21" i="9"/>
  <c r="AG23" i="9"/>
  <c r="AE25" i="9"/>
  <c r="M6" i="9"/>
  <c r="P7" i="9"/>
  <c r="AB7" i="9" s="1"/>
  <c r="N9" i="9"/>
  <c r="Z9" i="9" s="1"/>
  <c r="Q10" i="9"/>
  <c r="AC10" i="9" s="1"/>
  <c r="O12" i="9"/>
  <c r="AA12" i="9" s="1"/>
  <c r="M14" i="9"/>
  <c r="P15" i="9"/>
  <c r="AB15" i="9" s="1"/>
  <c r="N17" i="9"/>
  <c r="Z17" i="9" s="1"/>
  <c r="Q18" i="9"/>
  <c r="AC18" i="9" s="1"/>
  <c r="O20" i="9"/>
  <c r="AA20" i="9" s="1"/>
  <c r="M22" i="9"/>
  <c r="P23" i="9"/>
  <c r="AB23" i="9" s="1"/>
  <c r="N25" i="9"/>
  <c r="Z25" i="9" s="1"/>
  <c r="AH12" i="9"/>
  <c r="AF22" i="9"/>
  <c r="AR22" i="9" s="1"/>
  <c r="AE6" i="9"/>
  <c r="AH7" i="9"/>
  <c r="AF9" i="9"/>
  <c r="AR9" i="9" s="1"/>
  <c r="AI10" i="9"/>
  <c r="AG12" i="9"/>
  <c r="AE14" i="9"/>
  <c r="AH15" i="9"/>
  <c r="AF17" i="9"/>
  <c r="AR17" i="9" s="1"/>
  <c r="AI18" i="9"/>
  <c r="AG20" i="9"/>
  <c r="AE22" i="9"/>
  <c r="AH23" i="9"/>
  <c r="AF25" i="9"/>
  <c r="AR25" i="9" s="1"/>
  <c r="N6" i="9"/>
  <c r="Z6" i="9" s="1"/>
  <c r="Q7" i="9"/>
  <c r="AC7" i="9" s="1"/>
  <c r="O9" i="9"/>
  <c r="AA9" i="9" s="1"/>
  <c r="M11" i="9"/>
  <c r="P12" i="9"/>
  <c r="AB12" i="9" s="1"/>
  <c r="N14" i="9"/>
  <c r="Z14" i="9" s="1"/>
  <c r="Q15" i="9"/>
  <c r="AC15" i="9" s="1"/>
  <c r="O17" i="9"/>
  <c r="AA17" i="9" s="1"/>
  <c r="M19" i="9"/>
  <c r="P20" i="9"/>
  <c r="AB20" i="9" s="1"/>
  <c r="N22" i="9"/>
  <c r="Z22" i="9" s="1"/>
  <c r="Q23" i="9"/>
  <c r="AC23" i="9" s="1"/>
  <c r="O25" i="9"/>
  <c r="AA25" i="9" s="1"/>
  <c r="P4" i="9"/>
  <c r="AB4" i="9" s="1"/>
  <c r="AF6" i="9"/>
  <c r="AR6" i="9" s="1"/>
  <c r="AI7" i="9"/>
  <c r="AE11" i="9"/>
  <c r="AI15" i="9"/>
  <c r="AH20" i="9"/>
  <c r="AG6" i="9"/>
  <c r="AE8" i="9"/>
  <c r="AH9" i="9"/>
  <c r="AF11" i="9"/>
  <c r="AR11" i="9" s="1"/>
  <c r="AI12" i="9"/>
  <c r="AG14" i="9"/>
  <c r="AE16" i="9"/>
  <c r="AH17" i="9"/>
  <c r="AF19" i="9"/>
  <c r="AR19" i="9" s="1"/>
  <c r="AI20" i="9"/>
  <c r="AG22" i="9"/>
  <c r="AE24" i="9"/>
  <c r="AH25" i="9"/>
  <c r="M5" i="9"/>
  <c r="P6" i="9"/>
  <c r="AB6" i="9" s="1"/>
  <c r="N8" i="9"/>
  <c r="Z8" i="9" s="1"/>
  <c r="Q9" i="9"/>
  <c r="AC9" i="9" s="1"/>
  <c r="O11" i="9"/>
  <c r="AA11" i="9" s="1"/>
  <c r="M13" i="9"/>
  <c r="P14" i="9"/>
  <c r="AB14" i="9" s="1"/>
  <c r="N16" i="9"/>
  <c r="Z16" i="9" s="1"/>
  <c r="Q17" i="9"/>
  <c r="AC17" i="9" s="1"/>
  <c r="O19" i="9"/>
  <c r="AA19" i="9" s="1"/>
  <c r="M21" i="9"/>
  <c r="P22" i="9"/>
  <c r="AB22" i="9" s="1"/>
  <c r="N24" i="9"/>
  <c r="Z24" i="9" s="1"/>
  <c r="Q25" i="9"/>
  <c r="AC25" i="9" s="1"/>
  <c r="AI4" i="9"/>
  <c r="N4" i="9"/>
  <c r="Z4" i="9" s="1"/>
  <c r="O6" i="9"/>
  <c r="AA6" i="9" s="1"/>
  <c r="N19" i="9"/>
  <c r="Z19" i="9" s="1"/>
  <c r="M8" i="9"/>
  <c r="Q20" i="9"/>
  <c r="AC20" i="9" s="1"/>
  <c r="P9" i="9"/>
  <c r="AB9" i="9" s="1"/>
  <c r="O22" i="9"/>
  <c r="AA22" i="9" s="1"/>
  <c r="P25" i="9"/>
  <c r="AB25" i="9" s="1"/>
  <c r="N11" i="9"/>
  <c r="Z11" i="9" s="1"/>
  <c r="M24" i="9"/>
  <c r="Y24" i="9" s="1"/>
  <c r="P17" i="9"/>
  <c r="AB17" i="9" s="1"/>
  <c r="Q12" i="9"/>
  <c r="AC12" i="9" s="1"/>
  <c r="O14" i="9"/>
  <c r="AA14" i="9" s="1"/>
  <c r="M16" i="9"/>
  <c r="O4" i="9"/>
  <c r="AA4" i="9" s="1"/>
  <c r="AO11" i="9"/>
  <c r="AO13" i="9"/>
  <c r="AO19" i="9"/>
  <c r="AO9" i="9"/>
  <c r="AO22" i="9"/>
  <c r="AO20" i="9"/>
  <c r="AO6" i="9"/>
  <c r="AO12" i="9"/>
  <c r="AO18" i="9"/>
  <c r="AO14" i="9"/>
  <c r="AO24" i="9"/>
  <c r="AO16" i="9"/>
  <c r="AO21" i="9"/>
  <c r="AO23" i="9"/>
  <c r="AO7" i="9"/>
  <c r="AO10" i="9"/>
  <c r="AO15" i="9"/>
  <c r="AO17" i="9"/>
  <c r="AO8" i="9"/>
  <c r="AO5" i="9"/>
  <c r="AN9" i="9"/>
  <c r="AN22" i="9"/>
  <c r="AN20" i="9"/>
  <c r="AN6" i="9"/>
  <c r="AN12" i="9"/>
  <c r="AN18" i="9"/>
  <c r="AN14" i="9"/>
  <c r="AN24" i="9"/>
  <c r="AN4" i="9"/>
  <c r="AN16" i="9"/>
  <c r="AN21" i="9"/>
  <c r="AN23" i="9"/>
  <c r="AN5" i="9"/>
  <c r="AN8" i="9"/>
  <c r="AN11" i="9"/>
  <c r="AN13" i="9"/>
  <c r="AN19" i="9"/>
  <c r="AN25" i="9"/>
  <c r="AN7" i="9"/>
  <c r="AN17" i="9"/>
  <c r="AN10" i="9"/>
  <c r="AN15" i="9"/>
  <c r="AM153" i="9"/>
  <c r="AM20" i="9"/>
  <c r="AM6" i="9"/>
  <c r="AM12" i="9"/>
  <c r="AM18" i="9"/>
  <c r="AM14" i="9"/>
  <c r="AM24" i="9"/>
  <c r="AM16" i="9"/>
  <c r="AM21" i="9"/>
  <c r="AM23" i="9"/>
  <c r="AM5" i="9"/>
  <c r="AM8" i="9"/>
  <c r="AM7" i="9"/>
  <c r="AM10" i="9"/>
  <c r="AM15" i="9"/>
  <c r="AM17" i="9"/>
  <c r="AM4" i="9"/>
  <c r="AM9" i="9"/>
  <c r="AM22" i="9"/>
  <c r="AM11" i="9"/>
  <c r="AM13" i="9"/>
  <c r="AM19" i="9"/>
  <c r="AM25" i="9"/>
  <c r="AK6" i="9"/>
  <c r="AK12" i="9"/>
  <c r="AK18" i="9"/>
  <c r="AK14" i="9"/>
  <c r="AK24" i="9"/>
  <c r="AK16" i="9"/>
  <c r="AK21" i="9"/>
  <c r="AK23" i="9"/>
  <c r="AK5" i="9"/>
  <c r="AK8" i="9"/>
  <c r="AK7" i="9"/>
  <c r="AK10" i="9"/>
  <c r="AK15" i="9"/>
  <c r="AK17" i="9"/>
  <c r="AK11" i="9"/>
  <c r="AK13" i="9"/>
  <c r="AK19" i="9"/>
  <c r="AK25" i="9"/>
  <c r="AK20" i="9"/>
  <c r="AK22" i="9"/>
  <c r="AK4" i="9"/>
  <c r="AK9" i="9"/>
  <c r="AL72" i="9"/>
  <c r="AL73" i="9" s="1"/>
  <c r="AL49" i="9"/>
  <c r="AL50" i="9" s="1"/>
  <c r="AL144" i="9"/>
  <c r="AL90" i="9" s="1"/>
  <c r="O97" i="6"/>
  <c r="G97" i="6"/>
  <c r="F97" i="6"/>
  <c r="M97" i="6"/>
  <c r="E97" i="6"/>
  <c r="N97" i="6"/>
  <c r="L97" i="6"/>
  <c r="D97" i="6"/>
  <c r="H97" i="6"/>
  <c r="K97" i="6"/>
  <c r="J97" i="6"/>
  <c r="I97" i="6"/>
  <c r="E118" i="1"/>
  <c r="G113" i="6"/>
  <c r="V46" i="10"/>
  <c r="V44" i="10"/>
  <c r="W44" i="10"/>
  <c r="W46" i="10"/>
  <c r="M113" i="6"/>
  <c r="E113" i="6"/>
  <c r="E108" i="6"/>
  <c r="L113" i="6"/>
  <c r="L108" i="6"/>
  <c r="D108" i="6"/>
  <c r="J113" i="6"/>
  <c r="R47" i="6"/>
  <c r="AL115" i="9"/>
  <c r="AL114" i="9"/>
  <c r="AL137" i="9"/>
  <c r="AL74" i="9" s="1"/>
  <c r="N113" i="6"/>
  <c r="N108" i="6"/>
  <c r="I113" i="6"/>
  <c r="O113" i="6"/>
  <c r="F113" i="6"/>
  <c r="F108" i="6"/>
  <c r="K113" i="6"/>
  <c r="K108" i="6"/>
  <c r="H113" i="6"/>
  <c r="R65" i="20"/>
  <c r="AO123" i="9"/>
  <c r="AO115" i="9"/>
  <c r="AO114" i="9"/>
  <c r="AK123" i="9"/>
  <c r="AK115" i="9"/>
  <c r="AK114" i="9"/>
  <c r="AM123" i="9"/>
  <c r="AM114" i="9"/>
  <c r="AM115" i="9"/>
  <c r="AN123" i="9"/>
  <c r="AN114" i="9"/>
  <c r="AN115" i="9"/>
  <c r="M46" i="10"/>
  <c r="N43" i="10"/>
  <c r="AB43" i="10" s="1"/>
  <c r="AH43" i="10" s="1"/>
  <c r="N46" i="10"/>
  <c r="M44" i="10"/>
  <c r="N44" i="10"/>
  <c r="M43" i="10"/>
  <c r="AA43" i="10" s="1"/>
  <c r="AG43" i="10" s="1"/>
  <c r="V43" i="10"/>
  <c r="W43" i="10"/>
  <c r="P115" i="9"/>
  <c r="AG114" i="9"/>
  <c r="M114" i="9"/>
  <c r="AH114" i="9"/>
  <c r="AF114" i="9"/>
  <c r="O114" i="9"/>
  <c r="AA114" i="9" s="1"/>
  <c r="Q115" i="9"/>
  <c r="P114" i="9"/>
  <c r="AB114" i="9" s="1"/>
  <c r="Q114" i="9"/>
  <c r="AC114" i="9" s="1"/>
  <c r="M115" i="9"/>
  <c r="O115" i="9"/>
  <c r="N115" i="9"/>
  <c r="AI114" i="9"/>
  <c r="AE114" i="9"/>
  <c r="N114" i="9"/>
  <c r="Z114" i="9" s="1"/>
  <c r="M123" i="9"/>
  <c r="Q123" i="9"/>
  <c r="N123" i="9"/>
  <c r="O123" i="9"/>
  <c r="P123" i="9"/>
  <c r="E169" i="6"/>
  <c r="F169" i="6"/>
  <c r="E28" i="14"/>
  <c r="E38" i="14" s="1"/>
  <c r="AL113" i="9"/>
  <c r="AL81" i="9"/>
  <c r="AL67" i="9"/>
  <c r="AL45" i="9"/>
  <c r="AM147" i="9"/>
  <c r="AM146" i="9"/>
  <c r="AO147" i="9"/>
  <c r="AO146" i="9"/>
  <c r="AK147" i="9"/>
  <c r="AK146" i="9"/>
  <c r="Q147" i="9"/>
  <c r="AC147" i="9" s="1"/>
  <c r="AG147" i="9"/>
  <c r="N147" i="9"/>
  <c r="Z147" i="9" s="1"/>
  <c r="AH146" i="9"/>
  <c r="N146" i="9"/>
  <c r="Z146" i="9" s="1"/>
  <c r="AF147" i="9"/>
  <c r="AR147" i="9" s="1"/>
  <c r="M147" i="9"/>
  <c r="AG146" i="9"/>
  <c r="M146" i="9"/>
  <c r="AI147" i="9"/>
  <c r="AE147" i="9"/>
  <c r="P147" i="9"/>
  <c r="AB147" i="9" s="1"/>
  <c r="AF146" i="9"/>
  <c r="AR146" i="9" s="1"/>
  <c r="AV146" i="9" s="1"/>
  <c r="AW146" i="9" s="1"/>
  <c r="P146" i="9"/>
  <c r="AB146" i="9" s="1"/>
  <c r="Q146" i="9"/>
  <c r="AC146" i="9" s="1"/>
  <c r="AH147" i="9"/>
  <c r="O147" i="9"/>
  <c r="AA147" i="9" s="1"/>
  <c r="AI146" i="9"/>
  <c r="AE146" i="9"/>
  <c r="O146" i="9"/>
  <c r="AA146" i="9" s="1"/>
  <c r="AN146" i="9"/>
  <c r="AN147" i="9"/>
  <c r="AG142" i="9"/>
  <c r="P142" i="9"/>
  <c r="AB142" i="9" s="1"/>
  <c r="AG141" i="9"/>
  <c r="P141" i="9"/>
  <c r="AB141" i="9" s="1"/>
  <c r="AF142" i="9"/>
  <c r="AR142" i="9" s="1"/>
  <c r="O142" i="9"/>
  <c r="AA142" i="9" s="1"/>
  <c r="AF141" i="9"/>
  <c r="AR141" i="9" s="1"/>
  <c r="O141" i="9"/>
  <c r="AA141" i="9" s="1"/>
  <c r="AI142" i="9"/>
  <c r="AE142" i="9"/>
  <c r="N142" i="9"/>
  <c r="Z142" i="9" s="1"/>
  <c r="AI141" i="9"/>
  <c r="AE141" i="9"/>
  <c r="N141" i="9"/>
  <c r="Z141" i="9" s="1"/>
  <c r="AH142" i="9"/>
  <c r="Q142" i="9"/>
  <c r="AC142" i="9" s="1"/>
  <c r="M142" i="9"/>
  <c r="AH141" i="9"/>
  <c r="Q141" i="9"/>
  <c r="AC141" i="9" s="1"/>
  <c r="M141" i="9"/>
  <c r="AN142" i="9"/>
  <c r="AN141" i="9"/>
  <c r="AM142" i="9"/>
  <c r="AM141" i="9"/>
  <c r="AO142" i="9"/>
  <c r="AO141" i="9"/>
  <c r="AK142" i="9"/>
  <c r="AK141" i="9"/>
  <c r="AO85" i="9"/>
  <c r="AO90" i="9"/>
  <c r="AK85" i="9"/>
  <c r="AK90" i="9"/>
  <c r="AM85" i="9"/>
  <c r="AM90" i="9"/>
  <c r="O90" i="9"/>
  <c r="AA90" i="9" s="1"/>
  <c r="N90" i="9"/>
  <c r="Z90" i="9" s="1"/>
  <c r="Q90" i="9"/>
  <c r="AC90" i="9" s="1"/>
  <c r="M90" i="9"/>
  <c r="P90" i="9"/>
  <c r="AB90" i="9" s="1"/>
  <c r="AN85" i="9"/>
  <c r="AN90" i="9"/>
  <c r="M85" i="9"/>
  <c r="Q85" i="9"/>
  <c r="AC85" i="9" s="1"/>
  <c r="AH85" i="9"/>
  <c r="O85" i="9"/>
  <c r="AA85" i="9" s="1"/>
  <c r="AF85" i="9"/>
  <c r="AG85" i="9"/>
  <c r="N85" i="9"/>
  <c r="Z85" i="9" s="1"/>
  <c r="AE85" i="9"/>
  <c r="AI85" i="9"/>
  <c r="P85" i="9"/>
  <c r="AB85" i="9" s="1"/>
  <c r="M49" i="10"/>
  <c r="W42" i="10"/>
  <c r="M42" i="10"/>
  <c r="AA42" i="10" s="1"/>
  <c r="W47" i="10"/>
  <c r="W41" i="10"/>
  <c r="M40" i="10"/>
  <c r="N42" i="10"/>
  <c r="M41" i="10"/>
  <c r="N47" i="10"/>
  <c r="V42" i="10"/>
  <c r="W40" i="10"/>
  <c r="N40" i="10"/>
  <c r="M47" i="10"/>
  <c r="N41" i="10"/>
  <c r="V40" i="10"/>
  <c r="V47" i="10"/>
  <c r="V41" i="10"/>
  <c r="V31" i="10"/>
  <c r="M31" i="10"/>
  <c r="W31" i="10"/>
  <c r="N31" i="10"/>
  <c r="F61" i="20"/>
  <c r="E61" i="20" s="1"/>
  <c r="F62" i="20"/>
  <c r="H16" i="20"/>
  <c r="C9" i="30" s="1"/>
  <c r="E16" i="20"/>
  <c r="U16" i="20" s="1"/>
  <c r="E87" i="20"/>
  <c r="U87" i="20" s="1"/>
  <c r="AM74" i="9"/>
  <c r="AM113" i="9"/>
  <c r="AM88" i="9"/>
  <c r="AO74" i="9"/>
  <c r="AO88" i="9"/>
  <c r="AO113" i="9"/>
  <c r="AK74" i="9"/>
  <c r="AK88" i="9"/>
  <c r="AK113" i="9"/>
  <c r="AN74" i="9"/>
  <c r="AN88" i="9"/>
  <c r="AN113" i="9"/>
  <c r="M18" i="10"/>
  <c r="S18" i="10" s="1"/>
  <c r="P88" i="9"/>
  <c r="AB88" i="9" s="1"/>
  <c r="M113" i="9"/>
  <c r="Q113" i="9"/>
  <c r="AC113" i="9" s="1"/>
  <c r="N88" i="9"/>
  <c r="O113" i="9"/>
  <c r="AA113" i="9" s="1"/>
  <c r="O88" i="9"/>
  <c r="AA88" i="9" s="1"/>
  <c r="P113" i="9"/>
  <c r="AB113" i="9" s="1"/>
  <c r="M88" i="9"/>
  <c r="Q88" i="9"/>
  <c r="AC88" i="9" s="1"/>
  <c r="N113" i="9"/>
  <c r="Z113" i="9" s="1"/>
  <c r="N52" i="10"/>
  <c r="T52" i="10" s="1"/>
  <c r="O74" i="9"/>
  <c r="N74" i="9"/>
  <c r="Q74" i="9"/>
  <c r="M74" i="9"/>
  <c r="P74" i="9"/>
  <c r="AO50" i="9"/>
  <c r="AO72" i="9"/>
  <c r="AK50" i="9"/>
  <c r="AK72" i="9"/>
  <c r="AM50" i="9"/>
  <c r="AM72" i="9"/>
  <c r="AF72" i="9"/>
  <c r="O72" i="9"/>
  <c r="AA72" i="9" s="1"/>
  <c r="AI72" i="9"/>
  <c r="AE72" i="9"/>
  <c r="N72" i="9"/>
  <c r="Z72" i="9" s="1"/>
  <c r="AH72" i="9"/>
  <c r="Q72" i="9"/>
  <c r="AC72" i="9" s="1"/>
  <c r="M72" i="9"/>
  <c r="AG72" i="9"/>
  <c r="P72" i="9"/>
  <c r="AB72" i="9" s="1"/>
  <c r="AN50" i="9"/>
  <c r="AN72" i="9"/>
  <c r="N50" i="9"/>
  <c r="Z50" i="9" s="1"/>
  <c r="AH50" i="9"/>
  <c r="AE50" i="9"/>
  <c r="AI50" i="9"/>
  <c r="P50" i="9"/>
  <c r="AB50" i="9" s="1"/>
  <c r="AF50" i="9"/>
  <c r="M50" i="9"/>
  <c r="Q50" i="9"/>
  <c r="AC50" i="9" s="1"/>
  <c r="AG50" i="9"/>
  <c r="O50" i="9"/>
  <c r="AA50" i="9" s="1"/>
  <c r="AO121" i="9"/>
  <c r="AO116" i="9"/>
  <c r="AK121" i="9"/>
  <c r="AK116" i="9"/>
  <c r="AM121" i="9"/>
  <c r="AM116" i="9"/>
  <c r="AG116" i="9"/>
  <c r="P116" i="9"/>
  <c r="AB116" i="9" s="1"/>
  <c r="AI116" i="9"/>
  <c r="N116" i="9"/>
  <c r="Z116" i="9" s="1"/>
  <c r="Q116" i="9"/>
  <c r="AC116" i="9" s="1"/>
  <c r="AF116" i="9"/>
  <c r="O116" i="9"/>
  <c r="AA116" i="9" s="1"/>
  <c r="AE116" i="9"/>
  <c r="AH116" i="9"/>
  <c r="M116" i="9"/>
  <c r="AN121" i="9"/>
  <c r="AN116" i="9"/>
  <c r="P121" i="9"/>
  <c r="AB121" i="9" s="1"/>
  <c r="M121" i="9"/>
  <c r="Q121" i="9"/>
  <c r="AC121" i="9" s="1"/>
  <c r="N121" i="9"/>
  <c r="O121" i="9"/>
  <c r="AA121" i="9" s="1"/>
  <c r="D31" i="1"/>
  <c r="D50" i="14" s="1"/>
  <c r="AM73" i="9"/>
  <c r="AO73" i="9"/>
  <c r="AK73" i="9"/>
  <c r="P73" i="9"/>
  <c r="M73" i="9"/>
  <c r="N73" i="9"/>
  <c r="O73" i="9"/>
  <c r="Q73" i="9"/>
  <c r="AN73" i="9"/>
  <c r="P69" i="9"/>
  <c r="M69" i="9"/>
  <c r="Q69" i="9"/>
  <c r="N69" i="9"/>
  <c r="O69" i="9"/>
  <c r="AN66" i="9"/>
  <c r="AN69" i="9"/>
  <c r="AM66" i="9"/>
  <c r="AM69" i="9"/>
  <c r="AO66" i="9"/>
  <c r="AO69" i="9"/>
  <c r="AK66" i="9"/>
  <c r="AK69" i="9"/>
  <c r="P66" i="9"/>
  <c r="O66" i="9"/>
  <c r="N66" i="9"/>
  <c r="M66" i="9"/>
  <c r="Q66" i="9"/>
  <c r="AM60" i="9"/>
  <c r="AM63" i="9"/>
  <c r="AO60" i="9"/>
  <c r="AO63" i="9"/>
  <c r="AK60" i="9"/>
  <c r="AK63" i="9"/>
  <c r="P63" i="9"/>
  <c r="N63" i="9"/>
  <c r="M63" i="9"/>
  <c r="Q63" i="9"/>
  <c r="O63" i="9"/>
  <c r="AN60" i="9"/>
  <c r="AN63" i="9"/>
  <c r="O60" i="9"/>
  <c r="N60" i="9"/>
  <c r="P60" i="9"/>
  <c r="M60" i="9"/>
  <c r="Q60" i="9"/>
  <c r="AL153" i="9"/>
  <c r="AO47" i="9"/>
  <c r="AO119" i="9"/>
  <c r="AK47" i="9"/>
  <c r="AK119" i="9"/>
  <c r="AM119" i="9"/>
  <c r="AM92" i="9"/>
  <c r="N119" i="9"/>
  <c r="Q119" i="9"/>
  <c r="M119" i="9"/>
  <c r="O119" i="9"/>
  <c r="P119" i="9"/>
  <c r="AN47" i="9"/>
  <c r="AN119" i="9"/>
  <c r="AM44" i="9"/>
  <c r="AM47" i="9"/>
  <c r="P47" i="9"/>
  <c r="O47" i="9"/>
  <c r="N47" i="9"/>
  <c r="M47" i="9"/>
  <c r="Q47" i="9"/>
  <c r="AO39" i="9"/>
  <c r="AO44" i="9"/>
  <c r="AK39" i="9"/>
  <c r="AK44" i="9"/>
  <c r="N44" i="9"/>
  <c r="Q44" i="9"/>
  <c r="P44" i="9"/>
  <c r="O44" i="9"/>
  <c r="M44" i="9"/>
  <c r="AN39" i="9"/>
  <c r="AN44" i="9"/>
  <c r="Q39" i="9"/>
  <c r="O39" i="9"/>
  <c r="P39" i="9"/>
  <c r="N39" i="9"/>
  <c r="M39" i="9"/>
  <c r="AM36" i="9"/>
  <c r="AM39" i="9"/>
  <c r="AO117" i="9"/>
  <c r="AO36" i="9"/>
  <c r="AK117" i="9"/>
  <c r="AK36" i="9"/>
  <c r="O36" i="9"/>
  <c r="N36" i="9"/>
  <c r="Z36" i="9" s="1"/>
  <c r="P36" i="9"/>
  <c r="M36" i="9"/>
  <c r="Q36" i="9"/>
  <c r="AN117" i="9"/>
  <c r="AN36" i="9"/>
  <c r="AM117" i="9"/>
  <c r="M117" i="9"/>
  <c r="Q117" i="9"/>
  <c r="O117" i="9"/>
  <c r="N117" i="9"/>
  <c r="Z117" i="9" s="1"/>
  <c r="P117" i="9"/>
  <c r="I42" i="14"/>
  <c r="I41" i="14"/>
  <c r="N4" i="10"/>
  <c r="T4" i="10" s="1"/>
  <c r="R46" i="20"/>
  <c r="P122" i="9"/>
  <c r="AB122" i="9" s="1"/>
  <c r="AG122" i="9"/>
  <c r="N86" i="9"/>
  <c r="Z86" i="9" s="1"/>
  <c r="AE86" i="9"/>
  <c r="AI86" i="9"/>
  <c r="P89" i="9"/>
  <c r="AB89" i="9" s="1"/>
  <c r="AG89" i="9"/>
  <c r="N144" i="9"/>
  <c r="AE144" i="9"/>
  <c r="AI144" i="9"/>
  <c r="P145" i="9"/>
  <c r="AG145" i="9"/>
  <c r="N122" i="9"/>
  <c r="Z122" i="9" s="1"/>
  <c r="P86" i="9"/>
  <c r="AB86" i="9" s="1"/>
  <c r="N89" i="9"/>
  <c r="Z89" i="9" s="1"/>
  <c r="AI89" i="9"/>
  <c r="AG144" i="9"/>
  <c r="AE145" i="9"/>
  <c r="O122" i="9"/>
  <c r="AA122" i="9" s="1"/>
  <c r="M86" i="9"/>
  <c r="AH86" i="9"/>
  <c r="AF89" i="9"/>
  <c r="Q144" i="9"/>
  <c r="O145" i="9"/>
  <c r="M122" i="9"/>
  <c r="Q122" i="9"/>
  <c r="AC122" i="9" s="1"/>
  <c r="AH122" i="9"/>
  <c r="O86" i="9"/>
  <c r="AA86" i="9" s="1"/>
  <c r="AF86" i="9"/>
  <c r="M89" i="9"/>
  <c r="Q89" i="9"/>
  <c r="AC89" i="9" s="1"/>
  <c r="AH89" i="9"/>
  <c r="O144" i="9"/>
  <c r="AF144" i="9"/>
  <c r="M145" i="9"/>
  <c r="Q145" i="9"/>
  <c r="AH145" i="9"/>
  <c r="AE122" i="9"/>
  <c r="AI122" i="9"/>
  <c r="AG86" i="9"/>
  <c r="AE89" i="9"/>
  <c r="P144" i="9"/>
  <c r="N145" i="9"/>
  <c r="AI145" i="9"/>
  <c r="AF122" i="9"/>
  <c r="Q86" i="9"/>
  <c r="AC86" i="9" s="1"/>
  <c r="O89" i="9"/>
  <c r="AA89" i="9" s="1"/>
  <c r="M144" i="9"/>
  <c r="AH144" i="9"/>
  <c r="AF145" i="9"/>
  <c r="M19" i="10"/>
  <c r="S19" i="10" s="1"/>
  <c r="M26" i="10"/>
  <c r="S26" i="10" s="1"/>
  <c r="V39" i="10"/>
  <c r="V37" i="10"/>
  <c r="V33" i="10"/>
  <c r="W38" i="10"/>
  <c r="W36" i="10"/>
  <c r="W32" i="10"/>
  <c r="V36" i="10"/>
  <c r="V32" i="10"/>
  <c r="W39" i="10"/>
  <c r="W37" i="10"/>
  <c r="W35" i="10"/>
  <c r="W33" i="10"/>
  <c r="W30" i="10"/>
  <c r="V35" i="10"/>
  <c r="V30" i="10"/>
  <c r="W34" i="10"/>
  <c r="W29" i="10"/>
  <c r="V38" i="10"/>
  <c r="V34" i="10"/>
  <c r="V29" i="10"/>
  <c r="AN86" i="9"/>
  <c r="AN145" i="9"/>
  <c r="AN144" i="9"/>
  <c r="AN122" i="9"/>
  <c r="AN89" i="9"/>
  <c r="AO122" i="9"/>
  <c r="AO89" i="9"/>
  <c r="AO86" i="9"/>
  <c r="AO144" i="9"/>
  <c r="AO145" i="9"/>
  <c r="AK122" i="9"/>
  <c r="AK86" i="9"/>
  <c r="AK144" i="9"/>
  <c r="AK89" i="9"/>
  <c r="AK145" i="9"/>
  <c r="AM86" i="9"/>
  <c r="AM122" i="9"/>
  <c r="AM89" i="9"/>
  <c r="AM145" i="9"/>
  <c r="AM144" i="9"/>
  <c r="I29" i="14"/>
  <c r="I39" i="14" s="1"/>
  <c r="C198" i="1"/>
  <c r="Q125" i="9"/>
  <c r="N33" i="9"/>
  <c r="Z33" i="9" s="1"/>
  <c r="D29" i="14"/>
  <c r="D39" i="14" s="1"/>
  <c r="M15" i="10"/>
  <c r="S15" i="10" s="1"/>
  <c r="M51" i="10"/>
  <c r="AA51" i="10" s="1"/>
  <c r="AG51" i="10" s="1"/>
  <c r="M11" i="10"/>
  <c r="S11" i="10" s="1"/>
  <c r="M103" i="10"/>
  <c r="M30" i="10"/>
  <c r="M33" i="10"/>
  <c r="M35" i="10"/>
  <c r="M37" i="10"/>
  <c r="M39" i="10"/>
  <c r="N29" i="10"/>
  <c r="M34" i="10"/>
  <c r="M36" i="10"/>
  <c r="N33" i="10"/>
  <c r="N37" i="10"/>
  <c r="M29" i="10"/>
  <c r="N32" i="10"/>
  <c r="N34" i="10"/>
  <c r="N36" i="10"/>
  <c r="N38" i="10"/>
  <c r="M32" i="10"/>
  <c r="M38" i="10"/>
  <c r="N30" i="10"/>
  <c r="N35" i="10"/>
  <c r="N39" i="10"/>
  <c r="M10" i="10"/>
  <c r="S10" i="10" s="1"/>
  <c r="N28" i="10"/>
  <c r="AB28" i="10" s="1"/>
  <c r="M4" i="10"/>
  <c r="M25" i="10"/>
  <c r="AA25" i="10" s="1"/>
  <c r="M7" i="10"/>
  <c r="S7" i="10" s="1"/>
  <c r="M22" i="10"/>
  <c r="S22" i="10" s="1"/>
  <c r="M8" i="10"/>
  <c r="S8" i="10" s="1"/>
  <c r="M23" i="10"/>
  <c r="AA23" i="10" s="1"/>
  <c r="N97" i="10"/>
  <c r="N10" i="10"/>
  <c r="AB10" i="10" s="1"/>
  <c r="N18" i="10"/>
  <c r="AB18" i="10" s="1"/>
  <c r="N25" i="10"/>
  <c r="AB25" i="10" s="1"/>
  <c r="N51" i="10"/>
  <c r="T51" i="10" s="1"/>
  <c r="M6" i="10"/>
  <c r="S6" i="10" s="1"/>
  <c r="M14" i="10"/>
  <c r="S14" i="10" s="1"/>
  <c r="M99" i="10"/>
  <c r="AA99" i="10" s="1"/>
  <c r="M28" i="10"/>
  <c r="AA28" i="10" s="1"/>
  <c r="M98" i="10"/>
  <c r="S98" i="10" s="1"/>
  <c r="M9" i="10"/>
  <c r="S9" i="10" s="1"/>
  <c r="M13" i="10"/>
  <c r="S13" i="10" s="1"/>
  <c r="M17" i="10"/>
  <c r="S17" i="10" s="1"/>
  <c r="M21" i="10"/>
  <c r="S21" i="10" s="1"/>
  <c r="M24" i="10"/>
  <c r="S24" i="10" s="1"/>
  <c r="M101" i="10"/>
  <c r="S101" i="10" s="1"/>
  <c r="N50" i="10"/>
  <c r="T50" i="10" s="1"/>
  <c r="M16" i="10"/>
  <c r="S16" i="10" s="1"/>
  <c r="M50" i="10"/>
  <c r="AA50" i="10" s="1"/>
  <c r="AG50" i="10" s="1"/>
  <c r="N6" i="10"/>
  <c r="T6" i="10" s="1"/>
  <c r="N14" i="10"/>
  <c r="AB14" i="10" s="1"/>
  <c r="N99" i="10"/>
  <c r="AB99" i="10" s="1"/>
  <c r="M102" i="10"/>
  <c r="AA102" i="10" s="1"/>
  <c r="M5" i="10"/>
  <c r="AA5" i="10" s="1"/>
  <c r="M12" i="10"/>
  <c r="S12" i="10" s="1"/>
  <c r="M20" i="10"/>
  <c r="S20" i="10" s="1"/>
  <c r="M100" i="10"/>
  <c r="AA100" i="10" s="1"/>
  <c r="M52" i="10"/>
  <c r="AA52" i="10" s="1"/>
  <c r="AG52" i="10" s="1"/>
  <c r="N5" i="10"/>
  <c r="AB5" i="10" s="1"/>
  <c r="N8" i="10"/>
  <c r="AB8" i="10" s="1"/>
  <c r="N12" i="10"/>
  <c r="AB12" i="10" s="1"/>
  <c r="N16" i="10"/>
  <c r="AB16" i="10" s="1"/>
  <c r="N20" i="10"/>
  <c r="AB20" i="10" s="1"/>
  <c r="N23" i="10"/>
  <c r="AB23" i="10" s="1"/>
  <c r="N100" i="10"/>
  <c r="AB100" i="10" s="1"/>
  <c r="E36" i="14"/>
  <c r="AN139" i="9"/>
  <c r="AN140" i="9"/>
  <c r="AO139" i="9"/>
  <c r="AO140" i="9"/>
  <c r="AK139" i="9"/>
  <c r="AK140" i="9"/>
  <c r="N139" i="9"/>
  <c r="AE139" i="9"/>
  <c r="AI139" i="9"/>
  <c r="M140" i="9"/>
  <c r="Q140" i="9"/>
  <c r="AH140" i="9"/>
  <c r="Q139" i="9"/>
  <c r="P140" i="9"/>
  <c r="P139" i="9"/>
  <c r="AF140" i="9"/>
  <c r="O139" i="9"/>
  <c r="AF139" i="9"/>
  <c r="N140" i="9"/>
  <c r="AE140" i="9"/>
  <c r="AI140" i="9"/>
  <c r="M139" i="9"/>
  <c r="AH139" i="9"/>
  <c r="AG140" i="9"/>
  <c r="AG139" i="9"/>
  <c r="O140" i="9"/>
  <c r="AM140" i="9"/>
  <c r="AM139" i="9"/>
  <c r="AF127" i="9"/>
  <c r="N136" i="9"/>
  <c r="M127" i="9"/>
  <c r="Q29" i="9"/>
  <c r="AI29" i="9" s="1"/>
  <c r="AO35" i="9"/>
  <c r="AO38" i="9"/>
  <c r="AO41" i="9"/>
  <c r="AO43" i="9"/>
  <c r="AO46" i="9"/>
  <c r="AO136" i="9"/>
  <c r="AO49" i="9"/>
  <c r="AO52" i="9"/>
  <c r="AO54" i="9"/>
  <c r="AO138" i="9"/>
  <c r="AO118" i="9"/>
  <c r="AO59" i="9"/>
  <c r="AO62" i="9"/>
  <c r="AO65" i="9"/>
  <c r="AO68" i="9"/>
  <c r="AO71" i="9"/>
  <c r="AK35" i="9"/>
  <c r="AK38" i="9"/>
  <c r="AK41" i="9"/>
  <c r="AK43" i="9"/>
  <c r="AK46" i="9"/>
  <c r="AK136" i="9"/>
  <c r="AK49" i="9"/>
  <c r="AK52" i="9"/>
  <c r="AK54" i="9"/>
  <c r="AK138" i="9"/>
  <c r="AK118" i="9"/>
  <c r="AK59" i="9"/>
  <c r="AK62" i="9"/>
  <c r="AK65" i="9"/>
  <c r="AK68" i="9"/>
  <c r="AK71" i="9"/>
  <c r="P35" i="9"/>
  <c r="AB35" i="9" s="1"/>
  <c r="AG35" i="9"/>
  <c r="P38" i="9"/>
  <c r="AB38" i="9" s="1"/>
  <c r="AG38" i="9"/>
  <c r="P41" i="9"/>
  <c r="AB41" i="9" s="1"/>
  <c r="AG41" i="9"/>
  <c r="P43" i="9"/>
  <c r="AB43" i="9" s="1"/>
  <c r="AG43" i="9"/>
  <c r="P46" i="9"/>
  <c r="AB46" i="9" s="1"/>
  <c r="AG46" i="9"/>
  <c r="P136" i="9"/>
  <c r="AG136" i="9"/>
  <c r="P49" i="9"/>
  <c r="AB49" i="9" s="1"/>
  <c r="AG49" i="9"/>
  <c r="P52" i="9"/>
  <c r="AB52" i="9" s="1"/>
  <c r="AG52" i="9"/>
  <c r="P54" i="9"/>
  <c r="AB54" i="9" s="1"/>
  <c r="AG54" i="9"/>
  <c r="P138" i="9"/>
  <c r="AG138" i="9"/>
  <c r="P118" i="9"/>
  <c r="AB118" i="9" s="1"/>
  <c r="AG118" i="9"/>
  <c r="P59" i="9"/>
  <c r="AB59" i="9" s="1"/>
  <c r="AG59" i="9"/>
  <c r="P62" i="9"/>
  <c r="AB62" i="9" s="1"/>
  <c r="AG62" i="9"/>
  <c r="P65" i="9"/>
  <c r="AB65" i="9" s="1"/>
  <c r="AG65" i="9"/>
  <c r="P68" i="9"/>
  <c r="AB68" i="9" s="1"/>
  <c r="AG68" i="9"/>
  <c r="P71" i="9"/>
  <c r="AB71" i="9" s="1"/>
  <c r="AG71" i="9"/>
  <c r="AF71" i="9"/>
  <c r="AE35" i="9"/>
  <c r="AE38" i="9"/>
  <c r="N41" i="9"/>
  <c r="Z41" i="9" s="1"/>
  <c r="AI41" i="9"/>
  <c r="N43" i="9"/>
  <c r="Z43" i="9" s="1"/>
  <c r="N46" i="9"/>
  <c r="Z46" i="9" s="1"/>
  <c r="AI46" i="9"/>
  <c r="N49" i="9"/>
  <c r="Z49" i="9" s="1"/>
  <c r="AI49" i="9"/>
  <c r="AE52" i="9"/>
  <c r="N54" i="9"/>
  <c r="Z54" i="9" s="1"/>
  <c r="AI54" i="9"/>
  <c r="AE138" i="9"/>
  <c r="N118" i="9"/>
  <c r="Z118" i="9" s="1"/>
  <c r="AI118" i="9"/>
  <c r="AE59" i="9"/>
  <c r="N62" i="9"/>
  <c r="Z62" i="9" s="1"/>
  <c r="AI62" i="9"/>
  <c r="AE65" i="9"/>
  <c r="N68" i="9"/>
  <c r="Z68" i="9" s="1"/>
  <c r="AI68" i="9"/>
  <c r="AE71" i="9"/>
  <c r="M35" i="9"/>
  <c r="AH35" i="9"/>
  <c r="Q38" i="9"/>
  <c r="AC38" i="9" s="1"/>
  <c r="M41" i="9"/>
  <c r="AH41" i="9"/>
  <c r="Q43" i="9"/>
  <c r="AC43" i="9" s="1"/>
  <c r="M46" i="9"/>
  <c r="AH46" i="9"/>
  <c r="Q136" i="9"/>
  <c r="M49" i="9"/>
  <c r="AH49" i="9"/>
  <c r="Q52" i="9"/>
  <c r="AC52" i="9" s="1"/>
  <c r="M54" i="9"/>
  <c r="AH54" i="9"/>
  <c r="Q138" i="9"/>
  <c r="M118" i="9"/>
  <c r="AH118" i="9"/>
  <c r="Q59" i="9"/>
  <c r="AC59" i="9" s="1"/>
  <c r="M62" i="9"/>
  <c r="AH62" i="9"/>
  <c r="Q65" i="9"/>
  <c r="AC65" i="9" s="1"/>
  <c r="M68" i="9"/>
  <c r="AH68" i="9"/>
  <c r="Q71" i="9"/>
  <c r="AC71" i="9" s="1"/>
  <c r="O35" i="9"/>
  <c r="AA35" i="9" s="1"/>
  <c r="AF35" i="9"/>
  <c r="O38" i="9"/>
  <c r="AA38" i="9" s="1"/>
  <c r="AF38" i="9"/>
  <c r="O41" i="9"/>
  <c r="AA41" i="9" s="1"/>
  <c r="AF41" i="9"/>
  <c r="O43" i="9"/>
  <c r="AA43" i="9" s="1"/>
  <c r="AF43" i="9"/>
  <c r="O46" i="9"/>
  <c r="AA46" i="9" s="1"/>
  <c r="AF46" i="9"/>
  <c r="O136" i="9"/>
  <c r="AF136" i="9"/>
  <c r="O49" i="9"/>
  <c r="AA49" i="9" s="1"/>
  <c r="AF49" i="9"/>
  <c r="O52" i="9"/>
  <c r="AA52" i="9" s="1"/>
  <c r="AF52" i="9"/>
  <c r="O54" i="9"/>
  <c r="AA54" i="9" s="1"/>
  <c r="AF54" i="9"/>
  <c r="O138" i="9"/>
  <c r="AF138" i="9"/>
  <c r="O118" i="9"/>
  <c r="AA118" i="9" s="1"/>
  <c r="AF118" i="9"/>
  <c r="O59" i="9"/>
  <c r="AA59" i="9" s="1"/>
  <c r="AF59" i="9"/>
  <c r="O62" i="9"/>
  <c r="AA62" i="9" s="1"/>
  <c r="AF62" i="9"/>
  <c r="O65" i="9"/>
  <c r="AA65" i="9" s="1"/>
  <c r="AF65" i="9"/>
  <c r="O68" i="9"/>
  <c r="AA68" i="9" s="1"/>
  <c r="AF68" i="9"/>
  <c r="O71" i="9"/>
  <c r="AA71" i="9" s="1"/>
  <c r="N35" i="9"/>
  <c r="Z35" i="9" s="1"/>
  <c r="AI35" i="9"/>
  <c r="N38" i="9"/>
  <c r="Z38" i="9" s="1"/>
  <c r="AI38" i="9"/>
  <c r="AE41" i="9"/>
  <c r="AE43" i="9"/>
  <c r="AI43" i="9"/>
  <c r="AE46" i="9"/>
  <c r="AE136" i="9"/>
  <c r="AI136" i="9"/>
  <c r="AE49" i="9"/>
  <c r="N52" i="9"/>
  <c r="Z52" i="9" s="1"/>
  <c r="AI52" i="9"/>
  <c r="AE54" i="9"/>
  <c r="N138" i="9"/>
  <c r="AI138" i="9"/>
  <c r="AE118" i="9"/>
  <c r="N59" i="9"/>
  <c r="Z59" i="9" s="1"/>
  <c r="AI59" i="9"/>
  <c r="AE62" i="9"/>
  <c r="N65" i="9"/>
  <c r="Z65" i="9" s="1"/>
  <c r="AI65" i="9"/>
  <c r="AE68" i="9"/>
  <c r="N71" i="9"/>
  <c r="Z71" i="9" s="1"/>
  <c r="AI71" i="9"/>
  <c r="Q35" i="9"/>
  <c r="AC35" i="9" s="1"/>
  <c r="M38" i="9"/>
  <c r="AH38" i="9"/>
  <c r="Q41" i="9"/>
  <c r="AC41" i="9" s="1"/>
  <c r="M43" i="9"/>
  <c r="AH43" i="9"/>
  <c r="Q46" i="9"/>
  <c r="AC46" i="9" s="1"/>
  <c r="M136" i="9"/>
  <c r="AH136" i="9"/>
  <c r="Q49" i="9"/>
  <c r="AC49" i="9" s="1"/>
  <c r="M52" i="9"/>
  <c r="AH52" i="9"/>
  <c r="Q54" i="9"/>
  <c r="AC54" i="9" s="1"/>
  <c r="M138" i="9"/>
  <c r="AH138" i="9"/>
  <c r="Q118" i="9"/>
  <c r="AC118" i="9" s="1"/>
  <c r="M59" i="9"/>
  <c r="AH59" i="9"/>
  <c r="Q62" i="9"/>
  <c r="AC62" i="9" s="1"/>
  <c r="M65" i="9"/>
  <c r="AH65" i="9"/>
  <c r="Q68" i="9"/>
  <c r="AC68" i="9" s="1"/>
  <c r="M71" i="9"/>
  <c r="AH71" i="9"/>
  <c r="AN35" i="9"/>
  <c r="AN38" i="9"/>
  <c r="AN43" i="9"/>
  <c r="AN136" i="9"/>
  <c r="AN52" i="9"/>
  <c r="AN138" i="9"/>
  <c r="AN59" i="9"/>
  <c r="AN65" i="9"/>
  <c r="AN71" i="9"/>
  <c r="AN41" i="9"/>
  <c r="AN46" i="9"/>
  <c r="AN49" i="9"/>
  <c r="AN54" i="9"/>
  <c r="AN118" i="9"/>
  <c r="AN62" i="9"/>
  <c r="AN68" i="9"/>
  <c r="AM38" i="9"/>
  <c r="AM43" i="9"/>
  <c r="AM136" i="9"/>
  <c r="AM52" i="9"/>
  <c r="AM138" i="9"/>
  <c r="AM59" i="9"/>
  <c r="AM65" i="9"/>
  <c r="AM71" i="9"/>
  <c r="AM35" i="9"/>
  <c r="AM41" i="9"/>
  <c r="AM46" i="9"/>
  <c r="AM49" i="9"/>
  <c r="AM54" i="9"/>
  <c r="AM118" i="9"/>
  <c r="AM62" i="9"/>
  <c r="AM68" i="9"/>
  <c r="O106" i="9"/>
  <c r="O153" i="9"/>
  <c r="Q135" i="9"/>
  <c r="AE126" i="9"/>
  <c r="P37" i="9"/>
  <c r="AB37" i="9" s="1"/>
  <c r="AF105" i="9"/>
  <c r="AG131" i="9"/>
  <c r="Q67" i="9"/>
  <c r="AC67" i="9" s="1"/>
  <c r="N34" i="9"/>
  <c r="Z34" i="9" s="1"/>
  <c r="N75" i="9"/>
  <c r="Z75" i="9" s="1"/>
  <c r="AI129" i="9"/>
  <c r="P134" i="9"/>
  <c r="M58" i="9"/>
  <c r="Q104" i="9"/>
  <c r="AI130" i="9"/>
  <c r="Q87" i="9"/>
  <c r="AC87" i="9" s="1"/>
  <c r="O64" i="9"/>
  <c r="AA64" i="9" s="1"/>
  <c r="E45" i="20"/>
  <c r="E57" i="20"/>
  <c r="U57" i="20" s="1"/>
  <c r="F14" i="20"/>
  <c r="E14" i="20" s="1"/>
  <c r="K36" i="14"/>
  <c r="M84" i="20" s="1"/>
  <c r="J84" i="20" s="1"/>
  <c r="S84" i="20" s="1"/>
  <c r="C119" i="1"/>
  <c r="D19" i="30"/>
  <c r="E59" i="20"/>
  <c r="U59" i="20" s="1"/>
  <c r="D28" i="14"/>
  <c r="D38" i="14" s="1"/>
  <c r="B18" i="30"/>
  <c r="B22" i="30"/>
  <c r="B23" i="30"/>
  <c r="B16" i="30"/>
  <c r="B11" i="30"/>
  <c r="B19" i="30"/>
  <c r="B13" i="30"/>
  <c r="B24" i="30"/>
  <c r="B10" i="30"/>
  <c r="B14" i="30"/>
  <c r="B20" i="30"/>
  <c r="B12" i="30"/>
  <c r="B21" i="30"/>
  <c r="B17" i="30"/>
  <c r="B15" i="30"/>
  <c r="D36" i="14"/>
  <c r="M14" i="20" s="1"/>
  <c r="G9" i="30" s="1"/>
  <c r="G21" i="30" s="1"/>
  <c r="K50" i="14"/>
  <c r="G50" i="14"/>
  <c r="D230" i="1"/>
  <c r="D222" i="1"/>
  <c r="D223" i="1"/>
  <c r="AN31" i="9"/>
  <c r="AN40" i="9"/>
  <c r="AN107" i="9"/>
  <c r="AN148" i="9"/>
  <c r="AN109" i="9"/>
  <c r="AN64" i="9"/>
  <c r="AN111" i="9"/>
  <c r="AN152" i="9"/>
  <c r="AN82" i="9"/>
  <c r="AN120" i="9"/>
  <c r="AN91" i="9"/>
  <c r="AN45" i="9"/>
  <c r="AN58" i="9"/>
  <c r="AN80" i="9"/>
  <c r="AN30" i="9"/>
  <c r="AN37" i="9"/>
  <c r="AN48" i="9"/>
  <c r="AN53" i="9"/>
  <c r="AN56" i="9"/>
  <c r="AN61" i="9"/>
  <c r="AN70" i="9"/>
  <c r="AN78" i="9"/>
  <c r="AN81" i="9"/>
  <c r="AN112" i="9"/>
  <c r="AN34" i="9"/>
  <c r="AN124" i="9"/>
  <c r="AN110" i="9"/>
  <c r="AN84" i="9"/>
  <c r="AN33" i="9"/>
  <c r="AN42" i="9"/>
  <c r="AN51" i="9"/>
  <c r="AN55" i="9"/>
  <c r="AN57" i="9"/>
  <c r="AN67" i="9"/>
  <c r="AN75" i="9"/>
  <c r="AN79" i="9"/>
  <c r="AN83" i="9"/>
  <c r="AN153" i="9"/>
  <c r="AN92" i="9"/>
  <c r="AN106" i="9"/>
  <c r="AN76" i="9"/>
  <c r="AN87" i="9"/>
  <c r="AO31" i="9"/>
  <c r="AO40" i="9"/>
  <c r="AO107" i="9"/>
  <c r="AO148" i="9"/>
  <c r="AO109" i="9"/>
  <c r="AO111" i="9"/>
  <c r="AO152" i="9"/>
  <c r="AO82" i="9"/>
  <c r="AO120" i="9"/>
  <c r="AO91" i="9"/>
  <c r="AO45" i="9"/>
  <c r="AO76" i="9"/>
  <c r="AO87" i="9"/>
  <c r="AO30" i="9"/>
  <c r="AO37" i="9"/>
  <c r="AO48" i="9"/>
  <c r="AO53" i="9"/>
  <c r="AO56" i="9"/>
  <c r="AO61" i="9"/>
  <c r="AO70" i="9"/>
  <c r="AO78" i="9"/>
  <c r="AO81" i="9"/>
  <c r="AO112" i="9"/>
  <c r="AO34" i="9"/>
  <c r="AO106" i="9"/>
  <c r="AO58" i="9"/>
  <c r="AO80" i="9"/>
  <c r="AO33" i="9"/>
  <c r="AO42" i="9"/>
  <c r="AO51" i="9"/>
  <c r="AO55" i="9"/>
  <c r="AO57" i="9"/>
  <c r="AO67" i="9"/>
  <c r="AO75" i="9"/>
  <c r="AO79" i="9"/>
  <c r="AO83" i="9"/>
  <c r="AO153" i="9"/>
  <c r="AO92" i="9"/>
  <c r="AO29" i="9"/>
  <c r="AO124" i="9"/>
  <c r="AO110" i="9"/>
  <c r="AO84" i="9"/>
  <c r="AO93" i="9"/>
  <c r="AK30" i="9"/>
  <c r="AK37" i="9"/>
  <c r="AK48" i="9"/>
  <c r="AK53" i="9"/>
  <c r="AK56" i="9"/>
  <c r="AK61" i="9"/>
  <c r="AK70" i="9"/>
  <c r="AK78" i="9"/>
  <c r="AK81" i="9"/>
  <c r="AK112" i="9"/>
  <c r="AK33" i="9"/>
  <c r="AK55" i="9"/>
  <c r="AK75" i="9"/>
  <c r="AK153" i="9"/>
  <c r="AK29" i="9"/>
  <c r="AK34" i="9"/>
  <c r="AK45" i="9"/>
  <c r="AK124" i="9"/>
  <c r="AK106" i="9"/>
  <c r="AK58" i="9"/>
  <c r="AK110" i="9"/>
  <c r="AK76" i="9"/>
  <c r="AK80" i="9"/>
  <c r="AK84" i="9"/>
  <c r="AK87" i="9"/>
  <c r="AK51" i="9"/>
  <c r="AK57" i="9"/>
  <c r="AK79" i="9"/>
  <c r="AK31" i="9"/>
  <c r="AK40" i="9"/>
  <c r="AK107" i="9"/>
  <c r="AK148" i="9"/>
  <c r="AK109" i="9"/>
  <c r="AK64" i="9"/>
  <c r="AK111" i="9"/>
  <c r="AK152" i="9"/>
  <c r="AK82" i="9"/>
  <c r="AK120" i="9"/>
  <c r="AK91" i="9"/>
  <c r="AK42" i="9"/>
  <c r="AK67" i="9"/>
  <c r="AK83" i="9"/>
  <c r="AK92" i="9"/>
  <c r="AL78" i="9"/>
  <c r="AL53" i="9"/>
  <c r="AL54" i="9" s="1"/>
  <c r="AL56" i="9"/>
  <c r="AL51" i="9"/>
  <c r="AL52" i="9" s="1"/>
  <c r="AL76" i="9"/>
  <c r="AL124" i="9"/>
  <c r="AL106" i="9"/>
  <c r="AL75" i="9"/>
  <c r="AL111" i="9"/>
  <c r="AL107" i="9"/>
  <c r="AL148" i="9"/>
  <c r="AL109" i="9"/>
  <c r="AL55" i="9"/>
  <c r="AM33" i="9"/>
  <c r="AM42" i="9"/>
  <c r="AM51" i="9"/>
  <c r="AM55" i="9"/>
  <c r="AM57" i="9"/>
  <c r="AM67" i="9"/>
  <c r="AM75" i="9"/>
  <c r="AM79" i="9"/>
  <c r="AM83" i="9"/>
  <c r="AM30" i="9"/>
  <c r="AM53" i="9"/>
  <c r="AM70" i="9"/>
  <c r="AM112" i="9"/>
  <c r="AM31" i="9"/>
  <c r="AM40" i="9"/>
  <c r="AM107" i="9"/>
  <c r="AM148" i="9"/>
  <c r="AM109" i="9"/>
  <c r="AM64" i="9"/>
  <c r="AM111" i="9"/>
  <c r="AM152" i="9"/>
  <c r="AM82" i="9"/>
  <c r="AM120" i="9"/>
  <c r="AM91" i="9"/>
  <c r="AM37" i="9"/>
  <c r="AM61" i="9"/>
  <c r="AM81" i="9"/>
  <c r="AM34" i="9"/>
  <c r="AM45" i="9"/>
  <c r="AM124" i="9"/>
  <c r="AM106" i="9"/>
  <c r="AM58" i="9"/>
  <c r="AM110" i="9"/>
  <c r="AM76" i="9"/>
  <c r="AM80" i="9"/>
  <c r="AM84" i="9"/>
  <c r="AM87" i="9"/>
  <c r="AM48" i="9"/>
  <c r="AM56" i="9"/>
  <c r="AM78" i="9"/>
  <c r="AH133" i="9"/>
  <c r="N45" i="20"/>
  <c r="J45" i="20" s="1"/>
  <c r="S45" i="20" s="1"/>
  <c r="Q45" i="20"/>
  <c r="I181" i="1"/>
  <c r="I53" i="14"/>
  <c r="N62" i="20"/>
  <c r="Q62" i="20"/>
  <c r="AF125" i="9"/>
  <c r="M130" i="9"/>
  <c r="Q133" i="9"/>
  <c r="Q93" i="9"/>
  <c r="AC93" i="9" s="1"/>
  <c r="Q76" i="9"/>
  <c r="P48" i="9"/>
  <c r="AB48" i="9" s="1"/>
  <c r="O92" i="9"/>
  <c r="AA92" i="9" s="1"/>
  <c r="O75" i="9"/>
  <c r="AA75" i="9" s="1"/>
  <c r="N45" i="9"/>
  <c r="Z45" i="9" s="1"/>
  <c r="M78" i="9"/>
  <c r="Q45" i="9"/>
  <c r="P67" i="9"/>
  <c r="AB67" i="9" s="1"/>
  <c r="N83" i="9"/>
  <c r="O127" i="9"/>
  <c r="AI32" i="9"/>
  <c r="P108" i="9"/>
  <c r="O102" i="9"/>
  <c r="AE151" i="9"/>
  <c r="AH128" i="9"/>
  <c r="AE132" i="9"/>
  <c r="P32" i="9"/>
  <c r="AB32" i="9" s="1"/>
  <c r="Q80" i="9"/>
  <c r="P106" i="9"/>
  <c r="P26" i="9"/>
  <c r="AH26" i="9" s="1"/>
  <c r="O79" i="9"/>
  <c r="AA79" i="9" s="1"/>
  <c r="N53" i="9"/>
  <c r="Z53" i="9" s="1"/>
  <c r="M112" i="9"/>
  <c r="M29" i="9"/>
  <c r="P80" i="9"/>
  <c r="AB80" i="9" s="1"/>
  <c r="N92" i="9"/>
  <c r="AI105" i="9"/>
  <c r="Q84" i="9"/>
  <c r="Q57" i="9"/>
  <c r="P30" i="9"/>
  <c r="O83" i="9"/>
  <c r="AA83" i="9" s="1"/>
  <c r="O109" i="9"/>
  <c r="AA109" i="9" s="1"/>
  <c r="N26" i="9"/>
  <c r="AF26" i="9" s="1"/>
  <c r="M45" i="9"/>
  <c r="P87" i="9"/>
  <c r="AB87" i="9" s="1"/>
  <c r="O37" i="9"/>
  <c r="M150" i="9"/>
  <c r="M108" i="9"/>
  <c r="Q102" i="9"/>
  <c r="AF108" i="9"/>
  <c r="AF104" i="9"/>
  <c r="AH105" i="9"/>
  <c r="AG151" i="9"/>
  <c r="AH125" i="9"/>
  <c r="AG126" i="9"/>
  <c r="AH127" i="9"/>
  <c r="P129" i="9"/>
  <c r="O130" i="9"/>
  <c r="M131" i="9"/>
  <c r="AI131" i="9"/>
  <c r="AG132" i="9"/>
  <c r="AE133" i="9"/>
  <c r="AF134" i="9"/>
  <c r="AE135" i="9"/>
  <c r="AF32" i="9"/>
  <c r="Q92" i="9"/>
  <c r="AC92" i="9" s="1"/>
  <c r="Q153" i="9"/>
  <c r="AC153" i="9" s="1"/>
  <c r="Q83" i="9"/>
  <c r="AC83" i="9" s="1"/>
  <c r="Q79" i="9"/>
  <c r="AC79" i="9" s="1"/>
  <c r="Q75" i="9"/>
  <c r="AC75" i="9" s="1"/>
  <c r="Q64" i="9"/>
  <c r="AC64" i="9" s="1"/>
  <c r="Q109" i="9"/>
  <c r="AC109" i="9" s="1"/>
  <c r="P53" i="9"/>
  <c r="AB53" i="9" s="1"/>
  <c r="P45" i="9"/>
  <c r="AB45" i="9" s="1"/>
  <c r="P34" i="9"/>
  <c r="AB34" i="9" s="1"/>
  <c r="P29" i="9"/>
  <c r="AB29" i="9" s="1"/>
  <c r="Q56" i="9"/>
  <c r="AC56" i="9" s="1"/>
  <c r="O91" i="9"/>
  <c r="AA91" i="9" s="1"/>
  <c r="O120" i="9"/>
  <c r="AA120" i="9" s="1"/>
  <c r="O82" i="9"/>
  <c r="O152" i="9"/>
  <c r="AA152" i="9" s="1"/>
  <c r="O111" i="9"/>
  <c r="O61" i="9"/>
  <c r="AA61" i="9" s="1"/>
  <c r="O150" i="9"/>
  <c r="AA150" i="9" s="1"/>
  <c r="N51" i="9"/>
  <c r="Z51" i="9" s="1"/>
  <c r="N42" i="9"/>
  <c r="Z42" i="9" s="1"/>
  <c r="M92" i="9"/>
  <c r="M83" i="9"/>
  <c r="M75" i="9"/>
  <c r="M109" i="9"/>
  <c r="M40" i="9"/>
  <c r="AI56" i="9"/>
  <c r="Q40" i="9"/>
  <c r="Q27" i="9"/>
  <c r="AI27" i="9" s="1"/>
  <c r="P120" i="9"/>
  <c r="AB120" i="9" s="1"/>
  <c r="P152" i="9"/>
  <c r="AB152" i="9" s="1"/>
  <c r="P61" i="9"/>
  <c r="AB61" i="9" s="1"/>
  <c r="O51" i="9"/>
  <c r="O30" i="9"/>
  <c r="N81" i="9"/>
  <c r="N70" i="9"/>
  <c r="AG108" i="9"/>
  <c r="AH151" i="9"/>
  <c r="AI127" i="9"/>
  <c r="AH130" i="9"/>
  <c r="AE134" i="9"/>
  <c r="O104" i="9"/>
  <c r="P105" i="9"/>
  <c r="Q151" i="9"/>
  <c r="P125" i="9"/>
  <c r="Q126" i="9"/>
  <c r="P127" i="9"/>
  <c r="AF128" i="9"/>
  <c r="AH129" i="9"/>
  <c r="AE130" i="9"/>
  <c r="AE131" i="9"/>
  <c r="Q132" i="9"/>
  <c r="O133" i="9"/>
  <c r="AI133" i="9"/>
  <c r="O135" i="9"/>
  <c r="AI135" i="9"/>
  <c r="M56" i="9"/>
  <c r="Q112" i="9"/>
  <c r="AC112" i="9" s="1"/>
  <c r="Q81" i="9"/>
  <c r="AC81" i="9" s="1"/>
  <c r="Q78" i="9"/>
  <c r="AC78" i="9" s="1"/>
  <c r="Q70" i="9"/>
  <c r="AC70" i="9" s="1"/>
  <c r="Q58" i="9"/>
  <c r="AC58" i="9" s="1"/>
  <c r="AH56" i="9"/>
  <c r="P107" i="9"/>
  <c r="AB107" i="9" s="1"/>
  <c r="P40" i="9"/>
  <c r="AB40" i="9" s="1"/>
  <c r="P31" i="9"/>
  <c r="AB31" i="9" s="1"/>
  <c r="P27" i="9"/>
  <c r="AB27" i="9" s="1"/>
  <c r="O93" i="9"/>
  <c r="AA93" i="9" s="1"/>
  <c r="O87" i="9"/>
  <c r="AA87" i="9" s="1"/>
  <c r="O84" i="9"/>
  <c r="AA84" i="9" s="1"/>
  <c r="O80" i="9"/>
  <c r="AA80" i="9" s="1"/>
  <c r="O76" i="9"/>
  <c r="AA76" i="9" s="1"/>
  <c r="O67" i="9"/>
  <c r="AA67" i="9" s="1"/>
  <c r="O57" i="9"/>
  <c r="AA57" i="9" s="1"/>
  <c r="N106" i="9"/>
  <c r="N48" i="9"/>
  <c r="Z48" i="9" s="1"/>
  <c r="N37" i="9"/>
  <c r="N28" i="9"/>
  <c r="Z28" i="9" s="1"/>
  <c r="M153" i="9"/>
  <c r="M79" i="9"/>
  <c r="M64" i="9"/>
  <c r="M107" i="9"/>
  <c r="M31" i="9"/>
  <c r="Q107" i="9"/>
  <c r="Q31" i="9"/>
  <c r="P91" i="9"/>
  <c r="AB91" i="9" s="1"/>
  <c r="P82" i="9"/>
  <c r="AB82" i="9" s="1"/>
  <c r="P111" i="9"/>
  <c r="AB111" i="9" s="1"/>
  <c r="P150" i="9"/>
  <c r="AB150" i="9" s="1"/>
  <c r="O42" i="9"/>
  <c r="O26" i="9"/>
  <c r="AG26" i="9" s="1"/>
  <c r="N112" i="9"/>
  <c r="N78" i="9"/>
  <c r="AE56" i="9"/>
  <c r="O105" i="9"/>
  <c r="P126" i="9"/>
  <c r="O129" i="9"/>
  <c r="AH132" i="9"/>
  <c r="AH102" i="9"/>
  <c r="AF102" i="9"/>
  <c r="M104" i="9"/>
  <c r="AH104" i="9"/>
  <c r="M151" i="9"/>
  <c r="AI151" i="9"/>
  <c r="M126" i="9"/>
  <c r="AI126" i="9"/>
  <c r="P128" i="9"/>
  <c r="AF129" i="9"/>
  <c r="Q130" i="9"/>
  <c r="O131" i="9"/>
  <c r="M132" i="9"/>
  <c r="M133" i="9"/>
  <c r="AG133" i="9"/>
  <c r="M135" i="9"/>
  <c r="AG135" i="9"/>
  <c r="P56" i="9"/>
  <c r="AB56" i="9" s="1"/>
  <c r="Q91" i="9"/>
  <c r="AC91" i="9" s="1"/>
  <c r="Q120" i="9"/>
  <c r="AC120" i="9" s="1"/>
  <c r="Q82" i="9"/>
  <c r="Q152" i="9"/>
  <c r="Q111" i="9"/>
  <c r="Q61" i="9"/>
  <c r="Q150" i="9"/>
  <c r="AI150" i="9" s="1"/>
  <c r="P51" i="9"/>
  <c r="AB51" i="9" s="1"/>
  <c r="P42" i="9"/>
  <c r="AB42" i="9" s="1"/>
  <c r="P33" i="9"/>
  <c r="P28" i="9"/>
  <c r="AH28" i="9" s="1"/>
  <c r="O56" i="9"/>
  <c r="AA56" i="9" s="1"/>
  <c r="O112" i="9"/>
  <c r="AA112" i="9" s="1"/>
  <c r="O81" i="9"/>
  <c r="AA81" i="9" s="1"/>
  <c r="O78" i="9"/>
  <c r="AA78" i="9" s="1"/>
  <c r="O70" i="9"/>
  <c r="AA70" i="9" s="1"/>
  <c r="O58" i="9"/>
  <c r="AA58" i="9" s="1"/>
  <c r="AF56" i="9"/>
  <c r="N107" i="9"/>
  <c r="Z107" i="9" s="1"/>
  <c r="N40" i="9"/>
  <c r="Z40" i="9" s="1"/>
  <c r="N30" i="9"/>
  <c r="Z30" i="9" s="1"/>
  <c r="M81" i="9"/>
  <c r="M70" i="9"/>
  <c r="M53" i="9"/>
  <c r="M34" i="9"/>
  <c r="Q53" i="9"/>
  <c r="Q34" i="9"/>
  <c r="P93" i="9"/>
  <c r="AB93" i="9" s="1"/>
  <c r="P84" i="9"/>
  <c r="AB84" i="9" s="1"/>
  <c r="P76" i="9"/>
  <c r="AB76" i="9" s="1"/>
  <c r="P57" i="9"/>
  <c r="AB57" i="9" s="1"/>
  <c r="O48" i="9"/>
  <c r="O28" i="9"/>
  <c r="AG28" i="9" s="1"/>
  <c r="N153" i="9"/>
  <c r="Z153" i="9" s="1"/>
  <c r="N79" i="9"/>
  <c r="N58" i="9"/>
  <c r="Z58" i="9" s="1"/>
  <c r="AE125" i="9"/>
  <c r="AE128" i="9"/>
  <c r="AH131" i="9"/>
  <c r="O33" i="9"/>
  <c r="V52" i="10"/>
  <c r="V50" i="10"/>
  <c r="V28" i="10"/>
  <c r="V102" i="10"/>
  <c r="V100" i="10"/>
  <c r="V25" i="10"/>
  <c r="V23" i="10"/>
  <c r="V99" i="10"/>
  <c r="V20" i="10"/>
  <c r="V18" i="10"/>
  <c r="V16" i="10"/>
  <c r="V14" i="10"/>
  <c r="V12" i="10"/>
  <c r="V10" i="10"/>
  <c r="V8" i="10"/>
  <c r="V6" i="10"/>
  <c r="V5" i="10"/>
  <c r="W52" i="10"/>
  <c r="W50" i="10"/>
  <c r="W28" i="10"/>
  <c r="W102" i="10"/>
  <c r="W100" i="10"/>
  <c r="W25" i="10"/>
  <c r="W23" i="10"/>
  <c r="W99" i="10"/>
  <c r="W20" i="10"/>
  <c r="W18" i="10"/>
  <c r="W16" i="10"/>
  <c r="W14" i="10"/>
  <c r="W12" i="10"/>
  <c r="W10" i="10"/>
  <c r="W8" i="10"/>
  <c r="W6" i="10"/>
  <c r="W5" i="10"/>
  <c r="V51" i="10"/>
  <c r="V103" i="10"/>
  <c r="V27" i="10"/>
  <c r="V101" i="10"/>
  <c r="V26" i="10"/>
  <c r="V24" i="10"/>
  <c r="V22" i="10"/>
  <c r="V21" i="10"/>
  <c r="V19" i="10"/>
  <c r="V17" i="10"/>
  <c r="V15" i="10"/>
  <c r="V13" i="10"/>
  <c r="V11" i="10"/>
  <c r="V9" i="10"/>
  <c r="V7" i="10"/>
  <c r="V98" i="10"/>
  <c r="V4" i="10"/>
  <c r="V97" i="10"/>
  <c r="W51" i="10"/>
  <c r="W103" i="10"/>
  <c r="W27" i="10"/>
  <c r="W101" i="10"/>
  <c r="W26" i="10"/>
  <c r="W24" i="10"/>
  <c r="W22" i="10"/>
  <c r="W21" i="10"/>
  <c r="W19" i="10"/>
  <c r="W17" i="10"/>
  <c r="W15" i="10"/>
  <c r="W13" i="10"/>
  <c r="W11" i="10"/>
  <c r="W9" i="10"/>
  <c r="W7" i="10"/>
  <c r="W98" i="10"/>
  <c r="W4" i="10"/>
  <c r="W97" i="10"/>
  <c r="AD5" i="10"/>
  <c r="AD12" i="10"/>
  <c r="AD36" i="10" s="1"/>
  <c r="AD16" i="10"/>
  <c r="AD27" i="10" s="1"/>
  <c r="AE27" i="10" s="1"/>
  <c r="AD20" i="10"/>
  <c r="AD23" i="10"/>
  <c r="AD100" i="10"/>
  <c r="AD28" i="10"/>
  <c r="AD10" i="10"/>
  <c r="AD33" i="10" s="1"/>
  <c r="AD14" i="10"/>
  <c r="AD32" i="10" s="1"/>
  <c r="AD99" i="10"/>
  <c r="AD102" i="10"/>
  <c r="AD98" i="10"/>
  <c r="AD17" i="10"/>
  <c r="AD24" i="10"/>
  <c r="AD103" i="10"/>
  <c r="AD4" i="10"/>
  <c r="AD7" i="10"/>
  <c r="AD11" i="10"/>
  <c r="AD49" i="10" s="1"/>
  <c r="AD15" i="10"/>
  <c r="AD37" i="10" s="1"/>
  <c r="AD19" i="10"/>
  <c r="AD22" i="10"/>
  <c r="AD26" i="10"/>
  <c r="AD97" i="10"/>
  <c r="AD6" i="10"/>
  <c r="AD18" i="10"/>
  <c r="AD25" i="10"/>
  <c r="AD9" i="10"/>
  <c r="AD13" i="10"/>
  <c r="AD35" i="10" s="1"/>
  <c r="AD21" i="10"/>
  <c r="AD101" i="10"/>
  <c r="AN97" i="9"/>
  <c r="AN101" i="9"/>
  <c r="AN105" i="9"/>
  <c r="AN125" i="9"/>
  <c r="AN129" i="9"/>
  <c r="AN133" i="9"/>
  <c r="AN26" i="9"/>
  <c r="AN100" i="9"/>
  <c r="AN104" i="9"/>
  <c r="AN151" i="9"/>
  <c r="AN128" i="9"/>
  <c r="AN132" i="9"/>
  <c r="AN32" i="9"/>
  <c r="AN29" i="9"/>
  <c r="AN99" i="9"/>
  <c r="AN108" i="9"/>
  <c r="AN127" i="9"/>
  <c r="AN131" i="9"/>
  <c r="AN135" i="9"/>
  <c r="AN28" i="9"/>
  <c r="AN96" i="9"/>
  <c r="AN150" i="9"/>
  <c r="AN98" i="9"/>
  <c r="AN102" i="9"/>
  <c r="AN126" i="9"/>
  <c r="AN130" i="9"/>
  <c r="AN134" i="9"/>
  <c r="AN27" i="9"/>
  <c r="AN93" i="9"/>
  <c r="M55" i="9"/>
  <c r="Q55" i="9"/>
  <c r="AC55" i="9" s="1"/>
  <c r="AH55" i="9"/>
  <c r="O148" i="9"/>
  <c r="AA148" i="9" s="1"/>
  <c r="AF148" i="9"/>
  <c r="P55" i="9"/>
  <c r="AB55" i="9" s="1"/>
  <c r="AG55" i="9"/>
  <c r="N148" i="9"/>
  <c r="Z148" i="9" s="1"/>
  <c r="AE148" i="9"/>
  <c r="AI148" i="9"/>
  <c r="O55" i="9"/>
  <c r="AA55" i="9" s="1"/>
  <c r="AF55" i="9"/>
  <c r="M148" i="9"/>
  <c r="Q148" i="9"/>
  <c r="AC148" i="9" s="1"/>
  <c r="AH148" i="9"/>
  <c r="N55" i="9"/>
  <c r="Z55" i="9" s="1"/>
  <c r="AE55" i="9"/>
  <c r="AI55" i="9"/>
  <c r="P148" i="9"/>
  <c r="AB148" i="9" s="1"/>
  <c r="AG148" i="9"/>
  <c r="AO100" i="9"/>
  <c r="AO104" i="9"/>
  <c r="AO151" i="9"/>
  <c r="AO128" i="9"/>
  <c r="AO132" i="9"/>
  <c r="AO32" i="9"/>
  <c r="AO99" i="9"/>
  <c r="AO108" i="9"/>
  <c r="AO127" i="9"/>
  <c r="AO131" i="9"/>
  <c r="AO135" i="9"/>
  <c r="AO28" i="9"/>
  <c r="AO98" i="9"/>
  <c r="AO102" i="9"/>
  <c r="AO126" i="9"/>
  <c r="AO130" i="9"/>
  <c r="AO134" i="9"/>
  <c r="AO27" i="9"/>
  <c r="AO96" i="9"/>
  <c r="AO97" i="9"/>
  <c r="AO101" i="9"/>
  <c r="AO105" i="9"/>
  <c r="AO125" i="9"/>
  <c r="AO129" i="9"/>
  <c r="AO133" i="9"/>
  <c r="AO26" i="9"/>
  <c r="AO150" i="9"/>
  <c r="AK100" i="9"/>
  <c r="AK104" i="9"/>
  <c r="AK151" i="9"/>
  <c r="AK128" i="9"/>
  <c r="AK132" i="9"/>
  <c r="AK32" i="9"/>
  <c r="AK96" i="9"/>
  <c r="AK108" i="9"/>
  <c r="AK127" i="9"/>
  <c r="AK131" i="9"/>
  <c r="AK135" i="9"/>
  <c r="AK28" i="9"/>
  <c r="AK98" i="9"/>
  <c r="AK102" i="9"/>
  <c r="AK126" i="9"/>
  <c r="AK130" i="9"/>
  <c r="AK134" i="9"/>
  <c r="AK27" i="9"/>
  <c r="AK93" i="9"/>
  <c r="AK97" i="9"/>
  <c r="AK101" i="9"/>
  <c r="AK105" i="9"/>
  <c r="AK125" i="9"/>
  <c r="AK129" i="9"/>
  <c r="AK133" i="9"/>
  <c r="AK26" i="9"/>
  <c r="AL99" i="9"/>
  <c r="AL108" i="9"/>
  <c r="AL127" i="9"/>
  <c r="AL131" i="9"/>
  <c r="AL135" i="9"/>
  <c r="AL28" i="9"/>
  <c r="AL42" i="9"/>
  <c r="AL43" i="9" s="1"/>
  <c r="AL44" i="9" s="1"/>
  <c r="AL61" i="9"/>
  <c r="AL62" i="9" s="1"/>
  <c r="AL63" i="9" s="1"/>
  <c r="AL98" i="9"/>
  <c r="AL102" i="9"/>
  <c r="AL126" i="9"/>
  <c r="AL130" i="9"/>
  <c r="AL134" i="9"/>
  <c r="AL27" i="9"/>
  <c r="AL31" i="9"/>
  <c r="AL32" i="9" s="1"/>
  <c r="AL40" i="9"/>
  <c r="AL41" i="9" s="1"/>
  <c r="AL58" i="9"/>
  <c r="AL59" i="9" s="1"/>
  <c r="AL60" i="9" s="1"/>
  <c r="AL110" i="9"/>
  <c r="AL80" i="9"/>
  <c r="AL84" i="9"/>
  <c r="AL93" i="9"/>
  <c r="AL97" i="9"/>
  <c r="AL101" i="9"/>
  <c r="AL125" i="9"/>
  <c r="AL129" i="9"/>
  <c r="AL133" i="9"/>
  <c r="AL30" i="9"/>
  <c r="AL38" i="9"/>
  <c r="AL48" i="9"/>
  <c r="AL79" i="9"/>
  <c r="AL83" i="9"/>
  <c r="AL92" i="9"/>
  <c r="AL70" i="9"/>
  <c r="AL123" i="9" s="1"/>
  <c r="AL112" i="9"/>
  <c r="AL150" i="9"/>
  <c r="AL100" i="9"/>
  <c r="AL151" i="9"/>
  <c r="AL140" i="9" s="1"/>
  <c r="AL128" i="9"/>
  <c r="AL132" i="9"/>
  <c r="AL29" i="9"/>
  <c r="AL64" i="9"/>
  <c r="AL65" i="9" s="1"/>
  <c r="AL66" i="9" s="1"/>
  <c r="AL152" i="9"/>
  <c r="AL82" i="9"/>
  <c r="AL91" i="9"/>
  <c r="AL145" i="9" s="1"/>
  <c r="AM98" i="9"/>
  <c r="AM102" i="9"/>
  <c r="AM126" i="9"/>
  <c r="AM130" i="9"/>
  <c r="AM134" i="9"/>
  <c r="AM27" i="9"/>
  <c r="AM93" i="9"/>
  <c r="AM97" i="9"/>
  <c r="AM101" i="9"/>
  <c r="AM105" i="9"/>
  <c r="AM125" i="9"/>
  <c r="AM129" i="9"/>
  <c r="AM133" i="9"/>
  <c r="AM26" i="9"/>
  <c r="AM100" i="9"/>
  <c r="AM104" i="9"/>
  <c r="AM151" i="9"/>
  <c r="AM128" i="9"/>
  <c r="AM132" i="9"/>
  <c r="AM32" i="9"/>
  <c r="AM29" i="9"/>
  <c r="AM99" i="9"/>
  <c r="AM108" i="9"/>
  <c r="AM127" i="9"/>
  <c r="AM131" i="9"/>
  <c r="AM135" i="9"/>
  <c r="AM28" i="9"/>
  <c r="AM150" i="9"/>
  <c r="N27" i="20"/>
  <c r="J27" i="20" s="1"/>
  <c r="S27" i="20" s="1"/>
  <c r="Q27" i="20"/>
  <c r="I83" i="14"/>
  <c r="I86" i="14" s="1"/>
  <c r="J108" i="6"/>
  <c r="P76" i="6"/>
  <c r="F37" i="6"/>
  <c r="H37" i="6"/>
  <c r="I25" i="1"/>
  <c r="E41" i="20"/>
  <c r="U41" i="20" s="1"/>
  <c r="E62" i="20"/>
  <c r="E21" i="20"/>
  <c r="N61" i="20"/>
  <c r="Q61" i="20"/>
  <c r="E58" i="20"/>
  <c r="U58" i="20" s="1"/>
  <c r="E18" i="20"/>
  <c r="U18" i="20" s="1"/>
  <c r="G117" i="1"/>
  <c r="G118" i="1"/>
  <c r="P84" i="6"/>
  <c r="R52" i="6"/>
  <c r="R56" i="6"/>
  <c r="R60" i="6"/>
  <c r="R58" i="6"/>
  <c r="R62" i="6"/>
  <c r="R66" i="6"/>
  <c r="R65" i="6"/>
  <c r="R55" i="6"/>
  <c r="R57" i="6"/>
  <c r="R50" i="6"/>
  <c r="R64" i="6"/>
  <c r="R63" i="6"/>
  <c r="R51" i="6"/>
  <c r="R53" i="6"/>
  <c r="R59" i="6"/>
  <c r="R48" i="6"/>
  <c r="R54" i="6"/>
  <c r="R49" i="6"/>
  <c r="R67" i="6"/>
  <c r="E23" i="20"/>
  <c r="U23" i="20" s="1"/>
  <c r="M27" i="10"/>
  <c r="N27" i="10"/>
  <c r="P135" i="9"/>
  <c r="N64" i="9"/>
  <c r="G82" i="14"/>
  <c r="G85" i="14" s="1"/>
  <c r="E17" i="20"/>
  <c r="U17" i="20" s="1"/>
  <c r="I125" i="1"/>
  <c r="E44" i="20"/>
  <c r="E24" i="20"/>
  <c r="U24" i="20" s="1"/>
  <c r="E86" i="20"/>
  <c r="U86" i="20" s="1"/>
  <c r="M108" i="6"/>
  <c r="P94" i="6"/>
  <c r="P82" i="6"/>
  <c r="P80" i="6"/>
  <c r="E42" i="20"/>
  <c r="U42" i="20" s="1"/>
  <c r="Q110" i="9"/>
  <c r="AC110" i="9" s="1"/>
  <c r="O110" i="9"/>
  <c r="AA110" i="9" s="1"/>
  <c r="P110" i="9"/>
  <c r="AB110" i="9" s="1"/>
  <c r="M110" i="9"/>
  <c r="N110" i="9"/>
  <c r="Z110" i="9" s="1"/>
  <c r="N109" i="9"/>
  <c r="Z109" i="9" s="1"/>
  <c r="M27" i="9"/>
  <c r="AG102" i="9"/>
  <c r="Q108" i="9"/>
  <c r="AC108" i="9" s="1"/>
  <c r="N104" i="9"/>
  <c r="AI104" i="9"/>
  <c r="P151" i="9"/>
  <c r="O125" i="9"/>
  <c r="AI125" i="9"/>
  <c r="AH126" i="9"/>
  <c r="AE127" i="9"/>
  <c r="O128" i="9"/>
  <c r="AI128" i="9"/>
  <c r="AE129" i="9"/>
  <c r="P130" i="9"/>
  <c r="P131" i="9"/>
  <c r="P132" i="9"/>
  <c r="P133" i="9"/>
  <c r="O134" i="9"/>
  <c r="E84" i="20"/>
  <c r="E27" i="20"/>
  <c r="E88" i="20"/>
  <c r="U88" i="20" s="1"/>
  <c r="M124" i="9"/>
  <c r="O124" i="9"/>
  <c r="AA124" i="9" s="1"/>
  <c r="Q124" i="9"/>
  <c r="AC124" i="9" s="1"/>
  <c r="N124" i="9"/>
  <c r="Z124" i="9" s="1"/>
  <c r="P124" i="9"/>
  <c r="AB124" i="9" s="1"/>
  <c r="O32" i="9"/>
  <c r="AA32" i="9" s="1"/>
  <c r="AI134" i="9"/>
  <c r="AH135" i="9"/>
  <c r="AE32" i="9"/>
  <c r="N31" i="9"/>
  <c r="Z31" i="9" s="1"/>
  <c r="N29" i="9"/>
  <c r="AF29" i="9" s="1"/>
  <c r="N27" i="9"/>
  <c r="Z27" i="9" s="1"/>
  <c r="M93" i="9"/>
  <c r="M91" i="9"/>
  <c r="M87" i="9"/>
  <c r="M120" i="9"/>
  <c r="M84" i="9"/>
  <c r="AG32" i="9"/>
  <c r="M82" i="9"/>
  <c r="M80" i="9"/>
  <c r="M152" i="9"/>
  <c r="M76" i="9"/>
  <c r="M111" i="9"/>
  <c r="M67" i="9"/>
  <c r="M61" i="9"/>
  <c r="M57" i="9"/>
  <c r="M106" i="9"/>
  <c r="M51" i="9"/>
  <c r="M48" i="9"/>
  <c r="M42" i="9"/>
  <c r="M37" i="9"/>
  <c r="M33" i="9"/>
  <c r="M30" i="9"/>
  <c r="N56" i="9"/>
  <c r="Z56" i="9" s="1"/>
  <c r="Q106" i="9"/>
  <c r="Q51" i="9"/>
  <c r="AC51" i="9" s="1"/>
  <c r="Q48" i="9"/>
  <c r="AC48" i="9" s="1"/>
  <c r="Q42" i="9"/>
  <c r="AC42" i="9" s="1"/>
  <c r="Q37" i="9"/>
  <c r="AC37" i="9" s="1"/>
  <c r="Q33" i="9"/>
  <c r="AC33" i="9" s="1"/>
  <c r="Q30" i="9"/>
  <c r="AC30" i="9" s="1"/>
  <c r="Q28" i="9"/>
  <c r="Q26" i="9"/>
  <c r="P92" i="9"/>
  <c r="AB92" i="9" s="1"/>
  <c r="P153" i="9"/>
  <c r="AB153" i="9" s="1"/>
  <c r="P112" i="9"/>
  <c r="AB112" i="9" s="1"/>
  <c r="P83" i="9"/>
  <c r="AB83" i="9" s="1"/>
  <c r="P81" i="9"/>
  <c r="AB81" i="9" s="1"/>
  <c r="P79" i="9"/>
  <c r="AB79" i="9" s="1"/>
  <c r="P78" i="9"/>
  <c r="AB78" i="9" s="1"/>
  <c r="P75" i="9"/>
  <c r="AB75" i="9" s="1"/>
  <c r="P70" i="9"/>
  <c r="AB70" i="9" s="1"/>
  <c r="P64" i="9"/>
  <c r="AB64" i="9" s="1"/>
  <c r="P58" i="9"/>
  <c r="AB58" i="9" s="1"/>
  <c r="P109" i="9"/>
  <c r="AB109" i="9" s="1"/>
  <c r="AG56" i="9"/>
  <c r="O53" i="9"/>
  <c r="AA53" i="9" s="1"/>
  <c r="O107" i="9"/>
  <c r="AA107" i="9" s="1"/>
  <c r="O45" i="9"/>
  <c r="AA45" i="9" s="1"/>
  <c r="O40" i="9"/>
  <c r="AA40" i="9" s="1"/>
  <c r="O34" i="9"/>
  <c r="AA34" i="9" s="1"/>
  <c r="O31" i="9"/>
  <c r="AA31" i="9" s="1"/>
  <c r="O29" i="9"/>
  <c r="O27" i="9"/>
  <c r="N93" i="9"/>
  <c r="Z93" i="9" s="1"/>
  <c r="N91" i="9"/>
  <c r="Z91" i="9" s="1"/>
  <c r="N87" i="9"/>
  <c r="Z87" i="9" s="1"/>
  <c r="N120" i="9"/>
  <c r="Z120" i="9" s="1"/>
  <c r="N84" i="9"/>
  <c r="Z84" i="9" s="1"/>
  <c r="N82" i="9"/>
  <c r="Z82" i="9" s="1"/>
  <c r="N80" i="9"/>
  <c r="Z80" i="9" s="1"/>
  <c r="N152" i="9"/>
  <c r="Z152" i="9" s="1"/>
  <c r="N76" i="9"/>
  <c r="Z76" i="9" s="1"/>
  <c r="N111" i="9"/>
  <c r="Z111" i="9" s="1"/>
  <c r="N67" i="9"/>
  <c r="Z67" i="9" s="1"/>
  <c r="N61" i="9"/>
  <c r="Z61" i="9" s="1"/>
  <c r="N57" i="9"/>
  <c r="Z57" i="9" s="1"/>
  <c r="N150" i="9"/>
  <c r="M28" i="9"/>
  <c r="M26" i="9"/>
  <c r="AI102" i="9"/>
  <c r="O108" i="9"/>
  <c r="AE108" i="9"/>
  <c r="AI108" i="9"/>
  <c r="P104" i="9"/>
  <c r="AG104" i="9"/>
  <c r="M105" i="9"/>
  <c r="Q105" i="9"/>
  <c r="AG105" i="9"/>
  <c r="N151" i="9"/>
  <c r="Z151" i="9" s="1"/>
  <c r="AF151" i="9"/>
  <c r="M125" i="9"/>
  <c r="AG125" i="9"/>
  <c r="N126" i="9"/>
  <c r="AF126" i="9"/>
  <c r="Q127" i="9"/>
  <c r="AG127" i="9"/>
  <c r="M128" i="9"/>
  <c r="Q128" i="9"/>
  <c r="AG128" i="9"/>
  <c r="M129" i="9"/>
  <c r="Q129" i="9"/>
  <c r="AG129" i="9"/>
  <c r="N130" i="9"/>
  <c r="AF130" i="9"/>
  <c r="N131" i="9"/>
  <c r="AF131" i="9"/>
  <c r="N132" i="9"/>
  <c r="AF132" i="9"/>
  <c r="N133" i="9"/>
  <c r="AF133" i="9"/>
  <c r="M134" i="9"/>
  <c r="Q134" i="9"/>
  <c r="AG134" i="9"/>
  <c r="N135" i="9"/>
  <c r="AF135" i="9"/>
  <c r="M32" i="9"/>
  <c r="Q32" i="9"/>
  <c r="AC32" i="9" s="1"/>
  <c r="B110" i="1"/>
  <c r="G28" i="14"/>
  <c r="G38" i="14" s="1"/>
  <c r="R66" i="20"/>
  <c r="O59" i="1"/>
  <c r="K28" i="14"/>
  <c r="K38" i="14" s="1"/>
  <c r="G41" i="14"/>
  <c r="M44" i="20" s="1"/>
  <c r="J44" i="20" s="1"/>
  <c r="R44" i="20" s="1"/>
  <c r="P164" i="6"/>
  <c r="T164" i="6" s="1"/>
  <c r="P160" i="6"/>
  <c r="T160" i="6" s="1"/>
  <c r="P158" i="6"/>
  <c r="P154" i="6"/>
  <c r="T154" i="6" s="1"/>
  <c r="P150" i="6"/>
  <c r="T150" i="6" s="1"/>
  <c r="P146" i="6"/>
  <c r="T146" i="6" s="1"/>
  <c r="P86" i="6"/>
  <c r="P156" i="6"/>
  <c r="T156" i="6" s="1"/>
  <c r="P155" i="6"/>
  <c r="T155" i="6" s="1"/>
  <c r="P78" i="6"/>
  <c r="P148" i="6"/>
  <c r="T148" i="6" s="1"/>
  <c r="P147" i="6"/>
  <c r="T147" i="6" s="1"/>
  <c r="P163" i="6"/>
  <c r="T163" i="6" s="1"/>
  <c r="P162" i="6"/>
  <c r="T162" i="6" s="1"/>
  <c r="P161" i="6"/>
  <c r="T161" i="6" s="1"/>
  <c r="P159" i="6"/>
  <c r="T159" i="6" s="1"/>
  <c r="P157" i="6"/>
  <c r="T157" i="6" s="1"/>
  <c r="P153" i="6"/>
  <c r="T153" i="6" s="1"/>
  <c r="P149" i="6"/>
  <c r="T149" i="6" s="1"/>
  <c r="P145" i="6"/>
  <c r="T145" i="6" s="1"/>
  <c r="P106" i="6"/>
  <c r="O108" i="6"/>
  <c r="I108" i="6"/>
  <c r="G108" i="6"/>
  <c r="P107" i="6"/>
  <c r="P90" i="6"/>
  <c r="K37" i="6"/>
  <c r="I102" i="14"/>
  <c r="C58" i="5"/>
  <c r="H108" i="6"/>
  <c r="R64" i="20"/>
  <c r="P136" i="6"/>
  <c r="N37" i="6"/>
  <c r="L37" i="6"/>
  <c r="J37" i="6"/>
  <c r="I37" i="6"/>
  <c r="AH32" i="9"/>
  <c r="D25" i="1"/>
  <c r="F225" i="1" s="1"/>
  <c r="L14" i="1"/>
  <c r="L17" i="1" s="1"/>
  <c r="L20" i="1" s="1"/>
  <c r="L23" i="1" s="1"/>
  <c r="E11" i="5"/>
  <c r="D18" i="1" s="1"/>
  <c r="B183" i="1"/>
  <c r="D14" i="1"/>
  <c r="D17" i="1" s="1"/>
  <c r="P85" i="6"/>
  <c r="P83" i="6"/>
  <c r="P81" i="6"/>
  <c r="P92" i="6"/>
  <c r="P91" i="6"/>
  <c r="P131" i="6"/>
  <c r="N129" i="9"/>
  <c r="N128" i="9"/>
  <c r="N127" i="9"/>
  <c r="O126" i="9"/>
  <c r="O151" i="9"/>
  <c r="N102" i="9"/>
  <c r="E77" i="9"/>
  <c r="G41" i="1"/>
  <c r="G53" i="14" s="1"/>
  <c r="P79" i="6"/>
  <c r="P77" i="6"/>
  <c r="P75" i="6"/>
  <c r="N32" i="9"/>
  <c r="Z32" i="9" s="1"/>
  <c r="N134" i="9"/>
  <c r="AI132" i="9"/>
  <c r="AH108" i="9"/>
  <c r="N108" i="9"/>
  <c r="Z108" i="9" s="1"/>
  <c r="N22" i="10"/>
  <c r="N101" i="10"/>
  <c r="N7" i="10"/>
  <c r="D33" i="1"/>
  <c r="K32" i="1"/>
  <c r="K14" i="1"/>
  <c r="K17" i="1" s="1"/>
  <c r="N23" i="20"/>
  <c r="K27" i="14"/>
  <c r="K37" i="14" s="1"/>
  <c r="P93" i="6"/>
  <c r="P89" i="6"/>
  <c r="B203" i="1"/>
  <c r="B163" i="1"/>
  <c r="B130" i="1"/>
  <c r="B150" i="1" s="1"/>
  <c r="P130" i="6"/>
  <c r="P88" i="6"/>
  <c r="P87" i="6"/>
  <c r="P137" i="6"/>
  <c r="M97" i="10"/>
  <c r="N98" i="10"/>
  <c r="N11" i="10"/>
  <c r="N13" i="10"/>
  <c r="N19" i="10"/>
  <c r="N21" i="10"/>
  <c r="N26" i="10"/>
  <c r="N103" i="10"/>
  <c r="O132" i="9"/>
  <c r="Q131" i="9"/>
  <c r="AG130" i="9"/>
  <c r="N125" i="9"/>
  <c r="N105" i="9"/>
  <c r="M102" i="9"/>
  <c r="P102" i="9"/>
  <c r="N24" i="10"/>
  <c r="N17" i="10"/>
  <c r="N15" i="10"/>
  <c r="N9" i="10"/>
  <c r="P74" i="6"/>
  <c r="AH134" i="9"/>
  <c r="N102" i="10"/>
  <c r="E96" i="10"/>
  <c r="D32" i="1"/>
  <c r="G72" i="14"/>
  <c r="C172" i="1"/>
  <c r="E72" i="14"/>
  <c r="D282" i="1"/>
  <c r="D277" i="1"/>
  <c r="G14" i="1"/>
  <c r="G32" i="1"/>
  <c r="C275" i="1"/>
  <c r="G114" i="1"/>
  <c r="C222" i="1"/>
  <c r="D114" i="1"/>
  <c r="C241" i="1"/>
  <c r="C223" i="1"/>
  <c r="D115" i="1"/>
  <c r="C242" i="1"/>
  <c r="K113" i="1"/>
  <c r="G113" i="1"/>
  <c r="C274" i="1"/>
  <c r="K114" i="1"/>
  <c r="C221" i="1"/>
  <c r="D113" i="1"/>
  <c r="H80" i="1"/>
  <c r="J79" i="1"/>
  <c r="F87" i="1"/>
  <c r="K76" i="1"/>
  <c r="R150" i="9" l="1"/>
  <c r="J166" i="1"/>
  <c r="D124" i="6"/>
  <c r="P121" i="6"/>
  <c r="P124" i="6" s="1"/>
  <c r="J173" i="1" s="1"/>
  <c r="J72" i="14" s="1"/>
  <c r="D119" i="6"/>
  <c r="P116" i="6"/>
  <c r="P119" i="6" s="1"/>
  <c r="J120" i="1" s="1"/>
  <c r="P144" i="6"/>
  <c r="T144" i="6" s="1"/>
  <c r="M21" i="20"/>
  <c r="J21" i="20" s="1"/>
  <c r="I32" i="1"/>
  <c r="I51" i="14" s="1"/>
  <c r="J51" i="14"/>
  <c r="D232" i="1"/>
  <c r="D231" i="1"/>
  <c r="H167" i="1"/>
  <c r="F101" i="14"/>
  <c r="I48" i="1"/>
  <c r="U28" i="18"/>
  <c r="G20" i="30"/>
  <c r="G22" i="30"/>
  <c r="G13" i="30"/>
  <c r="G23" i="30"/>
  <c r="G16" i="30"/>
  <c r="G19" i="30"/>
  <c r="G14" i="30"/>
  <c r="G12" i="30"/>
  <c r="G11" i="30"/>
  <c r="G18" i="30"/>
  <c r="G15" i="30"/>
  <c r="G10" i="30"/>
  <c r="G17" i="30"/>
  <c r="G24" i="30"/>
  <c r="I117" i="1"/>
  <c r="AC77" i="9"/>
  <c r="AI77" i="9"/>
  <c r="AU77" i="9" s="1"/>
  <c r="AH77" i="9"/>
  <c r="AT77" i="9" s="1"/>
  <c r="AB77" i="9"/>
  <c r="AA77" i="9"/>
  <c r="AG77" i="9"/>
  <c r="AS77" i="9" s="1"/>
  <c r="AF77" i="9"/>
  <c r="AR77" i="9" s="1"/>
  <c r="Z77" i="9"/>
  <c r="R77" i="9"/>
  <c r="AE77" i="9"/>
  <c r="AQ77" i="9" s="1"/>
  <c r="Y77" i="9"/>
  <c r="T49" i="10"/>
  <c r="AB49" i="10"/>
  <c r="AV147" i="9"/>
  <c r="AW147" i="9" s="1"/>
  <c r="AL39" i="9"/>
  <c r="AU25" i="9"/>
  <c r="AS7" i="9"/>
  <c r="AU16" i="9"/>
  <c r="S45" i="10"/>
  <c r="AA45" i="10"/>
  <c r="AG45" i="10" s="1"/>
  <c r="T45" i="10"/>
  <c r="AB45" i="10"/>
  <c r="AH45" i="10" s="1"/>
  <c r="T48" i="10"/>
  <c r="AB48" i="10"/>
  <c r="AH48" i="10" s="1"/>
  <c r="AA48" i="10"/>
  <c r="AG48" i="10" s="1"/>
  <c r="S48" i="10"/>
  <c r="M54" i="10"/>
  <c r="AA22" i="10"/>
  <c r="AG22" i="10" s="1"/>
  <c r="AQ16" i="9"/>
  <c r="AT12" i="9"/>
  <c r="AU21" i="9"/>
  <c r="AQ9" i="9"/>
  <c r="AS18" i="9"/>
  <c r="AT5" i="9"/>
  <c r="AT16" i="9"/>
  <c r="AS4" i="9"/>
  <c r="AS8" i="9"/>
  <c r="AU12" i="9"/>
  <c r="AS22" i="9"/>
  <c r="AT9" i="9"/>
  <c r="AU24" i="9"/>
  <c r="AQ12" i="9"/>
  <c r="AQ8" i="9"/>
  <c r="AT7" i="9"/>
  <c r="AR49" i="9"/>
  <c r="AV49" i="9" s="1"/>
  <c r="AW49" i="9" s="1"/>
  <c r="Y14" i="9"/>
  <c r="R14" i="9"/>
  <c r="AS25" i="9"/>
  <c r="AU15" i="9"/>
  <c r="R5" i="9"/>
  <c r="Y5" i="9"/>
  <c r="AS14" i="9"/>
  <c r="AQ11" i="9"/>
  <c r="Y19" i="9"/>
  <c r="R19" i="9"/>
  <c r="AQ14" i="9"/>
  <c r="Y9" i="9"/>
  <c r="R9" i="9"/>
  <c r="Y20" i="9"/>
  <c r="R20" i="9"/>
  <c r="AT19" i="9"/>
  <c r="AU6" i="9"/>
  <c r="Y18" i="9"/>
  <c r="R18" i="9"/>
  <c r="AT14" i="9"/>
  <c r="AQ21" i="9"/>
  <c r="AT25" i="9"/>
  <c r="AS12" i="9"/>
  <c r="AT18" i="9"/>
  <c r="AU5" i="9"/>
  <c r="AQ19" i="9"/>
  <c r="Y23" i="9"/>
  <c r="R23" i="9"/>
  <c r="AQ18" i="9"/>
  <c r="AQ13" i="9"/>
  <c r="AS13" i="9"/>
  <c r="AT20" i="9"/>
  <c r="AU7" i="9"/>
  <c r="AU11" i="9"/>
  <c r="AU4" i="9"/>
  <c r="AQ24" i="9"/>
  <c r="AT23" i="9"/>
  <c r="AU10" i="9"/>
  <c r="Y22" i="9"/>
  <c r="R22" i="9"/>
  <c r="AQ17" i="9"/>
  <c r="AU23" i="9"/>
  <c r="AT13" i="9"/>
  <c r="AT24" i="9"/>
  <c r="AS16" i="9"/>
  <c r="Y4" i="9"/>
  <c r="R4" i="9"/>
  <c r="AS11" i="9"/>
  <c r="AT15" i="9"/>
  <c r="AQ15" i="9"/>
  <c r="AT22" i="9"/>
  <c r="Y13" i="9"/>
  <c r="R13" i="9"/>
  <c r="AQ22" i="9"/>
  <c r="AS15" i="9"/>
  <c r="Y17" i="9"/>
  <c r="R17" i="9"/>
  <c r="AQ23" i="9"/>
  <c r="Y7" i="9"/>
  <c r="R7" i="9"/>
  <c r="AU14" i="9"/>
  <c r="AT4" i="9"/>
  <c r="AU9" i="9"/>
  <c r="BJ6" i="9"/>
  <c r="BJ10" i="9"/>
  <c r="BJ22" i="9"/>
  <c r="BJ9" i="9"/>
  <c r="BJ16" i="9"/>
  <c r="BJ21" i="9"/>
  <c r="BJ13" i="9"/>
  <c r="BJ7" i="9"/>
  <c r="BJ15" i="9"/>
  <c r="BJ23" i="9"/>
  <c r="BJ5" i="9"/>
  <c r="BJ14" i="9"/>
  <c r="BJ19" i="9"/>
  <c r="BJ8" i="9"/>
  <c r="BJ18" i="9"/>
  <c r="BJ24" i="9"/>
  <c r="BJ11" i="9"/>
  <c r="BJ17" i="9"/>
  <c r="BJ4" i="9"/>
  <c r="BJ20" i="9"/>
  <c r="BJ25" i="9"/>
  <c r="BJ12" i="9"/>
  <c r="AS5" i="9"/>
  <c r="Y16" i="9"/>
  <c r="R16" i="9"/>
  <c r="AU20" i="9"/>
  <c r="AS20" i="9"/>
  <c r="Y6" i="9"/>
  <c r="R6" i="9"/>
  <c r="AU13" i="9"/>
  <c r="AS10" i="9"/>
  <c r="AS21" i="9"/>
  <c r="AT8" i="9"/>
  <c r="AQ7" i="9"/>
  <c r="AS9" i="9"/>
  <c r="AS6" i="9"/>
  <c r="Y11" i="9"/>
  <c r="R11" i="9"/>
  <c r="AU18" i="9"/>
  <c r="AQ6" i="9"/>
  <c r="AQ25" i="9"/>
  <c r="AQ4" i="9"/>
  <c r="AT21" i="9"/>
  <c r="AU8" i="9"/>
  <c r="R24" i="9"/>
  <c r="AC24" i="9"/>
  <c r="Y12" i="9"/>
  <c r="R12" i="9"/>
  <c r="AU19" i="9"/>
  <c r="AS24" i="9"/>
  <c r="AT11" i="9"/>
  <c r="Y10" i="9"/>
  <c r="R10" i="9"/>
  <c r="AS19" i="9"/>
  <c r="AT6" i="9"/>
  <c r="AS17" i="9"/>
  <c r="Y8" i="9"/>
  <c r="R8" i="9"/>
  <c r="Y21" i="9"/>
  <c r="R21" i="9"/>
  <c r="AT17" i="9"/>
  <c r="AS23" i="9"/>
  <c r="AT10" i="9"/>
  <c r="Y25" i="9"/>
  <c r="R25" i="9"/>
  <c r="AQ20" i="9"/>
  <c r="Y15" i="9"/>
  <c r="R15" i="9"/>
  <c r="AU22" i="9"/>
  <c r="AQ10" i="9"/>
  <c r="AU17" i="9"/>
  <c r="AQ5" i="9"/>
  <c r="P97" i="6"/>
  <c r="AB46" i="10"/>
  <c r="AH46" i="10" s="1"/>
  <c r="T46" i="10"/>
  <c r="AA46" i="10"/>
  <c r="AG46" i="10" s="1"/>
  <c r="S46" i="10"/>
  <c r="P110" i="6"/>
  <c r="P113" i="6" s="1"/>
  <c r="I173" i="1" s="1"/>
  <c r="D113" i="6"/>
  <c r="AB44" i="10"/>
  <c r="AH44" i="10" s="1"/>
  <c r="T44" i="10"/>
  <c r="S44" i="10"/>
  <c r="AA44" i="10"/>
  <c r="AG44" i="10" s="1"/>
  <c r="C15" i="30"/>
  <c r="E15" i="30" s="1"/>
  <c r="AQ118" i="9"/>
  <c r="AQ41" i="9"/>
  <c r="AQ114" i="9"/>
  <c r="AT85" i="9"/>
  <c r="AQ147" i="9"/>
  <c r="AT114" i="9"/>
  <c r="BG123" i="9"/>
  <c r="BG114" i="9"/>
  <c r="BG115" i="9"/>
  <c r="AS114" i="9"/>
  <c r="AR32" i="9"/>
  <c r="AV32" i="9" s="1"/>
  <c r="AW32" i="9" s="1"/>
  <c r="AR114" i="9"/>
  <c r="AU114" i="9"/>
  <c r="T43" i="10"/>
  <c r="S43" i="10"/>
  <c r="AA15" i="10"/>
  <c r="AG15" i="10" s="1"/>
  <c r="AA49" i="10"/>
  <c r="AG49" i="10" s="1"/>
  <c r="S49" i="10"/>
  <c r="AF115" i="9"/>
  <c r="AR115" i="9" s="1"/>
  <c r="Z115" i="9"/>
  <c r="AG115" i="9"/>
  <c r="AS115" i="9" s="1"/>
  <c r="AA115" i="9"/>
  <c r="AI115" i="9"/>
  <c r="AU115" i="9" s="1"/>
  <c r="AC115" i="9"/>
  <c r="R114" i="9"/>
  <c r="Y114" i="9"/>
  <c r="Y115" i="9"/>
  <c r="AE115" i="9"/>
  <c r="AQ115" i="9" s="1"/>
  <c r="R115" i="9"/>
  <c r="AB115" i="9"/>
  <c r="AH115" i="9"/>
  <c r="AT115" i="9" s="1"/>
  <c r="AH123" i="9"/>
  <c r="AT123" i="9" s="1"/>
  <c r="AB123" i="9"/>
  <c r="Y123" i="9"/>
  <c r="AE123" i="9"/>
  <c r="AQ123" i="9" s="1"/>
  <c r="R123" i="9"/>
  <c r="AF123" i="9"/>
  <c r="Z123" i="9"/>
  <c r="AG123" i="9"/>
  <c r="AS123" i="9" s="1"/>
  <c r="AA123" i="9"/>
  <c r="AC123" i="9"/>
  <c r="AI123" i="9"/>
  <c r="AU123" i="9" s="1"/>
  <c r="AR86" i="9"/>
  <c r="AV86" i="9" s="1"/>
  <c r="AW86" i="9" s="1"/>
  <c r="R109" i="9"/>
  <c r="R89" i="9"/>
  <c r="R39" i="9"/>
  <c r="R69" i="9"/>
  <c r="R73" i="9"/>
  <c r="R121" i="9"/>
  <c r="R85" i="9"/>
  <c r="R90" i="9"/>
  <c r="Y56" i="9"/>
  <c r="R56" i="9"/>
  <c r="Y29" i="9"/>
  <c r="R29" i="9"/>
  <c r="Y54" i="9"/>
  <c r="R54" i="9"/>
  <c r="Y116" i="9"/>
  <c r="R116" i="9"/>
  <c r="R113" i="9"/>
  <c r="Y51" i="9"/>
  <c r="R51" i="9"/>
  <c r="Y80" i="9"/>
  <c r="R80" i="9"/>
  <c r="Y53" i="9"/>
  <c r="R53" i="9"/>
  <c r="R112" i="9"/>
  <c r="Y118" i="9"/>
  <c r="R118" i="9"/>
  <c r="R122" i="9"/>
  <c r="R117" i="9"/>
  <c r="Y42" i="9"/>
  <c r="R42" i="9"/>
  <c r="Y57" i="9"/>
  <c r="R57" i="9"/>
  <c r="Y76" i="9"/>
  <c r="R76" i="9"/>
  <c r="R91" i="9"/>
  <c r="Y148" i="9"/>
  <c r="R148" i="9"/>
  <c r="Y55" i="9"/>
  <c r="R55" i="9"/>
  <c r="Y81" i="9"/>
  <c r="R81" i="9"/>
  <c r="R107" i="9"/>
  <c r="R40" i="9"/>
  <c r="R92" i="9"/>
  <c r="Y150" i="9"/>
  <c r="Y38" i="9"/>
  <c r="R38" i="9"/>
  <c r="Y68" i="9"/>
  <c r="R68" i="9"/>
  <c r="Y49" i="9"/>
  <c r="R49" i="9"/>
  <c r="R44" i="9"/>
  <c r="R119" i="9"/>
  <c r="R60" i="9"/>
  <c r="R63" i="9"/>
  <c r="R50" i="9"/>
  <c r="R74" i="9"/>
  <c r="R147" i="9"/>
  <c r="Y32" i="9"/>
  <c r="R32" i="9"/>
  <c r="Y48" i="9"/>
  <c r="R48" i="9"/>
  <c r="Y152" i="9"/>
  <c r="R152" i="9"/>
  <c r="R93" i="9"/>
  <c r="Y34" i="9"/>
  <c r="R34" i="9"/>
  <c r="Y30" i="9"/>
  <c r="R30" i="9"/>
  <c r="Y61" i="9"/>
  <c r="R61" i="9"/>
  <c r="R84" i="9"/>
  <c r="Y124" i="9"/>
  <c r="R124" i="9"/>
  <c r="Y110" i="9"/>
  <c r="R110" i="9"/>
  <c r="R64" i="9"/>
  <c r="Y58" i="9"/>
  <c r="R58" i="9"/>
  <c r="Y59" i="9"/>
  <c r="R59" i="9"/>
  <c r="Y43" i="9"/>
  <c r="R43" i="9"/>
  <c r="Y35" i="9"/>
  <c r="R35" i="9"/>
  <c r="R26" i="9"/>
  <c r="Y33" i="9"/>
  <c r="R33" i="9"/>
  <c r="Y67" i="9"/>
  <c r="R67" i="9"/>
  <c r="Y120" i="9"/>
  <c r="R120" i="9"/>
  <c r="R27" i="9"/>
  <c r="R79" i="9"/>
  <c r="Y75" i="9"/>
  <c r="R75" i="9"/>
  <c r="Y65" i="9"/>
  <c r="R65" i="9"/>
  <c r="Y41" i="9"/>
  <c r="R41" i="9"/>
  <c r="R47" i="9"/>
  <c r="R66" i="9"/>
  <c r="R146" i="9"/>
  <c r="R28" i="9"/>
  <c r="Y37" i="9"/>
  <c r="R37" i="9"/>
  <c r="Y111" i="9"/>
  <c r="R111" i="9"/>
  <c r="Y82" i="9"/>
  <c r="R82" i="9"/>
  <c r="R87" i="9"/>
  <c r="Y70" i="9"/>
  <c r="R70" i="9"/>
  <c r="R151" i="9"/>
  <c r="R31" i="9"/>
  <c r="R153" i="9"/>
  <c r="Y83" i="9"/>
  <c r="R83" i="9"/>
  <c r="Y45" i="9"/>
  <c r="R45" i="9"/>
  <c r="R78" i="9"/>
  <c r="Y71" i="9"/>
  <c r="R71" i="9"/>
  <c r="Y52" i="9"/>
  <c r="R52" i="9"/>
  <c r="Y62" i="9"/>
  <c r="R62" i="9"/>
  <c r="Y46" i="9"/>
  <c r="R46" i="9"/>
  <c r="R86" i="9"/>
  <c r="R36" i="9"/>
  <c r="R72" i="9"/>
  <c r="R88" i="9"/>
  <c r="AU147" i="9"/>
  <c r="AS146" i="9"/>
  <c r="AL68" i="9"/>
  <c r="AL69" i="9" s="1"/>
  <c r="AU89" i="9"/>
  <c r="AS147" i="9"/>
  <c r="AQ85" i="9"/>
  <c r="AQ146" i="9"/>
  <c r="AU141" i="9"/>
  <c r="AQ89" i="9"/>
  <c r="AU86" i="9"/>
  <c r="Y146" i="9"/>
  <c r="AT147" i="9"/>
  <c r="AT146" i="9"/>
  <c r="BJ146" i="9"/>
  <c r="BJ147" i="9"/>
  <c r="AU146" i="9"/>
  <c r="AQ122" i="9"/>
  <c r="AR85" i="9"/>
  <c r="AV85" i="9" s="1"/>
  <c r="AW85" i="9" s="1"/>
  <c r="AQ141" i="9"/>
  <c r="AS142" i="9"/>
  <c r="Y147" i="9"/>
  <c r="BG90" i="9"/>
  <c r="BG144" i="9"/>
  <c r="BJ142" i="9"/>
  <c r="BG145" i="9"/>
  <c r="BJ141" i="9"/>
  <c r="BG73" i="9"/>
  <c r="AT86" i="9"/>
  <c r="Y141" i="9"/>
  <c r="R141" i="9"/>
  <c r="AS86" i="9"/>
  <c r="AT89" i="9"/>
  <c r="AQ86" i="9"/>
  <c r="AT142" i="9"/>
  <c r="AS141" i="9"/>
  <c r="AU122" i="9"/>
  <c r="AT122" i="9"/>
  <c r="AS89" i="9"/>
  <c r="AS85" i="9"/>
  <c r="AT141" i="9"/>
  <c r="AQ142" i="9"/>
  <c r="AS122" i="9"/>
  <c r="AU85" i="9"/>
  <c r="Y142" i="9"/>
  <c r="R142" i="9"/>
  <c r="AU142" i="9"/>
  <c r="AG153" i="9"/>
  <c r="AS153" i="9" s="1"/>
  <c r="AA153" i="9"/>
  <c r="Y93" i="9"/>
  <c r="Y92" i="9"/>
  <c r="AH90" i="9"/>
  <c r="AT90" i="9" s="1"/>
  <c r="Y91" i="9"/>
  <c r="AF90" i="9"/>
  <c r="AR90" i="9" s="1"/>
  <c r="AV90" i="9" s="1"/>
  <c r="AW90" i="9" s="1"/>
  <c r="AG90" i="9"/>
  <c r="AS90" i="9" s="1"/>
  <c r="Y90" i="9"/>
  <c r="AE90" i="9"/>
  <c r="AQ90" i="9" s="1"/>
  <c r="AI90" i="9"/>
  <c r="AU90" i="9" s="1"/>
  <c r="AD29" i="10"/>
  <c r="AE29" i="10" s="1"/>
  <c r="AB42" i="10"/>
  <c r="T42" i="10"/>
  <c r="AG42" i="10"/>
  <c r="S42" i="10"/>
  <c r="AA47" i="10"/>
  <c r="AG47" i="10" s="1"/>
  <c r="S47" i="10"/>
  <c r="AB47" i="10"/>
  <c r="T47" i="10"/>
  <c r="AD34" i="10"/>
  <c r="AB40" i="10"/>
  <c r="T40" i="10"/>
  <c r="AA41" i="10"/>
  <c r="AG41" i="10" s="1"/>
  <c r="S41" i="10"/>
  <c r="AD30" i="10"/>
  <c r="AB41" i="10"/>
  <c r="T41" i="10"/>
  <c r="AA40" i="10"/>
  <c r="S40" i="10"/>
  <c r="AB31" i="10"/>
  <c r="T31" i="10"/>
  <c r="AA31" i="10"/>
  <c r="S31" i="10"/>
  <c r="AD31" i="10"/>
  <c r="U32" i="18"/>
  <c r="F23" i="38"/>
  <c r="E23" i="38" s="1"/>
  <c r="N23" i="38" s="1"/>
  <c r="AB35" i="10"/>
  <c r="T35" i="10"/>
  <c r="S30" i="10"/>
  <c r="AA30" i="10"/>
  <c r="AB39" i="10"/>
  <c r="T39" i="10"/>
  <c r="S32" i="10"/>
  <c r="AA32" i="10"/>
  <c r="AG32" i="10" s="1"/>
  <c r="AB34" i="10"/>
  <c r="T34" i="10"/>
  <c r="AB33" i="10"/>
  <c r="T33" i="10"/>
  <c r="AB29" i="10"/>
  <c r="T29" i="10"/>
  <c r="S33" i="10"/>
  <c r="AA33" i="10"/>
  <c r="AG33" i="10" s="1"/>
  <c r="AB32" i="10"/>
  <c r="T32" i="10"/>
  <c r="AB30" i="10"/>
  <c r="T30" i="10"/>
  <c r="AB38" i="10"/>
  <c r="T38" i="10"/>
  <c r="S29" i="10"/>
  <c r="AA29" i="10"/>
  <c r="S36" i="10"/>
  <c r="AA36" i="10"/>
  <c r="AG36" i="10" s="1"/>
  <c r="S37" i="10"/>
  <c r="AA37" i="10"/>
  <c r="AG37" i="10" s="1"/>
  <c r="S103" i="10"/>
  <c r="AA103" i="10"/>
  <c r="AG103" i="10" s="1"/>
  <c r="S39" i="10"/>
  <c r="AA39" i="10"/>
  <c r="AG39" i="10" s="1"/>
  <c r="AB103" i="10"/>
  <c r="T103" i="10"/>
  <c r="S38" i="10"/>
  <c r="AA38" i="10"/>
  <c r="AG38" i="10" s="1"/>
  <c r="AB36" i="10"/>
  <c r="T36" i="10"/>
  <c r="AB37" i="10"/>
  <c r="T37" i="10"/>
  <c r="S34" i="10"/>
  <c r="AA34" i="10"/>
  <c r="S35" i="10"/>
  <c r="AA35" i="10"/>
  <c r="AG35" i="10" s="1"/>
  <c r="AB6" i="10"/>
  <c r="AA18" i="10"/>
  <c r="AG18" i="10" s="1"/>
  <c r="N54" i="10"/>
  <c r="BH42" i="9"/>
  <c r="BG88" i="9"/>
  <c r="BG113" i="9"/>
  <c r="AQ43" i="9"/>
  <c r="J23" i="20"/>
  <c r="AS32" i="9"/>
  <c r="AQ68" i="9"/>
  <c r="AU68" i="9"/>
  <c r="AU49" i="9"/>
  <c r="AQ35" i="9"/>
  <c r="AU72" i="9"/>
  <c r="AL89" i="9"/>
  <c r="AR89" i="9" s="1"/>
  <c r="AV89" i="9" s="1"/>
  <c r="AW89" i="9" s="1"/>
  <c r="AS72" i="9"/>
  <c r="N87" i="20"/>
  <c r="AH113" i="9"/>
  <c r="AT113" i="9" s="1"/>
  <c r="AB52" i="10"/>
  <c r="AH52" i="10" s="1"/>
  <c r="AF113" i="9"/>
  <c r="AG88" i="9"/>
  <c r="AS88" i="9" s="1"/>
  <c r="AE113" i="9"/>
  <c r="AQ113" i="9" s="1"/>
  <c r="Y113" i="9"/>
  <c r="Y88" i="9"/>
  <c r="AE88" i="9"/>
  <c r="AQ88" i="9" s="1"/>
  <c r="AF88" i="9"/>
  <c r="Z88" i="9"/>
  <c r="AI113" i="9"/>
  <c r="AU113" i="9" s="1"/>
  <c r="AI88" i="9"/>
  <c r="AU88" i="9" s="1"/>
  <c r="AG113" i="9"/>
  <c r="AS113" i="9" s="1"/>
  <c r="AH88" i="9"/>
  <c r="AT88" i="9" s="1"/>
  <c r="AF74" i="9"/>
  <c r="Z74" i="9"/>
  <c r="BG72" i="9"/>
  <c r="BG74" i="9"/>
  <c r="Y74" i="9"/>
  <c r="AE74" i="9"/>
  <c r="AQ74" i="9" s="1"/>
  <c r="AI74" i="9"/>
  <c r="AU74" i="9" s="1"/>
  <c r="AC74" i="9"/>
  <c r="AU46" i="9"/>
  <c r="AB74" i="9"/>
  <c r="AH74" i="9"/>
  <c r="AT74" i="9" s="1"/>
  <c r="AG74" i="9"/>
  <c r="AS74" i="9" s="1"/>
  <c r="AA74" i="9"/>
  <c r="AQ50" i="9"/>
  <c r="AL71" i="9"/>
  <c r="AQ59" i="9"/>
  <c r="AT72" i="9"/>
  <c r="E221" i="1"/>
  <c r="AU65" i="9"/>
  <c r="AQ38" i="9"/>
  <c r="AT50" i="9"/>
  <c r="AS50" i="9"/>
  <c r="AR72" i="9"/>
  <c r="AV72" i="9" s="1"/>
  <c r="AW72" i="9" s="1"/>
  <c r="AU50" i="9"/>
  <c r="Y72" i="9"/>
  <c r="AQ72" i="9"/>
  <c r="AT71" i="9"/>
  <c r="AQ71" i="9"/>
  <c r="AU71" i="9"/>
  <c r="AU62" i="9"/>
  <c r="AU54" i="9"/>
  <c r="AS71" i="9"/>
  <c r="AS68" i="9"/>
  <c r="AT68" i="9"/>
  <c r="AS65" i="9"/>
  <c r="AR65" i="9"/>
  <c r="AV65" i="9" s="1"/>
  <c r="AW65" i="9" s="1"/>
  <c r="AT65" i="9"/>
  <c r="AQ65" i="9"/>
  <c r="AR62" i="9"/>
  <c r="AV62" i="9" s="1"/>
  <c r="AW62" i="9" s="1"/>
  <c r="AQ62" i="9"/>
  <c r="AS62" i="9"/>
  <c r="AT62" i="9"/>
  <c r="AT59" i="9"/>
  <c r="AQ46" i="9"/>
  <c r="AR59" i="9"/>
  <c r="AV59" i="9" s="1"/>
  <c r="AW59" i="9" s="1"/>
  <c r="AS54" i="9"/>
  <c r="AU59" i="9"/>
  <c r="AS59" i="9"/>
  <c r="AU118" i="9"/>
  <c r="AQ49" i="9"/>
  <c r="AS118" i="9"/>
  <c r="AT118" i="9"/>
  <c r="AQ54" i="9"/>
  <c r="AT52" i="9"/>
  <c r="AT54" i="9"/>
  <c r="AR54" i="9"/>
  <c r="AV54" i="9" s="1"/>
  <c r="AW54" i="9" s="1"/>
  <c r="AS52" i="9"/>
  <c r="AR52" i="9"/>
  <c r="AV52" i="9" s="1"/>
  <c r="AW52" i="9" s="1"/>
  <c r="AQ52" i="9"/>
  <c r="AU52" i="9"/>
  <c r="AS49" i="9"/>
  <c r="Y50" i="9"/>
  <c r="AR50" i="9"/>
  <c r="AV50" i="9" s="1"/>
  <c r="AW50" i="9" s="1"/>
  <c r="BG116" i="9"/>
  <c r="BG50" i="9"/>
  <c r="AT49" i="9"/>
  <c r="AS46" i="9"/>
  <c r="AT46" i="9"/>
  <c r="AR43" i="9"/>
  <c r="AV43" i="9" s="1"/>
  <c r="AW43" i="9" s="1"/>
  <c r="AL116" i="9"/>
  <c r="AL46" i="9"/>
  <c r="AT43" i="9"/>
  <c r="AS43" i="9"/>
  <c r="AU43" i="9"/>
  <c r="AS41" i="9"/>
  <c r="AR41" i="9"/>
  <c r="AV41" i="9" s="1"/>
  <c r="AW41" i="9" s="1"/>
  <c r="AU41" i="9"/>
  <c r="AS38" i="9"/>
  <c r="AT41" i="9"/>
  <c r="AT38" i="9"/>
  <c r="AU38" i="9"/>
  <c r="AR38" i="9"/>
  <c r="AV38" i="9" s="1"/>
  <c r="AW38" i="9" s="1"/>
  <c r="AS35" i="9"/>
  <c r="AU35" i="9"/>
  <c r="AT35" i="9"/>
  <c r="AR35" i="9"/>
  <c r="AV35" i="9" s="1"/>
  <c r="AW35" i="9" s="1"/>
  <c r="AT116" i="9"/>
  <c r="AS116" i="9"/>
  <c r="AT32" i="9"/>
  <c r="AQ116" i="9"/>
  <c r="AU116" i="9"/>
  <c r="AQ32" i="9"/>
  <c r="AU32" i="9"/>
  <c r="AI121" i="9"/>
  <c r="AU121" i="9" s="1"/>
  <c r="BG121" i="9"/>
  <c r="Y121" i="9"/>
  <c r="AE121" i="9"/>
  <c r="AQ121" i="9" s="1"/>
  <c r="AG121" i="9"/>
  <c r="AS121" i="9" s="1"/>
  <c r="AH121" i="9"/>
  <c r="AT121" i="9" s="1"/>
  <c r="Z121" i="9"/>
  <c r="AF121" i="9"/>
  <c r="O133" i="1"/>
  <c r="Q133" i="1" s="1"/>
  <c r="S133" i="1" s="1"/>
  <c r="AG73" i="9"/>
  <c r="AS73" i="9" s="1"/>
  <c r="AA73" i="9"/>
  <c r="Z73" i="9"/>
  <c r="AF73" i="9"/>
  <c r="AR73" i="9" s="1"/>
  <c r="AI73" i="9"/>
  <c r="AU73" i="9" s="1"/>
  <c r="AC73" i="9"/>
  <c r="AB73" i="9"/>
  <c r="AH73" i="9"/>
  <c r="AT73" i="9" s="1"/>
  <c r="AE73" i="9"/>
  <c r="AQ73" i="9" s="1"/>
  <c r="Y73" i="9"/>
  <c r="BG69" i="9"/>
  <c r="AI69" i="9"/>
  <c r="AU69" i="9" s="1"/>
  <c r="AC69" i="9"/>
  <c r="AF69" i="9"/>
  <c r="Z69" i="9"/>
  <c r="AE69" i="9"/>
  <c r="AQ69" i="9" s="1"/>
  <c r="Y69" i="9"/>
  <c r="AG69" i="9"/>
  <c r="AS69" i="9" s="1"/>
  <c r="AA69" i="9"/>
  <c r="AB69" i="9"/>
  <c r="AH69" i="9"/>
  <c r="AT69" i="9" s="1"/>
  <c r="Y66" i="9"/>
  <c r="AE66" i="9"/>
  <c r="AQ66" i="9" s="1"/>
  <c r="AG66" i="9"/>
  <c r="AS66" i="9" s="1"/>
  <c r="AA66" i="9"/>
  <c r="BG66" i="9"/>
  <c r="Z66" i="9"/>
  <c r="AF66" i="9"/>
  <c r="AR66" i="9" s="1"/>
  <c r="AI66" i="9"/>
  <c r="AU66" i="9" s="1"/>
  <c r="AC66" i="9"/>
  <c r="AB66" i="9"/>
  <c r="AH66" i="9"/>
  <c r="AT66" i="9" s="1"/>
  <c r="AC63" i="9"/>
  <c r="AI63" i="9"/>
  <c r="AU63" i="9" s="1"/>
  <c r="Y63" i="9"/>
  <c r="AE63" i="9"/>
  <c r="AQ63" i="9" s="1"/>
  <c r="BG63" i="9"/>
  <c r="AF63" i="9"/>
  <c r="AR63" i="9" s="1"/>
  <c r="Z63" i="9"/>
  <c r="AA63" i="9"/>
  <c r="AG63" i="9"/>
  <c r="AS63" i="9" s="1"/>
  <c r="AH63" i="9"/>
  <c r="AT63" i="9" s="1"/>
  <c r="AB63" i="9"/>
  <c r="AC60" i="9"/>
  <c r="AI60" i="9"/>
  <c r="AU60" i="9" s="1"/>
  <c r="AG60" i="9"/>
  <c r="AS60" i="9" s="1"/>
  <c r="AA60" i="9"/>
  <c r="Y60" i="9"/>
  <c r="AE60" i="9"/>
  <c r="AQ60" i="9" s="1"/>
  <c r="AH60" i="9"/>
  <c r="AT60" i="9" s="1"/>
  <c r="AB60" i="9"/>
  <c r="BG60" i="9"/>
  <c r="AF60" i="9"/>
  <c r="AR60" i="9" s="1"/>
  <c r="Z60" i="9"/>
  <c r="Y119" i="9"/>
  <c r="AE119" i="9"/>
  <c r="AQ119" i="9" s="1"/>
  <c r="AC119" i="9"/>
  <c r="AI119" i="9"/>
  <c r="AU119" i="9" s="1"/>
  <c r="AB119" i="9"/>
  <c r="AH119" i="9"/>
  <c r="AT119" i="9" s="1"/>
  <c r="Z119" i="9"/>
  <c r="AF119" i="9"/>
  <c r="BG47" i="9"/>
  <c r="BG119" i="9"/>
  <c r="AG119" i="9"/>
  <c r="AS119" i="9" s="1"/>
  <c r="AA119" i="9"/>
  <c r="AE47" i="9"/>
  <c r="AQ47" i="9" s="1"/>
  <c r="Y47" i="9"/>
  <c r="AF47" i="9"/>
  <c r="Z47" i="9"/>
  <c r="AA47" i="9"/>
  <c r="AG47" i="9"/>
  <c r="AS47" i="9" s="1"/>
  <c r="AC47" i="9"/>
  <c r="AI47" i="9"/>
  <c r="AU47" i="9" s="1"/>
  <c r="AH47" i="9"/>
  <c r="AT47" i="9" s="1"/>
  <c r="AB47" i="9"/>
  <c r="AE44" i="9"/>
  <c r="AQ44" i="9" s="1"/>
  <c r="Y44" i="9"/>
  <c r="AH44" i="9"/>
  <c r="AT44" i="9" s="1"/>
  <c r="AB44" i="9"/>
  <c r="Z44" i="9"/>
  <c r="AF44" i="9"/>
  <c r="AR44" i="9" s="1"/>
  <c r="BG44" i="9"/>
  <c r="AG44" i="9"/>
  <c r="AS44" i="9" s="1"/>
  <c r="AA44" i="9"/>
  <c r="AI44" i="9"/>
  <c r="AU44" i="9" s="1"/>
  <c r="AC44" i="9"/>
  <c r="AG39" i="9"/>
  <c r="AS39" i="9" s="1"/>
  <c r="AA39" i="9"/>
  <c r="AE39" i="9"/>
  <c r="AQ39" i="9" s="1"/>
  <c r="Y39" i="9"/>
  <c r="AC39" i="9"/>
  <c r="AI39" i="9"/>
  <c r="AU39" i="9" s="1"/>
  <c r="AF39" i="9"/>
  <c r="Z39" i="9"/>
  <c r="BG39" i="9"/>
  <c r="AH39" i="9"/>
  <c r="AT39" i="9" s="1"/>
  <c r="AB39" i="9"/>
  <c r="AE36" i="9"/>
  <c r="AQ36" i="9" s="1"/>
  <c r="Y36" i="9"/>
  <c r="AB36" i="9"/>
  <c r="AH36" i="9"/>
  <c r="AT36" i="9" s="1"/>
  <c r="AI36" i="9"/>
  <c r="AU36" i="9" s="1"/>
  <c r="AC36" i="9"/>
  <c r="AG36" i="9"/>
  <c r="AS36" i="9" s="1"/>
  <c r="AA36" i="9"/>
  <c r="BG36" i="9"/>
  <c r="AF36" i="9"/>
  <c r="AR36" i="9" s="1"/>
  <c r="AF117" i="9"/>
  <c r="AG117" i="9"/>
  <c r="AS117" i="9" s="1"/>
  <c r="AA117" i="9"/>
  <c r="AC117" i="9"/>
  <c r="AI117" i="9"/>
  <c r="AU117" i="9" s="1"/>
  <c r="BG117" i="9"/>
  <c r="AH117" i="9"/>
  <c r="AT117" i="9" s="1"/>
  <c r="AB117" i="9"/>
  <c r="Y117" i="9"/>
  <c r="AE117" i="9"/>
  <c r="AQ117" i="9" s="1"/>
  <c r="AA26" i="10"/>
  <c r="AG26" i="10" s="1"/>
  <c r="T23" i="10"/>
  <c r="T28" i="10"/>
  <c r="AA4" i="10"/>
  <c r="AG4" i="10" s="1"/>
  <c r="S4" i="10"/>
  <c r="R144" i="9"/>
  <c r="M62" i="20"/>
  <c r="J62" i="20" s="1"/>
  <c r="M61" i="20"/>
  <c r="J61" i="20" s="1"/>
  <c r="AA8" i="10"/>
  <c r="AG8" i="10" s="1"/>
  <c r="AB4" i="10"/>
  <c r="R145" i="9"/>
  <c r="AA14" i="10"/>
  <c r="AG14" i="10" s="1"/>
  <c r="AA19" i="10"/>
  <c r="AG19" i="10" s="1"/>
  <c r="T97" i="10"/>
  <c r="AL122" i="9"/>
  <c r="AR122" i="9" s="1"/>
  <c r="AR151" i="9"/>
  <c r="AV151" i="9" s="1"/>
  <c r="AW151" i="9" s="1"/>
  <c r="BH107" i="9"/>
  <c r="T5" i="10"/>
  <c r="T18" i="10"/>
  <c r="AA9" i="10"/>
  <c r="AG9" i="10" s="1"/>
  <c r="AA21" i="10"/>
  <c r="AG21" i="10" s="1"/>
  <c r="AA16" i="10"/>
  <c r="AG16" i="10" s="1"/>
  <c r="T10" i="10"/>
  <c r="AA20" i="10"/>
  <c r="AG20" i="10" s="1"/>
  <c r="AA6" i="10"/>
  <c r="AG6" i="10" s="1"/>
  <c r="T99" i="10"/>
  <c r="AA98" i="10"/>
  <c r="AG98" i="10" s="1"/>
  <c r="T8" i="10"/>
  <c r="AA12" i="10"/>
  <c r="AG12" i="10" s="1"/>
  <c r="AB97" i="10"/>
  <c r="AA7" i="10"/>
  <c r="AG7" i="10" s="1"/>
  <c r="AB50" i="10"/>
  <c r="AH50" i="10" s="1"/>
  <c r="AB51" i="10"/>
  <c r="AH51" i="10" s="1"/>
  <c r="T20" i="10"/>
  <c r="S51" i="10"/>
  <c r="T14" i="10"/>
  <c r="T16" i="10"/>
  <c r="R125" i="9"/>
  <c r="R102" i="9"/>
  <c r="AA10" i="10"/>
  <c r="AG10" i="10" s="1"/>
  <c r="S99" i="10"/>
  <c r="S52" i="10"/>
  <c r="AA11" i="10"/>
  <c r="AG11" i="10" s="1"/>
  <c r="AA17" i="10"/>
  <c r="AG17" i="10" s="1"/>
  <c r="AE97" i="10"/>
  <c r="S5" i="10"/>
  <c r="S23" i="10"/>
  <c r="S28" i="10"/>
  <c r="S25" i="10"/>
  <c r="T25" i="10"/>
  <c r="AA101" i="10"/>
  <c r="AG101" i="10" s="1"/>
  <c r="S50" i="10"/>
  <c r="AA13" i="10"/>
  <c r="AG13" i="10" s="1"/>
  <c r="T100" i="10"/>
  <c r="S102" i="10"/>
  <c r="S100" i="10"/>
  <c r="AA24" i="10"/>
  <c r="AG24" i="10" s="1"/>
  <c r="T12" i="10"/>
  <c r="AR108" i="9"/>
  <c r="D20" i="30"/>
  <c r="R139" i="9"/>
  <c r="BG140" i="9"/>
  <c r="BG139" i="9"/>
  <c r="R140" i="9"/>
  <c r="AC29" i="9"/>
  <c r="AF34" i="9"/>
  <c r="AR34" i="9" s="1"/>
  <c r="AV34" i="9" s="1"/>
  <c r="AW34" i="9" s="1"/>
  <c r="AU29" i="9"/>
  <c r="AG106" i="9"/>
  <c r="AS106" i="9" s="1"/>
  <c r="AF75" i="9"/>
  <c r="AR75" i="9" s="1"/>
  <c r="AV75" i="9" s="1"/>
  <c r="AW75" i="9" s="1"/>
  <c r="AL118" i="9"/>
  <c r="BG43" i="9"/>
  <c r="BG52" i="9"/>
  <c r="BG59" i="9"/>
  <c r="BG71" i="9"/>
  <c r="BG41" i="9"/>
  <c r="BG49" i="9"/>
  <c r="BG118" i="9"/>
  <c r="BG68" i="9"/>
  <c r="BG38" i="9"/>
  <c r="BG136" i="9"/>
  <c r="BG138" i="9"/>
  <c r="BG65" i="9"/>
  <c r="BG35" i="9"/>
  <c r="BG46" i="9"/>
  <c r="BG54" i="9"/>
  <c r="BG62" i="9"/>
  <c r="BG32" i="9"/>
  <c r="R131" i="9"/>
  <c r="R138" i="9"/>
  <c r="R136" i="9"/>
  <c r="AE58" i="9"/>
  <c r="AQ58" i="9" s="1"/>
  <c r="AI67" i="9"/>
  <c r="AU67" i="9" s="1"/>
  <c r="AH37" i="9"/>
  <c r="AT37" i="9" s="1"/>
  <c r="AI87" i="9"/>
  <c r="AU87" i="9" s="1"/>
  <c r="AG64" i="9"/>
  <c r="AS64" i="9" s="1"/>
  <c r="BM1" i="9"/>
  <c r="BM150" i="9" s="1"/>
  <c r="B262" i="1"/>
  <c r="P105" i="6"/>
  <c r="P108" i="6" s="1"/>
  <c r="I120" i="1" s="1"/>
  <c r="D22" i="30"/>
  <c r="D21" i="30"/>
  <c r="J14" i="20"/>
  <c r="S14" i="20" s="1"/>
  <c r="AH48" i="9"/>
  <c r="AT48" i="9" s="1"/>
  <c r="E138" i="9"/>
  <c r="E143" i="9" s="1"/>
  <c r="AI112" i="9"/>
  <c r="AU112" i="9" s="1"/>
  <c r="AH42" i="9"/>
  <c r="AT42" i="9" s="1"/>
  <c r="AE45" i="9"/>
  <c r="AQ45" i="9" s="1"/>
  <c r="AI75" i="9"/>
  <c r="AU75" i="9" s="1"/>
  <c r="AF53" i="9"/>
  <c r="AR53" i="9" s="1"/>
  <c r="AV53" i="9" s="1"/>
  <c r="AW53" i="9" s="1"/>
  <c r="AG75" i="9"/>
  <c r="AS75" i="9" s="1"/>
  <c r="D24" i="30"/>
  <c r="AH27" i="9"/>
  <c r="AT27" i="9" s="1"/>
  <c r="D23" i="30"/>
  <c r="C10" i="30"/>
  <c r="E10" i="30" s="1"/>
  <c r="AR148" i="9"/>
  <c r="AV148" i="9" s="1"/>
  <c r="AW148" i="9" s="1"/>
  <c r="AF33" i="9"/>
  <c r="AR33" i="9" s="1"/>
  <c r="AV33" i="9" s="1"/>
  <c r="AW33" i="9" s="1"/>
  <c r="AU55" i="9"/>
  <c r="AG80" i="9"/>
  <c r="AS80" i="9" s="1"/>
  <c r="AH87" i="9"/>
  <c r="AT87" i="9" s="1"/>
  <c r="AI153" i="9"/>
  <c r="AU153" i="9" s="1"/>
  <c r="AG61" i="9"/>
  <c r="AS61" i="9" s="1"/>
  <c r="AT148" i="9"/>
  <c r="AS55" i="9"/>
  <c r="AI81" i="9"/>
  <c r="AU81" i="9" s="1"/>
  <c r="AC150" i="9"/>
  <c r="AH34" i="9"/>
  <c r="AT34" i="9" s="1"/>
  <c r="AH106" i="9"/>
  <c r="AT106" i="9" s="1"/>
  <c r="AG120" i="9"/>
  <c r="AS120" i="9" s="1"/>
  <c r="AG83" i="9"/>
  <c r="AS83" i="9" s="1"/>
  <c r="AI64" i="9"/>
  <c r="AU64" i="9" s="1"/>
  <c r="AR55" i="9"/>
  <c r="AV55" i="9" s="1"/>
  <c r="AW55" i="9" s="1"/>
  <c r="C17" i="30"/>
  <c r="AF45" i="9"/>
  <c r="AE70" i="9"/>
  <c r="AQ70" i="9" s="1"/>
  <c r="C14" i="30"/>
  <c r="E14" i="30" s="1"/>
  <c r="C11" i="30"/>
  <c r="E11" i="30" s="1"/>
  <c r="C16" i="30"/>
  <c r="E16" i="30" s="1"/>
  <c r="C12" i="30"/>
  <c r="E12" i="30" s="1"/>
  <c r="AH57" i="9"/>
  <c r="AT57" i="9" s="1"/>
  <c r="C13" i="30"/>
  <c r="E13" i="30" s="1"/>
  <c r="AE4" i="10"/>
  <c r="AE92" i="9"/>
  <c r="AQ92" i="9" s="1"/>
  <c r="D27" i="14"/>
  <c r="D37" i="14" s="1"/>
  <c r="AT56" i="9"/>
  <c r="AU56" i="9"/>
  <c r="AU148" i="9"/>
  <c r="AS148" i="9"/>
  <c r="AH91" i="9"/>
  <c r="AT91" i="9" s="1"/>
  <c r="AH31" i="9"/>
  <c r="AT31" i="9" s="1"/>
  <c r="AT55" i="9"/>
  <c r="AQ56" i="9"/>
  <c r="Z26" i="9"/>
  <c r="AE150" i="9"/>
  <c r="AQ150" i="9" s="1"/>
  <c r="AS56" i="9"/>
  <c r="AR29" i="9"/>
  <c r="AH80" i="9"/>
  <c r="AT80" i="9" s="1"/>
  <c r="AH40" i="9"/>
  <c r="AT40" i="9" s="1"/>
  <c r="D225" i="1"/>
  <c r="AQ55" i="9"/>
  <c r="AQ148" i="9"/>
  <c r="AR56" i="9"/>
  <c r="AV56" i="9" s="1"/>
  <c r="AW56" i="9" s="1"/>
  <c r="AG79" i="9"/>
  <c r="AS79" i="9" s="1"/>
  <c r="D51" i="14"/>
  <c r="D52" i="14"/>
  <c r="R104" i="9"/>
  <c r="O135" i="1"/>
  <c r="Q135" i="1" s="1"/>
  <c r="S135" i="1" s="1"/>
  <c r="O134" i="1"/>
  <c r="Q134" i="1" s="1"/>
  <c r="S134" i="1" s="1"/>
  <c r="AE84" i="9"/>
  <c r="AQ84" i="9" s="1"/>
  <c r="Y84" i="9"/>
  <c r="AE93" i="9"/>
  <c r="AQ93" i="9" s="1"/>
  <c r="AF64" i="9"/>
  <c r="AR64" i="9" s="1"/>
  <c r="Z64" i="9"/>
  <c r="AF153" i="9"/>
  <c r="AR153" i="9" s="1"/>
  <c r="AV153" i="9" s="1"/>
  <c r="AW153" i="9" s="1"/>
  <c r="AI53" i="9"/>
  <c r="AU53" i="9" s="1"/>
  <c r="AC53" i="9"/>
  <c r="AI152" i="9"/>
  <c r="AU152" i="9" s="1"/>
  <c r="AC152" i="9"/>
  <c r="AF78" i="9"/>
  <c r="AR78" i="9" s="1"/>
  <c r="Z78" i="9"/>
  <c r="AI31" i="9"/>
  <c r="AU31" i="9" s="1"/>
  <c r="AC31" i="9"/>
  <c r="AE64" i="9"/>
  <c r="AQ64" i="9" s="1"/>
  <c r="Y64" i="9"/>
  <c r="AF37" i="9"/>
  <c r="AR37" i="9" s="1"/>
  <c r="Z37" i="9"/>
  <c r="AI57" i="9"/>
  <c r="AU57" i="9" s="1"/>
  <c r="AC57" i="9"/>
  <c r="AF83" i="9"/>
  <c r="AR83" i="9" s="1"/>
  <c r="Z83" i="9"/>
  <c r="AI76" i="9"/>
  <c r="AU76" i="9" s="1"/>
  <c r="AC76" i="9"/>
  <c r="AF79" i="9"/>
  <c r="AR79" i="9" s="1"/>
  <c r="Z79" i="9"/>
  <c r="AI34" i="9"/>
  <c r="AU34" i="9" s="1"/>
  <c r="AC34" i="9"/>
  <c r="AI111" i="9"/>
  <c r="AU111" i="9" s="1"/>
  <c r="AC111" i="9"/>
  <c r="AI91" i="9"/>
  <c r="AU91" i="9" s="1"/>
  <c r="AG42" i="9"/>
  <c r="AS42" i="9" s="1"/>
  <c r="AA42" i="9"/>
  <c r="AE107" i="9"/>
  <c r="AQ107" i="9" s="1"/>
  <c r="Y107" i="9"/>
  <c r="AF81" i="9"/>
  <c r="AR81" i="9" s="1"/>
  <c r="Z81" i="9"/>
  <c r="AI40" i="9"/>
  <c r="AU40" i="9" s="1"/>
  <c r="AC40" i="9"/>
  <c r="AG111" i="9"/>
  <c r="AS111" i="9" s="1"/>
  <c r="AA111" i="9"/>
  <c r="AG91" i="9"/>
  <c r="AS91" i="9" s="1"/>
  <c r="AH30" i="9"/>
  <c r="AT30" i="9" s="1"/>
  <c r="AB30" i="9"/>
  <c r="AF92" i="9"/>
  <c r="AR92" i="9" s="1"/>
  <c r="Z92" i="9"/>
  <c r="AI80" i="9"/>
  <c r="AU80" i="9" s="1"/>
  <c r="AC80" i="9"/>
  <c r="AE78" i="9"/>
  <c r="AQ78" i="9" s="1"/>
  <c r="Y78" i="9"/>
  <c r="AE87" i="9"/>
  <c r="AQ87" i="9" s="1"/>
  <c r="Y87" i="9"/>
  <c r="AF58" i="9"/>
  <c r="AR58" i="9" s="1"/>
  <c r="AV58" i="9" s="1"/>
  <c r="AW58" i="9" s="1"/>
  <c r="AG48" i="9"/>
  <c r="AS48" i="9" s="1"/>
  <c r="AA48" i="9"/>
  <c r="AG112" i="9"/>
  <c r="AS112" i="9" s="1"/>
  <c r="AH33" i="9"/>
  <c r="AT33" i="9" s="1"/>
  <c r="AB33" i="9"/>
  <c r="AI61" i="9"/>
  <c r="AU61" i="9" s="1"/>
  <c r="AC61" i="9"/>
  <c r="AI120" i="9"/>
  <c r="AU120" i="9" s="1"/>
  <c r="AE31" i="9"/>
  <c r="AQ31" i="9" s="1"/>
  <c r="Y31" i="9"/>
  <c r="AE153" i="9"/>
  <c r="AQ153" i="9" s="1"/>
  <c r="Y153" i="9"/>
  <c r="AF106" i="9"/>
  <c r="AR106" i="9" s="1"/>
  <c r="AF70" i="9"/>
  <c r="AR70" i="9" s="1"/>
  <c r="Z70" i="9"/>
  <c r="AG51" i="9"/>
  <c r="AS51" i="9" s="1"/>
  <c r="AA51" i="9"/>
  <c r="AE109" i="9"/>
  <c r="AQ109" i="9" s="1"/>
  <c r="Y109" i="9"/>
  <c r="AE112" i="9"/>
  <c r="AQ112" i="9" s="1"/>
  <c r="Y112" i="9"/>
  <c r="AI45" i="9"/>
  <c r="AU45" i="9" s="1"/>
  <c r="AC45" i="9"/>
  <c r="AG92" i="9"/>
  <c r="AS92" i="9" s="1"/>
  <c r="AG33" i="9"/>
  <c r="AS33" i="9" s="1"/>
  <c r="AA33" i="9"/>
  <c r="AI82" i="9"/>
  <c r="AU82" i="9" s="1"/>
  <c r="AC82" i="9"/>
  <c r="AF112" i="9"/>
  <c r="AR112" i="9" s="1"/>
  <c r="Z112" i="9"/>
  <c r="AI107" i="9"/>
  <c r="AU107" i="9" s="1"/>
  <c r="AC107" i="9"/>
  <c r="AE79" i="9"/>
  <c r="AQ79" i="9" s="1"/>
  <c r="Y79" i="9"/>
  <c r="AG30" i="9"/>
  <c r="AS30" i="9" s="1"/>
  <c r="AA30" i="9"/>
  <c r="AE40" i="9"/>
  <c r="AQ40" i="9" s="1"/>
  <c r="Y40" i="9"/>
  <c r="AG82" i="9"/>
  <c r="AS82" i="9" s="1"/>
  <c r="AA82" i="9"/>
  <c r="AG37" i="9"/>
  <c r="AS37" i="9" s="1"/>
  <c r="AA37" i="9"/>
  <c r="AI84" i="9"/>
  <c r="AU84" i="9" s="1"/>
  <c r="AC84" i="9"/>
  <c r="AI93" i="9"/>
  <c r="AU93" i="9" s="1"/>
  <c r="I9" i="1"/>
  <c r="I114" i="1" s="1"/>
  <c r="BH80" i="9"/>
  <c r="BH83" i="9"/>
  <c r="BG120" i="9"/>
  <c r="BG87" i="9"/>
  <c r="BG91" i="9"/>
  <c r="BG108" i="9"/>
  <c r="BG151" i="9"/>
  <c r="BI30" i="9"/>
  <c r="BG34" i="9"/>
  <c r="BG40" i="9"/>
  <c r="BG45" i="9"/>
  <c r="BG51" i="9"/>
  <c r="BJ55" i="9"/>
  <c r="BH57" i="9"/>
  <c r="BH61" i="9"/>
  <c r="BG67" i="9"/>
  <c r="BH111" i="9"/>
  <c r="BH78" i="9"/>
  <c r="BH79" i="9"/>
  <c r="BI82" i="9"/>
  <c r="BI112" i="9"/>
  <c r="BH153" i="9"/>
  <c r="BI29" i="9"/>
  <c r="BH33" i="9"/>
  <c r="BH37" i="9"/>
  <c r="BJ42" i="9"/>
  <c r="BJ148" i="9"/>
  <c r="BG61" i="9"/>
  <c r="BJ64" i="9"/>
  <c r="BG111" i="9"/>
  <c r="BF28" i="9"/>
  <c r="BG78" i="9"/>
  <c r="BG79" i="9"/>
  <c r="BG81" i="9"/>
  <c r="BJ84" i="9"/>
  <c r="BG153" i="9"/>
  <c r="BJ87" i="9"/>
  <c r="BJ93" i="9"/>
  <c r="BJ27" i="9"/>
  <c r="BG33" i="9"/>
  <c r="BG37" i="9"/>
  <c r="BG107" i="9"/>
  <c r="BG53" i="9"/>
  <c r="BG109" i="9"/>
  <c r="BH58" i="9"/>
  <c r="BH64" i="9"/>
  <c r="BG70" i="9"/>
  <c r="BF75" i="9"/>
  <c r="BI76" i="9"/>
  <c r="BH152" i="9"/>
  <c r="BJ80" i="9"/>
  <c r="BH84" i="9"/>
  <c r="BH120" i="9"/>
  <c r="BH87" i="9"/>
  <c r="BH92" i="9"/>
  <c r="BG26" i="9"/>
  <c r="BG31" i="9"/>
  <c r="BH34" i="9"/>
  <c r="BG42" i="9"/>
  <c r="BG48" i="9"/>
  <c r="BG124" i="9"/>
  <c r="BI56" i="9"/>
  <c r="BG58" i="9"/>
  <c r="BG64" i="9"/>
  <c r="BG110" i="9"/>
  <c r="BF106" i="9"/>
  <c r="D48" i="1"/>
  <c r="D56" i="14" s="1"/>
  <c r="D64" i="14" s="1"/>
  <c r="D111" i="1"/>
  <c r="D124" i="1" s="1"/>
  <c r="D67" i="1" s="1"/>
  <c r="D135" i="1" s="1"/>
  <c r="AH93" i="9"/>
  <c r="AT93" i="9" s="1"/>
  <c r="AH51" i="9"/>
  <c r="AT51" i="9" s="1"/>
  <c r="AH53" i="9"/>
  <c r="AT53" i="9" s="1"/>
  <c r="AE83" i="9"/>
  <c r="AQ83" i="9" s="1"/>
  <c r="AE29" i="9"/>
  <c r="AQ29" i="9" s="1"/>
  <c r="AH67" i="9"/>
  <c r="AT67" i="9" s="1"/>
  <c r="AI79" i="9"/>
  <c r="AU79" i="9" s="1"/>
  <c r="AG109" i="9"/>
  <c r="AS109" i="9" s="1"/>
  <c r="AG87" i="9"/>
  <c r="AS87" i="9" s="1"/>
  <c r="AG152" i="9"/>
  <c r="AS152" i="9" s="1"/>
  <c r="AB26" i="9"/>
  <c r="AH152" i="9"/>
  <c r="AT152" i="9" s="1"/>
  <c r="AI78" i="9"/>
  <c r="AU78" i="9" s="1"/>
  <c r="AG93" i="9"/>
  <c r="AS93" i="9" s="1"/>
  <c r="AF48" i="9"/>
  <c r="AR48" i="9" s="1"/>
  <c r="AV48" i="9" s="1"/>
  <c r="AW48" i="9" s="1"/>
  <c r="AH107" i="9"/>
  <c r="AT107" i="9" s="1"/>
  <c r="AG150" i="9"/>
  <c r="AS150" i="9" s="1"/>
  <c r="AH120" i="9"/>
  <c r="AT120" i="9" s="1"/>
  <c r="R133" i="9"/>
  <c r="AI83" i="9"/>
  <c r="AU83" i="9" s="1"/>
  <c r="AH29" i="9"/>
  <c r="AT29" i="9" s="1"/>
  <c r="AG76" i="9"/>
  <c r="AS76" i="9" s="1"/>
  <c r="AH84" i="9"/>
  <c r="AT84" i="9" s="1"/>
  <c r="AI109" i="9"/>
  <c r="AU109" i="9" s="1"/>
  <c r="AG78" i="9"/>
  <c r="AS78" i="9" s="1"/>
  <c r="AH76" i="9"/>
  <c r="AT76" i="9" s="1"/>
  <c r="AF51" i="9"/>
  <c r="AR51" i="9" s="1"/>
  <c r="AV51" i="9" s="1"/>
  <c r="AW51" i="9" s="1"/>
  <c r="AE81" i="9"/>
  <c r="AQ81" i="9" s="1"/>
  <c r="AI70" i="9"/>
  <c r="AU70" i="9" s="1"/>
  <c r="AG67" i="9"/>
  <c r="AS67" i="9" s="1"/>
  <c r="AH150" i="9"/>
  <c r="AT150" i="9" s="1"/>
  <c r="AF107" i="9"/>
  <c r="AR107" i="9" s="1"/>
  <c r="AG84" i="9"/>
  <c r="AS84" i="9" s="1"/>
  <c r="AG57" i="9"/>
  <c r="AS57" i="9" s="1"/>
  <c r="AG70" i="9"/>
  <c r="AS70" i="9" s="1"/>
  <c r="AH61" i="9"/>
  <c r="AT61" i="9" s="1"/>
  <c r="R130" i="9"/>
  <c r="AH45" i="9"/>
  <c r="AT45" i="9" s="1"/>
  <c r="AE75" i="9"/>
  <c r="AQ75" i="9" s="1"/>
  <c r="AF28" i="9"/>
  <c r="AR28" i="9" s="1"/>
  <c r="AV28" i="9" s="1"/>
  <c r="AW28" i="9" s="1"/>
  <c r="AI92" i="9"/>
  <c r="AU92" i="9" s="1"/>
  <c r="AI58" i="9"/>
  <c r="AU58" i="9" s="1"/>
  <c r="AF42" i="9"/>
  <c r="AR42" i="9" s="1"/>
  <c r="AV42" i="9" s="1"/>
  <c r="AW42" i="9" s="1"/>
  <c r="AB28" i="9"/>
  <c r="AH111" i="9"/>
  <c r="AT111" i="9" s="1"/>
  <c r="AG81" i="9"/>
  <c r="AS81" i="9" s="1"/>
  <c r="AA28" i="9"/>
  <c r="AE34" i="9"/>
  <c r="AQ34" i="9" s="1"/>
  <c r="AE53" i="9"/>
  <c r="AQ53" i="9" s="1"/>
  <c r="R135" i="9"/>
  <c r="AG58" i="9"/>
  <c r="AS58" i="9" s="1"/>
  <c r="AH82" i="9"/>
  <c r="AT82" i="9" s="1"/>
  <c r="AF40" i="9"/>
  <c r="AR40" i="9" s="1"/>
  <c r="AV40" i="9" s="1"/>
  <c r="AW40" i="9" s="1"/>
  <c r="AF30" i="9"/>
  <c r="AR30" i="9" s="1"/>
  <c r="AV30" i="9" s="1"/>
  <c r="AW30" i="9" s="1"/>
  <c r="AA26" i="9"/>
  <c r="AC27" i="9"/>
  <c r="Z29" i="9"/>
  <c r="W54" i="10"/>
  <c r="V54" i="10"/>
  <c r="I28" i="14"/>
  <c r="I38" i="14" s="1"/>
  <c r="M86" i="14"/>
  <c r="M87" i="14"/>
  <c r="G27" i="14"/>
  <c r="G37" i="14" s="1"/>
  <c r="R84" i="20"/>
  <c r="P37" i="6"/>
  <c r="AA27" i="10"/>
  <c r="S27" i="10"/>
  <c r="AB27" i="10"/>
  <c r="T27" i="10"/>
  <c r="AE22" i="10"/>
  <c r="AS28" i="9"/>
  <c r="AU150" i="9"/>
  <c r="AE18" i="10"/>
  <c r="AF124" i="9"/>
  <c r="AR124" i="9" s="1"/>
  <c r="AF110" i="9"/>
  <c r="AR110" i="9" s="1"/>
  <c r="AS26" i="9"/>
  <c r="AE14" i="10"/>
  <c r="AE32" i="10" s="1"/>
  <c r="AE102" i="10"/>
  <c r="AU27" i="9"/>
  <c r="Y27" i="9"/>
  <c r="AE27" i="9"/>
  <c r="AQ27" i="9" s="1"/>
  <c r="AH110" i="9"/>
  <c r="AT110" i="9" s="1"/>
  <c r="AI110" i="9"/>
  <c r="AU110" i="9" s="1"/>
  <c r="AF109" i="9"/>
  <c r="AR109" i="9" s="1"/>
  <c r="AE110" i="9"/>
  <c r="AQ110" i="9" s="1"/>
  <c r="AG110" i="9"/>
  <c r="AS110" i="9" s="1"/>
  <c r="AE120" i="9"/>
  <c r="AQ120" i="9" s="1"/>
  <c r="R108" i="9"/>
  <c r="AF27" i="9"/>
  <c r="AR27" i="9" s="1"/>
  <c r="AV27" i="9" s="1"/>
  <c r="AW27" i="9" s="1"/>
  <c r="R127" i="9"/>
  <c r="R129" i="9"/>
  <c r="R132" i="9"/>
  <c r="P97" i="9"/>
  <c r="AE91" i="9"/>
  <c r="AQ91" i="9" s="1"/>
  <c r="AF31" i="9"/>
  <c r="AR31" i="9" s="1"/>
  <c r="AV31" i="9" s="1"/>
  <c r="AW31" i="9" s="1"/>
  <c r="R105" i="9"/>
  <c r="N97" i="9"/>
  <c r="M97" i="9"/>
  <c r="O97" i="9"/>
  <c r="Q97" i="9"/>
  <c r="R134" i="9"/>
  <c r="R126" i="9"/>
  <c r="R128" i="9"/>
  <c r="AH124" i="9"/>
  <c r="AT124" i="9" s="1"/>
  <c r="AI124" i="9"/>
  <c r="AU124" i="9" s="1"/>
  <c r="AE124" i="9"/>
  <c r="AQ124" i="9" s="1"/>
  <c r="AG124" i="9"/>
  <c r="AS124" i="9" s="1"/>
  <c r="Y26" i="9"/>
  <c r="AE26" i="9"/>
  <c r="Z150" i="9"/>
  <c r="AF150" i="9"/>
  <c r="AR150" i="9" s="1"/>
  <c r="AF61" i="9"/>
  <c r="AR61" i="9" s="1"/>
  <c r="AV61" i="9" s="1"/>
  <c r="AW61" i="9" s="1"/>
  <c r="AF111" i="9"/>
  <c r="AR111" i="9" s="1"/>
  <c r="AF152" i="9"/>
  <c r="AR152" i="9" s="1"/>
  <c r="AV152" i="9" s="1"/>
  <c r="AW152" i="9" s="1"/>
  <c r="AF82" i="9"/>
  <c r="AR82" i="9" s="1"/>
  <c r="AV82" i="9" s="1"/>
  <c r="AW82" i="9" s="1"/>
  <c r="AF120" i="9"/>
  <c r="AR120" i="9" s="1"/>
  <c r="AF91" i="9"/>
  <c r="AR91" i="9" s="1"/>
  <c r="AV91" i="9" s="1"/>
  <c r="AW91" i="9" s="1"/>
  <c r="AA27" i="9"/>
  <c r="AG27" i="9"/>
  <c r="AS27" i="9" s="1"/>
  <c r="AG31" i="9"/>
  <c r="AS31" i="9" s="1"/>
  <c r="AG40" i="9"/>
  <c r="AS40" i="9" s="1"/>
  <c r="AG107" i="9"/>
  <c r="AS107" i="9" s="1"/>
  <c r="AH58" i="9"/>
  <c r="AT58" i="9" s="1"/>
  <c r="AH70" i="9"/>
  <c r="AT70" i="9" s="1"/>
  <c r="AH78" i="9"/>
  <c r="AT78" i="9" s="1"/>
  <c r="AH81" i="9"/>
  <c r="AT81" i="9" s="1"/>
  <c r="AH112" i="9"/>
  <c r="AT112" i="9" s="1"/>
  <c r="AI26" i="9"/>
  <c r="AU26" i="9" s="1"/>
  <c r="AC26" i="9"/>
  <c r="AI30" i="9"/>
  <c r="AU30" i="9" s="1"/>
  <c r="AI37" i="9"/>
  <c r="AU37" i="9" s="1"/>
  <c r="AI48" i="9"/>
  <c r="AU48" i="9" s="1"/>
  <c r="AI106" i="9"/>
  <c r="AU106" i="9" s="1"/>
  <c r="AE30" i="9"/>
  <c r="AQ30" i="9" s="1"/>
  <c r="AE37" i="9"/>
  <c r="AQ37" i="9" s="1"/>
  <c r="AE48" i="9"/>
  <c r="AQ48" i="9" s="1"/>
  <c r="AE106" i="9"/>
  <c r="AQ106" i="9" s="1"/>
  <c r="AE61" i="9"/>
  <c r="AQ61" i="9" s="1"/>
  <c r="AE111" i="9"/>
  <c r="AQ111" i="9" s="1"/>
  <c r="AE152" i="9"/>
  <c r="AQ152" i="9" s="1"/>
  <c r="AE82" i="9"/>
  <c r="AQ82" i="9" s="1"/>
  <c r="AE28" i="9"/>
  <c r="AQ28" i="9" s="1"/>
  <c r="Y28" i="9"/>
  <c r="AF57" i="9"/>
  <c r="AR57" i="9" s="1"/>
  <c r="AV57" i="9" s="1"/>
  <c r="AW57" i="9" s="1"/>
  <c r="AF67" i="9"/>
  <c r="AF76" i="9"/>
  <c r="AR76" i="9" s="1"/>
  <c r="AV76" i="9" s="1"/>
  <c r="AW76" i="9" s="1"/>
  <c r="AF80" i="9"/>
  <c r="AR80" i="9" s="1"/>
  <c r="AV80" i="9" s="1"/>
  <c r="AW80" i="9" s="1"/>
  <c r="AF84" i="9"/>
  <c r="AR84" i="9" s="1"/>
  <c r="AV84" i="9" s="1"/>
  <c r="AW84" i="9" s="1"/>
  <c r="AF87" i="9"/>
  <c r="AR87" i="9" s="1"/>
  <c r="AV87" i="9" s="1"/>
  <c r="AF93" i="9"/>
  <c r="AR93" i="9" s="1"/>
  <c r="AV93" i="9" s="1"/>
  <c r="AW93" i="9" s="1"/>
  <c r="AG29" i="9"/>
  <c r="AS29" i="9" s="1"/>
  <c r="AA29" i="9"/>
  <c r="AG34" i="9"/>
  <c r="AS34" i="9" s="1"/>
  <c r="AG45" i="9"/>
  <c r="AS45" i="9" s="1"/>
  <c r="AG53" i="9"/>
  <c r="AS53" i="9" s="1"/>
  <c r="AH109" i="9"/>
  <c r="AT109" i="9" s="1"/>
  <c r="AH64" i="9"/>
  <c r="AT64" i="9" s="1"/>
  <c r="AH75" i="9"/>
  <c r="AT75" i="9" s="1"/>
  <c r="AH79" i="9"/>
  <c r="AT79" i="9" s="1"/>
  <c r="AH83" i="9"/>
  <c r="AT83" i="9" s="1"/>
  <c r="AH153" i="9"/>
  <c r="AT153" i="9" s="1"/>
  <c r="AH92" i="9"/>
  <c r="AT92" i="9" s="1"/>
  <c r="AI28" i="9"/>
  <c r="AU28" i="9" s="1"/>
  <c r="AC28" i="9"/>
  <c r="AI33" i="9"/>
  <c r="AU33" i="9" s="1"/>
  <c r="AI42" i="9"/>
  <c r="AU42" i="9" s="1"/>
  <c r="AI51" i="9"/>
  <c r="AU51" i="9" s="1"/>
  <c r="AE33" i="9"/>
  <c r="AQ33" i="9" s="1"/>
  <c r="AE42" i="9"/>
  <c r="AQ42" i="9" s="1"/>
  <c r="AE51" i="9"/>
  <c r="AQ51" i="9" s="1"/>
  <c r="AE57" i="9"/>
  <c r="AQ57" i="9" s="1"/>
  <c r="AE67" i="9"/>
  <c r="AQ67" i="9" s="1"/>
  <c r="AE76" i="9"/>
  <c r="AQ76" i="9" s="1"/>
  <c r="AE80" i="9"/>
  <c r="AQ80" i="9" s="1"/>
  <c r="I27" i="14"/>
  <c r="I37" i="14" s="1"/>
  <c r="AR26" i="9"/>
  <c r="N42" i="20"/>
  <c r="J42" i="20" s="1"/>
  <c r="N17" i="20"/>
  <c r="J17" i="20" s="1"/>
  <c r="AE16" i="10"/>
  <c r="AE103" i="10"/>
  <c r="R45" i="20"/>
  <c r="AE24" i="10"/>
  <c r="N88" i="20"/>
  <c r="J88" i="20" s="1"/>
  <c r="N24" i="20"/>
  <c r="J24" i="20" s="1"/>
  <c r="N18" i="20"/>
  <c r="J18" i="20" s="1"/>
  <c r="AE21" i="10"/>
  <c r="AG102" i="10"/>
  <c r="B58" i="5"/>
  <c r="P152" i="6"/>
  <c r="AE20" i="10"/>
  <c r="AE26" i="10"/>
  <c r="AT28" i="9"/>
  <c r="AE9" i="10"/>
  <c r="AG25" i="10"/>
  <c r="AE7" i="10"/>
  <c r="AE11" i="10"/>
  <c r="AE49" i="10" s="1"/>
  <c r="AH49" i="10" s="1"/>
  <c r="AE98" i="10"/>
  <c r="AE5" i="10"/>
  <c r="AG5" i="10"/>
  <c r="S44" i="20"/>
  <c r="R27" i="20"/>
  <c r="D20" i="1"/>
  <c r="D58" i="5"/>
  <c r="K25" i="1"/>
  <c r="E70" i="5"/>
  <c r="K18" i="1" s="1"/>
  <c r="K41" i="1" s="1"/>
  <c r="K53" i="14" s="1"/>
  <c r="D41" i="1"/>
  <c r="D53" i="14" s="1"/>
  <c r="AT26" i="9"/>
  <c r="D37" i="1"/>
  <c r="D40" i="1" s="1"/>
  <c r="AE8" i="10"/>
  <c r="AE12" i="10"/>
  <c r="AE36" i="10" s="1"/>
  <c r="AE15" i="10"/>
  <c r="AE37" i="10" s="1"/>
  <c r="AE19" i="10"/>
  <c r="AE23" i="10"/>
  <c r="AE100" i="10"/>
  <c r="AE28" i="10"/>
  <c r="AB101" i="10"/>
  <c r="T101" i="10"/>
  <c r="AG100" i="10"/>
  <c r="AE6" i="10"/>
  <c r="AE10" i="10"/>
  <c r="AE33" i="10" s="1"/>
  <c r="AE13" i="10"/>
  <c r="AE35" i="10" s="1"/>
  <c r="AE17" i="10"/>
  <c r="AE99" i="10"/>
  <c r="AE25" i="10"/>
  <c r="AE101" i="10"/>
  <c r="T7" i="10"/>
  <c r="AB7" i="10"/>
  <c r="AB22" i="10"/>
  <c r="T22" i="10"/>
  <c r="AG28" i="10"/>
  <c r="AG23" i="10"/>
  <c r="AG99" i="10"/>
  <c r="AB102" i="10"/>
  <c r="T102" i="10"/>
  <c r="T15" i="10"/>
  <c r="AB15" i="10"/>
  <c r="AB24" i="10"/>
  <c r="T24" i="10"/>
  <c r="AB21" i="10"/>
  <c r="T21" i="10"/>
  <c r="AB13" i="10"/>
  <c r="T13" i="10"/>
  <c r="AB98" i="10"/>
  <c r="T98" i="10"/>
  <c r="K37" i="1"/>
  <c r="K40" i="1" s="1"/>
  <c r="K51" i="14"/>
  <c r="K88" i="14" s="1"/>
  <c r="F58" i="5"/>
  <c r="P139" i="6"/>
  <c r="AB9" i="10"/>
  <c r="T9" i="10"/>
  <c r="AB17" i="10"/>
  <c r="T17" i="10"/>
  <c r="T26" i="10"/>
  <c r="AB26" i="10"/>
  <c r="T19" i="10"/>
  <c r="AB19" i="10"/>
  <c r="T11" i="10"/>
  <c r="AB11" i="10"/>
  <c r="S97" i="10"/>
  <c r="AA97" i="10"/>
  <c r="AG97" i="10" s="1"/>
  <c r="N59" i="20"/>
  <c r="N86" i="20"/>
  <c r="G51" i="14"/>
  <c r="G37" i="1"/>
  <c r="G40" i="1" s="1"/>
  <c r="G43" i="1" s="1"/>
  <c r="G17" i="1"/>
  <c r="D285" i="1"/>
  <c r="E274" i="1"/>
  <c r="E223" i="1"/>
  <c r="E222" i="1"/>
  <c r="E275" i="1"/>
  <c r="F80" i="1"/>
  <c r="I81" i="1"/>
  <c r="H79" i="1"/>
  <c r="J86" i="1"/>
  <c r="K80" i="1"/>
  <c r="D80" i="1"/>
  <c r="E87" i="1"/>
  <c r="H87" i="1"/>
  <c r="D76" i="1"/>
  <c r="G87" i="1"/>
  <c r="I79" i="1"/>
  <c r="G80" i="1"/>
  <c r="G79" i="1"/>
  <c r="J80" i="1"/>
  <c r="G86" i="1"/>
  <c r="D81" i="1"/>
  <c r="J87" i="1"/>
  <c r="I80" i="1"/>
  <c r="H86" i="1"/>
  <c r="E76" i="1"/>
  <c r="F79" i="1"/>
  <c r="E80" i="1"/>
  <c r="E79" i="1"/>
  <c r="J81" i="1"/>
  <c r="I86" i="1"/>
  <c r="H76" i="1"/>
  <c r="F76" i="1"/>
  <c r="K79" i="1"/>
  <c r="I87" i="1"/>
  <c r="J59" i="20" l="1"/>
  <c r="L59" i="20" s="1"/>
  <c r="F164" i="1"/>
  <c r="F100" i="14" s="1"/>
  <c r="J178" i="1"/>
  <c r="J89" i="14" s="1"/>
  <c r="J167" i="1"/>
  <c r="J170" i="1"/>
  <c r="G171" i="1"/>
  <c r="D168" i="1"/>
  <c r="C232" i="1"/>
  <c r="E232" i="1" s="1"/>
  <c r="C231" i="1"/>
  <c r="E231" i="1" s="1"/>
  <c r="D167" i="1"/>
  <c r="E171" i="1"/>
  <c r="E101" i="14" s="1"/>
  <c r="G167" i="1"/>
  <c r="C283" i="1"/>
  <c r="E283" i="1" s="1"/>
  <c r="H164" i="1"/>
  <c r="H100" i="14" s="1"/>
  <c r="K167" i="1"/>
  <c r="C250" i="1"/>
  <c r="D88" i="14"/>
  <c r="I170" i="1"/>
  <c r="R21" i="20"/>
  <c r="S21" i="20"/>
  <c r="I27" i="1"/>
  <c r="I118" i="1" s="1"/>
  <c r="I8" i="1"/>
  <c r="I31" i="1" s="1"/>
  <c r="D18" i="46" s="1"/>
  <c r="F18" i="46" s="1"/>
  <c r="J14" i="1"/>
  <c r="J17" i="1" s="1"/>
  <c r="J20" i="1" s="1"/>
  <c r="J23" i="1" s="1"/>
  <c r="I56" i="14"/>
  <c r="I64" i="14" s="1"/>
  <c r="J114" i="1"/>
  <c r="I33" i="1"/>
  <c r="I52" i="14" s="1"/>
  <c r="J115" i="1"/>
  <c r="D234" i="1"/>
  <c r="H101" i="14"/>
  <c r="H125" i="1"/>
  <c r="P167" i="6"/>
  <c r="K166" i="1"/>
  <c r="C249" i="1"/>
  <c r="AV77" i="9"/>
  <c r="AW77" i="9" s="1"/>
  <c r="AV26" i="9"/>
  <c r="AW26" i="9" s="1"/>
  <c r="AV44" i="9"/>
  <c r="AW44" i="9" s="1"/>
  <c r="AV79" i="9"/>
  <c r="AW79" i="9" s="1"/>
  <c r="AV37" i="9"/>
  <c r="AW37" i="9" s="1"/>
  <c r="AV92" i="9"/>
  <c r="AW92" i="9" s="1"/>
  <c r="AV70" i="9"/>
  <c r="AW70" i="9" s="1"/>
  <c r="AV78" i="9"/>
  <c r="AW78" i="9" s="1"/>
  <c r="AV36" i="9"/>
  <c r="AW36" i="9" s="1"/>
  <c r="AV60" i="9"/>
  <c r="AW60" i="9" s="1"/>
  <c r="AV29" i="9"/>
  <c r="AW29" i="9" s="1"/>
  <c r="AV83" i="9"/>
  <c r="AW83" i="9" s="1"/>
  <c r="AR39" i="9"/>
  <c r="AV39" i="9" s="1"/>
  <c r="AW39" i="9" s="1"/>
  <c r="AV81" i="9"/>
  <c r="AW81" i="9" s="1"/>
  <c r="AV64" i="9"/>
  <c r="AW64" i="9" s="1"/>
  <c r="AV63" i="9"/>
  <c r="AW63" i="9" s="1"/>
  <c r="AV66" i="9"/>
  <c r="AW66" i="9" s="1"/>
  <c r="AV73" i="9"/>
  <c r="AW73" i="9" s="1"/>
  <c r="D119" i="14"/>
  <c r="BM23" i="9"/>
  <c r="BS23" i="9" s="1"/>
  <c r="BQ77" i="9"/>
  <c r="BW77" i="9" s="1"/>
  <c r="BO77" i="9"/>
  <c r="BU77" i="9" s="1"/>
  <c r="BN77" i="9"/>
  <c r="BT77" i="9" s="1"/>
  <c r="BM77" i="9"/>
  <c r="BS77" i="9" s="1"/>
  <c r="BP77" i="9"/>
  <c r="BV77" i="9" s="1"/>
  <c r="BM11" i="9"/>
  <c r="BS11" i="9" s="1"/>
  <c r="BQ20" i="9"/>
  <c r="BW20" i="9" s="1"/>
  <c r="BO23" i="9"/>
  <c r="BU23" i="9" s="1"/>
  <c r="BO22" i="9"/>
  <c r="BU22" i="9" s="1"/>
  <c r="BO24" i="9"/>
  <c r="BU24" i="9" s="1"/>
  <c r="BO4" i="9"/>
  <c r="BU4" i="9" s="1"/>
  <c r="BM17" i="9"/>
  <c r="BS17" i="9" s="1"/>
  <c r="BQ14" i="9"/>
  <c r="BW14" i="9" s="1"/>
  <c r="BP22" i="9"/>
  <c r="BV22" i="9" s="1"/>
  <c r="BM15" i="9"/>
  <c r="BS15" i="9" s="1"/>
  <c r="BP6" i="9"/>
  <c r="BV6" i="9" s="1"/>
  <c r="BQ9" i="9"/>
  <c r="BW9" i="9" s="1"/>
  <c r="BM8" i="9"/>
  <c r="BS8" i="9" s="1"/>
  <c r="BQ22" i="9"/>
  <c r="BW22" i="9" s="1"/>
  <c r="BP8" i="9"/>
  <c r="BV8" i="9" s="1"/>
  <c r="BP9" i="9"/>
  <c r="BV9" i="9" s="1"/>
  <c r="BM10" i="9"/>
  <c r="BS10" i="9" s="1"/>
  <c r="BP16" i="9"/>
  <c r="BV16" i="9" s="1"/>
  <c r="BM4" i="9"/>
  <c r="BS4" i="9" s="1"/>
  <c r="BQ11" i="9"/>
  <c r="BW11" i="9" s="1"/>
  <c r="BP7" i="9"/>
  <c r="BV7" i="9" s="1"/>
  <c r="BO16" i="9"/>
  <c r="BU16" i="9" s="1"/>
  <c r="BP17" i="9"/>
  <c r="BV17" i="9" s="1"/>
  <c r="BQ4" i="9"/>
  <c r="BW4" i="9" s="1"/>
  <c r="BO25" i="9"/>
  <c r="BU25" i="9" s="1"/>
  <c r="BQ24" i="9"/>
  <c r="BW24" i="9" s="1"/>
  <c r="BM25" i="9"/>
  <c r="BS25" i="9" s="1"/>
  <c r="BQ16" i="9"/>
  <c r="BW16" i="9" s="1"/>
  <c r="BM18" i="9"/>
  <c r="BS18" i="9" s="1"/>
  <c r="BP4" i="9"/>
  <c r="BV4" i="9" s="1"/>
  <c r="BM22" i="9"/>
  <c r="BS22" i="9" s="1"/>
  <c r="BP25" i="9"/>
  <c r="BV25" i="9" s="1"/>
  <c r="BO18" i="9"/>
  <c r="BU18" i="9" s="1"/>
  <c r="BO14" i="9"/>
  <c r="BU14" i="9" s="1"/>
  <c r="BQ15" i="9"/>
  <c r="BW15" i="9" s="1"/>
  <c r="BQ8" i="9"/>
  <c r="BW8" i="9" s="1"/>
  <c r="BO17" i="9"/>
  <c r="BU17" i="9" s="1"/>
  <c r="BQ5" i="9"/>
  <c r="BW5" i="9" s="1"/>
  <c r="BM7" i="9"/>
  <c r="BS7" i="9" s="1"/>
  <c r="BP15" i="9"/>
  <c r="BV15" i="9" s="1"/>
  <c r="BP19" i="9"/>
  <c r="BV19" i="9" s="1"/>
  <c r="BO12" i="9"/>
  <c r="BU12" i="9" s="1"/>
  <c r="BQ12" i="9"/>
  <c r="BW12" i="9" s="1"/>
  <c r="BO7" i="9"/>
  <c r="BU7" i="9" s="1"/>
  <c r="BO10" i="9"/>
  <c r="BU10" i="9" s="1"/>
  <c r="BN115" i="9"/>
  <c r="BT115" i="9" s="1"/>
  <c r="BN12" i="9"/>
  <c r="BT12" i="9" s="1"/>
  <c r="BN6" i="9"/>
  <c r="BT6" i="9" s="1"/>
  <c r="BN14" i="9"/>
  <c r="BT14" i="9" s="1"/>
  <c r="BN21" i="9"/>
  <c r="BT21" i="9" s="1"/>
  <c r="BN24" i="9"/>
  <c r="BT24" i="9" s="1"/>
  <c r="BN4" i="9"/>
  <c r="BT4" i="9" s="1"/>
  <c r="BN5" i="9"/>
  <c r="BT5" i="9" s="1"/>
  <c r="BN16" i="9"/>
  <c r="BT16" i="9" s="1"/>
  <c r="BN8" i="9"/>
  <c r="BT8" i="9" s="1"/>
  <c r="BN17" i="9"/>
  <c r="BT17" i="9" s="1"/>
  <c r="BN23" i="9"/>
  <c r="BT23" i="9" s="1"/>
  <c r="BN15" i="9"/>
  <c r="BT15" i="9" s="1"/>
  <c r="BN25" i="9"/>
  <c r="BT25" i="9" s="1"/>
  <c r="BN7" i="9"/>
  <c r="BT7" i="9" s="1"/>
  <c r="BN11" i="9"/>
  <c r="BT11" i="9" s="1"/>
  <c r="BN13" i="9"/>
  <c r="BT13" i="9" s="1"/>
  <c r="BN19" i="9"/>
  <c r="BT19" i="9" s="1"/>
  <c r="BN9" i="9"/>
  <c r="BT9" i="9" s="1"/>
  <c r="BN10" i="9"/>
  <c r="BT10" i="9" s="1"/>
  <c r="BN18" i="9"/>
  <c r="BT18" i="9" s="1"/>
  <c r="BN22" i="9"/>
  <c r="BT22" i="9" s="1"/>
  <c r="BN20" i="9"/>
  <c r="BT20" i="9" s="1"/>
  <c r="BP14" i="9"/>
  <c r="BV14" i="9" s="1"/>
  <c r="BP24" i="9"/>
  <c r="BV24" i="9" s="1"/>
  <c r="BM6" i="9"/>
  <c r="BS6" i="9" s="1"/>
  <c r="BO6" i="9"/>
  <c r="BU6" i="9" s="1"/>
  <c r="BO8" i="9"/>
  <c r="BU8" i="9" s="1"/>
  <c r="BQ7" i="9"/>
  <c r="BW7" i="9" s="1"/>
  <c r="BO13" i="9"/>
  <c r="BU13" i="9" s="1"/>
  <c r="BQ13" i="9"/>
  <c r="BW13" i="9" s="1"/>
  <c r="BO19" i="9"/>
  <c r="BU19" i="9" s="1"/>
  <c r="BP12" i="9"/>
  <c r="BV12" i="9" s="1"/>
  <c r="BM13" i="9"/>
  <c r="BS13" i="9" s="1"/>
  <c r="BP11" i="9"/>
  <c r="BV11" i="9" s="1"/>
  <c r="BP13" i="9"/>
  <c r="BV13" i="9" s="1"/>
  <c r="BM20" i="9"/>
  <c r="BS20" i="9" s="1"/>
  <c r="BM19" i="9"/>
  <c r="BS19" i="9" s="1"/>
  <c r="BO5" i="9"/>
  <c r="BU5" i="9" s="1"/>
  <c r="BQ6" i="9"/>
  <c r="BW6" i="9" s="1"/>
  <c r="BO11" i="9"/>
  <c r="BU11" i="9" s="1"/>
  <c r="BQ18" i="9"/>
  <c r="BW18" i="9" s="1"/>
  <c r="BM21" i="9"/>
  <c r="BS21" i="9" s="1"/>
  <c r="BP5" i="9"/>
  <c r="BV5" i="9" s="1"/>
  <c r="BO21" i="9"/>
  <c r="BU21" i="9" s="1"/>
  <c r="BO20" i="9"/>
  <c r="BU20" i="9" s="1"/>
  <c r="BQ25" i="9"/>
  <c r="BW25" i="9" s="1"/>
  <c r="BQ23" i="9"/>
  <c r="BW23" i="9" s="1"/>
  <c r="BM24" i="9"/>
  <c r="BS24" i="9" s="1"/>
  <c r="BP20" i="9"/>
  <c r="BV20" i="9" s="1"/>
  <c r="BM16" i="9"/>
  <c r="BS16" i="9" s="1"/>
  <c r="BQ10" i="9"/>
  <c r="BW10" i="9" s="1"/>
  <c r="BP10" i="9"/>
  <c r="BV10" i="9" s="1"/>
  <c r="BP18" i="9"/>
  <c r="BV18" i="9" s="1"/>
  <c r="BM12" i="9"/>
  <c r="BS12" i="9" s="1"/>
  <c r="BO9" i="9"/>
  <c r="BU9" i="9" s="1"/>
  <c r="BQ17" i="9"/>
  <c r="BW17" i="9" s="1"/>
  <c r="BQ21" i="9"/>
  <c r="BW21" i="9" s="1"/>
  <c r="BM14" i="9"/>
  <c r="BS14" i="9" s="1"/>
  <c r="BP21" i="9"/>
  <c r="BV21" i="9" s="1"/>
  <c r="BM9" i="9"/>
  <c r="BS9" i="9" s="1"/>
  <c r="BP23" i="9"/>
  <c r="BV23" i="9" s="1"/>
  <c r="BQ19" i="9"/>
  <c r="BW19" i="9" s="1"/>
  <c r="BO15" i="9"/>
  <c r="BU15" i="9" s="1"/>
  <c r="BM5" i="9"/>
  <c r="BS5" i="9" s="1"/>
  <c r="AG30" i="10"/>
  <c r="T167" i="6"/>
  <c r="I121" i="1" s="1"/>
  <c r="J169" i="6"/>
  <c r="K169" i="6"/>
  <c r="I169" i="6"/>
  <c r="L169" i="6"/>
  <c r="H169" i="6"/>
  <c r="M169" i="6"/>
  <c r="G169" i="6"/>
  <c r="N169" i="6"/>
  <c r="O169" i="6"/>
  <c r="BM115" i="9"/>
  <c r="BS115" i="9" s="1"/>
  <c r="BQ114" i="9"/>
  <c r="BW114" i="9" s="1"/>
  <c r="BQ115" i="9"/>
  <c r="BW115" i="9" s="1"/>
  <c r="BO115" i="9"/>
  <c r="BU115" i="9" s="1"/>
  <c r="BP115" i="9"/>
  <c r="BV115" i="9" s="1"/>
  <c r="BM114" i="9"/>
  <c r="BS114" i="9" s="1"/>
  <c r="BN114" i="9"/>
  <c r="BT114" i="9" s="1"/>
  <c r="BP114" i="9"/>
  <c r="BV114" i="9" s="1"/>
  <c r="BO114" i="9"/>
  <c r="BU114" i="9" s="1"/>
  <c r="AV115" i="9"/>
  <c r="AR74" i="9"/>
  <c r="AV74" i="9" s="1"/>
  <c r="AW74" i="9" s="1"/>
  <c r="BO123" i="9"/>
  <c r="BU123" i="9" s="1"/>
  <c r="BP123" i="9"/>
  <c r="BV123" i="9" s="1"/>
  <c r="BQ123" i="9"/>
  <c r="BW123" i="9" s="1"/>
  <c r="BM123" i="9"/>
  <c r="BS123" i="9" s="1"/>
  <c r="AR123" i="9"/>
  <c r="AV123" i="9" s="1"/>
  <c r="BN123" i="9"/>
  <c r="BT123" i="9" s="1"/>
  <c r="BP147" i="9"/>
  <c r="BV147" i="9" s="1"/>
  <c r="AR71" i="9"/>
  <c r="AV71" i="9" s="1"/>
  <c r="AW71" i="9" s="1"/>
  <c r="BM147" i="9"/>
  <c r="BS147" i="9" s="1"/>
  <c r="BM146" i="9"/>
  <c r="BS146" i="9" s="1"/>
  <c r="BM106" i="9"/>
  <c r="AG29" i="10"/>
  <c r="BM141" i="9"/>
  <c r="BS141" i="9" s="1"/>
  <c r="BN147" i="9"/>
  <c r="BT147" i="9" s="1"/>
  <c r="BN146" i="9"/>
  <c r="BT146" i="9" s="1"/>
  <c r="BQ141" i="9"/>
  <c r="BW141" i="9" s="1"/>
  <c r="BO147" i="9"/>
  <c r="BU147" i="9" s="1"/>
  <c r="BP146" i="9"/>
  <c r="BV146" i="9" s="1"/>
  <c r="BO146" i="9"/>
  <c r="BU146" i="9" s="1"/>
  <c r="BQ147" i="9"/>
  <c r="BW147" i="9" s="1"/>
  <c r="BQ146" i="9"/>
  <c r="BW146" i="9" s="1"/>
  <c r="BP142" i="9"/>
  <c r="BV142" i="9" s="1"/>
  <c r="BM142" i="9"/>
  <c r="BS142" i="9" s="1"/>
  <c r="BN74" i="9"/>
  <c r="BT74" i="9" s="1"/>
  <c r="BN142" i="9"/>
  <c r="BT142" i="9" s="1"/>
  <c r="BN141" i="9"/>
  <c r="BT141" i="9" s="1"/>
  <c r="BP141" i="9"/>
  <c r="BV141" i="9" s="1"/>
  <c r="BO141" i="9"/>
  <c r="BU141" i="9" s="1"/>
  <c r="BO142" i="9"/>
  <c r="BU142" i="9" s="1"/>
  <c r="BQ142" i="9"/>
  <c r="BW142" i="9" s="1"/>
  <c r="BM90" i="9"/>
  <c r="BS90" i="9" s="1"/>
  <c r="BQ90" i="9"/>
  <c r="BW90" i="9" s="1"/>
  <c r="BN90" i="9"/>
  <c r="BT90" i="9" s="1"/>
  <c r="BO90" i="9"/>
  <c r="BU90" i="9" s="1"/>
  <c r="BP90" i="9"/>
  <c r="BV90" i="9" s="1"/>
  <c r="AH42" i="10"/>
  <c r="AG40" i="10"/>
  <c r="AE34" i="10"/>
  <c r="AH34" i="10" s="1"/>
  <c r="AE30" i="10"/>
  <c r="AH30" i="10" s="1"/>
  <c r="AH41" i="10"/>
  <c r="AG34" i="10"/>
  <c r="AH40" i="10"/>
  <c r="AH47" i="10"/>
  <c r="AG31" i="10"/>
  <c r="AE31" i="10"/>
  <c r="AH31" i="10" s="1"/>
  <c r="K48" i="1"/>
  <c r="K164" i="1" s="1"/>
  <c r="AH103" i="10"/>
  <c r="AH37" i="10"/>
  <c r="AH38" i="10"/>
  <c r="AH33" i="10"/>
  <c r="AH36" i="10"/>
  <c r="AH32" i="10"/>
  <c r="AH29" i="10"/>
  <c r="AH39" i="10"/>
  <c r="AH35" i="10"/>
  <c r="S54" i="10"/>
  <c r="S57" i="10" s="1"/>
  <c r="T54" i="10"/>
  <c r="T57" i="10" s="1"/>
  <c r="AR121" i="9"/>
  <c r="AV121" i="9" s="1"/>
  <c r="Y97" i="9"/>
  <c r="BP113" i="9"/>
  <c r="BV113" i="9" s="1"/>
  <c r="BQ88" i="9"/>
  <c r="BW88" i="9" s="1"/>
  <c r="BO88" i="9"/>
  <c r="BU88" i="9" s="1"/>
  <c r="BP88" i="9"/>
  <c r="BV88" i="9" s="1"/>
  <c r="BN88" i="9"/>
  <c r="BT88" i="9" s="1"/>
  <c r="BM88" i="9"/>
  <c r="BS88" i="9" s="1"/>
  <c r="BQ113" i="9"/>
  <c r="BW113" i="9" s="1"/>
  <c r="BM113" i="9"/>
  <c r="BS113" i="9" s="1"/>
  <c r="BN113" i="9"/>
  <c r="BT113" i="9" s="1"/>
  <c r="BO113" i="9"/>
  <c r="BU113" i="9" s="1"/>
  <c r="V23" i="20"/>
  <c r="R23" i="20"/>
  <c r="AR88" i="9"/>
  <c r="AR113" i="9"/>
  <c r="AV113" i="9" s="1"/>
  <c r="J86" i="20"/>
  <c r="J87" i="20"/>
  <c r="BN72" i="9"/>
  <c r="BT72" i="9" s="1"/>
  <c r="BM74" i="9"/>
  <c r="BS74" i="9" s="1"/>
  <c r="BO74" i="9"/>
  <c r="BU74" i="9" s="1"/>
  <c r="BQ74" i="9"/>
  <c r="BW74" i="9" s="1"/>
  <c r="BP74" i="9"/>
  <c r="BV74" i="9" s="1"/>
  <c r="AR118" i="9"/>
  <c r="AR119" i="9"/>
  <c r="AV119" i="9" s="1"/>
  <c r="AR46" i="9"/>
  <c r="AV46" i="9" s="1"/>
  <c r="AW46" i="9" s="1"/>
  <c r="AL47" i="9"/>
  <c r="AR47" i="9" s="1"/>
  <c r="AV47" i="9" s="1"/>
  <c r="AW47" i="9" s="1"/>
  <c r="AR68" i="9"/>
  <c r="AV68" i="9" s="1"/>
  <c r="AW68" i="9" s="1"/>
  <c r="BN69" i="9"/>
  <c r="BT69" i="9" s="1"/>
  <c r="AR116" i="9"/>
  <c r="AR117" i="9"/>
  <c r="AV117" i="9" s="1"/>
  <c r="BQ72" i="9"/>
  <c r="BW72" i="9" s="1"/>
  <c r="BO72" i="9"/>
  <c r="BU72" i="9" s="1"/>
  <c r="BP72" i="9"/>
  <c r="BV72" i="9" s="1"/>
  <c r="BM72" i="9"/>
  <c r="BS72" i="9" s="1"/>
  <c r="BQ116" i="9"/>
  <c r="BW116" i="9" s="1"/>
  <c r="BO50" i="9"/>
  <c r="BU50" i="9" s="1"/>
  <c r="BQ50" i="9"/>
  <c r="BW50" i="9" s="1"/>
  <c r="BP50" i="9"/>
  <c r="BV50" i="9" s="1"/>
  <c r="BM50" i="9"/>
  <c r="BS50" i="9" s="1"/>
  <c r="BN50" i="9"/>
  <c r="BT50" i="9" s="1"/>
  <c r="BM63" i="9"/>
  <c r="BS63" i="9" s="1"/>
  <c r="BO69" i="9"/>
  <c r="BU69" i="9" s="1"/>
  <c r="BO116" i="9"/>
  <c r="BU116" i="9" s="1"/>
  <c r="BN121" i="9"/>
  <c r="BT121" i="9" s="1"/>
  <c r="BN116" i="9"/>
  <c r="BT116" i="9" s="1"/>
  <c r="BP116" i="9"/>
  <c r="BV116" i="9" s="1"/>
  <c r="BM116" i="9"/>
  <c r="BS116" i="9" s="1"/>
  <c r="BM73" i="9"/>
  <c r="BS73" i="9" s="1"/>
  <c r="BO73" i="9"/>
  <c r="BU73" i="9" s="1"/>
  <c r="BN73" i="9"/>
  <c r="BT73" i="9" s="1"/>
  <c r="BM121" i="9"/>
  <c r="BS121" i="9" s="1"/>
  <c r="BO121" i="9"/>
  <c r="BU121" i="9" s="1"/>
  <c r="BP121" i="9"/>
  <c r="BV121" i="9" s="1"/>
  <c r="BQ121" i="9"/>
  <c r="BW121" i="9" s="1"/>
  <c r="BQ73" i="9"/>
  <c r="BW73" i="9" s="1"/>
  <c r="BP73" i="9"/>
  <c r="BV73" i="9" s="1"/>
  <c r="BQ69" i="9"/>
  <c r="BW69" i="9" s="1"/>
  <c r="BM69" i="9"/>
  <c r="BS69" i="9" s="1"/>
  <c r="BP69" i="9"/>
  <c r="BV69" i="9" s="1"/>
  <c r="BP63" i="9"/>
  <c r="BV63" i="9" s="1"/>
  <c r="BN66" i="9"/>
  <c r="BT66" i="9" s="1"/>
  <c r="BQ66" i="9"/>
  <c r="BW66" i="9" s="1"/>
  <c r="BP66" i="9"/>
  <c r="BV66" i="9" s="1"/>
  <c r="BM66" i="9"/>
  <c r="BS66" i="9" s="1"/>
  <c r="BO66" i="9"/>
  <c r="BU66" i="9" s="1"/>
  <c r="BQ63" i="9"/>
  <c r="BW63" i="9" s="1"/>
  <c r="BN63" i="9"/>
  <c r="BT63" i="9" s="1"/>
  <c r="BO63" i="9"/>
  <c r="BU63" i="9" s="1"/>
  <c r="BP119" i="9"/>
  <c r="BV119" i="9" s="1"/>
  <c r="BN60" i="9"/>
  <c r="BT60" i="9" s="1"/>
  <c r="BP60" i="9"/>
  <c r="BV60" i="9" s="1"/>
  <c r="BQ60" i="9"/>
  <c r="BW60" i="9" s="1"/>
  <c r="BO60" i="9"/>
  <c r="BU60" i="9" s="1"/>
  <c r="BM60" i="9"/>
  <c r="BS60" i="9" s="1"/>
  <c r="BM119" i="9"/>
  <c r="BS119" i="9" s="1"/>
  <c r="BO119" i="9"/>
  <c r="BU119" i="9" s="1"/>
  <c r="BQ119" i="9"/>
  <c r="BW119" i="9" s="1"/>
  <c r="BO44" i="9"/>
  <c r="BU44" i="9" s="1"/>
  <c r="BQ47" i="9"/>
  <c r="BW47" i="9" s="1"/>
  <c r="BM47" i="9"/>
  <c r="BS47" i="9" s="1"/>
  <c r="BP47" i="9"/>
  <c r="BV47" i="9" s="1"/>
  <c r="BP44" i="9"/>
  <c r="BV44" i="9" s="1"/>
  <c r="BO47" i="9"/>
  <c r="BU47" i="9" s="1"/>
  <c r="BP36" i="9"/>
  <c r="BV36" i="9" s="1"/>
  <c r="BN44" i="9"/>
  <c r="BT44" i="9" s="1"/>
  <c r="BM44" i="9"/>
  <c r="BS44" i="9" s="1"/>
  <c r="BQ44" i="9"/>
  <c r="BW44" i="9" s="1"/>
  <c r="BM36" i="9"/>
  <c r="BS36" i="9" s="1"/>
  <c r="BQ39" i="9"/>
  <c r="BW39" i="9" s="1"/>
  <c r="BM39" i="9"/>
  <c r="BS39" i="9" s="1"/>
  <c r="BN39" i="9"/>
  <c r="BT39" i="9" s="1"/>
  <c r="BP39" i="9"/>
  <c r="BV39" i="9" s="1"/>
  <c r="BO39" i="9"/>
  <c r="BU39" i="9" s="1"/>
  <c r="BO95" i="9"/>
  <c r="BU95" i="9" s="1"/>
  <c r="BO36" i="9"/>
  <c r="BU36" i="9" s="1"/>
  <c r="BN36" i="9"/>
  <c r="BT36" i="9" s="1"/>
  <c r="BQ36" i="9"/>
  <c r="BW36" i="9" s="1"/>
  <c r="BO94" i="9"/>
  <c r="BU94" i="9" s="1"/>
  <c r="BO59" i="9"/>
  <c r="BU59" i="9" s="1"/>
  <c r="BQ117" i="9"/>
  <c r="BW117" i="9" s="1"/>
  <c r="BP117" i="9"/>
  <c r="BV117" i="9" s="1"/>
  <c r="BM117" i="9"/>
  <c r="BS117" i="9" s="1"/>
  <c r="BO117" i="9"/>
  <c r="BU117" i="9" s="1"/>
  <c r="S62" i="20"/>
  <c r="R62" i="20"/>
  <c r="S61" i="20"/>
  <c r="R61" i="20"/>
  <c r="AH4" i="10"/>
  <c r="AH97" i="10"/>
  <c r="N55" i="10"/>
  <c r="N56" i="10" s="1"/>
  <c r="AA54" i="10"/>
  <c r="C23" i="30"/>
  <c r="E23" i="30" s="1"/>
  <c r="C18" i="30"/>
  <c r="AR45" i="9"/>
  <c r="AV45" i="9" s="1"/>
  <c r="AW45" i="9" s="1"/>
  <c r="N58" i="20"/>
  <c r="J58" i="20" s="1"/>
  <c r="BP139" i="9"/>
  <c r="BV139" i="9" s="1"/>
  <c r="BO140" i="9"/>
  <c r="BU140" i="9" s="1"/>
  <c r="BQ139" i="9"/>
  <c r="BW139" i="9" s="1"/>
  <c r="BM139" i="9"/>
  <c r="BS139" i="9" s="1"/>
  <c r="BQ140" i="9"/>
  <c r="BW140" i="9" s="1"/>
  <c r="BN139" i="9"/>
  <c r="BT139" i="9" s="1"/>
  <c r="BN140" i="9"/>
  <c r="BT140" i="9" s="1"/>
  <c r="BO139" i="9"/>
  <c r="BU139" i="9" s="1"/>
  <c r="BM140" i="9"/>
  <c r="BS140" i="9" s="1"/>
  <c r="BP140" i="9"/>
  <c r="BV140" i="9" s="1"/>
  <c r="BN136" i="9"/>
  <c r="BT136" i="9" s="1"/>
  <c r="BM62" i="9"/>
  <c r="BS62" i="9" s="1"/>
  <c r="BP136" i="9"/>
  <c r="BV136" i="9" s="1"/>
  <c r="BO71" i="9"/>
  <c r="BU71" i="9" s="1"/>
  <c r="BN59" i="9"/>
  <c r="BT59" i="9" s="1"/>
  <c r="BN46" i="9"/>
  <c r="BT46" i="9" s="1"/>
  <c r="BM59" i="9"/>
  <c r="BS59" i="9" s="1"/>
  <c r="BQ46" i="9"/>
  <c r="BW46" i="9" s="1"/>
  <c r="BP41" i="9"/>
  <c r="BV41" i="9" s="1"/>
  <c r="BM118" i="9"/>
  <c r="BS118" i="9" s="1"/>
  <c r="BO43" i="9"/>
  <c r="BU43" i="9" s="1"/>
  <c r="BQ68" i="9"/>
  <c r="BW68" i="9" s="1"/>
  <c r="BO65" i="9"/>
  <c r="BU65" i="9" s="1"/>
  <c r="BO38" i="9"/>
  <c r="BU38" i="9" s="1"/>
  <c r="BQ65" i="9"/>
  <c r="BW65" i="9" s="1"/>
  <c r="BP52" i="9"/>
  <c r="BV52" i="9" s="1"/>
  <c r="BN68" i="9"/>
  <c r="BT68" i="9" s="1"/>
  <c r="BN118" i="9"/>
  <c r="BT118" i="9" s="1"/>
  <c r="BM38" i="9"/>
  <c r="BS38" i="9" s="1"/>
  <c r="BQ71" i="9"/>
  <c r="BW71" i="9" s="1"/>
  <c r="BO52" i="9"/>
  <c r="BU52" i="9" s="1"/>
  <c r="BQ43" i="9"/>
  <c r="BW43" i="9" s="1"/>
  <c r="BQ118" i="9"/>
  <c r="BW118" i="9" s="1"/>
  <c r="BM52" i="9"/>
  <c r="BS52" i="9" s="1"/>
  <c r="BN49" i="9"/>
  <c r="BT49" i="9" s="1"/>
  <c r="BP138" i="9"/>
  <c r="BV138" i="9" s="1"/>
  <c r="BO136" i="9"/>
  <c r="BU136" i="9" s="1"/>
  <c r="BQ35" i="9"/>
  <c r="BW35" i="9" s="1"/>
  <c r="BM65" i="9"/>
  <c r="BS65" i="9" s="1"/>
  <c r="BN35" i="9"/>
  <c r="BT35" i="9" s="1"/>
  <c r="BP62" i="9"/>
  <c r="BV62" i="9" s="1"/>
  <c r="BO54" i="9"/>
  <c r="BU54" i="9" s="1"/>
  <c r="BQ59" i="9"/>
  <c r="BW59" i="9" s="1"/>
  <c r="BM54" i="9"/>
  <c r="BS54" i="9" s="1"/>
  <c r="BN52" i="9"/>
  <c r="BT52" i="9" s="1"/>
  <c r="BP59" i="9"/>
  <c r="BV59" i="9" s="1"/>
  <c r="BQ138" i="9"/>
  <c r="BW138" i="9" s="1"/>
  <c r="BM49" i="9"/>
  <c r="BS49" i="9" s="1"/>
  <c r="BN38" i="9"/>
  <c r="BT38" i="9" s="1"/>
  <c r="BP35" i="9"/>
  <c r="BV35" i="9" s="1"/>
  <c r="BP68" i="9"/>
  <c r="BV68" i="9" s="1"/>
  <c r="BO118" i="9"/>
  <c r="BU118" i="9" s="1"/>
  <c r="BQ49" i="9"/>
  <c r="BW49" i="9" s="1"/>
  <c r="BM43" i="9"/>
  <c r="BS43" i="9" s="1"/>
  <c r="BN41" i="9"/>
  <c r="BT41" i="9" s="1"/>
  <c r="BP38" i="9"/>
  <c r="BV38" i="9" s="1"/>
  <c r="BO62" i="9"/>
  <c r="BU62" i="9" s="1"/>
  <c r="BQ62" i="9"/>
  <c r="BW62" i="9" s="1"/>
  <c r="BM138" i="9"/>
  <c r="BS138" i="9" s="1"/>
  <c r="BN62" i="9"/>
  <c r="BT62" i="9" s="1"/>
  <c r="BP46" i="9"/>
  <c r="BV46" i="9" s="1"/>
  <c r="BO35" i="9"/>
  <c r="BU35" i="9" s="1"/>
  <c r="BQ52" i="9"/>
  <c r="BW52" i="9" s="1"/>
  <c r="BM46" i="9"/>
  <c r="BS46" i="9" s="1"/>
  <c r="BN43" i="9"/>
  <c r="BT43" i="9" s="1"/>
  <c r="BP43" i="9"/>
  <c r="BV43" i="9" s="1"/>
  <c r="BO68" i="9"/>
  <c r="BU68" i="9" s="1"/>
  <c r="BQ136" i="9"/>
  <c r="BW136" i="9" s="1"/>
  <c r="BM41" i="9"/>
  <c r="BS41" i="9" s="1"/>
  <c r="BN65" i="9"/>
  <c r="BT65" i="9" s="1"/>
  <c r="BP49" i="9"/>
  <c r="BV49" i="9" s="1"/>
  <c r="BO41" i="9"/>
  <c r="BU41" i="9" s="1"/>
  <c r="BQ41" i="9"/>
  <c r="BW41" i="9" s="1"/>
  <c r="BM71" i="9"/>
  <c r="BS71" i="9" s="1"/>
  <c r="BP54" i="9"/>
  <c r="BV54" i="9" s="1"/>
  <c r="BO46" i="9"/>
  <c r="BU46" i="9" s="1"/>
  <c r="BQ54" i="9"/>
  <c r="BW54" i="9" s="1"/>
  <c r="BM136" i="9"/>
  <c r="BS136" i="9" s="1"/>
  <c r="BN54" i="9"/>
  <c r="BT54" i="9" s="1"/>
  <c r="BP65" i="9"/>
  <c r="BV65" i="9" s="1"/>
  <c r="BO138" i="9"/>
  <c r="BU138" i="9" s="1"/>
  <c r="BM35" i="9"/>
  <c r="BS35" i="9" s="1"/>
  <c r="BN71" i="9"/>
  <c r="BT71" i="9" s="1"/>
  <c r="BP118" i="9"/>
  <c r="BV118" i="9" s="1"/>
  <c r="BO49" i="9"/>
  <c r="BU49" i="9" s="1"/>
  <c r="BQ38" i="9"/>
  <c r="BW38" i="9" s="1"/>
  <c r="BM68" i="9"/>
  <c r="BS68" i="9" s="1"/>
  <c r="BN138" i="9"/>
  <c r="BT138" i="9" s="1"/>
  <c r="BP71" i="9"/>
  <c r="BV71" i="9" s="1"/>
  <c r="R14" i="20"/>
  <c r="C22" i="30"/>
  <c r="E22" i="30" s="1"/>
  <c r="C24" i="30"/>
  <c r="E24" i="30" s="1"/>
  <c r="C21" i="30"/>
  <c r="E21" i="30" s="1"/>
  <c r="C20" i="30"/>
  <c r="E20" i="30" s="1"/>
  <c r="C19" i="30"/>
  <c r="E19" i="30" s="1"/>
  <c r="E17" i="30"/>
  <c r="D71" i="14"/>
  <c r="D164" i="1"/>
  <c r="D100" i="14" s="1"/>
  <c r="V59" i="20"/>
  <c r="V17" i="20"/>
  <c r="V18" i="20"/>
  <c r="V24" i="20"/>
  <c r="V88" i="20"/>
  <c r="V42" i="20"/>
  <c r="AR67" i="9"/>
  <c r="AV67" i="9" s="1"/>
  <c r="AW67" i="9" s="1"/>
  <c r="L37" i="1"/>
  <c r="L40" i="1" s="1"/>
  <c r="L43" i="1" s="1"/>
  <c r="L46" i="1" s="1"/>
  <c r="O136" i="1"/>
  <c r="Z97" i="9"/>
  <c r="AG27" i="10"/>
  <c r="W55" i="10"/>
  <c r="I167" i="1"/>
  <c r="I178" i="1"/>
  <c r="B110" i="5"/>
  <c r="G166" i="1"/>
  <c r="C282" i="1"/>
  <c r="N41" i="20"/>
  <c r="J41" i="20" s="1"/>
  <c r="AH22" i="10"/>
  <c r="AH21" i="10"/>
  <c r="K43" i="1"/>
  <c r="AI97" i="9"/>
  <c r="AH16" i="10"/>
  <c r="N57" i="20"/>
  <c r="AH11" i="10"/>
  <c r="AH24" i="10"/>
  <c r="AH102" i="10"/>
  <c r="D128" i="1"/>
  <c r="F221" i="1"/>
  <c r="G221" i="1" s="1"/>
  <c r="E48" i="1"/>
  <c r="AH18" i="10"/>
  <c r="F234" i="1"/>
  <c r="F230" i="1" s="1"/>
  <c r="AH9" i="10"/>
  <c r="AH14" i="10"/>
  <c r="E58" i="5"/>
  <c r="B91" i="5" s="1"/>
  <c r="I10" i="1"/>
  <c r="I115" i="1" s="1"/>
  <c r="AV124" i="9"/>
  <c r="AH15" i="10"/>
  <c r="AV150" i="9"/>
  <c r="Q98" i="9"/>
  <c r="Q99" i="9" s="1"/>
  <c r="AA97" i="9"/>
  <c r="AA101" i="9" s="1"/>
  <c r="AG97" i="9"/>
  <c r="AH97" i="9"/>
  <c r="AQ26" i="9"/>
  <c r="AE97" i="9"/>
  <c r="AB97" i="9"/>
  <c r="AF97" i="9"/>
  <c r="AH26" i="10"/>
  <c r="AH7" i="10"/>
  <c r="AH13" i="10"/>
  <c r="AH20" i="10"/>
  <c r="AH27" i="10"/>
  <c r="AH5" i="10"/>
  <c r="AV109" i="9"/>
  <c r="AH101" i="10"/>
  <c r="D43" i="1"/>
  <c r="B108" i="5"/>
  <c r="C117" i="1"/>
  <c r="E111" i="1"/>
  <c r="F285" i="1"/>
  <c r="F282" i="1" s="1"/>
  <c r="F274" i="1"/>
  <c r="H274" i="1" s="1"/>
  <c r="I274" i="1" s="1"/>
  <c r="G56" i="14"/>
  <c r="G71" i="14" s="1"/>
  <c r="K111" i="1"/>
  <c r="K20" i="1"/>
  <c r="AV112" i="9"/>
  <c r="AV106" i="9"/>
  <c r="AV107" i="9"/>
  <c r="AH17" i="10"/>
  <c r="AT97" i="9"/>
  <c r="F14" i="7" s="1"/>
  <c r="G14" i="7" s="1"/>
  <c r="AU97" i="9"/>
  <c r="F15" i="7" s="1"/>
  <c r="G15" i="7" s="1"/>
  <c r="AH28" i="10"/>
  <c r="AH23" i="10"/>
  <c r="AH12" i="10"/>
  <c r="AH25" i="10"/>
  <c r="AH99" i="10"/>
  <c r="AH10" i="10"/>
  <c r="AH6" i="10"/>
  <c r="AS97" i="9"/>
  <c r="F13" i="7" s="1"/>
  <c r="G13" i="7" s="1"/>
  <c r="AH100" i="10"/>
  <c r="AH8" i="10"/>
  <c r="AV120" i="9"/>
  <c r="AV111" i="9"/>
  <c r="AH19" i="10"/>
  <c r="AW87" i="9"/>
  <c r="I168" i="1"/>
  <c r="AH98" i="10"/>
  <c r="AB54" i="10"/>
  <c r="G88" i="14"/>
  <c r="G20" i="1"/>
  <c r="E277" i="1"/>
  <c r="E278" i="1" s="1"/>
  <c r="E225" i="1"/>
  <c r="E226" i="1" s="1"/>
  <c r="D79" i="1"/>
  <c r="G21" i="7" l="1"/>
  <c r="P15" i="7"/>
  <c r="S59" i="20"/>
  <c r="X17" i="38"/>
  <c r="G104" i="14"/>
  <c r="K104" i="14"/>
  <c r="I50" i="1"/>
  <c r="I171" i="1" s="1"/>
  <c r="I113" i="1"/>
  <c r="I124" i="1" s="1"/>
  <c r="I127" i="1" s="1"/>
  <c r="I14" i="1"/>
  <c r="F119" i="14"/>
  <c r="E119" i="14"/>
  <c r="J57" i="20"/>
  <c r="E282" i="1"/>
  <c r="E285" i="1" s="1"/>
  <c r="J113" i="1"/>
  <c r="J52" i="14"/>
  <c r="C52" i="14" s="1"/>
  <c r="J168" i="1"/>
  <c r="C168" i="1" s="1"/>
  <c r="J118" i="1"/>
  <c r="H178" i="1"/>
  <c r="H181" i="1"/>
  <c r="H188" i="1"/>
  <c r="H189" i="1" s="1"/>
  <c r="H196" i="1" s="1"/>
  <c r="H202" i="1" s="1"/>
  <c r="E56" i="14"/>
  <c r="E64" i="14" s="1"/>
  <c r="H135" i="1"/>
  <c r="H136" i="1" s="1"/>
  <c r="H143" i="1" s="1"/>
  <c r="H149" i="1" s="1"/>
  <c r="H128" i="1"/>
  <c r="AV88" i="9"/>
  <c r="AW88" i="9" s="1"/>
  <c r="AQ97" i="9"/>
  <c r="F11" i="7" s="1"/>
  <c r="C14" i="7"/>
  <c r="D14" i="7" s="1"/>
  <c r="I14" i="7" s="1"/>
  <c r="AB101" i="9"/>
  <c r="C11" i="7"/>
  <c r="D11" i="7" s="1"/>
  <c r="Y101" i="9"/>
  <c r="C12" i="7"/>
  <c r="D12" i="7" s="1"/>
  <c r="Z101" i="9"/>
  <c r="K56" i="14"/>
  <c r="K64" i="14" s="1"/>
  <c r="C173" i="1"/>
  <c r="I72" i="14"/>
  <c r="C72" i="14" s="1"/>
  <c r="C121" i="1"/>
  <c r="P169" i="6"/>
  <c r="D302" i="1"/>
  <c r="AB55" i="10"/>
  <c r="AB56" i="10" s="1"/>
  <c r="AG54" i="10"/>
  <c r="F16" i="7" s="1"/>
  <c r="G16" i="7" s="1"/>
  <c r="I16" i="7" s="1"/>
  <c r="T55" i="10"/>
  <c r="V86" i="20"/>
  <c r="V58" i="20"/>
  <c r="AH54" i="10"/>
  <c r="R87" i="20"/>
  <c r="V87" i="20"/>
  <c r="BN119" i="9"/>
  <c r="BT119" i="9" s="1"/>
  <c r="BN47" i="9"/>
  <c r="BT47" i="9" s="1"/>
  <c r="BN117" i="9"/>
  <c r="BT117" i="9" s="1"/>
  <c r="AR69" i="9"/>
  <c r="AV69" i="9" s="1"/>
  <c r="AW69" i="9" s="1"/>
  <c r="T63" i="10"/>
  <c r="C17" i="7"/>
  <c r="C16" i="7"/>
  <c r="S63" i="10"/>
  <c r="C13" i="7"/>
  <c r="D13" i="7" s="1"/>
  <c r="I13" i="7" s="1"/>
  <c r="B95" i="5"/>
  <c r="B87" i="5"/>
  <c r="V41" i="20"/>
  <c r="E164" i="1"/>
  <c r="C164" i="1" s="1"/>
  <c r="Q136" i="1"/>
  <c r="S136" i="1"/>
  <c r="I37" i="1"/>
  <c r="I40" i="1" s="1"/>
  <c r="I43" i="1" s="1"/>
  <c r="I46" i="1" s="1"/>
  <c r="B111" i="5"/>
  <c r="G64" i="14"/>
  <c r="G282" i="1"/>
  <c r="O58" i="20"/>
  <c r="O59" i="20"/>
  <c r="N16" i="20"/>
  <c r="J16" i="20" s="1"/>
  <c r="G274" i="1"/>
  <c r="C115" i="1"/>
  <c r="D125" i="1"/>
  <c r="D166" i="1"/>
  <c r="D104" i="14" s="1"/>
  <c r="C230" i="1"/>
  <c r="E230" i="1" s="1"/>
  <c r="H221" i="1"/>
  <c r="F222" i="1"/>
  <c r="H282" i="1"/>
  <c r="I282" i="1" s="1"/>
  <c r="F275" i="1"/>
  <c r="H275" i="1" s="1"/>
  <c r="I275" i="1" s="1"/>
  <c r="I277" i="1" s="1"/>
  <c r="AI98" i="9"/>
  <c r="AI99" i="9" s="1"/>
  <c r="G124" i="1"/>
  <c r="I50" i="14"/>
  <c r="I166" i="1"/>
  <c r="K100" i="14"/>
  <c r="F252" i="1"/>
  <c r="K124" i="1"/>
  <c r="K67" i="1" s="1"/>
  <c r="C111" i="1"/>
  <c r="G170" i="1"/>
  <c r="K177" i="1"/>
  <c r="F231" i="1"/>
  <c r="G231" i="1" s="1"/>
  <c r="I57" i="14"/>
  <c r="I71" i="14" s="1"/>
  <c r="F283" i="1"/>
  <c r="G283" i="1" s="1"/>
  <c r="C118" i="1" l="1"/>
  <c r="F17" i="49"/>
  <c r="F24" i="49" s="1"/>
  <c r="L24" i="49" s="1"/>
  <c r="I278" i="1"/>
  <c r="J57" i="14"/>
  <c r="J71" i="14" s="1"/>
  <c r="J171" i="1"/>
  <c r="J101" i="14" s="1"/>
  <c r="J37" i="1"/>
  <c r="J40" i="1" s="1"/>
  <c r="J43" i="1" s="1"/>
  <c r="J46" i="1" s="1"/>
  <c r="F20" i="46" s="1"/>
  <c r="J50" i="14"/>
  <c r="E71" i="14"/>
  <c r="H90" i="14"/>
  <c r="H103" i="14"/>
  <c r="H102" i="14"/>
  <c r="H89" i="14"/>
  <c r="E234" i="1"/>
  <c r="E235" i="1" s="1"/>
  <c r="U169" i="6"/>
  <c r="K71" i="14"/>
  <c r="R16" i="20"/>
  <c r="V16" i="20"/>
  <c r="AR97" i="9"/>
  <c r="AU98" i="9" s="1"/>
  <c r="I221" i="1"/>
  <c r="T64" i="10"/>
  <c r="D16" i="7"/>
  <c r="T32" i="18"/>
  <c r="F17" i="7"/>
  <c r="G17" i="7" s="1"/>
  <c r="B96" i="5"/>
  <c r="E100" i="14"/>
  <c r="V57" i="20"/>
  <c r="B99" i="5"/>
  <c r="G285" i="1"/>
  <c r="G286" i="1" s="1"/>
  <c r="I17" i="1"/>
  <c r="I20" i="1" s="1"/>
  <c r="R67" i="20"/>
  <c r="Q67" i="20"/>
  <c r="AH55" i="10"/>
  <c r="AH56" i="10" s="1"/>
  <c r="G275" i="1"/>
  <c r="G277" i="1" s="1"/>
  <c r="G278" i="1" s="1"/>
  <c r="G230" i="1"/>
  <c r="D177" i="1"/>
  <c r="K84" i="1"/>
  <c r="K178" i="1" s="1"/>
  <c r="K180" i="1" s="1"/>
  <c r="D127" i="1"/>
  <c r="D130" i="1" s="1"/>
  <c r="D150" i="1" s="1"/>
  <c r="K125" i="1"/>
  <c r="K127" i="1" s="1"/>
  <c r="G67" i="1"/>
  <c r="G125" i="1" s="1"/>
  <c r="I55" i="14"/>
  <c r="I107" i="14" s="1"/>
  <c r="H230" i="1"/>
  <c r="H222" i="1"/>
  <c r="F223" i="1"/>
  <c r="G222" i="1"/>
  <c r="I88" i="14"/>
  <c r="I104" i="14"/>
  <c r="C100" i="14"/>
  <c r="G177" i="1"/>
  <c r="G101" i="14"/>
  <c r="C170" i="1"/>
  <c r="C64" i="14"/>
  <c r="F232" i="1"/>
  <c r="G232" i="1" s="1"/>
  <c r="D17" i="7"/>
  <c r="I101" i="14"/>
  <c r="I130" i="1"/>
  <c r="G11" i="7"/>
  <c r="I11" i="7" s="1"/>
  <c r="H283" i="1"/>
  <c r="I283" i="1" s="1"/>
  <c r="I285" i="1" s="1"/>
  <c r="H277" i="1"/>
  <c r="C171" i="1" l="1"/>
  <c r="C101" i="14" s="1"/>
  <c r="C71" i="14"/>
  <c r="J177" i="1"/>
  <c r="J180" i="1" s="1"/>
  <c r="J183" i="1" s="1"/>
  <c r="J203" i="1" s="1"/>
  <c r="J204" i="1" s="1"/>
  <c r="J104" i="14"/>
  <c r="J55" i="14"/>
  <c r="J107" i="14" s="1"/>
  <c r="J88" i="14"/>
  <c r="G192" i="1"/>
  <c r="G199" i="1"/>
  <c r="G139" i="1"/>
  <c r="G146" i="1"/>
  <c r="C174" i="1"/>
  <c r="I89" i="14"/>
  <c r="I177" i="1"/>
  <c r="I180" i="1" s="1"/>
  <c r="I183" i="1" s="1"/>
  <c r="I203" i="1" s="1"/>
  <c r="F12" i="7"/>
  <c r="G12" i="7" s="1"/>
  <c r="I12" i="7" s="1"/>
  <c r="T26" i="18"/>
  <c r="D84" i="1"/>
  <c r="D178" i="1" s="1"/>
  <c r="G234" i="1"/>
  <c r="G235" i="1" s="1"/>
  <c r="K188" i="1"/>
  <c r="K181" i="1"/>
  <c r="K89" i="14" s="1"/>
  <c r="G84" i="1"/>
  <c r="G178" i="1" s="1"/>
  <c r="G180" i="1" s="1"/>
  <c r="G135" i="1"/>
  <c r="K135" i="1"/>
  <c r="G127" i="1"/>
  <c r="K128" i="1"/>
  <c r="G128" i="1"/>
  <c r="H231" i="1"/>
  <c r="I231" i="1" s="1"/>
  <c r="I222" i="1"/>
  <c r="I230" i="1"/>
  <c r="H223" i="1"/>
  <c r="G223" i="1"/>
  <c r="G225" i="1" s="1"/>
  <c r="G226" i="1" s="1"/>
  <c r="I150" i="1"/>
  <c r="I152" i="1" s="1"/>
  <c r="I23" i="1"/>
  <c r="H285" i="1"/>
  <c r="I286" i="1" s="1"/>
  <c r="J97" i="14" l="1"/>
  <c r="I204" i="1"/>
  <c r="I97" i="14" s="1"/>
  <c r="Q167" i="6"/>
  <c r="I205" i="1"/>
  <c r="U26" i="18"/>
  <c r="G300" i="1"/>
  <c r="G301" i="1" s="1"/>
  <c r="F19" i="38"/>
  <c r="E19" i="38" s="1"/>
  <c r="D25" i="41"/>
  <c r="G19" i="7"/>
  <c r="F19" i="7"/>
  <c r="G43" i="7" s="1"/>
  <c r="G44" i="7" s="1"/>
  <c r="D26" i="18"/>
  <c r="G188" i="1"/>
  <c r="G181" i="1"/>
  <c r="G183" i="1" s="1"/>
  <c r="G203" i="1" s="1"/>
  <c r="K183" i="1"/>
  <c r="K203" i="1" s="1"/>
  <c r="K130" i="1"/>
  <c r="K150" i="1" s="1"/>
  <c r="K102" i="14"/>
  <c r="G130" i="1"/>
  <c r="G150" i="1" s="1"/>
  <c r="H232" i="1"/>
  <c r="I223" i="1"/>
  <c r="I225" i="1" s="1"/>
  <c r="H225" i="1"/>
  <c r="G147" i="1"/>
  <c r="G26" i="7" l="1"/>
  <c r="G27" i="7" s="1"/>
  <c r="D21" i="51"/>
  <c r="K21" i="51" s="1"/>
  <c r="I207" i="1"/>
  <c r="N19" i="38"/>
  <c r="F20" i="7"/>
  <c r="G28" i="7"/>
  <c r="H43" i="7"/>
  <c r="H44" i="7" s="1"/>
  <c r="L175" i="1"/>
  <c r="C175" i="1" s="1"/>
  <c r="G29" i="7"/>
  <c r="L221" i="1"/>
  <c r="N221" i="1" s="1"/>
  <c r="L222" i="1"/>
  <c r="N222" i="1" s="1"/>
  <c r="O222" i="1" s="1"/>
  <c r="I226" i="1"/>
  <c r="D146" i="1" s="1"/>
  <c r="L223" i="1"/>
  <c r="N223" i="1" s="1"/>
  <c r="O223" i="1" s="1"/>
  <c r="G102" i="14"/>
  <c r="G89" i="14"/>
  <c r="I232" i="1"/>
  <c r="I234" i="1" s="1"/>
  <c r="H234" i="1"/>
  <c r="G200" i="1"/>
  <c r="F48" i="51" l="1"/>
  <c r="G21" i="51"/>
  <c r="H21" i="51" s="1"/>
  <c r="E26" i="18" s="1"/>
  <c r="G26" i="18" s="1"/>
  <c r="G299" i="1"/>
  <c r="G305" i="1" s="1"/>
  <c r="I208" i="1"/>
  <c r="I105" i="14" s="1"/>
  <c r="M59" i="20"/>
  <c r="Q59" i="20" s="1"/>
  <c r="H57" i="20"/>
  <c r="L25" i="41"/>
  <c r="L177" i="1"/>
  <c r="L180" i="1" s="1"/>
  <c r="L183" i="1" s="1"/>
  <c r="N224" i="1"/>
  <c r="O221" i="1"/>
  <c r="O224" i="1" s="1"/>
  <c r="D139" i="1"/>
  <c r="D147" i="1"/>
  <c r="I235" i="1"/>
  <c r="G191" i="1"/>
  <c r="G193" i="1" s="1"/>
  <c r="G140" i="1"/>
  <c r="E191" i="1"/>
  <c r="W35" i="51" l="1"/>
  <c r="E25" i="41"/>
  <c r="I21" i="51"/>
  <c r="H58" i="20"/>
  <c r="D199" i="1"/>
  <c r="D200" i="1" s="1"/>
  <c r="D192" i="1"/>
  <c r="E187" i="1"/>
  <c r="E142" i="1"/>
  <c r="E21" i="1" s="1"/>
  <c r="K136" i="1"/>
  <c r="K143" i="1" s="1"/>
  <c r="K149" i="1" s="1"/>
  <c r="K152" i="1" s="1"/>
  <c r="K187" i="1"/>
  <c r="K142" i="1"/>
  <c r="K21" i="1" s="1"/>
  <c r="G142" i="1"/>
  <c r="G21" i="1" s="1"/>
  <c r="U20" i="18" s="1"/>
  <c r="G187" i="1"/>
  <c r="G136" i="1"/>
  <c r="G143" i="1" s="1"/>
  <c r="G149" i="1" s="1"/>
  <c r="G152" i="1" s="1"/>
  <c r="L203" i="1"/>
  <c r="F25" i="41" l="1"/>
  <c r="H59" i="20"/>
  <c r="W59" i="20"/>
  <c r="D21" i="41"/>
  <c r="D29" i="41"/>
  <c r="D30" i="18"/>
  <c r="D25" i="51" s="1"/>
  <c r="D22" i="18"/>
  <c r="D19" i="51" s="1"/>
  <c r="G205" i="1"/>
  <c r="D142" i="1"/>
  <c r="D21" i="1" s="1"/>
  <c r="D136" i="1"/>
  <c r="D187" i="1"/>
  <c r="G44" i="1"/>
  <c r="G23" i="1"/>
  <c r="K195" i="1"/>
  <c r="K189" i="1"/>
  <c r="K196" i="1" s="1"/>
  <c r="K202" i="1" s="1"/>
  <c r="E44" i="1"/>
  <c r="E195" i="1"/>
  <c r="G189" i="1"/>
  <c r="G196" i="1" s="1"/>
  <c r="G202" i="1" s="1"/>
  <c r="G195" i="1"/>
  <c r="K23" i="1"/>
  <c r="K44" i="1"/>
  <c r="K205" i="1"/>
  <c r="D191" i="1"/>
  <c r="D140" i="1"/>
  <c r="C138" i="1"/>
  <c r="L204" i="1"/>
  <c r="F49" i="51" l="1"/>
  <c r="K25" i="51"/>
  <c r="G25" i="51"/>
  <c r="H25" i="51" s="1"/>
  <c r="E30" i="18" s="1"/>
  <c r="F47" i="51"/>
  <c r="K19" i="51"/>
  <c r="G19" i="51"/>
  <c r="H19" i="51" s="1"/>
  <c r="E22" i="18" s="1"/>
  <c r="U30" i="18"/>
  <c r="F21" i="38"/>
  <c r="E21" i="38" s="1"/>
  <c r="H300" i="1"/>
  <c r="H301" i="1" s="1"/>
  <c r="U22" i="18"/>
  <c r="F17" i="38"/>
  <c r="E17" i="38" s="1"/>
  <c r="F300" i="1"/>
  <c r="K46" i="1"/>
  <c r="D22" i="46" s="1"/>
  <c r="F22" i="46" s="1"/>
  <c r="K54" i="14"/>
  <c r="K55" i="14" s="1"/>
  <c r="K107" i="14" s="1"/>
  <c r="G46" i="1"/>
  <c r="G54" i="14"/>
  <c r="G55" i="14" s="1"/>
  <c r="G107" i="14" s="1"/>
  <c r="D44" i="1"/>
  <c r="C21" i="1"/>
  <c r="D23" i="1"/>
  <c r="C142" i="1"/>
  <c r="C191" i="1"/>
  <c r="D193" i="1"/>
  <c r="G204" i="1"/>
  <c r="G103" i="14"/>
  <c r="G90" i="14"/>
  <c r="E54" i="14"/>
  <c r="K204" i="1"/>
  <c r="K90" i="14"/>
  <c r="K103" i="14"/>
  <c r="D195" i="1"/>
  <c r="C187" i="1"/>
  <c r="D143" i="1"/>
  <c r="D149" i="1" s="1"/>
  <c r="D152" i="1" s="1"/>
  <c r="D15" i="41" s="1"/>
  <c r="W41" i="51" l="1"/>
  <c r="E29" i="41"/>
  <c r="W29" i="51"/>
  <c r="E21" i="41"/>
  <c r="I25" i="51"/>
  <c r="I19" i="51"/>
  <c r="N17" i="38"/>
  <c r="N21" i="38"/>
  <c r="F301" i="1"/>
  <c r="F13" i="38"/>
  <c r="E13" i="38" s="1"/>
  <c r="N13" i="38" s="1"/>
  <c r="U16" i="18"/>
  <c r="D300" i="1"/>
  <c r="D301" i="1" s="1"/>
  <c r="V71" i="18"/>
  <c r="O42" i="20"/>
  <c r="O88" i="20"/>
  <c r="D16" i="18"/>
  <c r="D15" i="51" s="1"/>
  <c r="G15" i="51" s="1"/>
  <c r="C195" i="1"/>
  <c r="K97" i="14"/>
  <c r="K207" i="1"/>
  <c r="G207" i="1"/>
  <c r="G22" i="18" s="1"/>
  <c r="G97" i="14"/>
  <c r="C44" i="1"/>
  <c r="D54" i="14"/>
  <c r="D55" i="14" s="1"/>
  <c r="D107" i="14" s="1"/>
  <c r="D46" i="1"/>
  <c r="D205" i="1"/>
  <c r="F29" i="41" l="1"/>
  <c r="F21" i="41"/>
  <c r="F45" i="51"/>
  <c r="H15" i="51"/>
  <c r="E16" i="18" s="1"/>
  <c r="K15" i="51"/>
  <c r="A18" i="30"/>
  <c r="I13" i="38" s="1"/>
  <c r="D12" i="46"/>
  <c r="L29" i="41"/>
  <c r="L21" i="41"/>
  <c r="T22" i="18"/>
  <c r="T30" i="18"/>
  <c r="F299" i="1"/>
  <c r="F305" i="1" s="1"/>
  <c r="H299" i="1"/>
  <c r="H305" i="1" s="1"/>
  <c r="C54" i="14"/>
  <c r="G208" i="1"/>
  <c r="G105" i="14" s="1"/>
  <c r="K208" i="1"/>
  <c r="K105" i="14" s="1"/>
  <c r="I15" i="51" l="1"/>
  <c r="E15" i="41"/>
  <c r="W15" i="51"/>
  <c r="F12" i="46"/>
  <c r="O16" i="18" s="1"/>
  <c r="D18" i="30"/>
  <c r="E18" i="30" s="1"/>
  <c r="J13" i="38" s="1"/>
  <c r="F15" i="41" l="1"/>
  <c r="O18" i="20"/>
  <c r="O17" i="20"/>
  <c r="D181" i="1"/>
  <c r="D89" i="14" s="1"/>
  <c r="D188" i="1"/>
  <c r="D189" i="1" s="1"/>
  <c r="D102" i="14" l="1"/>
  <c r="D196" i="1"/>
  <c r="D202" i="1" s="1"/>
  <c r="D180" i="1"/>
  <c r="D103" i="14" l="1"/>
  <c r="D90" i="14"/>
  <c r="D183" i="1"/>
  <c r="D203" i="1" l="1"/>
  <c r="D204" i="1" l="1"/>
  <c r="D207" i="1" l="1"/>
  <c r="G16" i="18" s="1"/>
  <c r="D97" i="14"/>
  <c r="P16" i="18" l="1"/>
  <c r="I16" i="18"/>
  <c r="N16" i="18"/>
  <c r="D299" i="1"/>
  <c r="D305" i="1" s="1"/>
  <c r="D208" i="1"/>
  <c r="D105" i="14" s="1"/>
  <c r="D37" i="7" l="1"/>
  <c r="D39" i="7" s="1"/>
  <c r="G31" i="7" s="1"/>
  <c r="K39" i="7"/>
  <c r="BO131" i="9" l="1"/>
  <c r="BU131" i="9" s="1"/>
  <c r="BN29" i="9" l="1"/>
  <c r="BT29" i="9" s="1"/>
  <c r="BO27" i="9"/>
  <c r="BU27" i="9" s="1"/>
  <c r="BQ92" i="9"/>
  <c r="BW92" i="9" s="1"/>
  <c r="BO150" i="9"/>
  <c r="BU150" i="9" s="1"/>
  <c r="BP125" i="9"/>
  <c r="BV125" i="9" s="1"/>
  <c r="BP29" i="9"/>
  <c r="BV29" i="9" s="1"/>
  <c r="BO55" i="9"/>
  <c r="BU55" i="9" s="1"/>
  <c r="BN55" i="9"/>
  <c r="BT55" i="9" s="1"/>
  <c r="BO148" i="9"/>
  <c r="BU148" i="9" s="1"/>
  <c r="BN148" i="9"/>
  <c r="BT148" i="9" s="1"/>
  <c r="BM55" i="9"/>
  <c r="BS55" i="9" s="1"/>
  <c r="BQ148" i="9"/>
  <c r="BW148" i="9" s="1"/>
  <c r="BP55" i="9"/>
  <c r="BV55" i="9" s="1"/>
  <c r="BM148" i="9"/>
  <c r="BS148" i="9" s="1"/>
  <c r="BQ55" i="9"/>
  <c r="BW55" i="9" s="1"/>
  <c r="BP148" i="9"/>
  <c r="BV148" i="9" s="1"/>
  <c r="BN153" i="9"/>
  <c r="BT153" i="9" s="1"/>
  <c r="BQ127" i="9"/>
  <c r="BW127" i="9" s="1"/>
  <c r="BM132" i="9"/>
  <c r="BS132" i="9" s="1"/>
  <c r="BN101" i="9"/>
  <c r="BP82" i="9"/>
  <c r="BV82" i="9" s="1"/>
  <c r="BP98" i="9"/>
  <c r="BM58" i="9"/>
  <c r="BS58" i="9" s="1"/>
  <c r="BQ133" i="9"/>
  <c r="BW133" i="9" s="1"/>
  <c r="BQ108" i="9"/>
  <c r="BW108" i="9" s="1"/>
  <c r="BN135" i="9"/>
  <c r="BT135" i="9" s="1"/>
  <c r="BQ128" i="9"/>
  <c r="BW128" i="9" s="1"/>
  <c r="BO104" i="9"/>
  <c r="BU104" i="9" s="1"/>
  <c r="BM98" i="9"/>
  <c r="BP87" i="9"/>
  <c r="BV87" i="9" s="1"/>
  <c r="BQ26" i="9"/>
  <c r="BW26" i="9" s="1"/>
  <c r="BM125" i="9"/>
  <c r="BS125" i="9" s="1"/>
  <c r="BQ80" i="9"/>
  <c r="BW80" i="9" s="1"/>
  <c r="BN37" i="9"/>
  <c r="BT37" i="9" s="1"/>
  <c r="BO111" i="9"/>
  <c r="BU111" i="9" s="1"/>
  <c r="BP51" i="9"/>
  <c r="BV51" i="9" s="1"/>
  <c r="BM75" i="9"/>
  <c r="BS75" i="9" s="1"/>
  <c r="BO26" i="9"/>
  <c r="BU26" i="9" s="1"/>
  <c r="BM131" i="9"/>
  <c r="BS131" i="9" s="1"/>
  <c r="BP151" i="9"/>
  <c r="BV151" i="9" s="1"/>
  <c r="BN150" i="9"/>
  <c r="BT150" i="9" s="1"/>
  <c r="BQ32" i="9"/>
  <c r="BW32" i="9" s="1"/>
  <c r="BP133" i="9"/>
  <c r="BV133" i="9" s="1"/>
  <c r="BO130" i="9"/>
  <c r="BU130" i="9" s="1"/>
  <c r="BN127" i="9"/>
  <c r="BT127" i="9" s="1"/>
  <c r="BM151" i="9"/>
  <c r="BS151" i="9" s="1"/>
  <c r="BQ102" i="9"/>
  <c r="BW102" i="9" s="1"/>
  <c r="BP99" i="9"/>
  <c r="BO96" i="9"/>
  <c r="BN91" i="9"/>
  <c r="BT91" i="9" s="1"/>
  <c r="BQ112" i="9"/>
  <c r="BW112" i="9" s="1"/>
  <c r="BO79" i="9"/>
  <c r="BU79" i="9" s="1"/>
  <c r="BM135" i="9"/>
  <c r="BS135" i="9" s="1"/>
  <c r="BN128" i="9"/>
  <c r="BT128" i="9" s="1"/>
  <c r="BN102" i="9"/>
  <c r="BT102" i="9" s="1"/>
  <c r="BO93" i="9"/>
  <c r="BU93" i="9" s="1"/>
  <c r="BQ83" i="9"/>
  <c r="BW83" i="9" s="1"/>
  <c r="BM84" i="9"/>
  <c r="BS84" i="9" s="1"/>
  <c r="BP78" i="9"/>
  <c r="BV78" i="9" s="1"/>
  <c r="BN67" i="9"/>
  <c r="BT67" i="9" s="1"/>
  <c r="BQ106" i="9"/>
  <c r="BW106" i="9" s="1"/>
  <c r="BO45" i="9"/>
  <c r="BU45" i="9" s="1"/>
  <c r="BM31" i="9"/>
  <c r="BS31" i="9" s="1"/>
  <c r="BP58" i="9"/>
  <c r="BV58" i="9" s="1"/>
  <c r="BN124" i="9"/>
  <c r="BT124" i="9" s="1"/>
  <c r="BP27" i="9"/>
  <c r="BV27" i="9" s="1"/>
  <c r="BO135" i="9"/>
  <c r="BU135" i="9" s="1"/>
  <c r="BP132" i="9"/>
  <c r="BV132" i="9" s="1"/>
  <c r="BO129" i="9"/>
  <c r="BU129" i="9" s="1"/>
  <c r="BN126" i="9"/>
  <c r="BT126" i="9" s="1"/>
  <c r="BM105" i="9"/>
  <c r="BS105" i="9" s="1"/>
  <c r="BQ101" i="9"/>
  <c r="BN28" i="9"/>
  <c r="BT28" i="9" s="1"/>
  <c r="BP26" i="9"/>
  <c r="BV26" i="9" s="1"/>
  <c r="BM32" i="9"/>
  <c r="BS32" i="9" s="1"/>
  <c r="BO134" i="9"/>
  <c r="BU134" i="9" s="1"/>
  <c r="BQ132" i="9"/>
  <c r="BW132" i="9" s="1"/>
  <c r="BN131" i="9"/>
  <c r="BT131" i="9" s="1"/>
  <c r="BP129" i="9"/>
  <c r="BV129" i="9" s="1"/>
  <c r="BM128" i="9"/>
  <c r="BS128" i="9" s="1"/>
  <c r="BO126" i="9"/>
  <c r="BU126" i="9" s="1"/>
  <c r="BQ151" i="9"/>
  <c r="BW151" i="9" s="1"/>
  <c r="BN105" i="9"/>
  <c r="BT105" i="9" s="1"/>
  <c r="BP108" i="9"/>
  <c r="BV108" i="9" s="1"/>
  <c r="BM102" i="9"/>
  <c r="BS102" i="9" s="1"/>
  <c r="BO100" i="9"/>
  <c r="BQ98" i="9"/>
  <c r="BN97" i="9"/>
  <c r="BP93" i="9"/>
  <c r="BV93" i="9" s="1"/>
  <c r="BM92" i="9"/>
  <c r="BS92" i="9" s="1"/>
  <c r="BO153" i="9"/>
  <c r="BU153" i="9" s="1"/>
  <c r="BN84" i="9"/>
  <c r="BT84" i="9" s="1"/>
  <c r="BM81" i="9"/>
  <c r="BS81" i="9" s="1"/>
  <c r="BQ28" i="9"/>
  <c r="BW28" i="9" s="1"/>
  <c r="BP32" i="9"/>
  <c r="BV32" i="9" s="1"/>
  <c r="BM133" i="9"/>
  <c r="BS133" i="9" s="1"/>
  <c r="BQ129" i="9"/>
  <c r="BW129" i="9" s="1"/>
  <c r="BP126" i="9"/>
  <c r="BV126" i="9" s="1"/>
  <c r="BO105" i="9"/>
  <c r="BU105" i="9" s="1"/>
  <c r="BN100" i="9"/>
  <c r="BM97" i="9"/>
  <c r="BQ91" i="9"/>
  <c r="BW91" i="9" s="1"/>
  <c r="BM153" i="9"/>
  <c r="BS153" i="9" s="1"/>
  <c r="BP80" i="9"/>
  <c r="BV80" i="9" s="1"/>
  <c r="BP112" i="9"/>
  <c r="BV112" i="9" s="1"/>
  <c r="BO82" i="9"/>
  <c r="BU82" i="9" s="1"/>
  <c r="BN79" i="9"/>
  <c r="BT79" i="9" s="1"/>
  <c r="BM76" i="9"/>
  <c r="BS76" i="9" s="1"/>
  <c r="BQ110" i="9"/>
  <c r="BW110" i="9" s="1"/>
  <c r="BP61" i="9"/>
  <c r="BV61" i="9" s="1"/>
  <c r="BO109" i="9"/>
  <c r="BU109" i="9" s="1"/>
  <c r="BN53" i="9"/>
  <c r="BT53" i="9" s="1"/>
  <c r="BM107" i="9"/>
  <c r="BS107" i="9" s="1"/>
  <c r="BQ40" i="9"/>
  <c r="BW40" i="9" s="1"/>
  <c r="BP33" i="9"/>
  <c r="BV33" i="9" s="1"/>
  <c r="BN152" i="9"/>
  <c r="BT152" i="9" s="1"/>
  <c r="BQ67" i="9"/>
  <c r="BW67" i="9" s="1"/>
  <c r="BO56" i="9"/>
  <c r="BU56" i="9" s="1"/>
  <c r="BM48" i="9"/>
  <c r="BS48" i="9" s="1"/>
  <c r="BQ37" i="9"/>
  <c r="BW37" i="9" s="1"/>
  <c r="BO108" i="9"/>
  <c r="BU108" i="9" s="1"/>
  <c r="BM101" i="9"/>
  <c r="BO99" i="9"/>
  <c r="BQ97" i="9"/>
  <c r="BN96" i="9"/>
  <c r="BP92" i="9"/>
  <c r="BV92" i="9" s="1"/>
  <c r="BM91" i="9"/>
  <c r="BS91" i="9" s="1"/>
  <c r="BO87" i="9"/>
  <c r="BU87" i="9" s="1"/>
  <c r="BO112" i="9"/>
  <c r="BU112" i="9" s="1"/>
  <c r="BN82" i="9"/>
  <c r="BT82" i="9" s="1"/>
  <c r="BM87" i="9"/>
  <c r="BS87" i="9" s="1"/>
  <c r="BO120" i="9"/>
  <c r="BU120" i="9" s="1"/>
  <c r="BQ84" i="9"/>
  <c r="BW84" i="9" s="1"/>
  <c r="BN83" i="9"/>
  <c r="BT83" i="9" s="1"/>
  <c r="BP81" i="9"/>
  <c r="BV81" i="9" s="1"/>
  <c r="BM80" i="9"/>
  <c r="BS80" i="9" s="1"/>
  <c r="BO152" i="9"/>
  <c r="BU152" i="9" s="1"/>
  <c r="BQ76" i="9"/>
  <c r="BW76" i="9" s="1"/>
  <c r="BN75" i="9"/>
  <c r="BT75" i="9" s="1"/>
  <c r="BP70" i="9"/>
  <c r="BV70" i="9" s="1"/>
  <c r="BM110" i="9"/>
  <c r="BS110" i="9" s="1"/>
  <c r="BO64" i="9"/>
  <c r="BU64" i="9" s="1"/>
  <c r="BQ58" i="9"/>
  <c r="BW58" i="9" s="1"/>
  <c r="BN57" i="9"/>
  <c r="BT57" i="9" s="1"/>
  <c r="BP56" i="9"/>
  <c r="BV56" i="9" s="1"/>
  <c r="BS106" i="9"/>
  <c r="BO124" i="9"/>
  <c r="BU124" i="9" s="1"/>
  <c r="BQ107" i="9"/>
  <c r="BW107" i="9" s="1"/>
  <c r="BN48" i="9"/>
  <c r="BT48" i="9" s="1"/>
  <c r="BP42" i="9"/>
  <c r="BV42" i="9" s="1"/>
  <c r="BM40" i="9"/>
  <c r="BS40" i="9" s="1"/>
  <c r="BO34" i="9"/>
  <c r="BU34" i="9" s="1"/>
  <c r="BQ31" i="9"/>
  <c r="BW31" i="9" s="1"/>
  <c r="BO29" i="9"/>
  <c r="BU29" i="9" s="1"/>
  <c r="BP76" i="9"/>
  <c r="BV76" i="9" s="1"/>
  <c r="BO70" i="9"/>
  <c r="BU70" i="9" s="1"/>
  <c r="BN64" i="9"/>
  <c r="BT64" i="9" s="1"/>
  <c r="BM57" i="9"/>
  <c r="BS57" i="9" s="1"/>
  <c r="BQ53" i="9"/>
  <c r="BW53" i="9" s="1"/>
  <c r="BP107" i="9"/>
  <c r="BV107" i="9" s="1"/>
  <c r="BO42" i="9"/>
  <c r="BU42" i="9" s="1"/>
  <c r="BN34" i="9"/>
  <c r="BT34" i="9" s="1"/>
  <c r="BP31" i="9"/>
  <c r="BV31" i="9" s="1"/>
  <c r="BN30" i="9"/>
  <c r="BT30" i="9" s="1"/>
  <c r="BM79" i="9"/>
  <c r="BS79" i="9" s="1"/>
  <c r="BO78" i="9"/>
  <c r="BU78" i="9" s="1"/>
  <c r="BQ75" i="9"/>
  <c r="BW75" i="9" s="1"/>
  <c r="BN111" i="9"/>
  <c r="BT111" i="9" s="1"/>
  <c r="BP110" i="9"/>
  <c r="BV110" i="9" s="1"/>
  <c r="BM67" i="9"/>
  <c r="BS67" i="9" s="1"/>
  <c r="BO61" i="9"/>
  <c r="BU61" i="9" s="1"/>
  <c r="BQ57" i="9"/>
  <c r="BW57" i="9" s="1"/>
  <c r="BN109" i="9"/>
  <c r="BT109" i="9" s="1"/>
  <c r="BP106" i="9"/>
  <c r="BV106" i="9" s="1"/>
  <c r="BM53" i="9"/>
  <c r="BS53" i="9" s="1"/>
  <c r="BO51" i="9"/>
  <c r="BU51" i="9" s="1"/>
  <c r="BQ48" i="9"/>
  <c r="BW48" i="9" s="1"/>
  <c r="BN45" i="9"/>
  <c r="BT45" i="9" s="1"/>
  <c r="BP40" i="9"/>
  <c r="BV40" i="9" s="1"/>
  <c r="BM37" i="9"/>
  <c r="BS37" i="9" s="1"/>
  <c r="BO33" i="9"/>
  <c r="BU33" i="9" s="1"/>
  <c r="BQ30" i="9"/>
  <c r="BW30" i="9" s="1"/>
  <c r="BM30" i="9"/>
  <c r="BS30" i="9" s="1"/>
  <c r="BS150" i="9"/>
  <c r="BO28" i="9"/>
  <c r="BU28" i="9" s="1"/>
  <c r="BN27" i="9"/>
  <c r="BT27" i="9" s="1"/>
  <c r="BN32" i="9"/>
  <c r="BT32" i="9" s="1"/>
  <c r="BP134" i="9"/>
  <c r="BV134" i="9" s="1"/>
  <c r="BO133" i="9"/>
  <c r="BU133" i="9" s="1"/>
  <c r="BQ131" i="9"/>
  <c r="BW131" i="9" s="1"/>
  <c r="BN130" i="9"/>
  <c r="BT130" i="9" s="1"/>
  <c r="BP128" i="9"/>
  <c r="BV128" i="9" s="1"/>
  <c r="BM127" i="9"/>
  <c r="BS127" i="9" s="1"/>
  <c r="BO125" i="9"/>
  <c r="BU125" i="9" s="1"/>
  <c r="BQ105" i="9"/>
  <c r="BW105" i="9" s="1"/>
  <c r="BN104" i="9"/>
  <c r="BT104" i="9" s="1"/>
  <c r="BM108" i="9"/>
  <c r="BS108" i="9" s="1"/>
  <c r="BP150" i="9"/>
  <c r="BV150" i="9" s="1"/>
  <c r="BP28" i="9"/>
  <c r="BV28" i="9" s="1"/>
  <c r="BQ27" i="9"/>
  <c r="BW27" i="9" s="1"/>
  <c r="BM27" i="9"/>
  <c r="BS27" i="9" s="1"/>
  <c r="BN26" i="9"/>
  <c r="BT26" i="9" s="1"/>
  <c r="BO32" i="9"/>
  <c r="BU32" i="9" s="1"/>
  <c r="BP135" i="9"/>
  <c r="BV135" i="9" s="1"/>
  <c r="BQ134" i="9"/>
  <c r="BW134" i="9" s="1"/>
  <c r="BM134" i="9"/>
  <c r="BS134" i="9" s="1"/>
  <c r="BN133" i="9"/>
  <c r="BT133" i="9" s="1"/>
  <c r="BO132" i="9"/>
  <c r="BU132" i="9" s="1"/>
  <c r="BP131" i="9"/>
  <c r="BV131" i="9" s="1"/>
  <c r="BQ130" i="9"/>
  <c r="BW130" i="9" s="1"/>
  <c r="BM130" i="9"/>
  <c r="BS130" i="9" s="1"/>
  <c r="BN129" i="9"/>
  <c r="BT129" i="9" s="1"/>
  <c r="BO128" i="9"/>
  <c r="BU128" i="9" s="1"/>
  <c r="BP127" i="9"/>
  <c r="BV127" i="9" s="1"/>
  <c r="BQ126" i="9"/>
  <c r="BW126" i="9" s="1"/>
  <c r="BM126" i="9"/>
  <c r="BS126" i="9" s="1"/>
  <c r="BN125" i="9"/>
  <c r="BT125" i="9" s="1"/>
  <c r="BO151" i="9"/>
  <c r="BU151" i="9" s="1"/>
  <c r="BP105" i="9"/>
  <c r="BV105" i="9" s="1"/>
  <c r="BQ104" i="9"/>
  <c r="BW104" i="9" s="1"/>
  <c r="BM104" i="9"/>
  <c r="BS104" i="9" s="1"/>
  <c r="BN108" i="9"/>
  <c r="BT108" i="9" s="1"/>
  <c r="BO102" i="9"/>
  <c r="BU102" i="9" s="1"/>
  <c r="BP101" i="9"/>
  <c r="BQ100" i="9"/>
  <c r="BM100" i="9"/>
  <c r="BN99" i="9"/>
  <c r="BO98" i="9"/>
  <c r="BP97" i="9"/>
  <c r="BQ96" i="9"/>
  <c r="BM96" i="9"/>
  <c r="BN93" i="9"/>
  <c r="BT93" i="9" s="1"/>
  <c r="BO92" i="9"/>
  <c r="BU92" i="9" s="1"/>
  <c r="BP91" i="9"/>
  <c r="BV91" i="9" s="1"/>
  <c r="BN87" i="9"/>
  <c r="BT87" i="9" s="1"/>
  <c r="BP120" i="9"/>
  <c r="BV120" i="9" s="1"/>
  <c r="BM112" i="9"/>
  <c r="BS112" i="9" s="1"/>
  <c r="BO83" i="9"/>
  <c r="BU83" i="9" s="1"/>
  <c r="BQ81" i="9"/>
  <c r="BW81" i="9" s="1"/>
  <c r="BN80" i="9"/>
  <c r="BT80" i="9" s="1"/>
  <c r="BQ150" i="9"/>
  <c r="BW150" i="9" s="1"/>
  <c r="BM28" i="9"/>
  <c r="BS28" i="9" s="1"/>
  <c r="BM26" i="9"/>
  <c r="BS26" i="9" s="1"/>
  <c r="BQ135" i="9"/>
  <c r="BW135" i="9" s="1"/>
  <c r="BN134" i="9"/>
  <c r="BT134" i="9" s="1"/>
  <c r="BN132" i="9"/>
  <c r="BT132" i="9" s="1"/>
  <c r="BP130" i="9"/>
  <c r="BV130" i="9" s="1"/>
  <c r="BM129" i="9"/>
  <c r="BS129" i="9" s="1"/>
  <c r="BO127" i="9"/>
  <c r="BU127" i="9" s="1"/>
  <c r="BQ125" i="9"/>
  <c r="BW125" i="9" s="1"/>
  <c r="BN151" i="9"/>
  <c r="BT151" i="9" s="1"/>
  <c r="BP104" i="9"/>
  <c r="BV104" i="9" s="1"/>
  <c r="BP102" i="9"/>
  <c r="BV102" i="9" s="1"/>
  <c r="BO101" i="9"/>
  <c r="BP100" i="9"/>
  <c r="BQ99" i="9"/>
  <c r="BM99" i="9"/>
  <c r="BN98" i="9"/>
  <c r="BO97" i="9"/>
  <c r="BP96" i="9"/>
  <c r="BQ93" i="9"/>
  <c r="BW93" i="9" s="1"/>
  <c r="BM93" i="9"/>
  <c r="BS93" i="9" s="1"/>
  <c r="BN92" i="9"/>
  <c r="BT92" i="9" s="1"/>
  <c r="BO91" i="9"/>
  <c r="BU91" i="9" s="1"/>
  <c r="BQ87" i="9"/>
  <c r="BW87" i="9" s="1"/>
  <c r="BQ153" i="9"/>
  <c r="BW153" i="9" s="1"/>
  <c r="BN120" i="9"/>
  <c r="BT120" i="9" s="1"/>
  <c r="BP84" i="9"/>
  <c r="BV84" i="9" s="1"/>
  <c r="BM83" i="9"/>
  <c r="BS83" i="9" s="1"/>
  <c r="BO81" i="9"/>
  <c r="BU81" i="9" s="1"/>
  <c r="BQ79" i="9"/>
  <c r="BW79" i="9" s="1"/>
  <c r="BP153" i="9"/>
  <c r="BV153" i="9" s="1"/>
  <c r="BQ120" i="9"/>
  <c r="BW120" i="9" s="1"/>
  <c r="BM120" i="9"/>
  <c r="BS120" i="9" s="1"/>
  <c r="BN112" i="9"/>
  <c r="BT112" i="9" s="1"/>
  <c r="BO84" i="9"/>
  <c r="BU84" i="9" s="1"/>
  <c r="BP83" i="9"/>
  <c r="BV83" i="9" s="1"/>
  <c r="BQ82" i="9"/>
  <c r="BW82" i="9" s="1"/>
  <c r="BM82" i="9"/>
  <c r="BS82" i="9" s="1"/>
  <c r="BN81" i="9"/>
  <c r="BT81" i="9" s="1"/>
  <c r="BO80" i="9"/>
  <c r="BU80" i="9" s="1"/>
  <c r="BP79" i="9"/>
  <c r="BV79" i="9" s="1"/>
  <c r="BQ152" i="9"/>
  <c r="BW152" i="9" s="1"/>
  <c r="BM152" i="9"/>
  <c r="BS152" i="9" s="1"/>
  <c r="BN78" i="9"/>
  <c r="BT78" i="9" s="1"/>
  <c r="BO76" i="9"/>
  <c r="BU76" i="9" s="1"/>
  <c r="BP75" i="9"/>
  <c r="BV75" i="9" s="1"/>
  <c r="BQ111" i="9"/>
  <c r="BW111" i="9" s="1"/>
  <c r="BM111" i="9"/>
  <c r="BS111" i="9" s="1"/>
  <c r="BN70" i="9"/>
  <c r="BT70" i="9" s="1"/>
  <c r="BO110" i="9"/>
  <c r="BU110" i="9" s="1"/>
  <c r="BP67" i="9"/>
  <c r="BV67" i="9" s="1"/>
  <c r="BQ64" i="9"/>
  <c r="BW64" i="9" s="1"/>
  <c r="BM64" i="9"/>
  <c r="BS64" i="9" s="1"/>
  <c r="BN61" i="9"/>
  <c r="BT61" i="9" s="1"/>
  <c r="BO58" i="9"/>
  <c r="BU58" i="9" s="1"/>
  <c r="BP57" i="9"/>
  <c r="BV57" i="9" s="1"/>
  <c r="BQ109" i="9"/>
  <c r="BW109" i="9" s="1"/>
  <c r="BM109" i="9"/>
  <c r="BS109" i="9" s="1"/>
  <c r="BN56" i="9"/>
  <c r="BT56" i="9" s="1"/>
  <c r="BO106" i="9"/>
  <c r="BU106" i="9" s="1"/>
  <c r="BP53" i="9"/>
  <c r="BV53" i="9" s="1"/>
  <c r="BQ124" i="9"/>
  <c r="BW124" i="9" s="1"/>
  <c r="BM124" i="9"/>
  <c r="BS124" i="9" s="1"/>
  <c r="BN51" i="9"/>
  <c r="BT51" i="9" s="1"/>
  <c r="BO107" i="9"/>
  <c r="BU107" i="9" s="1"/>
  <c r="BP48" i="9"/>
  <c r="BV48" i="9" s="1"/>
  <c r="BQ45" i="9"/>
  <c r="BW45" i="9" s="1"/>
  <c r="BM45" i="9"/>
  <c r="BS45" i="9" s="1"/>
  <c r="BN42" i="9"/>
  <c r="BT42" i="9" s="1"/>
  <c r="BO40" i="9"/>
  <c r="BU40" i="9" s="1"/>
  <c r="BP37" i="9"/>
  <c r="BV37" i="9" s="1"/>
  <c r="BQ34" i="9"/>
  <c r="BW34" i="9" s="1"/>
  <c r="BM34" i="9"/>
  <c r="BS34" i="9" s="1"/>
  <c r="BN33" i="9"/>
  <c r="BT33" i="9" s="1"/>
  <c r="BO31" i="9"/>
  <c r="BU31" i="9" s="1"/>
  <c r="BP30" i="9"/>
  <c r="BV30" i="9" s="1"/>
  <c r="BQ29" i="9"/>
  <c r="BW29" i="9" s="1"/>
  <c r="BM29" i="9"/>
  <c r="BS29" i="9" s="1"/>
  <c r="BP152" i="9"/>
  <c r="BV152" i="9" s="1"/>
  <c r="BQ78" i="9"/>
  <c r="BW78" i="9" s="1"/>
  <c r="BM78" i="9"/>
  <c r="BS78" i="9" s="1"/>
  <c r="BN76" i="9"/>
  <c r="BT76" i="9" s="1"/>
  <c r="BO75" i="9"/>
  <c r="BU75" i="9" s="1"/>
  <c r="BP111" i="9"/>
  <c r="BV111" i="9" s="1"/>
  <c r="BQ70" i="9"/>
  <c r="BW70" i="9" s="1"/>
  <c r="BM70" i="9"/>
  <c r="BS70" i="9" s="1"/>
  <c r="BN110" i="9"/>
  <c r="BT110" i="9" s="1"/>
  <c r="BO67" i="9"/>
  <c r="BU67" i="9" s="1"/>
  <c r="BP64" i="9"/>
  <c r="BV64" i="9" s="1"/>
  <c r="BQ61" i="9"/>
  <c r="BW61" i="9" s="1"/>
  <c r="BM61" i="9"/>
  <c r="BS61" i="9" s="1"/>
  <c r="BN58" i="9"/>
  <c r="BT58" i="9" s="1"/>
  <c r="BO57" i="9"/>
  <c r="BU57" i="9" s="1"/>
  <c r="BP109" i="9"/>
  <c r="BV109" i="9" s="1"/>
  <c r="BQ56" i="9"/>
  <c r="BW56" i="9" s="1"/>
  <c r="BM56" i="9"/>
  <c r="BS56" i="9" s="1"/>
  <c r="BN106" i="9"/>
  <c r="BT106" i="9" s="1"/>
  <c r="BO53" i="9"/>
  <c r="BU53" i="9" s="1"/>
  <c r="BP124" i="9"/>
  <c r="BV124" i="9" s="1"/>
  <c r="BQ51" i="9"/>
  <c r="BW51" i="9" s="1"/>
  <c r="BM51" i="9"/>
  <c r="BS51" i="9" s="1"/>
  <c r="BN107" i="9"/>
  <c r="BT107" i="9" s="1"/>
  <c r="BO48" i="9"/>
  <c r="BU48" i="9" s="1"/>
  <c r="BP45" i="9"/>
  <c r="BV45" i="9" s="1"/>
  <c r="BQ42" i="9"/>
  <c r="BW42" i="9" s="1"/>
  <c r="BM42" i="9"/>
  <c r="BS42" i="9" s="1"/>
  <c r="BN40" i="9"/>
  <c r="BT40" i="9" s="1"/>
  <c r="BO37" i="9"/>
  <c r="BU37" i="9" s="1"/>
  <c r="BP34" i="9"/>
  <c r="BV34" i="9" s="1"/>
  <c r="BQ33" i="9"/>
  <c r="BW33" i="9" s="1"/>
  <c r="BM33" i="9"/>
  <c r="BS33" i="9" s="1"/>
  <c r="BN31" i="9"/>
  <c r="BT31" i="9" s="1"/>
  <c r="BO30" i="9"/>
  <c r="BU30" i="9" s="1"/>
  <c r="R57" i="20"/>
  <c r="R86" i="20"/>
  <c r="R24" i="20"/>
  <c r="R41" i="20"/>
  <c r="R88" i="20"/>
  <c r="R42" i="20"/>
  <c r="R59" i="20" l="1"/>
  <c r="R58" i="20"/>
  <c r="R18" i="20" l="1"/>
  <c r="R17" i="20"/>
  <c r="O29" i="27" l="1"/>
  <c r="M30" i="27"/>
  <c r="M32" i="27" l="1"/>
  <c r="O32" i="27" s="1"/>
  <c r="P32" i="27" s="1"/>
  <c r="O30" i="27"/>
  <c r="M65" i="27" l="1"/>
  <c r="O65" i="27" s="1"/>
  <c r="C25" i="5" s="1"/>
  <c r="C27" i="5" s="1"/>
  <c r="F9" i="1" s="1"/>
  <c r="O61" i="27"/>
  <c r="M34" i="27"/>
  <c r="M35" i="27"/>
  <c r="M64" i="27" l="1"/>
  <c r="M62" i="27"/>
  <c r="O60" i="27"/>
  <c r="O62" i="27" s="1"/>
  <c r="M36" i="27"/>
  <c r="M38" i="27"/>
  <c r="O34" i="27"/>
  <c r="M39" i="27"/>
  <c r="O39" i="27" s="1"/>
  <c r="C15" i="5" s="1"/>
  <c r="C17" i="5" s="1"/>
  <c r="O35" i="27"/>
  <c r="M66" i="27" l="1"/>
  <c r="M67" i="27" s="1"/>
  <c r="O64" i="27"/>
  <c r="E9" i="1"/>
  <c r="D242" i="1" s="1"/>
  <c r="E242" i="1" s="1"/>
  <c r="O36" i="27"/>
  <c r="M40" i="27"/>
  <c r="M41" i="27" s="1"/>
  <c r="O38" i="27"/>
  <c r="O66" i="27" l="1"/>
  <c r="O67" i="27" s="1"/>
  <c r="B25" i="5"/>
  <c r="E114" i="1"/>
  <c r="E32" i="1"/>
  <c r="D250" i="1" s="1"/>
  <c r="F32" i="1"/>
  <c r="F114" i="1"/>
  <c r="E167" i="1"/>
  <c r="E51" i="14"/>
  <c r="O40" i="27"/>
  <c r="O41" i="27" s="1"/>
  <c r="B15" i="5"/>
  <c r="B27" i="5" l="1"/>
  <c r="F8" i="1" s="1"/>
  <c r="D25" i="5"/>
  <c r="D27" i="5" s="1"/>
  <c r="D31" i="5" s="1"/>
  <c r="C114" i="1"/>
  <c r="F51" i="14"/>
  <c r="C51" i="14" s="1"/>
  <c r="F167" i="1"/>
  <c r="C167" i="1" s="1"/>
  <c r="E250" i="1"/>
  <c r="B17" i="5"/>
  <c r="D15" i="5"/>
  <c r="D17" i="5" s="1"/>
  <c r="D21" i="5" s="1"/>
  <c r="D48" i="5" l="1"/>
  <c r="D52" i="5" s="1"/>
  <c r="D53" i="5" s="1"/>
  <c r="B49" i="5"/>
  <c r="E8" i="1"/>
  <c r="E14" i="1" s="1"/>
  <c r="E18" i="1"/>
  <c r="F18" i="1"/>
  <c r="E31" i="1"/>
  <c r="E113" i="1"/>
  <c r="D49" i="5" l="1"/>
  <c r="D54" i="5" s="1"/>
  <c r="H8" i="1"/>
  <c r="D241" i="1"/>
  <c r="D244" i="1" s="1"/>
  <c r="C18" i="1"/>
  <c r="F31" i="1"/>
  <c r="F14" i="1"/>
  <c r="F17" i="1" s="1"/>
  <c r="F20" i="1" s="1"/>
  <c r="F23" i="1" s="1"/>
  <c r="F113" i="1"/>
  <c r="F124" i="1" s="1"/>
  <c r="F41" i="1"/>
  <c r="E41" i="1"/>
  <c r="E50" i="14"/>
  <c r="D249" i="1"/>
  <c r="E166" i="1"/>
  <c r="E37" i="1"/>
  <c r="E124" i="1"/>
  <c r="E17" i="1"/>
  <c r="H31" i="1" l="1"/>
  <c r="H14" i="1"/>
  <c r="H17" i="1" s="1"/>
  <c r="H20" i="1" s="1"/>
  <c r="H23" i="1" s="1"/>
  <c r="H113" i="1"/>
  <c r="H124" i="1" s="1"/>
  <c r="H127" i="1" s="1"/>
  <c r="H130" i="1" s="1"/>
  <c r="H150" i="1" s="1"/>
  <c r="H152" i="1" s="1"/>
  <c r="F128" i="1"/>
  <c r="E241" i="1"/>
  <c r="E244" i="1" s="1"/>
  <c r="E245" i="1" s="1"/>
  <c r="F241" i="1"/>
  <c r="H241" i="1" s="1"/>
  <c r="I241" i="1" s="1"/>
  <c r="C14" i="1"/>
  <c r="C41" i="1"/>
  <c r="F53" i="14"/>
  <c r="E53" i="14"/>
  <c r="E55" i="14" s="1"/>
  <c r="F37" i="1"/>
  <c r="F40" i="1" s="1"/>
  <c r="F43" i="1" s="1"/>
  <c r="F46" i="1" s="1"/>
  <c r="F50" i="14"/>
  <c r="F166" i="1"/>
  <c r="E67" i="1"/>
  <c r="E88" i="14"/>
  <c r="E20" i="1"/>
  <c r="E249" i="1"/>
  <c r="F249" i="1"/>
  <c r="H249" i="1" s="1"/>
  <c r="D252" i="1"/>
  <c r="G241" i="1"/>
  <c r="F242" i="1"/>
  <c r="E177" i="1"/>
  <c r="E104" i="14"/>
  <c r="E40" i="1"/>
  <c r="D23" i="41" l="1"/>
  <c r="F23" i="41" s="1"/>
  <c r="H205" i="1"/>
  <c r="D24" i="18"/>
  <c r="C17" i="1"/>
  <c r="C113" i="1"/>
  <c r="H37" i="1"/>
  <c r="H40" i="1" s="1"/>
  <c r="H43" i="1" s="1"/>
  <c r="H46" i="1" s="1"/>
  <c r="D16" i="46" s="1"/>
  <c r="F16" i="46" s="1"/>
  <c r="H50" i="14"/>
  <c r="H166" i="1"/>
  <c r="F125" i="1"/>
  <c r="F127" i="1" s="1"/>
  <c r="F130" i="1" s="1"/>
  <c r="F150" i="1" s="1"/>
  <c r="F135" i="1"/>
  <c r="F136" i="1" s="1"/>
  <c r="F143" i="1" s="1"/>
  <c r="F149" i="1" s="1"/>
  <c r="C53" i="14"/>
  <c r="C37" i="1"/>
  <c r="F88" i="14"/>
  <c r="F55" i="14"/>
  <c r="F107" i="14" s="1"/>
  <c r="F177" i="1"/>
  <c r="F104" i="14"/>
  <c r="E252" i="1"/>
  <c r="E253" i="1" s="1"/>
  <c r="I249" i="1"/>
  <c r="G242" i="1"/>
  <c r="G244" i="1" s="1"/>
  <c r="G245" i="1" s="1"/>
  <c r="H242" i="1"/>
  <c r="E107" i="14"/>
  <c r="E135" i="1"/>
  <c r="E136" i="1" s="1"/>
  <c r="E125" i="1"/>
  <c r="E128" i="1"/>
  <c r="C128" i="1" s="1"/>
  <c r="E43" i="1"/>
  <c r="C40" i="1"/>
  <c r="G249" i="1"/>
  <c r="F250" i="1"/>
  <c r="E84" i="1"/>
  <c r="E23" i="1"/>
  <c r="C20" i="1"/>
  <c r="B98" i="5" s="1"/>
  <c r="B100" i="5" s="1"/>
  <c r="H88" i="14" l="1"/>
  <c r="C88" i="14" s="1"/>
  <c r="H55" i="14"/>
  <c r="H107" i="14" s="1"/>
  <c r="H104" i="14"/>
  <c r="H177" i="1"/>
  <c r="H180" i="1" s="1"/>
  <c r="H183" i="1" s="1"/>
  <c r="H203" i="1" s="1"/>
  <c r="H204" i="1" s="1"/>
  <c r="H97" i="14" s="1"/>
  <c r="AA24" i="18"/>
  <c r="C50" i="14"/>
  <c r="C166" i="1"/>
  <c r="C104" i="14" s="1"/>
  <c r="F152" i="1"/>
  <c r="D19" i="41" s="1"/>
  <c r="F19" i="41" s="1"/>
  <c r="C55" i="14"/>
  <c r="F188" i="1"/>
  <c r="F189" i="1" s="1"/>
  <c r="F196" i="1" s="1"/>
  <c r="F202" i="1" s="1"/>
  <c r="F178" i="1"/>
  <c r="F180" i="1" s="1"/>
  <c r="F181" i="1"/>
  <c r="U18" i="18"/>
  <c r="F15" i="38"/>
  <c r="E15" i="38" s="1"/>
  <c r="E300" i="1"/>
  <c r="C43" i="1"/>
  <c r="E46" i="1"/>
  <c r="D14" i="46" s="1"/>
  <c r="C23" i="1"/>
  <c r="G250" i="1"/>
  <c r="G252" i="1" s="1"/>
  <c r="G253" i="1" s="1"/>
  <c r="H250" i="1"/>
  <c r="C136" i="1"/>
  <c r="E178" i="1"/>
  <c r="E188" i="1"/>
  <c r="E189" i="1" s="1"/>
  <c r="E181" i="1"/>
  <c r="C125" i="1"/>
  <c r="E127" i="1"/>
  <c r="H244" i="1"/>
  <c r="I242" i="1"/>
  <c r="I244" i="1" s="1"/>
  <c r="C177" i="1" l="1"/>
  <c r="H207" i="1"/>
  <c r="G24" i="18" s="1"/>
  <c r="F205" i="1"/>
  <c r="D20" i="18"/>
  <c r="F102" i="14"/>
  <c r="F89" i="14"/>
  <c r="F183" i="1"/>
  <c r="F203" i="1" s="1"/>
  <c r="F204" i="1" s="1"/>
  <c r="F90" i="14"/>
  <c r="F103" i="14"/>
  <c r="N15" i="38"/>
  <c r="F14" i="46"/>
  <c r="D26" i="46"/>
  <c r="E301" i="1"/>
  <c r="F25" i="38"/>
  <c r="C46" i="1"/>
  <c r="I245" i="1"/>
  <c r="E139" i="1" s="1"/>
  <c r="E140" i="1" s="1"/>
  <c r="E143" i="1" s="1"/>
  <c r="C189" i="1"/>
  <c r="I250" i="1"/>
  <c r="I252" i="1" s="1"/>
  <c r="H252" i="1"/>
  <c r="E89" i="14"/>
  <c r="C181" i="1"/>
  <c r="C102" i="14" s="1"/>
  <c r="E102" i="14"/>
  <c r="E130" i="1"/>
  <c r="C178" i="1"/>
  <c r="E180" i="1"/>
  <c r="H208" i="1" l="1"/>
  <c r="H105" i="14" s="1"/>
  <c r="AA20" i="18"/>
  <c r="C89" i="14"/>
  <c r="F207" i="1"/>
  <c r="G20" i="18" s="1"/>
  <c r="F97" i="14"/>
  <c r="E25" i="38"/>
  <c r="T18" i="18"/>
  <c r="I253" i="1"/>
  <c r="E199" i="1" s="1"/>
  <c r="E200" i="1" s="1"/>
  <c r="C200" i="1" s="1"/>
  <c r="E146" i="1"/>
  <c r="E147" i="1" s="1"/>
  <c r="C147" i="1" s="1"/>
  <c r="E150" i="1"/>
  <c r="C140" i="1"/>
  <c r="C180" i="1"/>
  <c r="E183" i="1"/>
  <c r="F208" i="1" l="1"/>
  <c r="F105" i="14" s="1"/>
  <c r="AF26" i="18"/>
  <c r="AF22" i="18"/>
  <c r="AF18" i="18"/>
  <c r="L17" i="41"/>
  <c r="L34" i="18"/>
  <c r="M34" i="18" s="1"/>
  <c r="AF30" i="18"/>
  <c r="AF16" i="18"/>
  <c r="E192" i="1"/>
  <c r="E193" i="1" s="1"/>
  <c r="E196" i="1" s="1"/>
  <c r="E202" i="1" s="1"/>
  <c r="E149" i="1"/>
  <c r="E152" i="1" s="1"/>
  <c r="C143" i="1"/>
  <c r="E203" i="1"/>
  <c r="C203" i="1" s="1"/>
  <c r="C183" i="1"/>
  <c r="O24" i="20"/>
  <c r="L33" i="41" l="1"/>
  <c r="D17" i="41"/>
  <c r="D18" i="18"/>
  <c r="D17" i="51" s="1"/>
  <c r="C193" i="1"/>
  <c r="C196" i="1" s="1"/>
  <c r="C202" i="1" s="1"/>
  <c r="E205" i="1"/>
  <c r="C149" i="1"/>
  <c r="E204" i="1"/>
  <c r="E90" i="14"/>
  <c r="E103" i="14"/>
  <c r="G17" i="51" l="1"/>
  <c r="H17" i="51" s="1"/>
  <c r="E18" i="18" s="1"/>
  <c r="F46" i="51"/>
  <c r="K17" i="51"/>
  <c r="C103" i="14"/>
  <c r="E207" i="1"/>
  <c r="E97" i="14"/>
  <c r="C204" i="1"/>
  <c r="C90" i="14"/>
  <c r="I17" i="51" l="1"/>
  <c r="E17" i="41"/>
  <c r="W21" i="51"/>
  <c r="E299" i="1"/>
  <c r="E305" i="1" s="1"/>
  <c r="E208" i="1"/>
  <c r="E105" i="14" s="1"/>
  <c r="C97" i="14"/>
  <c r="F17" i="41" l="1"/>
  <c r="U34" i="18"/>
  <c r="T16" i="18" l="1"/>
  <c r="T34" i="18" l="1"/>
  <c r="AC97" i="9" l="1"/>
  <c r="AC99" i="9" s="1"/>
  <c r="AC101" i="9" l="1"/>
  <c r="C15" i="7"/>
  <c r="C19" i="7" s="1"/>
  <c r="C20" i="7" l="1"/>
  <c r="C43" i="7"/>
  <c r="C44" i="7" s="1"/>
  <c r="AU99" i="9"/>
  <c r="D15" i="7"/>
  <c r="D21" i="7" l="1"/>
  <c r="O15" i="7"/>
  <c r="I15" i="7"/>
  <c r="D19" i="7"/>
  <c r="H59" i="18" l="1"/>
  <c r="K59" i="18" s="1"/>
  <c r="K75" i="18" s="1"/>
  <c r="I19" i="7"/>
  <c r="L20" i="7" s="1"/>
  <c r="D26" i="7"/>
  <c r="D31" i="7" s="1"/>
  <c r="G55" i="7" s="1"/>
  <c r="D43" i="7"/>
  <c r="D44" i="7" s="1"/>
  <c r="D28" i="7"/>
  <c r="D30" i="7" s="1"/>
  <c r="D29" i="7"/>
  <c r="L122" i="1"/>
  <c r="C122" i="1" s="1"/>
  <c r="E43" i="7"/>
  <c r="E44" i="7" s="1"/>
  <c r="K26" i="7" l="1"/>
  <c r="I31" i="7"/>
  <c r="D27" i="7"/>
  <c r="K31" i="7"/>
  <c r="L31" i="7" s="1"/>
  <c r="L124" i="1"/>
  <c r="L127" i="1" s="1"/>
  <c r="L130" i="1" s="1"/>
  <c r="L150" i="1" s="1"/>
  <c r="I26" i="7"/>
  <c r="L152" i="1" l="1"/>
  <c r="D31" i="41" l="1"/>
  <c r="D32" i="18"/>
  <c r="D27" i="51" s="1"/>
  <c r="L205" i="1"/>
  <c r="P47" i="51" l="1"/>
  <c r="F50" i="51"/>
  <c r="K27" i="51"/>
  <c r="G27" i="51"/>
  <c r="H27" i="51" s="1"/>
  <c r="D25" i="38"/>
  <c r="L207" i="1"/>
  <c r="E32" i="18" l="1"/>
  <c r="E31" i="41"/>
  <c r="W48" i="51"/>
  <c r="R47" i="51"/>
  <c r="T47" i="51" s="1"/>
  <c r="H29" i="51"/>
  <c r="S57" i="51" s="1"/>
  <c r="I27" i="51"/>
  <c r="C33" i="38"/>
  <c r="N25" i="38"/>
  <c r="L208" i="1"/>
  <c r="S47" i="51" l="1"/>
  <c r="F31" i="41"/>
  <c r="E33" i="41"/>
  <c r="Q34" i="18"/>
  <c r="AF32" i="18"/>
  <c r="AF34" i="18" l="1"/>
  <c r="C120" i="1" l="1"/>
  <c r="J124" i="1"/>
  <c r="J127" i="1" s="1"/>
  <c r="J130" i="1" l="1"/>
  <c r="J150" i="1" s="1"/>
  <c r="J152" i="1" s="1"/>
  <c r="C127" i="1"/>
  <c r="C124" i="1"/>
  <c r="C130" i="1" l="1"/>
  <c r="C150" i="1" s="1"/>
  <c r="C152" i="1" s="1"/>
  <c r="D27" i="41"/>
  <c r="F27" i="41" s="1"/>
  <c r="J205" i="1"/>
  <c r="D28" i="18"/>
  <c r="F28" i="18" l="1"/>
  <c r="D23" i="51"/>
  <c r="D33" i="41"/>
  <c r="D34" i="18"/>
  <c r="J207" i="1"/>
  <c r="G28" i="18" s="1"/>
  <c r="C205" i="1"/>
  <c r="I28" i="18" l="1"/>
  <c r="F33" i="41"/>
  <c r="G36" i="41" s="1"/>
  <c r="H15" i="41" s="1"/>
  <c r="I15" i="41" s="1"/>
  <c r="D29" i="51"/>
  <c r="I29" i="51" s="1"/>
  <c r="I23" i="51"/>
  <c r="G32" i="18"/>
  <c r="E24" i="18"/>
  <c r="I24" i="18" s="1"/>
  <c r="E20" i="18"/>
  <c r="I20" i="18" s="1"/>
  <c r="G18" i="18"/>
  <c r="D34" i="41"/>
  <c r="H33" i="41"/>
  <c r="C60" i="14" s="1"/>
  <c r="J208" i="1"/>
  <c r="J105" i="14" s="1"/>
  <c r="N28" i="18"/>
  <c r="C207" i="1"/>
  <c r="C208" i="1" s="1"/>
  <c r="C105" i="14" s="1"/>
  <c r="R72" i="18"/>
  <c r="D35" i="18"/>
  <c r="I32" i="18" l="1"/>
  <c r="Q15" i="41"/>
  <c r="Q44" i="41" s="1"/>
  <c r="Q46" i="41" s="1"/>
  <c r="R15" i="41"/>
  <c r="I22" i="18"/>
  <c r="I26" i="18"/>
  <c r="I18" i="18"/>
  <c r="H21" i="41"/>
  <c r="I21" i="41" s="1"/>
  <c r="V20" i="18"/>
  <c r="P20" i="18"/>
  <c r="V24" i="18"/>
  <c r="P24" i="18"/>
  <c r="V32" i="18"/>
  <c r="W32" i="18" s="1"/>
  <c r="AA32" i="18"/>
  <c r="F30" i="18"/>
  <c r="G30" i="18"/>
  <c r="V26" i="18"/>
  <c r="W26" i="18" s="1"/>
  <c r="AA26" i="18"/>
  <c r="AA18" i="18"/>
  <c r="V18" i="18"/>
  <c r="W18" i="18" s="1"/>
  <c r="V22" i="18"/>
  <c r="W22" i="18" s="1"/>
  <c r="AA22" i="18"/>
  <c r="V16" i="18"/>
  <c r="W16" i="18" s="1"/>
  <c r="AA16" i="18"/>
  <c r="H28" i="18"/>
  <c r="G29" i="51"/>
  <c r="F51" i="51"/>
  <c r="F32" i="51"/>
  <c r="F16" i="18"/>
  <c r="H16" i="18" s="1"/>
  <c r="AA28" i="18"/>
  <c r="V28" i="18"/>
  <c r="W28" i="18" s="1"/>
  <c r="T75" i="18"/>
  <c r="T71" i="18"/>
  <c r="T76" i="18"/>
  <c r="T72" i="18"/>
  <c r="T74" i="18"/>
  <c r="T73" i="18"/>
  <c r="Q21" i="41" l="1"/>
  <c r="T13" i="49"/>
  <c r="X13" i="49" s="1"/>
  <c r="J28" i="18"/>
  <c r="I30" i="18"/>
  <c r="H29" i="41"/>
  <c r="I29" i="41" s="1"/>
  <c r="H19" i="41"/>
  <c r="I19" i="41" s="1"/>
  <c r="H25" i="41"/>
  <c r="I25" i="41" s="1"/>
  <c r="H31" i="41"/>
  <c r="I31" i="41" s="1"/>
  <c r="H17" i="41"/>
  <c r="I17" i="41" s="1"/>
  <c r="H27" i="41"/>
  <c r="I27" i="41" s="1"/>
  <c r="H23" i="41"/>
  <c r="I23" i="41" s="1"/>
  <c r="R21" i="41"/>
  <c r="H30" i="18"/>
  <c r="G34" i="18"/>
  <c r="J21" i="41"/>
  <c r="V30" i="18"/>
  <c r="W30" i="18" s="1"/>
  <c r="AA30" i="18"/>
  <c r="J16" i="18"/>
  <c r="AD28" i="18"/>
  <c r="T77" i="18"/>
  <c r="W74" i="18" s="1"/>
  <c r="G60" i="14"/>
  <c r="N19" i="41" l="1"/>
  <c r="P19" i="41" s="1"/>
  <c r="N23" i="41"/>
  <c r="P23" i="41" s="1"/>
  <c r="Q31" i="41"/>
  <c r="F60" i="14"/>
  <c r="R19" i="41"/>
  <c r="Q19" i="41"/>
  <c r="R29" i="41"/>
  <c r="Q29" i="41"/>
  <c r="R23" i="41"/>
  <c r="Q23" i="41"/>
  <c r="R27" i="41"/>
  <c r="Q27" i="41"/>
  <c r="R25" i="41"/>
  <c r="Q25" i="41"/>
  <c r="J17" i="41"/>
  <c r="E59" i="14" s="1"/>
  <c r="Q17" i="41"/>
  <c r="J19" i="41"/>
  <c r="F59" i="14" s="1"/>
  <c r="F96" i="14" s="1"/>
  <c r="F98" i="14" s="1"/>
  <c r="J29" i="41"/>
  <c r="K59" i="14" s="1"/>
  <c r="K92" i="14" s="1"/>
  <c r="K93" i="14" s="1"/>
  <c r="R31" i="41"/>
  <c r="K60" i="14"/>
  <c r="J25" i="41"/>
  <c r="I59" i="14" s="1"/>
  <c r="E60" i="14"/>
  <c r="J31" i="41"/>
  <c r="L23" i="7" s="1"/>
  <c r="I60" i="14"/>
  <c r="H60" i="14"/>
  <c r="J27" i="41"/>
  <c r="R17" i="41"/>
  <c r="J15" i="41"/>
  <c r="J23" i="41"/>
  <c r="H59" i="14" s="1"/>
  <c r="H92" i="14" s="1"/>
  <c r="H93" i="14" s="1"/>
  <c r="J60" i="14"/>
  <c r="D60" i="14"/>
  <c r="AA34" i="18"/>
  <c r="V34" i="18"/>
  <c r="W34" i="18" s="1"/>
  <c r="N34" i="18"/>
  <c r="AD34" i="18" s="1"/>
  <c r="AB34" i="18"/>
  <c r="W75" i="18"/>
  <c r="W73" i="18"/>
  <c r="W76" i="18"/>
  <c r="W72" i="18"/>
  <c r="W71" i="18"/>
  <c r="I33" i="41"/>
  <c r="G59" i="14"/>
  <c r="Q33" i="41" l="1"/>
  <c r="F92" i="14"/>
  <c r="F93" i="14" s="1"/>
  <c r="K96" i="14"/>
  <c r="K98" i="14" s="1"/>
  <c r="R33" i="41"/>
  <c r="J59" i="14"/>
  <c r="J92" i="14" s="1"/>
  <c r="J93" i="14" s="1"/>
  <c r="D59" i="14"/>
  <c r="D96" i="14" s="1"/>
  <c r="H96" i="14"/>
  <c r="H98" i="14" s="1"/>
  <c r="I34" i="41"/>
  <c r="W77" i="18"/>
  <c r="K94" i="14"/>
  <c r="G92" i="14"/>
  <c r="G93" i="14" s="1"/>
  <c r="G96" i="14"/>
  <c r="G98" i="14" s="1"/>
  <c r="J33" i="41"/>
  <c r="H94" i="14"/>
  <c r="E92" i="14"/>
  <c r="E93" i="14" s="1"/>
  <c r="E96" i="14"/>
  <c r="E98" i="14" s="1"/>
  <c r="I92" i="14"/>
  <c r="I93" i="14" s="1"/>
  <c r="I96" i="14"/>
  <c r="I98" i="14" s="1"/>
  <c r="P22" i="18" l="1"/>
  <c r="P26" i="18"/>
  <c r="P30" i="18"/>
  <c r="F94" i="14"/>
  <c r="J96" i="14"/>
  <c r="J98" i="14" s="1"/>
  <c r="D92" i="14"/>
  <c r="D93" i="14" s="1"/>
  <c r="C59" i="14"/>
  <c r="J94" i="14"/>
  <c r="I94" i="14"/>
  <c r="E94" i="14"/>
  <c r="G94" i="14"/>
  <c r="D98" i="14"/>
  <c r="K72" i="20" l="1"/>
  <c r="L41" i="20"/>
  <c r="M41" i="20" s="1"/>
  <c r="K42" i="20"/>
  <c r="N29" i="41"/>
  <c r="O29" i="41" s="1"/>
  <c r="N17" i="41"/>
  <c r="P17" i="41" s="1"/>
  <c r="N21" i="41"/>
  <c r="O21" i="41" s="1"/>
  <c r="P18" i="18"/>
  <c r="N25" i="41"/>
  <c r="O25" i="41" s="1"/>
  <c r="N15" i="41"/>
  <c r="L86" i="20"/>
  <c r="M86" i="20" s="1"/>
  <c r="K87" i="20"/>
  <c r="K88" i="20"/>
  <c r="L23" i="20"/>
  <c r="K24" i="20"/>
  <c r="L71" i="20"/>
  <c r="S71" i="20" s="1"/>
  <c r="L57" i="20"/>
  <c r="M57" i="20" s="1"/>
  <c r="Q57" i="20" s="1"/>
  <c r="K58" i="20"/>
  <c r="L16" i="20"/>
  <c r="M16" i="20" s="1"/>
  <c r="W16" i="20" s="1"/>
  <c r="K18" i="20"/>
  <c r="K17" i="20"/>
  <c r="C96" i="14"/>
  <c r="C98" i="14"/>
  <c r="C92" i="14"/>
  <c r="C93" i="14" s="1"/>
  <c r="D94" i="14"/>
  <c r="C94" i="14" s="1"/>
  <c r="W57" i="20" l="1"/>
  <c r="P25" i="41"/>
  <c r="M71" i="20"/>
  <c r="Q71" i="20" s="1"/>
  <c r="P29" i="41"/>
  <c r="Q86" i="20"/>
  <c r="W86" i="20"/>
  <c r="Q41" i="20"/>
  <c r="W41" i="20"/>
  <c r="O15" i="41"/>
  <c r="M23" i="20"/>
  <c r="Q23" i="20" s="1"/>
  <c r="S21" i="38"/>
  <c r="S23" i="20"/>
  <c r="L58" i="20"/>
  <c r="L72" i="20"/>
  <c r="S72" i="20" s="1"/>
  <c r="M58" i="20"/>
  <c r="Q58" i="20" s="1"/>
  <c r="W58" i="20"/>
  <c r="N44" i="41"/>
  <c r="S57" i="20"/>
  <c r="X15" i="38"/>
  <c r="L87" i="20"/>
  <c r="M87" i="20" s="1"/>
  <c r="W87" i="20" s="1"/>
  <c r="L18" i="20"/>
  <c r="M18" i="20" s="1"/>
  <c r="P21" i="41"/>
  <c r="L42" i="20"/>
  <c r="M42" i="20"/>
  <c r="Q42" i="20" s="1"/>
  <c r="L24" i="20"/>
  <c r="L88" i="20"/>
  <c r="M88" i="20" s="1"/>
  <c r="Q88" i="20" s="1"/>
  <c r="L17" i="20"/>
  <c r="M17" i="20" s="1"/>
  <c r="H9" i="30"/>
  <c r="Q16" i="20"/>
  <c r="X21" i="38"/>
  <c r="S86" i="20"/>
  <c r="S27" i="38"/>
  <c r="S41" i="20"/>
  <c r="S15" i="38"/>
  <c r="S16" i="20"/>
  <c r="P15" i="41"/>
  <c r="O17" i="41"/>
  <c r="W71" i="20"/>
  <c r="N22" i="18"/>
  <c r="AD16" i="18"/>
  <c r="F24" i="18"/>
  <c r="N24" i="18"/>
  <c r="N26" i="18"/>
  <c r="N18" i="18"/>
  <c r="AD18" i="18" s="1"/>
  <c r="M24" i="20" l="1"/>
  <c r="Q24" i="20" s="1"/>
  <c r="Q18" i="20"/>
  <c r="W18" i="20"/>
  <c r="I9" i="30"/>
  <c r="Q17" i="20"/>
  <c r="W17" i="20"/>
  <c r="N46" i="41"/>
  <c r="N27" i="41" s="1"/>
  <c r="X23" i="38"/>
  <c r="S88" i="20"/>
  <c r="S17" i="38"/>
  <c r="S18" i="20"/>
  <c r="N45" i="41"/>
  <c r="X16" i="38"/>
  <c r="S58" i="20"/>
  <c r="H10" i="30"/>
  <c r="J10" i="30" s="1"/>
  <c r="L10" i="30" s="1"/>
  <c r="M10" i="30" s="1"/>
  <c r="H16" i="30"/>
  <c r="J16" i="30" s="1"/>
  <c r="L16" i="30" s="1"/>
  <c r="M16" i="30" s="1"/>
  <c r="H12" i="30"/>
  <c r="J12" i="30" s="1"/>
  <c r="L12" i="30" s="1"/>
  <c r="M12" i="30" s="1"/>
  <c r="H17" i="30"/>
  <c r="H11" i="30"/>
  <c r="J11" i="30" s="1"/>
  <c r="L11" i="30" s="1"/>
  <c r="M11" i="30" s="1"/>
  <c r="H15" i="30"/>
  <c r="J15" i="30" s="1"/>
  <c r="L15" i="30" s="1"/>
  <c r="M15" i="30" s="1"/>
  <c r="H14" i="30"/>
  <c r="J14" i="30" s="1"/>
  <c r="L14" i="30" s="1"/>
  <c r="M14" i="30" s="1"/>
  <c r="H13" i="30"/>
  <c r="J13" i="30" s="1"/>
  <c r="L13" i="30" s="1"/>
  <c r="M13" i="30" s="1"/>
  <c r="W42" i="20"/>
  <c r="X22" i="38"/>
  <c r="S87" i="20"/>
  <c r="S22" i="38"/>
  <c r="S24" i="20"/>
  <c r="S16" i="38"/>
  <c r="S17" i="20"/>
  <c r="M72" i="20"/>
  <c r="Q72" i="20" s="1"/>
  <c r="W23" i="20"/>
  <c r="W88" i="20"/>
  <c r="S28" i="38"/>
  <c r="S42" i="20"/>
  <c r="H24" i="18"/>
  <c r="N32" i="18"/>
  <c r="AD32" i="18" s="1"/>
  <c r="N20" i="18"/>
  <c r="F20" i="18"/>
  <c r="F22" i="18"/>
  <c r="F32" i="18"/>
  <c r="AD22" i="18"/>
  <c r="F18" i="18"/>
  <c r="AD26" i="18"/>
  <c r="E34" i="18"/>
  <c r="I34" i="18" s="1"/>
  <c r="F26" i="18"/>
  <c r="W72" i="20" l="1"/>
  <c r="W24" i="20"/>
  <c r="H19" i="30"/>
  <c r="H20" i="30"/>
  <c r="H24" i="30"/>
  <c r="H22" i="30"/>
  <c r="J22" i="30" s="1"/>
  <c r="L22" i="30" s="1"/>
  <c r="M22" i="30" s="1"/>
  <c r="H23" i="30"/>
  <c r="H18" i="30"/>
  <c r="J17" i="30"/>
  <c r="L17" i="30" s="1"/>
  <c r="M17" i="30" s="1"/>
  <c r="H21" i="30"/>
  <c r="P28" i="18"/>
  <c r="I22" i="30"/>
  <c r="I21" i="30"/>
  <c r="I18" i="30"/>
  <c r="I23" i="30"/>
  <c r="I20" i="30"/>
  <c r="I24" i="30"/>
  <c r="I19" i="30"/>
  <c r="H26" i="18"/>
  <c r="T11" i="49" s="1"/>
  <c r="H22" i="18"/>
  <c r="J22" i="18" s="1"/>
  <c r="J24" i="18" s="1"/>
  <c r="H32" i="18"/>
  <c r="H20" i="18"/>
  <c r="H18" i="18"/>
  <c r="J18" i="18" s="1"/>
  <c r="F34" i="18"/>
  <c r="J30" i="18"/>
  <c r="N30" i="18"/>
  <c r="J18" i="30" l="1"/>
  <c r="L18" i="30" s="1"/>
  <c r="M18" i="30" s="1"/>
  <c r="J21" i="30"/>
  <c r="L21" i="30" s="1"/>
  <c r="M21" i="30" s="1"/>
  <c r="J24" i="30"/>
  <c r="L24" i="30" s="1"/>
  <c r="M24" i="30" s="1"/>
  <c r="J23" i="30"/>
  <c r="L23" i="30" s="1"/>
  <c r="M23" i="30" s="1"/>
  <c r="J20" i="30"/>
  <c r="L20" i="30" s="1"/>
  <c r="M20" i="30" s="1"/>
  <c r="P27" i="41"/>
  <c r="O27" i="41"/>
  <c r="J19" i="30"/>
  <c r="L19" i="30" s="1"/>
  <c r="M19" i="30" s="1"/>
  <c r="J32" i="18"/>
  <c r="J26" i="18"/>
  <c r="X11" i="49"/>
  <c r="X16" i="49" s="1"/>
  <c r="AB20" i="18"/>
  <c r="H34" i="18"/>
  <c r="R22" i="18"/>
  <c r="AE22" i="18"/>
  <c r="AB22" i="18"/>
  <c r="S22" i="18"/>
  <c r="J20" i="18"/>
  <c r="R16" i="18"/>
  <c r="AB30" i="18"/>
  <c r="AD30" i="18"/>
  <c r="U33" i="38" l="1"/>
  <c r="F26" i="46"/>
  <c r="R20" i="18"/>
  <c r="AB16" i="18"/>
  <c r="S16" i="18"/>
  <c r="S21" i="41"/>
  <c r="AB24" i="18"/>
  <c r="R24" i="18"/>
  <c r="S28" i="18"/>
  <c r="R28" i="18"/>
  <c r="AE28" i="18"/>
  <c r="AB28" i="18"/>
  <c r="R18" i="18"/>
  <c r="S18" i="18"/>
  <c r="AB18" i="18"/>
  <c r="AE18" i="18"/>
  <c r="AE16" i="18"/>
  <c r="R26" i="18"/>
  <c r="S26" i="18"/>
  <c r="AB26" i="18"/>
  <c r="AE26" i="18"/>
  <c r="R30" i="18"/>
  <c r="AE30" i="18"/>
  <c r="S30" i="18"/>
  <c r="N31" i="41" l="1"/>
  <c r="P31" i="41" s="1"/>
  <c r="P32" i="18"/>
  <c r="S32" i="18" s="1"/>
  <c r="S27" i="41"/>
  <c r="S15" i="41"/>
  <c r="S17" i="41"/>
  <c r="S25" i="41"/>
  <c r="S29" i="41"/>
  <c r="S31" i="41" l="1"/>
  <c r="AB32" i="18"/>
  <c r="R32" i="18"/>
  <c r="AE32" i="18"/>
  <c r="P34" i="18"/>
  <c r="O31" i="41"/>
  <c r="W31" i="41"/>
  <c r="N33" i="41"/>
  <c r="N36" i="41" s="1"/>
  <c r="S34" i="18" l="1"/>
  <c r="AE34" i="18"/>
  <c r="R34" i="18"/>
  <c r="S33" i="41"/>
  <c r="O33" i="41"/>
  <c r="P33"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I14" authorId="0" shapeId="0" xr:uid="{00000000-0006-0000-0000-000001000000}">
      <text>
        <r>
          <rPr>
            <b/>
            <sz val="8"/>
            <color indexed="81"/>
            <rFont val="Tahoma"/>
            <family val="2"/>
          </rPr>
          <t>Joe Miller:</t>
        </r>
        <r>
          <rPr>
            <sz val="8"/>
            <color indexed="81"/>
            <rFont val="Tahoma"/>
            <family val="2"/>
          </rPr>
          <t xml:space="preserve">
Includes Unbilled</t>
        </r>
      </text>
    </comment>
    <comment ref="J14" authorId="0" shapeId="0" xr:uid="{7A3BCD58-6391-4117-B302-DFDC1DF44A4B}">
      <text>
        <r>
          <rPr>
            <b/>
            <sz val="8"/>
            <color indexed="81"/>
            <rFont val="Tahoma"/>
            <family val="2"/>
          </rPr>
          <t>Joe Miller:</t>
        </r>
        <r>
          <rPr>
            <sz val="8"/>
            <color indexed="81"/>
            <rFont val="Tahoma"/>
            <family val="2"/>
          </rPr>
          <t xml:space="preserve">
Includes Unbilled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KZX5DR</author>
  </authors>
  <commentList>
    <comment ref="D13" authorId="0" shapeId="0" xr:uid="{00000000-0006-0000-0100-000001000000}">
      <text>
        <r>
          <rPr>
            <sz val="11"/>
            <color indexed="81"/>
            <rFont val="Tahoma"/>
            <family val="2"/>
          </rPr>
          <t>include Sch 59 (BPA Res Ex) here but not in other schedules.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Miller, Joe</author>
    <author>KZX5DR</author>
  </authors>
  <commentList>
    <comment ref="E13" authorId="0" shapeId="0" xr:uid="{8F55D637-EF81-4922-B7CE-CDB1C6789A1C}">
      <text>
        <r>
          <rPr>
            <b/>
            <sz val="9"/>
            <color indexed="81"/>
            <rFont val="Tahoma"/>
            <family val="2"/>
          </rPr>
          <t>Miller, Joe:</t>
        </r>
        <r>
          <rPr>
            <sz val="9"/>
            <color indexed="81"/>
            <rFont val="Tahoma"/>
            <family val="2"/>
          </rPr>
          <t xml:space="preserve">
spread on allocated rate base</t>
        </r>
      </text>
    </comment>
    <comment ref="K15" authorId="1" shapeId="0" xr:uid="{00000000-0006-0000-0200-000001000000}">
      <text>
        <r>
          <rPr>
            <sz val="8"/>
            <color indexed="81"/>
            <rFont val="Tahoma"/>
            <family val="2"/>
          </rPr>
          <t>Change the cell range named Bill1Base2 to '2'.
Copy the values from col. D to this column.
Change the cell range named Bill1Base2 back to '1'.
Add impact of BPA ResEx for Schs 12, 22, 32 below since Sch 59 rates are not included in Rate Design tab.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A87" authorId="0" shapeId="0" xr:uid="{00000000-0006-0000-0300-000002000000}">
      <text>
        <r>
          <rPr>
            <b/>
            <sz val="9"/>
            <color indexed="81"/>
            <rFont val="Tahoma"/>
            <family val="2"/>
          </rPr>
          <t>Joe Miller:</t>
        </r>
        <r>
          <rPr>
            <sz val="9"/>
            <color indexed="81"/>
            <rFont val="Tahoma"/>
            <family val="2"/>
          </rPr>
          <t xml:space="preserve">
Not more than 3,000 kWh in this block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Joe Miller</author>
  </authors>
  <commentList>
    <comment ref="D9" authorId="0" shapeId="0" xr:uid="{00000000-0006-0000-0700-000001000000}">
      <text>
        <r>
          <rPr>
            <b/>
            <sz val="9"/>
            <color indexed="81"/>
            <rFont val="Tahoma"/>
            <family val="2"/>
          </rPr>
          <t>Joe Miller:</t>
        </r>
        <r>
          <rPr>
            <sz val="9"/>
            <color indexed="81"/>
            <rFont val="Tahoma"/>
            <family val="2"/>
          </rPr>
          <t xml:space="preserve">
Forecasted Billing Determinants</t>
        </r>
      </text>
    </comment>
    <comment ref="D18" authorId="0" shapeId="0" xr:uid="{00000000-0006-0000-0700-000003000000}">
      <text>
        <r>
          <rPr>
            <b/>
            <sz val="9"/>
            <color indexed="81"/>
            <rFont val="Tahoma"/>
            <family val="2"/>
          </rPr>
          <t>Joe Miller:</t>
        </r>
        <r>
          <rPr>
            <sz val="9"/>
            <color indexed="81"/>
            <rFont val="Tahoma"/>
            <family val="2"/>
          </rPr>
          <t xml:space="preserve">
First two blocks only</t>
        </r>
      </text>
    </comment>
    <comment ref="D20" authorId="0" shapeId="0" xr:uid="{F92D4892-1E6E-4E1D-93CF-A0CC20E638DE}">
      <text>
        <r>
          <rPr>
            <b/>
            <sz val="9"/>
            <color indexed="81"/>
            <rFont val="Tahoma"/>
            <family val="2"/>
          </rPr>
          <t>Joe Miller:</t>
        </r>
        <r>
          <rPr>
            <sz val="9"/>
            <color indexed="81"/>
            <rFont val="Tahoma"/>
            <family val="2"/>
          </rPr>
          <t xml:space="preserve">
First two blocks only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Joe Miller</author>
    <author>Miller, Joe</author>
  </authors>
  <commentList>
    <comment ref="I40" authorId="0" shapeId="0" xr:uid="{D758EAAB-479B-4DE8-A4A8-EE07542CE63A}">
      <text>
        <r>
          <rPr>
            <b/>
            <sz val="9"/>
            <color indexed="81"/>
            <rFont val="Tahoma"/>
            <family val="2"/>
          </rPr>
          <t>tlk:</t>
        </r>
        <r>
          <rPr>
            <sz val="9"/>
            <color indexed="81"/>
            <rFont val="Tahoma"/>
            <family val="2"/>
          </rPr>
          <t xml:space="preserve">
7/8/16 corrected bill</t>
        </r>
      </text>
    </comment>
    <comment ref="F50" authorId="0" shapeId="0" xr:uid="{00000000-0006-0000-0900-000002000000}">
      <text>
        <r>
          <rPr>
            <b/>
            <sz val="9"/>
            <color indexed="81"/>
            <rFont val="Tahoma"/>
            <family val="2"/>
          </rPr>
          <t>tlk:</t>
        </r>
        <r>
          <rPr>
            <sz val="9"/>
            <color indexed="81"/>
            <rFont val="Tahoma"/>
            <family val="2"/>
          </rPr>
          <t xml:space="preserve">
10/2 billing value only</t>
        </r>
      </text>
    </comment>
    <comment ref="D163" authorId="1" shapeId="0" xr:uid="{00000000-0006-0000-0900-000003000000}">
      <text>
        <r>
          <rPr>
            <b/>
            <sz val="9"/>
            <color indexed="81"/>
            <rFont val="Tahoma"/>
            <family val="2"/>
          </rPr>
          <t>Joe Miller:</t>
        </r>
        <r>
          <rPr>
            <sz val="9"/>
            <color indexed="81"/>
            <rFont val="Tahoma"/>
            <family val="2"/>
          </rPr>
          <t xml:space="preserve">
no PVD
</t>
        </r>
      </text>
    </comment>
    <comment ref="D164" authorId="1" shapeId="0" xr:uid="{00000000-0006-0000-0900-000004000000}">
      <text>
        <r>
          <rPr>
            <b/>
            <sz val="9"/>
            <color indexed="81"/>
            <rFont val="Tahoma"/>
            <family val="2"/>
          </rPr>
          <t>Joe Miller:</t>
        </r>
        <r>
          <rPr>
            <sz val="9"/>
            <color indexed="81"/>
            <rFont val="Tahoma"/>
            <family val="2"/>
          </rPr>
          <t xml:space="preserve">
no PVD
</t>
        </r>
      </text>
    </comment>
    <comment ref="D165" authorId="2" shapeId="0" xr:uid="{D4550448-C837-4475-AA23-8579BFB1B580}">
      <text>
        <r>
          <rPr>
            <b/>
            <sz val="9"/>
            <color indexed="81"/>
            <rFont val="Tahoma"/>
            <family val="2"/>
          </rPr>
          <t>Miller, Joe:</t>
        </r>
        <r>
          <rPr>
            <sz val="9"/>
            <color indexed="81"/>
            <rFont val="Tahoma"/>
            <family val="2"/>
          </rPr>
          <t xml:space="preserve">
No PVD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KZX5DR</author>
    <author>Joe Miller</author>
  </authors>
  <commentList>
    <comment ref="J9" authorId="0" shapeId="0" xr:uid="{00000000-0006-0000-0A00-000001000000}">
      <text>
        <r>
          <rPr>
            <sz val="11"/>
            <color indexed="81"/>
            <rFont val="Tahoma"/>
            <family val="2"/>
          </rPr>
          <t>Switch to Billing view and copy values from Base Rates column.</t>
        </r>
      </text>
    </comment>
    <comment ref="L9" authorId="1" shapeId="0" xr:uid="{00000000-0006-0000-0A00-000002000000}">
      <text>
        <r>
          <rPr>
            <sz val="8"/>
            <color indexed="81"/>
            <rFont val="Tahoma"/>
            <family val="2"/>
          </rPr>
          <t xml:space="preserve">from ROR tab, street/area light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Joe Miller</author>
    <author>Miller, Joe</author>
  </authors>
  <commentList>
    <comment ref="BE1" authorId="0" shapeId="0" xr:uid="{00000000-0006-0000-0B00-000001000000}">
      <text>
        <r>
          <rPr>
            <b/>
            <sz val="9"/>
            <color indexed="81"/>
            <rFont val="Tahoma"/>
            <family val="2"/>
          </rPr>
          <t>Joe Miller:</t>
        </r>
        <r>
          <rPr>
            <sz val="9"/>
            <color indexed="81"/>
            <rFont val="Tahoma"/>
            <family val="2"/>
          </rPr>
          <t xml:space="preserve">
Sch 74 and 98</t>
        </r>
      </text>
    </comment>
    <comment ref="BE2" authorId="0" shapeId="0" xr:uid="{00000000-0006-0000-0B00-000002000000}">
      <text>
        <r>
          <rPr>
            <b/>
            <sz val="9"/>
            <color indexed="81"/>
            <rFont val="Tahoma"/>
            <family val="2"/>
          </rPr>
          <t>Joe Miller:</t>
        </r>
        <r>
          <rPr>
            <sz val="9"/>
            <color indexed="81"/>
            <rFont val="Tahoma"/>
            <family val="2"/>
          </rPr>
          <t xml:space="preserve">
Sch 91</t>
        </r>
      </text>
    </comment>
    <comment ref="AL36" authorId="1" shapeId="0" xr:uid="{00000000-0006-0000-0B00-000004000000}">
      <text>
        <r>
          <rPr>
            <b/>
            <sz val="9"/>
            <color indexed="81"/>
            <rFont val="Tahoma"/>
            <family val="2"/>
          </rPr>
          <t>Miller, Joe:</t>
        </r>
        <r>
          <rPr>
            <sz val="9"/>
            <color indexed="81"/>
            <rFont val="Tahoma"/>
            <family val="2"/>
          </rPr>
          <t xml:space="preserve">
not on tariff sheet (TIB) rate</t>
        </r>
      </text>
    </comment>
    <comment ref="D39" authorId="0" shapeId="0" xr:uid="{00000000-0006-0000-0B00-00000A000000}">
      <text>
        <r>
          <rPr>
            <b/>
            <sz val="8"/>
            <color indexed="81"/>
            <rFont val="Tahoma"/>
            <family val="2"/>
          </rPr>
          <t>Joe Miller:</t>
        </r>
        <r>
          <rPr>
            <sz val="8"/>
            <color indexed="81"/>
            <rFont val="Tahoma"/>
            <family val="2"/>
          </rPr>
          <t xml:space="preserve">
Coded as 474C on shortcuts.  Capital only portion of lights</t>
        </r>
      </text>
    </comment>
    <comment ref="AL39" authorId="1" shapeId="0" xr:uid="{00000000-0006-0000-0B00-000005000000}">
      <text>
        <r>
          <rPr>
            <b/>
            <sz val="9"/>
            <color indexed="81"/>
            <rFont val="Tahoma"/>
            <family val="2"/>
          </rPr>
          <t>Miller, Joe:</t>
        </r>
        <r>
          <rPr>
            <sz val="9"/>
            <color indexed="81"/>
            <rFont val="Tahoma"/>
            <family val="2"/>
          </rPr>
          <t xml:space="preserve">
not on tariff sheet</t>
        </r>
      </text>
    </comment>
    <comment ref="AL44" authorId="1" shapeId="0" xr:uid="{00000000-0006-0000-0B00-000006000000}">
      <text>
        <r>
          <rPr>
            <b/>
            <sz val="9"/>
            <color indexed="81"/>
            <rFont val="Tahoma"/>
            <family val="2"/>
          </rPr>
          <t>Miller, Joe:</t>
        </r>
        <r>
          <rPr>
            <sz val="9"/>
            <color indexed="81"/>
            <rFont val="Tahoma"/>
            <family val="2"/>
          </rPr>
          <t xml:space="preserve">
not on tariff sheet</t>
        </r>
      </text>
    </comment>
    <comment ref="AL47" authorId="1" shapeId="0" xr:uid="{00000000-0006-0000-0B00-000007000000}">
      <text>
        <r>
          <rPr>
            <b/>
            <sz val="9"/>
            <color indexed="81"/>
            <rFont val="Tahoma"/>
            <family val="2"/>
          </rPr>
          <t>Miller, Joe:</t>
        </r>
        <r>
          <rPr>
            <sz val="9"/>
            <color indexed="81"/>
            <rFont val="Tahoma"/>
            <family val="2"/>
          </rPr>
          <t xml:space="preserve">
not on tariff sheet</t>
        </r>
      </text>
    </comment>
    <comment ref="AL50" authorId="1" shapeId="0" xr:uid="{00000000-0006-0000-0B00-000008000000}">
      <text>
        <r>
          <rPr>
            <b/>
            <sz val="9"/>
            <color indexed="81"/>
            <rFont val="Tahoma"/>
            <family val="2"/>
          </rPr>
          <t>Miller, Joe:</t>
        </r>
        <r>
          <rPr>
            <sz val="9"/>
            <color indexed="81"/>
            <rFont val="Tahoma"/>
            <family val="2"/>
          </rPr>
          <t xml:space="preserve">
not on tariff sheet</t>
        </r>
      </text>
    </comment>
    <comment ref="AL60" authorId="1" shapeId="0" xr:uid="{00000000-0006-0000-0B00-00000B000000}">
      <text>
        <r>
          <rPr>
            <b/>
            <sz val="9"/>
            <color indexed="81"/>
            <rFont val="Tahoma"/>
            <family val="2"/>
          </rPr>
          <t>Miller, Joe:</t>
        </r>
        <r>
          <rPr>
            <sz val="9"/>
            <color indexed="81"/>
            <rFont val="Tahoma"/>
            <family val="2"/>
          </rPr>
          <t xml:space="preserve">
not on tariff sheet</t>
        </r>
      </text>
    </comment>
    <comment ref="AL63" authorId="1" shapeId="0" xr:uid="{00000000-0006-0000-0B00-00000C000000}">
      <text>
        <r>
          <rPr>
            <b/>
            <sz val="9"/>
            <color indexed="81"/>
            <rFont val="Tahoma"/>
            <family val="2"/>
          </rPr>
          <t>Miller, Joe:</t>
        </r>
        <r>
          <rPr>
            <sz val="9"/>
            <color indexed="81"/>
            <rFont val="Tahoma"/>
            <family val="2"/>
          </rPr>
          <t xml:space="preserve">
not on tariff sheet</t>
        </r>
      </text>
    </comment>
    <comment ref="AL66" authorId="1" shapeId="0" xr:uid="{00000000-0006-0000-0B00-00000D000000}">
      <text>
        <r>
          <rPr>
            <b/>
            <sz val="9"/>
            <color indexed="81"/>
            <rFont val="Tahoma"/>
            <family val="2"/>
          </rPr>
          <t>Miller, Joe:</t>
        </r>
        <r>
          <rPr>
            <sz val="9"/>
            <color indexed="81"/>
            <rFont val="Tahoma"/>
            <family val="2"/>
          </rPr>
          <t xml:space="preserve">
not on tariff sheet</t>
        </r>
      </text>
    </comment>
    <comment ref="AL69" authorId="1" shapeId="0" xr:uid="{00000000-0006-0000-0B00-00000E000000}">
      <text>
        <r>
          <rPr>
            <b/>
            <sz val="9"/>
            <color indexed="81"/>
            <rFont val="Tahoma"/>
            <family val="2"/>
          </rPr>
          <t>Miller, Joe:</t>
        </r>
        <r>
          <rPr>
            <sz val="9"/>
            <color indexed="81"/>
            <rFont val="Tahoma"/>
            <family val="2"/>
          </rPr>
          <t xml:space="preserve">
not on tariff sheet</t>
        </r>
      </text>
    </comment>
    <comment ref="AL73" authorId="1" shapeId="0" xr:uid="{00000000-0006-0000-0B00-00000F000000}">
      <text>
        <r>
          <rPr>
            <b/>
            <sz val="9"/>
            <color indexed="81"/>
            <rFont val="Tahoma"/>
            <family val="2"/>
          </rPr>
          <t>Miller, Joe:</t>
        </r>
        <r>
          <rPr>
            <sz val="9"/>
            <color indexed="81"/>
            <rFont val="Tahoma"/>
            <family val="2"/>
          </rPr>
          <t xml:space="preserve">
not on tariff sheet</t>
        </r>
      </text>
    </comment>
    <comment ref="I74" authorId="0" shapeId="0" xr:uid="{00000000-0006-0000-0B00-000010000000}">
      <text>
        <r>
          <rPr>
            <b/>
            <sz val="9"/>
            <color indexed="81"/>
            <rFont val="Tahoma"/>
            <family val="2"/>
          </rPr>
          <t>Joe Miller:</t>
        </r>
        <r>
          <rPr>
            <sz val="9"/>
            <color indexed="81"/>
            <rFont val="Tahoma"/>
            <family val="2"/>
          </rPr>
          <t xml:space="preserve">
Add to tariff sheet</t>
        </r>
      </text>
    </comment>
    <comment ref="AL74" authorId="1" shapeId="0" xr:uid="{00000000-0006-0000-0B00-000011000000}">
      <text>
        <r>
          <rPr>
            <b/>
            <sz val="9"/>
            <color indexed="81"/>
            <rFont val="Tahoma"/>
            <family val="2"/>
          </rPr>
          <t>Miller, Joe:</t>
        </r>
        <r>
          <rPr>
            <sz val="9"/>
            <color indexed="81"/>
            <rFont val="Tahoma"/>
            <family val="2"/>
          </rPr>
          <t xml:space="preserve">
not on tariff sheet</t>
        </r>
      </text>
    </comment>
    <comment ref="AL85" authorId="1" shapeId="0" xr:uid="{00000000-0006-0000-0B00-000012000000}">
      <text>
        <r>
          <rPr>
            <b/>
            <sz val="9"/>
            <color indexed="81"/>
            <rFont val="Tahoma"/>
            <family val="2"/>
          </rPr>
          <t>Miller, Joe:</t>
        </r>
        <r>
          <rPr>
            <sz val="9"/>
            <color indexed="81"/>
            <rFont val="Tahoma"/>
            <family val="2"/>
          </rPr>
          <t xml:space="preserve">
not on tariff sheet</t>
        </r>
      </text>
    </comment>
    <comment ref="AL88" authorId="1" shapeId="0" xr:uid="{00000000-0006-0000-0B00-000013000000}">
      <text>
        <r>
          <rPr>
            <b/>
            <sz val="9"/>
            <color indexed="81"/>
            <rFont val="Tahoma"/>
            <family val="2"/>
          </rPr>
          <t>Miller, Joe:</t>
        </r>
        <r>
          <rPr>
            <sz val="9"/>
            <color indexed="81"/>
            <rFont val="Tahoma"/>
            <family val="2"/>
          </rPr>
          <t xml:space="preserve">
not on tariff sheet</t>
        </r>
      </text>
    </comment>
    <comment ref="AL90" authorId="1" shapeId="0" xr:uid="{00000000-0006-0000-0B00-000014000000}">
      <text>
        <r>
          <rPr>
            <b/>
            <sz val="9"/>
            <color indexed="81"/>
            <rFont val="Tahoma"/>
            <family val="2"/>
          </rPr>
          <t>Miller, Joe:</t>
        </r>
        <r>
          <rPr>
            <sz val="9"/>
            <color indexed="81"/>
            <rFont val="Tahoma"/>
            <family val="2"/>
          </rPr>
          <t xml:space="preserve">
not on tariff sheet</t>
        </r>
      </text>
    </comment>
    <comment ref="I94" authorId="0" shapeId="0" xr:uid="{00000000-0006-0000-0B00-000015000000}">
      <text>
        <r>
          <rPr>
            <b/>
            <sz val="9"/>
            <color indexed="81"/>
            <rFont val="Tahoma"/>
            <family val="2"/>
          </rPr>
          <t>Joe Miller:</t>
        </r>
        <r>
          <rPr>
            <sz val="9"/>
            <color indexed="81"/>
            <rFont val="Tahoma"/>
            <family val="2"/>
          </rPr>
          <t xml:space="preserve">
State funded program where small communities received grants to convert lights to LED's.  </t>
        </r>
      </text>
    </comment>
    <comment ref="I98" authorId="1" shapeId="0" xr:uid="{00000000-0006-0000-0B00-000016000000}">
      <text>
        <r>
          <rPr>
            <b/>
            <sz val="9"/>
            <color indexed="81"/>
            <rFont val="Tahoma"/>
            <family val="2"/>
          </rPr>
          <t>Miller, Joe:</t>
        </r>
        <r>
          <rPr>
            <sz val="9"/>
            <color indexed="81"/>
            <rFont val="Tahoma"/>
            <family val="2"/>
          </rPr>
          <t xml:space="preserve">
These are TIB funded rates that pay the LED rate less the TIB Capital Offset</t>
        </r>
      </text>
    </comment>
    <comment ref="X99" authorId="1" shapeId="0" xr:uid="{00000000-0006-0000-0B00-000017000000}">
      <text>
        <r>
          <rPr>
            <b/>
            <sz val="9"/>
            <color indexed="81"/>
            <rFont val="Tahoma"/>
            <family val="2"/>
          </rPr>
          <t>Miller, Joe:</t>
        </r>
        <r>
          <rPr>
            <sz val="9"/>
            <color indexed="81"/>
            <rFont val="Tahoma"/>
            <family val="2"/>
          </rPr>
          <t xml:space="preserve">
These are TIB funded rates that pay the LED rate less the TIB Capital Offset</t>
        </r>
      </text>
    </comment>
    <comment ref="L110" authorId="0" shapeId="0" xr:uid="{00000000-0006-0000-0B00-000018000000}">
      <text>
        <r>
          <rPr>
            <b/>
            <sz val="8"/>
            <color indexed="81"/>
            <rFont val="Tahoma"/>
            <family val="2"/>
          </rPr>
          <t>Joe Miller:</t>
        </r>
        <r>
          <rPr>
            <sz val="8"/>
            <color indexed="81"/>
            <rFont val="Tahoma"/>
            <family val="2"/>
          </rPr>
          <t xml:space="preserve">
Coded as 533C on Shortcuts</t>
        </r>
      </text>
    </comment>
    <comment ref="L124" authorId="0" shapeId="0" xr:uid="{00000000-0006-0000-0B00-000019000000}">
      <text>
        <r>
          <rPr>
            <b/>
            <sz val="8"/>
            <color indexed="81"/>
            <rFont val="Tahoma"/>
            <family val="2"/>
          </rPr>
          <t>Joe Miller:</t>
        </r>
        <r>
          <rPr>
            <sz val="8"/>
            <color indexed="81"/>
            <rFont val="Tahoma"/>
            <family val="2"/>
          </rPr>
          <t xml:space="preserve">
Coded as 474C on shortucts</t>
        </r>
      </text>
    </comment>
    <comment ref="I137" authorId="0" shapeId="0" xr:uid="{00000000-0006-0000-0B00-00001A000000}">
      <text>
        <r>
          <rPr>
            <b/>
            <sz val="9"/>
            <color indexed="81"/>
            <rFont val="Tahoma"/>
            <family val="2"/>
          </rPr>
          <t>Joe Miller:</t>
        </r>
        <r>
          <rPr>
            <sz val="9"/>
            <color indexed="81"/>
            <rFont val="Tahoma"/>
            <family val="2"/>
          </rPr>
          <t xml:space="preserve">
Add to tariff sheet</t>
        </r>
      </text>
    </comment>
    <comment ref="I148" authorId="0" shapeId="0" xr:uid="{00000000-0006-0000-0B00-000009000000}">
      <text>
        <r>
          <rPr>
            <b/>
            <sz val="9"/>
            <color indexed="81"/>
            <rFont val="Tahoma"/>
            <family val="2"/>
          </rPr>
          <t>Joe Miller:</t>
        </r>
        <r>
          <rPr>
            <sz val="9"/>
            <color indexed="81"/>
            <rFont val="Tahoma"/>
            <family val="2"/>
          </rPr>
          <t xml:space="preserve">
Hillyard street light project</t>
        </r>
      </text>
    </comment>
    <comment ref="BF150" authorId="0" shapeId="0" xr:uid="{00000000-0006-0000-0B00-000003000000}">
      <text>
        <r>
          <rPr>
            <b/>
            <sz val="9"/>
            <color indexed="81"/>
            <rFont val="Tahoma"/>
            <family val="2"/>
          </rPr>
          <t>Joe Miller:</t>
        </r>
        <r>
          <rPr>
            <sz val="9"/>
            <color indexed="81"/>
            <rFont val="Tahoma"/>
            <family val="2"/>
          </rPr>
          <t xml:space="preserve">
1 cent difference is because shortcuts independently calculate Sch 91 &amp; 92 and rate design adds them together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Joe Miller</author>
    <author>KZX5DR</author>
  </authors>
  <commentList>
    <comment ref="P27" authorId="0" shapeId="0" xr:uid="{00000000-0006-0000-0C00-000001000000}">
      <text>
        <r>
          <rPr>
            <b/>
            <sz val="8"/>
            <color indexed="81"/>
            <rFont val="Tahoma"/>
            <family val="2"/>
          </rPr>
          <t>Joe Miller:</t>
        </r>
        <r>
          <rPr>
            <sz val="8"/>
            <color indexed="81"/>
            <rFont val="Tahoma"/>
            <family val="2"/>
          </rPr>
          <t xml:space="preserve">
Half of MVA per Gayle Gonser (2 customers splitting cost of light)</t>
        </r>
      </text>
    </comment>
    <comment ref="Q50" authorId="1" shapeId="0" xr:uid="{00000000-0006-0000-0C00-000002000000}">
      <text>
        <r>
          <rPr>
            <sz val="11"/>
            <color indexed="81"/>
            <rFont val="Tahoma"/>
            <family val="2"/>
          </rPr>
          <t>Brian says to ignore these.  He was told it was a special temporary program.</t>
        </r>
      </text>
    </comment>
  </commentList>
</comments>
</file>

<file path=xl/sharedStrings.xml><?xml version="1.0" encoding="utf-8"?>
<sst xmlns="http://schemas.openxmlformats.org/spreadsheetml/2006/main" count="3380" uniqueCount="1058">
  <si>
    <t>WORK PAPER</t>
  </si>
  <si>
    <t xml:space="preserve"> </t>
  </si>
  <si>
    <t>RESIDENTIAL</t>
  </si>
  <si>
    <t xml:space="preserve">GENERAL SVC. </t>
  </si>
  <si>
    <t>LG. GEN. SVC.</t>
  </si>
  <si>
    <t>EX LG GEN SVC</t>
  </si>
  <si>
    <t>PUMPING</t>
  </si>
  <si>
    <t>ST &amp; AREA LTG</t>
  </si>
  <si>
    <t>REFERENCE</t>
  </si>
  <si>
    <t>TOTAL</t>
  </si>
  <si>
    <t>SCHEDULE 1</t>
  </si>
  <si>
    <t>SCH. 11,12</t>
  </si>
  <si>
    <t>SCH. 21,22</t>
  </si>
  <si>
    <t>SCHEDULE 25</t>
  </si>
  <si>
    <t>SCH. 30, 31, 32</t>
  </si>
  <si>
    <t>SCH. 41-48</t>
  </si>
  <si>
    <t>PRESENT BILL DETERMINANTS</t>
  </si>
  <si>
    <t>KILOWATT HOURS (KWHS)</t>
  </si>
  <si>
    <t>BLOCK 1</t>
  </si>
  <si>
    <t>BLOCK 2</t>
  </si>
  <si>
    <t>BLOCK 3</t>
  </si>
  <si>
    <t>BLOCK 4</t>
  </si>
  <si>
    <t>STREET &amp; AREA LIGHTS</t>
  </si>
  <si>
    <t>SUBTOTAL</t>
  </si>
  <si>
    <t>ADJUSTMENT TO ACTUAL</t>
  </si>
  <si>
    <t>TOTAL BEFORE ADJUSTMENT</t>
  </si>
  <si>
    <t>WEATHER &amp; UNBILLED ADJ. KWHS</t>
  </si>
  <si>
    <t>TOTAL PROFORMA KWHS</t>
  </si>
  <si>
    <t>TOTAL BILLS</t>
  </si>
  <si>
    <t>MINIMUM BILLS</t>
  </si>
  <si>
    <t>EXCESS DEMAND</t>
  </si>
  <si>
    <t>PROPOSED BILL DETERMINANTS</t>
  </si>
  <si>
    <t>PRESENT RATES</t>
  </si>
  <si>
    <t>BASIC CHARGE</t>
  </si>
  <si>
    <t>MONTHLY MINIMUM</t>
  </si>
  <si>
    <t>BLOCK 1 PER KWH</t>
  </si>
  <si>
    <t>BLOCK 2 PER KWH</t>
  </si>
  <si>
    <t>BLOCK 3 PER KWH</t>
  </si>
  <si>
    <t>BLOCK 4 PER KWH</t>
  </si>
  <si>
    <t>ADJUST TO ACTUAL PER KWH</t>
  </si>
  <si>
    <t>DEMAND BLOCK 1</t>
  </si>
  <si>
    <t>DEMAND BLOCK 2</t>
  </si>
  <si>
    <t>PROPOSED RATES</t>
  </si>
  <si>
    <t>PRESENT REVENUE</t>
  </si>
  <si>
    <t>ADJUST TO ACTUAL</t>
  </si>
  <si>
    <t>ADJUSTMENT REVENUE</t>
  </si>
  <si>
    <t>UNBILLED REVENUE ADJUSTMENT</t>
  </si>
  <si>
    <t>WEATHER NORMALIZATION ADJ</t>
  </si>
  <si>
    <t>TOTAL ADJUSTMENT REVENUE</t>
  </si>
  <si>
    <t>TOTAL PRESENT REVENUE</t>
  </si>
  <si>
    <t>PROPOSED REVENUE</t>
  </si>
  <si>
    <t>TOTAL PROPOSED REVENUE</t>
  </si>
  <si>
    <t>TOTAL REVENUE INCREASE</t>
  </si>
  <si>
    <t>PERCENT REVENUE INCREASE</t>
  </si>
  <si>
    <t>BASELOAD</t>
  </si>
  <si>
    <t>WTHR-SENS.</t>
  </si>
  <si>
    <t>RATES</t>
  </si>
  <si>
    <t>KWHS</t>
  </si>
  <si>
    <t>REVENUE</t>
  </si>
  <si>
    <t>PRESENT BASELOAD AND WEATHER-SENSITIVE RATES</t>
  </si>
  <si>
    <t>AVERAGE RATE</t>
  </si>
  <si>
    <t>PROPOSED BASELOAD AND WEATHER-SENSITIVE RATES</t>
  </si>
  <si>
    <t>SCHEDULE 11</t>
  </si>
  <si>
    <t>Schedule 11,12</t>
  </si>
  <si>
    <t>Schedule 21,22</t>
  </si>
  <si>
    <t>kva over 3,000</t>
  </si>
  <si>
    <t>Total</t>
  </si>
  <si>
    <t>Schedule 30, 31, &amp; 32</t>
  </si>
  <si>
    <t>Revenue Runs from this sheet</t>
  </si>
  <si>
    <t>actual Revenue Runs</t>
  </si>
  <si>
    <t>less:</t>
  </si>
  <si>
    <t>Diff</t>
  </si>
  <si>
    <t>Washington Schedule 25 Billing Determinants</t>
  </si>
  <si>
    <t>Annual</t>
  </si>
  <si>
    <t>Acct No.</t>
  </si>
  <si>
    <t>BF Goodrich</t>
  </si>
  <si>
    <t>Boise Cascade Plywood</t>
  </si>
  <si>
    <t>Boise Cascade Sawmill</t>
  </si>
  <si>
    <t>City of Spokane Sewage Treatment Plt</t>
  </si>
  <si>
    <t>Deaconess Medical Center</t>
  </si>
  <si>
    <t>Gonzaga University</t>
  </si>
  <si>
    <t>Honeywell Electronics</t>
  </si>
  <si>
    <t>JR Simplot</t>
  </si>
  <si>
    <t>McCaine Foods Inc</t>
  </si>
  <si>
    <t>Sacred Heart Medical Center</t>
  </si>
  <si>
    <t>Spokane County Courthouse</t>
  </si>
  <si>
    <t>Spokane Steel Foundry</t>
  </si>
  <si>
    <t>Triumph Composite / Boeing</t>
  </si>
  <si>
    <t>Vaagen Brothers Lumber</t>
  </si>
  <si>
    <t xml:space="preserve">WSU - MP-A South Campus Feeder </t>
  </si>
  <si>
    <t xml:space="preserve">WSU - MP-B East Campus EA </t>
  </si>
  <si>
    <t xml:space="preserve">WSU - MP-C East Campus EB </t>
  </si>
  <si>
    <t>WSU - MP -D Casp East (no PVD)</t>
  </si>
  <si>
    <t>WSU - MP-E Casp West (no PVD)</t>
  </si>
  <si>
    <t>Huntwood Industries</t>
  </si>
  <si>
    <t>Revenue Run Total</t>
  </si>
  <si>
    <t>*</t>
  </si>
  <si>
    <t>Primary Voltage Discount</t>
  </si>
  <si>
    <t>&gt;11 and &lt;60</t>
  </si>
  <si>
    <t>&gt;60 and &lt;115</t>
  </si>
  <si>
    <t>&gt;115</t>
  </si>
  <si>
    <t>AVISTA UTILITIES</t>
  </si>
  <si>
    <t>STREET &amp; AREA LIGHT REVENUE UNDER PRESENT &amp; PROPOSED RATES</t>
  </si>
  <si>
    <t>Present Rates</t>
  </si>
  <si>
    <t>Proposed Rates</t>
  </si>
  <si>
    <t xml:space="preserve">Monthly </t>
  </si>
  <si>
    <t>Revenue</t>
  </si>
  <si>
    <t>No Pole</t>
  </si>
  <si>
    <t>Wood Pole</t>
  </si>
  <si>
    <t>Pedestal Base</t>
  </si>
  <si>
    <t>Direct Burial</t>
  </si>
  <si>
    <t>Sodium Vapor</t>
  </si>
  <si>
    <t>Street Light Summary</t>
  </si>
  <si>
    <t>Number of Lights</t>
  </si>
  <si>
    <t>Monthly Revenue at Present Rates</t>
  </si>
  <si>
    <t>Fixture Type</t>
  </si>
  <si>
    <t>Pole Facility</t>
  </si>
  <si>
    <t>Size</t>
  </si>
  <si>
    <t>Sched</t>
  </si>
  <si>
    <t>041</t>
  </si>
  <si>
    <t>042</t>
  </si>
  <si>
    <t>044</t>
  </si>
  <si>
    <t>045</t>
  </si>
  <si>
    <t>046</t>
  </si>
  <si>
    <t>Single Mercury Vapor</t>
  </si>
  <si>
    <t>State</t>
  </si>
  <si>
    <t>Rate Sub</t>
  </si>
  <si>
    <t># of Lights</t>
  </si>
  <si>
    <t>Single High-Pressure Sodium Vapor</t>
  </si>
  <si>
    <t>50W</t>
  </si>
  <si>
    <t>High-Pressure Sodium Vapor</t>
  </si>
  <si>
    <t>Dusk to Dawn</t>
  </si>
  <si>
    <t>70W</t>
  </si>
  <si>
    <t>Mercury Vapor</t>
  </si>
  <si>
    <t>100W</t>
  </si>
  <si>
    <t>No Pole / Dusk to Dawn (046)</t>
  </si>
  <si>
    <t>Developer Contributed</t>
  </si>
  <si>
    <t>Decorative Sodium Vapor</t>
  </si>
  <si>
    <t>Kim Light 100W</t>
  </si>
  <si>
    <t>Double High-Pressure Sodium Vapor</t>
  </si>
  <si>
    <t>Granville 100W</t>
  </si>
  <si>
    <t>Post Top 100W</t>
  </si>
  <si>
    <t>200W</t>
  </si>
  <si>
    <t>250W</t>
  </si>
  <si>
    <t>Dusk to Dawn (046)</t>
  </si>
  <si>
    <t>310W</t>
  </si>
  <si>
    <t>Dusk to 1 AM</t>
  </si>
  <si>
    <t>400W</t>
  </si>
  <si>
    <t>Dust to Dawn (046)</t>
  </si>
  <si>
    <t>150W</t>
  </si>
  <si>
    <t>no customer count - taken out of exhibit to limit print range</t>
  </si>
  <si>
    <t>Dusk to 1 AM (046)</t>
  </si>
  <si>
    <t>Area Light Summary</t>
  </si>
  <si>
    <t>Monthly Rev.</t>
  </si>
  <si>
    <t>Pres. Rates</t>
  </si>
  <si>
    <t>at Pres. Rates</t>
  </si>
  <si>
    <t>047</t>
  </si>
  <si>
    <t>048</t>
  </si>
  <si>
    <t>Granville w/16' decorative pole</t>
  </si>
  <si>
    <t>HAG</t>
  </si>
  <si>
    <t>Floodlight on existing standard</t>
  </si>
  <si>
    <t>HAH</t>
  </si>
  <si>
    <t>Kim light w/25' fiberglass pole</t>
  </si>
  <si>
    <t>HAI</t>
  </si>
  <si>
    <t>WA</t>
  </si>
  <si>
    <t>Post Top w/16' decorative pole</t>
  </si>
  <si>
    <t>HAP</t>
  </si>
  <si>
    <t>HPA</t>
  </si>
  <si>
    <t>on existing standard</t>
  </si>
  <si>
    <t>HPB</t>
  </si>
  <si>
    <t>HPC</t>
  </si>
  <si>
    <t>HPD</t>
  </si>
  <si>
    <t>30' wood pole</t>
  </si>
  <si>
    <t>HPE</t>
  </si>
  <si>
    <t>HPG</t>
  </si>
  <si>
    <t>HPL</t>
  </si>
  <si>
    <t>HPS</t>
  </si>
  <si>
    <t>25' steel pole</t>
  </si>
  <si>
    <t>HPO</t>
  </si>
  <si>
    <t>HPY</t>
  </si>
  <si>
    <t>20' fiberglass pole</t>
  </si>
  <si>
    <t>MVA</t>
  </si>
  <si>
    <t>30' steel pole w/2 arms</t>
  </si>
  <si>
    <t>MVB</t>
  </si>
  <si>
    <t>MVC</t>
  </si>
  <si>
    <t>MVD</t>
  </si>
  <si>
    <t>MVE</t>
  </si>
  <si>
    <t>MVF</t>
  </si>
  <si>
    <t>MVH</t>
  </si>
  <si>
    <t>MVI</t>
  </si>
  <si>
    <t>25' steel</t>
  </si>
  <si>
    <t>MVG</t>
  </si>
  <si>
    <t>MVJ</t>
  </si>
  <si>
    <t>MVK</t>
  </si>
  <si>
    <t>MVL</t>
  </si>
  <si>
    <t>30' steel</t>
  </si>
  <si>
    <t>MVO</t>
  </si>
  <si>
    <t>PA</t>
  </si>
  <si>
    <t>25' aluminum</t>
  </si>
  <si>
    <t>MVM</t>
  </si>
  <si>
    <t>MVN</t>
  </si>
  <si>
    <t>none</t>
  </si>
  <si>
    <t>n/a</t>
  </si>
  <si>
    <t>55' wood pole</t>
  </si>
  <si>
    <t>PB</t>
  </si>
  <si>
    <t>SLB</t>
  </si>
  <si>
    <t>SLC</t>
  </si>
  <si>
    <t>SLD</t>
  </si>
  <si>
    <t>Monthly Revenue at Proposed Rates</t>
  </si>
  <si>
    <t>Prop. Rates</t>
  </si>
  <si>
    <t>at Prop. Rates</t>
  </si>
  <si>
    <t>POWER FACTOR ADJUSTMENT</t>
  </si>
  <si>
    <t>PRIMARY VOLTAGE DISCOUNT</t>
  </si>
  <si>
    <t>ANNUAL MINIMUM ADJUSTMENT</t>
  </si>
  <si>
    <t>STREET &amp; AREA LIGHT REVENUE</t>
  </si>
  <si>
    <t>WEATHER-SENSITIVE KWHS</t>
  </si>
  <si>
    <t>WEATHER-SENSITIVE RATE</t>
  </si>
  <si>
    <t>WEATHER-SENSITIVE REVENUE</t>
  </si>
  <si>
    <t>TOTAL UNBILLED KWH ADJUST</t>
  </si>
  <si>
    <t>TOTAL UNBILLED REVENUE ADJ</t>
  </si>
  <si>
    <t>Meters</t>
  </si>
  <si>
    <t>Usage</t>
  </si>
  <si>
    <t>Total Schs. 30,31&amp;32</t>
  </si>
  <si>
    <t>or</t>
  </si>
  <si>
    <t>1)</t>
  </si>
  <si>
    <t>2)</t>
  </si>
  <si>
    <t>Base Tariff Rates</t>
  </si>
  <si>
    <t>Billing Rates</t>
  </si>
  <si>
    <t>Print Header for all printed pages on this worksheet:</t>
  </si>
  <si>
    <t>Base Tariff</t>
  </si>
  <si>
    <t>Calculate all revenue exhibits using  ____ rates:</t>
  </si>
  <si>
    <t>Rates_Base_Present</t>
  </si>
  <si>
    <t>Range Name</t>
  </si>
  <si>
    <t>Rates_Billing_Present</t>
  </si>
  <si>
    <t>Rates_Billing_Proposed</t>
  </si>
  <si>
    <t>- range name where Present Rates table can be found</t>
  </si>
  <si>
    <t>- range name where Proposed Rates table can be found</t>
  </si>
  <si>
    <t>Rates_Base_Proposed</t>
  </si>
  <si>
    <t>Proposed Revenue</t>
  </si>
  <si>
    <t>0-3650 KWHS</t>
  </si>
  <si>
    <t>over 3650 KWHS</t>
  </si>
  <si>
    <t>WEATHER &amp; U/B KWHS</t>
  </si>
  <si>
    <t>Basic Charge Revenue</t>
  </si>
  <si>
    <t>Revenue Remaining</t>
  </si>
  <si>
    <t>Demand Revenue</t>
  </si>
  <si>
    <t>Present Basic Charge</t>
  </si>
  <si>
    <t>Present Demand Block 1</t>
  </si>
  <si>
    <t>Present Demand Block 2</t>
  </si>
  <si>
    <t>Pwr Fctr/Prim Voltg Disc</t>
  </si>
  <si>
    <t>Proposed Rate Workup - from Pres &amp; Prop Rev tab</t>
  </si>
  <si>
    <t>Blocks 1-3 Revenue</t>
  </si>
  <si>
    <t>Adj. to Actual Revenue</t>
  </si>
  <si>
    <t>Weather &amp; U/B Revenue</t>
  </si>
  <si>
    <t>2) % Rate Increase</t>
  </si>
  <si>
    <t>1) Flat Rate Increase</t>
  </si>
  <si>
    <t>Method ---&gt;</t>
  </si>
  <si>
    <t>Calculated</t>
  </si>
  <si>
    <t>Input</t>
  </si>
  <si>
    <r>
      <t xml:space="preserve">% </t>
    </r>
    <r>
      <rPr>
        <sz val="10"/>
        <rFont val="Symbol"/>
        <family val="1"/>
        <charset val="2"/>
      </rPr>
      <t>D</t>
    </r>
    <r>
      <rPr>
        <sz val="10"/>
        <rFont val="Arial"/>
        <family val="2"/>
      </rPr>
      <t xml:space="preserve"> in Basic Charge</t>
    </r>
  </si>
  <si>
    <r>
      <t xml:space="preserve">% </t>
    </r>
    <r>
      <rPr>
        <sz val="10"/>
        <rFont val="Symbol"/>
        <family val="1"/>
        <charset val="2"/>
      </rPr>
      <t>D</t>
    </r>
    <r>
      <rPr>
        <sz val="10"/>
        <rFont val="Arial"/>
        <family val="2"/>
      </rPr>
      <t xml:space="preserve"> in Demand Block 1</t>
    </r>
  </si>
  <si>
    <r>
      <t xml:space="preserve">% </t>
    </r>
    <r>
      <rPr>
        <sz val="10"/>
        <rFont val="Symbol"/>
        <family val="1"/>
        <charset val="2"/>
      </rPr>
      <t>D</t>
    </r>
    <r>
      <rPr>
        <sz val="10"/>
        <rFont val="Arial"/>
        <family val="2"/>
      </rPr>
      <t xml:space="preserve"> in Demand Block 2</t>
    </r>
  </si>
  <si>
    <t>Formulas to copy</t>
  </si>
  <si>
    <t>FLOOR</t>
  </si>
  <si>
    <t>CEILING</t>
  </si>
  <si>
    <t>OTHER</t>
  </si>
  <si>
    <r>
      <t xml:space="preserve">Rate </t>
    </r>
    <r>
      <rPr>
        <u/>
        <sz val="10"/>
        <rFont val="Symbol"/>
        <family val="1"/>
        <charset val="2"/>
      </rPr>
      <t>D</t>
    </r>
    <r>
      <rPr>
        <u/>
        <sz val="10"/>
        <rFont val="Arial"/>
        <family val="2"/>
      </rPr>
      <t xml:space="preserve"> Check</t>
    </r>
  </si>
  <si>
    <t>Basic Charge</t>
  </si>
  <si>
    <t>Demand Charge</t>
  </si>
  <si>
    <t>Block Energy Charges</t>
  </si>
  <si>
    <t>Overall Revenue</t>
  </si>
  <si>
    <t>Avg. Usage</t>
  </si>
  <si>
    <t>Bill Compare:</t>
  </si>
  <si>
    <t>Pres</t>
  </si>
  <si>
    <t>Prop</t>
  </si>
  <si>
    <t>Revenue Remaining - ¢/kWh</t>
  </si>
  <si>
    <t>Rate</t>
  </si>
  <si>
    <t>Tiers - used for bill comparisons</t>
  </si>
  <si>
    <t>DEMAND CHARGE</t>
  </si>
  <si>
    <t>% Incr</t>
  </si>
  <si>
    <t>SCH. 25</t>
  </si>
  <si>
    <t>same as current</t>
  </si>
  <si>
    <t>diff than current</t>
  </si>
  <si>
    <t>Proposed rates:</t>
  </si>
  <si>
    <t>Base</t>
  </si>
  <si>
    <t>Present</t>
  </si>
  <si>
    <t>Tariff</t>
  </si>
  <si>
    <t>Proposed</t>
  </si>
  <si>
    <t>Type of</t>
  </si>
  <si>
    <t xml:space="preserve">Proposed </t>
  </si>
  <si>
    <t>No.</t>
  </si>
  <si>
    <t>Service</t>
  </si>
  <si>
    <t>Number</t>
  </si>
  <si>
    <t>Increase</t>
  </si>
  <si>
    <t>(a)</t>
  </si>
  <si>
    <t>(b)</t>
  </si>
  <si>
    <t>(c)</t>
  </si>
  <si>
    <t>(d)</t>
  </si>
  <si>
    <t>(e)</t>
  </si>
  <si>
    <t>(f)</t>
  </si>
  <si>
    <t>(g)</t>
  </si>
  <si>
    <t>Residential</t>
  </si>
  <si>
    <t>General Service</t>
  </si>
  <si>
    <t>Large General Service</t>
  </si>
  <si>
    <t>Pumping Service</t>
  </si>
  <si>
    <t>Street &amp; Area Lights</t>
  </si>
  <si>
    <t>Rounding</t>
  </si>
  <si>
    <t>there will be some remainder in Schs. 21 &amp; 25 because some components of their revenue don't change w/a rate change.</t>
  </si>
  <si>
    <t>PROPOSED INCREASE BY SERVICE SCHEDULE</t>
  </si>
  <si>
    <t>(000s of Dollars)</t>
  </si>
  <si>
    <t>Total Billed</t>
  </si>
  <si>
    <t xml:space="preserve">Percent </t>
  </si>
  <si>
    <t>Schedule</t>
  </si>
  <si>
    <t>Under Present</t>
  </si>
  <si>
    <t>General</t>
  </si>
  <si>
    <t>Under Proposed</t>
  </si>
  <si>
    <t>Percent</t>
  </si>
  <si>
    <t>at Present</t>
  </si>
  <si>
    <t>on Billed</t>
  </si>
  <si>
    <t>Rates(1)</t>
  </si>
  <si>
    <t>(h)</t>
  </si>
  <si>
    <t>(i)</t>
  </si>
  <si>
    <t>Extra Large General Service</t>
  </si>
  <si>
    <t>PRESENT AND PROPOSED RATE COMPONENTS BY SCHEDULE</t>
  </si>
  <si>
    <t xml:space="preserve">General </t>
  </si>
  <si>
    <t xml:space="preserve">Present </t>
  </si>
  <si>
    <t xml:space="preserve">Rate </t>
  </si>
  <si>
    <t xml:space="preserve">Billing </t>
  </si>
  <si>
    <t>Sch. Rate</t>
  </si>
  <si>
    <t>Other Adj.(1)</t>
  </si>
  <si>
    <t>Billing Rate</t>
  </si>
  <si>
    <t>Residential Service - Schedule 1</t>
  </si>
  <si>
    <t>Energy Charge:</t>
  </si>
  <si>
    <t>General Services - Schedule 11</t>
  </si>
  <si>
    <t>Demand Charge:</t>
  </si>
  <si>
    <t>no charge</t>
  </si>
  <si>
    <t>Large General Service - Schedule 21</t>
  </si>
  <si>
    <t>Extra Large General Service - Schedule 25</t>
  </si>
  <si>
    <t>Annual Minimum</t>
  </si>
  <si>
    <t>Pumping Service - Schedule 31</t>
  </si>
  <si>
    <t>Proposed Target</t>
  </si>
  <si>
    <t>Proposed Actual</t>
  </si>
  <si>
    <t>All additional kWhs</t>
  </si>
  <si>
    <t>Present Block 1 Base Rate</t>
  </si>
  <si>
    <t>Present Block 2 Base Rate</t>
  </si>
  <si>
    <t>Present Block 3 Base Rate</t>
  </si>
  <si>
    <t>Inland Empire Paper</t>
  </si>
  <si>
    <t>This worksheet uses Base &amp; Billing rates from 'Rate Design' tab.</t>
  </si>
  <si>
    <t>This worksheet pulls data from 'Pres &amp; Prop Rev' tab.</t>
  </si>
  <si>
    <t>Targeted Rate Increase</t>
  </si>
  <si>
    <t>Present:</t>
  </si>
  <si>
    <t>Proposed:</t>
  </si>
  <si>
    <t>check - &lt; $6k is rounding</t>
  </si>
  <si>
    <t>41-48</t>
  </si>
  <si>
    <t>Total adder</t>
  </si>
  <si>
    <t>Revised</t>
  </si>
  <si>
    <t>Billed</t>
  </si>
  <si>
    <t>Pres 93</t>
  </si>
  <si>
    <t>Primary Volt. Discount</t>
  </si>
  <si>
    <t>11 - 60 kv</t>
  </si>
  <si>
    <t>60 - 115 kv</t>
  </si>
  <si>
    <t>115 or higher kv</t>
  </si>
  <si>
    <t>Present Billing Rates</t>
  </si>
  <si>
    <t>ACTUAL / PRO FORMA BILLING DETERMINANTS BY RATE SCHEDULE</t>
  </si>
  <si>
    <t>BASE TARIFF</t>
  </si>
  <si>
    <t>BILLING</t>
  </si>
  <si>
    <t>Schedule 25 Total</t>
  </si>
  <si>
    <t>1st</t>
  </si>
  <si>
    <t>kwhs/mo</t>
  </si>
  <si>
    <t>Adj Revenue Runs, Sch 25</t>
  </si>
  <si>
    <t>Schs 41-48 St &amp; Area Lt</t>
  </si>
  <si>
    <t>from Present Rev tab</t>
  </si>
  <si>
    <t>this sheet + SAL</t>
  </si>
  <si>
    <t>Rev. Run customers</t>
  </si>
  <si>
    <t>not shown on this sheet</t>
  </si>
  <si>
    <t>rev. runs too high</t>
  </si>
  <si>
    <t>copy of Total above</t>
  </si>
  <si>
    <t>diff from curr Total above</t>
  </si>
  <si>
    <t>% diff</t>
  </si>
  <si>
    <t>New Billing Rates</t>
  </si>
  <si>
    <t>(j)</t>
  </si>
  <si>
    <t>Total Billings(2)</t>
  </si>
  <si>
    <t>Number of Lights(1)</t>
  </si>
  <si>
    <t># of Lights(1)</t>
  </si>
  <si>
    <t>from Pres &amp; Prop Rev tab</t>
  </si>
  <si>
    <t>from below</t>
  </si>
  <si>
    <t>kwh</t>
  </si>
  <si>
    <t>Schedule 12 only</t>
  </si>
  <si>
    <t>Schedule 22 only</t>
  </si>
  <si>
    <t>Schedule 32 only</t>
  </si>
  <si>
    <t>reduce billed revenue for BPA ResEx (already accounted for in Schs 1 &amp; 48)</t>
  </si>
  <si>
    <t>LIRAP/DSM increase</t>
  </si>
  <si>
    <t>Rate Schedule Num</t>
  </si>
  <si>
    <t>001</t>
  </si>
  <si>
    <t>011</t>
  </si>
  <si>
    <t>012</t>
  </si>
  <si>
    <t>021</t>
  </si>
  <si>
    <t>022</t>
  </si>
  <si>
    <t>025</t>
  </si>
  <si>
    <t>031</t>
  </si>
  <si>
    <t>032</t>
  </si>
  <si>
    <t>12-mo Ended</t>
  </si>
  <si>
    <t>KWHs</t>
  </si>
  <si>
    <t>KVA</t>
  </si>
  <si>
    <t>KVA in excess of 3,000</t>
  </si>
  <si>
    <t>WASHINGTON ELECTRIC</t>
  </si>
  <si>
    <t>Street Light Summary total, WA</t>
  </si>
  <si>
    <t>Area Light Count, WA</t>
  </si>
  <si>
    <t>compare input Present Billing Rates to calculated Present Billing Rates</t>
  </si>
  <si>
    <t>normalize Sch 25</t>
  </si>
  <si>
    <t>SCHEDULE 21</t>
  </si>
  <si>
    <t>0-250000 KWHS</t>
  </si>
  <si>
    <t>OVER 250000 KWHS</t>
  </si>
  <si>
    <t>Decrease</t>
  </si>
  <si>
    <t>% Revenue Change</t>
  </si>
  <si>
    <t>Base Rates</t>
  </si>
  <si>
    <t>Schedule 41</t>
  </si>
  <si>
    <t>Schedule 42</t>
  </si>
  <si>
    <t>Schedule 44</t>
  </si>
  <si>
    <t>Schedule 45</t>
  </si>
  <si>
    <t>Schedule 46</t>
  </si>
  <si>
    <t>Target Base</t>
  </si>
  <si>
    <t>% Change</t>
  </si>
  <si>
    <t>% rate increase --&gt;</t>
  </si>
  <si>
    <t>Schedule 47</t>
  </si>
  <si>
    <t>Schedule 48</t>
  </si>
  <si>
    <t>Billing</t>
  </si>
  <si>
    <t>non-printing</t>
  </si>
  <si>
    <t>(k)</t>
  </si>
  <si>
    <t>0) ERM=0; 1) ERM as is</t>
  </si>
  <si>
    <t>MVV</t>
  </si>
  <si>
    <t>Special</t>
  </si>
  <si>
    <t>Base Revenues</t>
  </si>
  <si>
    <t>Sch 91-DSM</t>
  </si>
  <si>
    <t>Decorative Sodium Vapor (Capital Only)</t>
  </si>
  <si>
    <t>Peak</t>
  </si>
  <si>
    <t>Month</t>
  </si>
  <si>
    <t>UNBILLED LOAD KWHS</t>
  </si>
  <si>
    <t>UNBILLED LOAD RATE</t>
  </si>
  <si>
    <t>UNBILLED LOAD REVENUE</t>
  </si>
  <si>
    <t>ADJ. TO ACTUAL/EE ADJ</t>
  </si>
  <si>
    <t>Rates (2)</t>
  </si>
  <si>
    <t xml:space="preserve">from Present Rev tab </t>
  </si>
  <si>
    <t>Single High-Pressure Sodium Vapor (Capital Only)</t>
  </si>
  <si>
    <t>Type of Service</t>
  </si>
  <si>
    <t>Reflects additional LIRAP funding</t>
  </si>
  <si>
    <t>Annual Increase (Decrease)</t>
  </si>
  <si>
    <t>Booked Unbilled Reversal</t>
  </si>
  <si>
    <t>Gross Booked Unbilled</t>
  </si>
  <si>
    <t>Gross Unbilled True-up</t>
  </si>
  <si>
    <t>Unbilled Reversal True-up</t>
  </si>
  <si>
    <t>LED (Dusk to Dawn)</t>
  </si>
  <si>
    <t>LED (Dusk to 11:00)</t>
  </si>
  <si>
    <t>Total by Block</t>
  </si>
  <si>
    <t>Determinants</t>
  </si>
  <si>
    <t>Billed Revenue</t>
  </si>
  <si>
    <t>Impact</t>
  </si>
  <si>
    <t xml:space="preserve">Total </t>
  </si>
  <si>
    <t>kWh Rate</t>
  </si>
  <si>
    <t>Proposed Billing</t>
  </si>
  <si>
    <t>Rate With</t>
  </si>
  <si>
    <t>11/12</t>
  </si>
  <si>
    <t>21/22</t>
  </si>
  <si>
    <t>30/31/32</t>
  </si>
  <si>
    <t>ERM Decrease (2)</t>
  </si>
  <si>
    <t>Schedule 25(3)</t>
  </si>
  <si>
    <t>kw over 20(1)</t>
  </si>
  <si>
    <t>kvar billed(1)</t>
  </si>
  <si>
    <t>kw over 50(1)</t>
  </si>
  <si>
    <t>State Cde:WA</t>
  </si>
  <si>
    <t>Period</t>
  </si>
  <si>
    <t>12 Month Average</t>
  </si>
  <si>
    <t>Total for WA</t>
  </si>
  <si>
    <t>12 Month Total</t>
  </si>
  <si>
    <t>Jurisdiction:WA</t>
  </si>
  <si>
    <t>Source Id</t>
  </si>
  <si>
    <t>REVUNBL-E</t>
  </si>
  <si>
    <t>REVUNBL-ER</t>
  </si>
  <si>
    <t>011/012</t>
  </si>
  <si>
    <t>021/022</t>
  </si>
  <si>
    <t>030/031/032</t>
  </si>
  <si>
    <t>04X</t>
  </si>
  <si>
    <t>Sch 25 Adj</t>
  </si>
  <si>
    <t>Sch shifting</t>
  </si>
  <si>
    <t>Sch Shifting</t>
  </si>
  <si>
    <t>July</t>
  </si>
  <si>
    <t>August</t>
  </si>
  <si>
    <t>September</t>
  </si>
  <si>
    <t>October</t>
  </si>
  <si>
    <t>November</t>
  </si>
  <si>
    <t>December</t>
  </si>
  <si>
    <t>January</t>
  </si>
  <si>
    <t>February</t>
  </si>
  <si>
    <t>March</t>
  </si>
  <si>
    <t>April</t>
  </si>
  <si>
    <t>May</t>
  </si>
  <si>
    <t>June</t>
  </si>
  <si>
    <t>Annual Total</t>
  </si>
  <si>
    <t>Rate Design Program Monthly Results</t>
  </si>
  <si>
    <t>Block 1</t>
  </si>
  <si>
    <t>Block 2</t>
  </si>
  <si>
    <t>kWhs</t>
  </si>
  <si>
    <t>Billed Customers</t>
  </si>
  <si>
    <t>Block 1 Limit</t>
  </si>
  <si>
    <t>Schedule 011/012</t>
  </si>
  <si>
    <t>kW</t>
  </si>
  <si>
    <t>kVar</t>
  </si>
  <si>
    <t>pf Charge</t>
  </si>
  <si>
    <t>pf Revenue</t>
  </si>
  <si>
    <t>Schedule 021/022</t>
  </si>
  <si>
    <t>Schedule 31/32</t>
  </si>
  <si>
    <t>Block 3</t>
  </si>
  <si>
    <t>WASHINGTON ELECTRIC SYSTEM</t>
  </si>
  <si>
    <t>Schedule 30/31/32</t>
  </si>
  <si>
    <t>Difference</t>
  </si>
  <si>
    <t>ERM Reduction Calc</t>
  </si>
  <si>
    <t>kWh's</t>
  </si>
  <si>
    <t>Capital</t>
  </si>
  <si>
    <t>Avista</t>
  </si>
  <si>
    <t>Capital Recovery Factor Calculation</t>
  </si>
  <si>
    <t>Cost of Capital</t>
  </si>
  <si>
    <t>Component</t>
  </si>
  <si>
    <t>Weighted</t>
  </si>
  <si>
    <t>Structure</t>
  </si>
  <si>
    <t>Cost</t>
  </si>
  <si>
    <t>Long Term Debt</t>
  </si>
  <si>
    <t>Preferred Equity</t>
  </si>
  <si>
    <t>Common Equity</t>
  </si>
  <si>
    <t>Grossed-up Rate of Return</t>
  </si>
  <si>
    <t>Tax Gross-up Factor</t>
  </si>
  <si>
    <t>Weighted ROE * Tax Gross-up</t>
  </si>
  <si>
    <t>1.611 * 4.606%</t>
  </si>
  <si>
    <t>Preferred Equity * Tax Gross-up</t>
  </si>
  <si>
    <t>1.611 * 0.000%</t>
  </si>
  <si>
    <t>Test Year</t>
  </si>
  <si>
    <t>Effective</t>
  </si>
  <si>
    <t>Account</t>
  </si>
  <si>
    <t>Plant in</t>
  </si>
  <si>
    <t>Depreciation</t>
  </si>
  <si>
    <t>Expense</t>
  </si>
  <si>
    <t>373 - Street Lighting</t>
  </si>
  <si>
    <t>*From Cost of Service (Knox)</t>
  </si>
  <si>
    <t xml:space="preserve">Capital Recovery Factor </t>
  </si>
  <si>
    <t>Present - UE-120436</t>
  </si>
  <si>
    <t>Total Bill</t>
  </si>
  <si>
    <t>Bill Impact</t>
  </si>
  <si>
    <t>Schedule 001 Bill Impact</t>
  </si>
  <si>
    <t>Sch. 93/94</t>
  </si>
  <si>
    <t>ERM/BPA</t>
  </si>
  <si>
    <t>Schedule 001 Present</t>
  </si>
  <si>
    <t>Schedule 001 Proposed</t>
  </si>
  <si>
    <t>on Base</t>
  </si>
  <si>
    <t>at Proposed</t>
  </si>
  <si>
    <t>Sch. 98</t>
  </si>
  <si>
    <t>REC Revenue</t>
  </si>
  <si>
    <t>Inc/Dec</t>
  </si>
  <si>
    <t>Dusk to 11 PM</t>
  </si>
  <si>
    <t>Monthly Increase (Decrease)</t>
  </si>
  <si>
    <t>Sch 46 Per kWh Rate</t>
  </si>
  <si>
    <t>Total Usage</t>
  </si>
  <si>
    <t>Source</t>
  </si>
  <si>
    <t>Knox</t>
  </si>
  <si>
    <t>Load Factor</t>
  </si>
  <si>
    <t>Monthly Average</t>
  </si>
  <si>
    <t>Annual Peak</t>
  </si>
  <si>
    <t>Sch 92-LIRAP</t>
  </si>
  <si>
    <t>Pres 91/92</t>
  </si>
  <si>
    <t>91/92 b4 Sch 91/92</t>
  </si>
  <si>
    <t>b4 Sch 91/92</t>
  </si>
  <si>
    <t>93 b4 Sch 93</t>
  </si>
  <si>
    <t>add'l 91/92</t>
  </si>
  <si>
    <t>ERM</t>
  </si>
  <si>
    <t>Sch. 93</t>
  </si>
  <si>
    <t xml:space="preserve"> 60 KV</t>
  </si>
  <si>
    <t>4.16 KV</t>
  </si>
  <si>
    <t>115 KV</t>
  </si>
  <si>
    <t>60 KV</t>
  </si>
  <si>
    <t>Sch 93/94</t>
  </si>
  <si>
    <t>Grossed-Up Depreciation Rate</t>
  </si>
  <si>
    <t>Revenue Conversion Factor (Before FIT)</t>
  </si>
  <si>
    <t>421L</t>
  </si>
  <si>
    <t>431L</t>
  </si>
  <si>
    <t>432L</t>
  </si>
  <si>
    <t>433L</t>
  </si>
  <si>
    <t>434L</t>
  </si>
  <si>
    <t>435L</t>
  </si>
  <si>
    <t>436L</t>
  </si>
  <si>
    <t>438L</t>
  </si>
  <si>
    <t>441L</t>
  </si>
  <si>
    <t>474L</t>
  </si>
  <si>
    <t>484L</t>
  </si>
  <si>
    <t>Kim Light 70W</t>
  </si>
  <si>
    <t>Granville 70W</t>
  </si>
  <si>
    <t>Post Top 70W</t>
  </si>
  <si>
    <t>522L</t>
  </si>
  <si>
    <t>531L</t>
  </si>
  <si>
    <t>532L</t>
  </si>
  <si>
    <t>533L</t>
  </si>
  <si>
    <t>535L</t>
  </si>
  <si>
    <t>536L</t>
  </si>
  <si>
    <t>541L</t>
  </si>
  <si>
    <t>542L</t>
  </si>
  <si>
    <t>442L</t>
  </si>
  <si>
    <t>475L</t>
  </si>
  <si>
    <t>107W</t>
  </si>
  <si>
    <t>w/Sch 91/92/93/98</t>
  </si>
  <si>
    <t>From Cost of Service (Knox)</t>
  </si>
  <si>
    <t>LED</t>
  </si>
  <si>
    <t>Minimums:</t>
  </si>
  <si>
    <t>$20.00 Single Phase Service</t>
  </si>
  <si>
    <t>$27.35 Three Phase Service</t>
  </si>
  <si>
    <t>HPAL</t>
  </si>
  <si>
    <t>HPBL</t>
  </si>
  <si>
    <t>HPSL</t>
  </si>
  <si>
    <t>HPEL</t>
  </si>
  <si>
    <t>HPDL</t>
  </si>
  <si>
    <t>HPOL</t>
  </si>
  <si>
    <t>HPLL</t>
  </si>
  <si>
    <t>HPYL</t>
  </si>
  <si>
    <t>HAGL</t>
  </si>
  <si>
    <t>HAPL</t>
  </si>
  <si>
    <t>Schedule 98</t>
  </si>
  <si>
    <t>Schedule 59</t>
  </si>
  <si>
    <t>Schedule 48 only</t>
  </si>
  <si>
    <t>Schedule 41-48 only</t>
  </si>
  <si>
    <t>Schedule 98 (REC Revenue Rebate)</t>
  </si>
  <si>
    <t>Settlement Stipulation</t>
  </si>
  <si>
    <t>248W</t>
  </si>
  <si>
    <t>831L</t>
  </si>
  <si>
    <t>832L</t>
  </si>
  <si>
    <t>835L</t>
  </si>
  <si>
    <t>836L</t>
  </si>
  <si>
    <t>842L</t>
  </si>
  <si>
    <t>HPCL</t>
  </si>
  <si>
    <t>HPGL</t>
  </si>
  <si>
    <t>35' wood pole</t>
  </si>
  <si>
    <t>Schedule 91 (DSM)</t>
  </si>
  <si>
    <t>Schedule 91</t>
  </si>
  <si>
    <t>0001</t>
  </si>
  <si>
    <t>0002</t>
  </si>
  <si>
    <t>0011</t>
  </si>
  <si>
    <t>0012</t>
  </si>
  <si>
    <t>002</t>
  </si>
  <si>
    <t>0021</t>
  </si>
  <si>
    <t>0022</t>
  </si>
  <si>
    <t>0025</t>
  </si>
  <si>
    <t>0030</t>
  </si>
  <si>
    <t>0031</t>
  </si>
  <si>
    <t>0032</t>
  </si>
  <si>
    <t>0041</t>
  </si>
  <si>
    <t>0042</t>
  </si>
  <si>
    <t>0044</t>
  </si>
  <si>
    <t>0045</t>
  </si>
  <si>
    <t>0046</t>
  </si>
  <si>
    <t>0047</t>
  </si>
  <si>
    <t>0048</t>
  </si>
  <si>
    <t>0058</t>
  </si>
  <si>
    <t>0058A</t>
  </si>
  <si>
    <t>0095</t>
  </si>
  <si>
    <t>0099</t>
  </si>
  <si>
    <t>025B</t>
  </si>
  <si>
    <t>001/002</t>
  </si>
  <si>
    <t>Average</t>
  </si>
  <si>
    <t>Billing Determinant</t>
  </si>
  <si>
    <t>NA</t>
  </si>
  <si>
    <t>BASIC CHARGE ELE</t>
  </si>
  <si>
    <t>KWH BLOCK 1</t>
  </si>
  <si>
    <t>KWH BLOCK 2</t>
  </si>
  <si>
    <t>KWH BLOCK 3</t>
  </si>
  <si>
    <t>RIDER 59</t>
  </si>
  <si>
    <t>RIDER 91</t>
  </si>
  <si>
    <t>RIDER 92</t>
  </si>
  <si>
    <t>RIDER 93</t>
  </si>
  <si>
    <t>RIDER 94</t>
  </si>
  <si>
    <t>RIDER 98</t>
  </si>
  <si>
    <t>RIDER 89</t>
  </si>
  <si>
    <t>3 PHASE</t>
  </si>
  <si>
    <t>KVAR</t>
  </si>
  <si>
    <t>KW BLOCK 2</t>
  </si>
  <si>
    <t>PVD 11</t>
  </si>
  <si>
    <t>LIGHTS</t>
  </si>
  <si>
    <t>RIDER 58</t>
  </si>
  <si>
    <t>PVD 115</t>
  </si>
  <si>
    <t>PVD 60</t>
  </si>
  <si>
    <t>Revenue Amt</t>
  </si>
  <si>
    <t>Schedule 1, 2</t>
  </si>
  <si>
    <t>SCHEDULE 1,2</t>
  </si>
  <si>
    <t>1/2</t>
  </si>
  <si>
    <t>Schedule 001/002</t>
  </si>
  <si>
    <t>Total Meters Billed</t>
  </si>
  <si>
    <t>431T</t>
  </si>
  <si>
    <t>TIB Capital Offset</t>
  </si>
  <si>
    <t>432T</t>
  </si>
  <si>
    <t>433T</t>
  </si>
  <si>
    <t>435T</t>
  </si>
  <si>
    <t>436T</t>
  </si>
  <si>
    <t>531T</t>
  </si>
  <si>
    <t>532T</t>
  </si>
  <si>
    <t>533T</t>
  </si>
  <si>
    <t>Single Light Emitting Diode (LED)</t>
  </si>
  <si>
    <t>535T</t>
  </si>
  <si>
    <t>536T</t>
  </si>
  <si>
    <t>541T</t>
  </si>
  <si>
    <t>Double Light Emitting Diode (LED)</t>
  </si>
  <si>
    <t>542T</t>
  </si>
  <si>
    <t>831T</t>
  </si>
  <si>
    <t>Decorative Light Emitting Diode (LED)</t>
  </si>
  <si>
    <t>441T</t>
  </si>
  <si>
    <t>0-800 KWHS</t>
  </si>
  <si>
    <t>801-1500 KWHS</t>
  </si>
  <si>
    <t>OVER 100 KWHS</t>
  </si>
  <si>
    <t>OVER 1500 KWHS</t>
  </si>
  <si>
    <t>SCH. 1,2</t>
  </si>
  <si>
    <t>546T</t>
  </si>
  <si>
    <t>835T</t>
  </si>
  <si>
    <t>Schedule 2 only</t>
  </si>
  <si>
    <t>RIDER 75</t>
  </si>
  <si>
    <t>rev. runs too low</t>
  </si>
  <si>
    <t>Adjust. kWhs to Actual</t>
  </si>
  <si>
    <t>0-800 kWhs</t>
  </si>
  <si>
    <t>801-1500 kWhs</t>
  </si>
  <si>
    <t>over 1500 kWhs</t>
  </si>
  <si>
    <t>Total kWhs</t>
  </si>
  <si>
    <t>0-3,650 kWhs</t>
  </si>
  <si>
    <t>over 3,650 kWhs</t>
  </si>
  <si>
    <t>Total Adjusted kWhs</t>
  </si>
  <si>
    <t>0-250,000 kWhs</t>
  </si>
  <si>
    <t>over 250,000 kWhs</t>
  </si>
  <si>
    <t>Total adjusted kWhs</t>
  </si>
  <si>
    <t>0-500,000 kWhs</t>
  </si>
  <si>
    <t>500,001-6M kWhs</t>
  </si>
  <si>
    <t>&gt; 6M kWhs</t>
  </si>
  <si>
    <t>Block 1 kWhs</t>
  </si>
  <si>
    <t>Block 2 kWhs</t>
  </si>
  <si>
    <t>Block 3 kWhs</t>
  </si>
  <si>
    <t>Adjust kWhs to Actual</t>
  </si>
  <si>
    <t>Schedule 41-48 only Total</t>
  </si>
  <si>
    <t>Rev Req</t>
  </si>
  <si>
    <t>kWh</t>
  </si>
  <si>
    <t>Cents</t>
  </si>
  <si>
    <t xml:space="preserve">Per </t>
  </si>
  <si>
    <t>First 85 kW/kWh</t>
  </si>
  <si>
    <t>Next 80 kW/kWh</t>
  </si>
  <si>
    <t>Rate Adjustment</t>
  </si>
  <si>
    <t>Adjusted Billed</t>
  </si>
  <si>
    <t>Revenue Requirement</t>
  </si>
  <si>
    <t>Percentage</t>
  </si>
  <si>
    <t>Electric</t>
  </si>
  <si>
    <t>Rate Spread</t>
  </si>
  <si>
    <t>of Base</t>
  </si>
  <si>
    <t>Adjustment</t>
  </si>
  <si>
    <t>Adjusted</t>
  </si>
  <si>
    <t>GRC</t>
  </si>
  <si>
    <t>Andrew's Conversion Factor</t>
  </si>
  <si>
    <t>30' steel pole</t>
  </si>
  <si>
    <t>Total Revenue</t>
  </si>
  <si>
    <t>201801</t>
  </si>
  <si>
    <t>201802</t>
  </si>
  <si>
    <t>201803</t>
  </si>
  <si>
    <t>201804</t>
  </si>
  <si>
    <t>201805</t>
  </si>
  <si>
    <t>201806</t>
  </si>
  <si>
    <t>201807</t>
  </si>
  <si>
    <t>201808</t>
  </si>
  <si>
    <t>201809</t>
  </si>
  <si>
    <t>201810</t>
  </si>
  <si>
    <t>201811</t>
  </si>
  <si>
    <t>201812</t>
  </si>
  <si>
    <t>Unbilled Usage Report by Location Twelve Months Ended for Report Date : '12/31/2018'</t>
  </si>
  <si>
    <t>Unbilled Usage</t>
  </si>
  <si>
    <t>RIDER 74</t>
  </si>
  <si>
    <t>AMI OPT OUT</t>
  </si>
  <si>
    <t>2311008572</t>
  </si>
  <si>
    <t>8920023327</t>
  </si>
  <si>
    <t>9920023116</t>
  </si>
  <si>
    <t>8970099313</t>
  </si>
  <si>
    <t>0080095044</t>
  </si>
  <si>
    <t>1420028876</t>
  </si>
  <si>
    <t>0170122152</t>
  </si>
  <si>
    <t>8640841982</t>
  </si>
  <si>
    <t>0160126924</t>
  </si>
  <si>
    <t>4250473907</t>
  </si>
  <si>
    <t>9060132009</t>
  </si>
  <si>
    <t>0030019644</t>
  </si>
  <si>
    <t>1080099801</t>
  </si>
  <si>
    <t>0070121063</t>
  </si>
  <si>
    <t>2260946595</t>
  </si>
  <si>
    <t>2470070232</t>
  </si>
  <si>
    <t>3730460787</t>
  </si>
  <si>
    <t>6030021572</t>
  </si>
  <si>
    <t>6100609210</t>
  </si>
  <si>
    <t>5030019646</t>
  </si>
  <si>
    <t>7030024549</t>
  </si>
  <si>
    <t>546L</t>
  </si>
  <si>
    <t>241W</t>
  </si>
  <si>
    <t>HAAL</t>
  </si>
  <si>
    <t>HAML</t>
  </si>
  <si>
    <t>HANL</t>
  </si>
  <si>
    <t>HPKL</t>
  </si>
  <si>
    <t>35 ft direct buried steel pole</t>
  </si>
  <si>
    <t>125W</t>
  </si>
  <si>
    <t>Floodlight 35ft wood pole</t>
  </si>
  <si>
    <t>30 steel pole pedestal base</t>
  </si>
  <si>
    <t>832T</t>
  </si>
  <si>
    <t>836T</t>
  </si>
  <si>
    <t>Misc</t>
  </si>
  <si>
    <t>Sch 91 &amp; 92</t>
  </si>
  <si>
    <t>18W</t>
  </si>
  <si>
    <t>26W</t>
  </si>
  <si>
    <t>295L</t>
  </si>
  <si>
    <t>395L</t>
  </si>
  <si>
    <t>Change</t>
  </si>
  <si>
    <t>JDM-E-10</t>
  </si>
  <si>
    <t>JDM-E-20</t>
  </si>
  <si>
    <t>JDM-E-3</t>
  </si>
  <si>
    <t>JDM-E-21</t>
  </si>
  <si>
    <t>JDM-E-22/23</t>
  </si>
  <si>
    <t>JDM-E-29/8</t>
  </si>
  <si>
    <t>JDM-E-11</t>
  </si>
  <si>
    <t>JDM-E-15</t>
  </si>
  <si>
    <t>JDM-E-5/6</t>
  </si>
  <si>
    <t>JDM-E-17</t>
  </si>
  <si>
    <t xml:space="preserve">     Schedule 75 (Decoupling), Schedule 91 (DSM), Schedule 92 (LIRAP), Schedule 93 (ERM),</t>
  </si>
  <si>
    <t>1.325 * 0.000%</t>
  </si>
  <si>
    <t>1.325 * 4.950%</t>
  </si>
  <si>
    <t>Standard / Dusk to Dawn (046)</t>
  </si>
  <si>
    <t xml:space="preserve">Standard  </t>
  </si>
  <si>
    <t>Standard</t>
  </si>
  <si>
    <t>494L</t>
  </si>
  <si>
    <t>594L</t>
  </si>
  <si>
    <t>30ft Fiberglass Pole</t>
  </si>
  <si>
    <t>35ft Fiberglass Pole</t>
  </si>
  <si>
    <t>HAIL</t>
  </si>
  <si>
    <t>HAOL</t>
  </si>
  <si>
    <t>HAQL</t>
  </si>
  <si>
    <t>70W Kim light w/25ft Fiberglass pole</t>
  </si>
  <si>
    <t>30 ft Fiberglass direct buried</t>
  </si>
  <si>
    <t>35 ft Fiberglass direct buried</t>
  </si>
  <si>
    <t>005L</t>
  </si>
  <si>
    <t>015L</t>
  </si>
  <si>
    <t>025L</t>
  </si>
  <si>
    <t>035L</t>
  </si>
  <si>
    <t>045L</t>
  </si>
  <si>
    <t>055L</t>
  </si>
  <si>
    <t>065L</t>
  </si>
  <si>
    <t>075L</t>
  </si>
  <si>
    <t>085L</t>
  </si>
  <si>
    <t>095L</t>
  </si>
  <si>
    <t>105L</t>
  </si>
  <si>
    <t>115L</t>
  </si>
  <si>
    <t>125L</t>
  </si>
  <si>
    <t>135L</t>
  </si>
  <si>
    <t>145L</t>
  </si>
  <si>
    <t>155L</t>
  </si>
  <si>
    <t>165L</t>
  </si>
  <si>
    <t>175L</t>
  </si>
  <si>
    <t>185L</t>
  </si>
  <si>
    <t>195L</t>
  </si>
  <si>
    <t>212L</t>
  </si>
  <si>
    <t>237L</t>
  </si>
  <si>
    <t>Note:  Total Base Load for Sch. 1 = Base Load per bill times total billings (base load per bill on JDM-E-18) =</t>
  </si>
  <si>
    <t>Note:  Total Base Load for Sch. 21 = Base Load per bill times total billings (base load per bill on JDM-E-18) =</t>
  </si>
  <si>
    <t>Filed</t>
  </si>
  <si>
    <r>
      <t xml:space="preserve">(1) </t>
    </r>
    <r>
      <rPr>
        <u/>
        <sz val="10"/>
        <rFont val="Arial"/>
        <family val="2"/>
      </rPr>
      <t>Excludes</t>
    </r>
    <r>
      <rPr>
        <sz val="10"/>
        <rFont val="Arial"/>
        <family val="2"/>
      </rPr>
      <t xml:space="preserve"> all present rate adjustments:  Schedule 59 (BPA Residential Exchange), Schedule 75 (Decoupling),</t>
    </r>
  </si>
  <si>
    <r>
      <t xml:space="preserve">(2) </t>
    </r>
    <r>
      <rPr>
        <u/>
        <sz val="10"/>
        <rFont val="Arial"/>
        <family val="2"/>
      </rPr>
      <t>Includes</t>
    </r>
    <r>
      <rPr>
        <sz val="10"/>
        <rFont val="Arial"/>
        <family val="2"/>
      </rPr>
      <t xml:space="preserve"> all present rate adjustments:  Schedule 59 (BPA Residential Exchange), Schedule 75 (Decoupling),  </t>
    </r>
  </si>
  <si>
    <r>
      <t xml:space="preserve">(1) </t>
    </r>
    <r>
      <rPr>
        <u/>
        <sz val="10"/>
        <rFont val="Arial"/>
        <family val="2"/>
      </rPr>
      <t>Includes</t>
    </r>
    <r>
      <rPr>
        <sz val="10"/>
        <rFont val="Arial"/>
        <family val="2"/>
      </rPr>
      <t xml:space="preserve"> all present rate adjustments:  Schedule 59 (BPA Residential Exchange), </t>
    </r>
  </si>
  <si>
    <t>LIRAP</t>
  </si>
  <si>
    <t>LIRAP Funding</t>
  </si>
  <si>
    <t>Present Bill</t>
  </si>
  <si>
    <t>Proposed Bill</t>
  </si>
  <si>
    <t>Sch. 92</t>
  </si>
  <si>
    <t>LIRAP Rate</t>
  </si>
  <si>
    <t>Sch 92</t>
  </si>
  <si>
    <t>All light codes notated with a "T" are not on the tariff sheets.</t>
  </si>
  <si>
    <t>WASHINGTON Street Lights (Schedule 41 - 46 Rates)</t>
  </si>
  <si>
    <t>WASHINGTON Area Lights (Schedule 47)</t>
  </si>
  <si>
    <t xml:space="preserve">Net </t>
  </si>
  <si>
    <t xml:space="preserve">Base </t>
  </si>
  <si>
    <t>Present - UE-190334</t>
  </si>
  <si>
    <t>1.325 * 4.95%</t>
  </si>
  <si>
    <t>Electric Revenue Meters Report by Location  Twelve Months Ended  for Report Date : '12/31/2019'</t>
  </si>
  <si>
    <t>Electric Revenue Usage Report by Location  Twelve Months Ended  for Report Date : '12/31/2019'</t>
  </si>
  <si>
    <t>Electric Revenue Report by Location  Twelve Months Ended  for Report Date : '12/31/2019'</t>
  </si>
  <si>
    <t>Demand, PF and PVD Calc Support</t>
  </si>
  <si>
    <t>Schedule 11</t>
  </si>
  <si>
    <t>Block 2 Demand Revenue</t>
  </si>
  <si>
    <t>Power Factor Revenue</t>
  </si>
  <si>
    <t>Block 2 Demand Rate</t>
  </si>
  <si>
    <t>Power Factor Rate</t>
  </si>
  <si>
    <t>Schedule 12</t>
  </si>
  <si>
    <t>Schedule 21</t>
  </si>
  <si>
    <t>Prim. Volt. Disc. Revenue</t>
  </si>
  <si>
    <t>Prim. Volt. Disc. Rate</t>
  </si>
  <si>
    <t>Schedule 22</t>
  </si>
  <si>
    <t>Schedule 25</t>
  </si>
  <si>
    <t>Prim. Volt. Disc. &gt;11 Revenue</t>
  </si>
  <si>
    <t>Prim. Volt. Disc. &gt;60 Revenue</t>
  </si>
  <si>
    <t>Prim. Volt. Disc. &gt;115 Revenue</t>
  </si>
  <si>
    <t>Prim. Volt. Disc. &gt;11 Rate</t>
  </si>
  <si>
    <t>Prim. Volt. Disc. &gt;60 Rate</t>
  </si>
  <si>
    <t>Prim. Volt. Disc. &gt;115 Rate</t>
  </si>
  <si>
    <t>Schedule 30</t>
  </si>
  <si>
    <t>Schedule 31</t>
  </si>
  <si>
    <t>Schedule 32</t>
  </si>
  <si>
    <t>5W</t>
  </si>
  <si>
    <t>Dust to 1 AM</t>
  </si>
  <si>
    <t>MDM-10069 Report as of 3/31/20</t>
  </si>
  <si>
    <t>HARL</t>
  </si>
  <si>
    <t>HPZL</t>
  </si>
  <si>
    <t>30 steel pole pedestal base (Dev Contr)</t>
  </si>
  <si>
    <t>on existing standard (Capital Only</t>
  </si>
  <si>
    <t>12 MONTHS ENDED DECEMBER 31, 2019</t>
  </si>
  <si>
    <t>(1) from JDM-E-12/14</t>
  </si>
  <si>
    <t>(2) from JDM-E-13/14</t>
  </si>
  <si>
    <t>Schedule 93 (ERM)</t>
  </si>
  <si>
    <t>Schedule 94 (Remand)</t>
  </si>
  <si>
    <t>Schedule 92 (LIRAP)</t>
  </si>
  <si>
    <t>Sch 91</t>
  </si>
  <si>
    <t>Sch. 76</t>
  </si>
  <si>
    <t>Tax Rate Adjustment</t>
  </si>
  <si>
    <t>Sch 25</t>
  </si>
  <si>
    <t>Tax</t>
  </si>
  <si>
    <t>Sch 76</t>
  </si>
  <si>
    <t>First 800 kWhs</t>
  </si>
  <si>
    <t>800 - 1,500 kWhs</t>
  </si>
  <si>
    <t>All over 1,500 kWhs</t>
  </si>
  <si>
    <t>First 3,650 kWhs</t>
  </si>
  <si>
    <t>All over 3,650 kWhs</t>
  </si>
  <si>
    <t>First 250,000 kWhs</t>
  </si>
  <si>
    <t>All over 250,000 kWhs</t>
  </si>
  <si>
    <t>First 500,000 kWhs</t>
  </si>
  <si>
    <t>500,000 - 6,000,000 kWhs</t>
  </si>
  <si>
    <t>All over 6,000,000 kWhs</t>
  </si>
  <si>
    <t>Street &amp; Area Lights - Schedules 41-48</t>
  </si>
  <si>
    <t>8.3% of base rates</t>
  </si>
  <si>
    <t>Pumping Service - Schedule 31 &amp; 32</t>
  </si>
  <si>
    <t>Residential Service - Schedule 1 &amp; 2</t>
  </si>
  <si>
    <t xml:space="preserve">     Remand Schedule 94 and Schedule 98 (REC Revenue).</t>
  </si>
  <si>
    <t xml:space="preserve">      Schedule 91 (DSM), Schedule 92 (LIRAP), Schedule 93 (ERM), Schedule 94 (Remand) and Schedule 98 (REC Revenue).</t>
  </si>
  <si>
    <t xml:space="preserve">     Schedule 91 (DSM), Schedule 92 (LIRAP), Schedule 93 (ERM), Schedule 94 (Remand) and Schedule 98 (REC Revenue).</t>
  </si>
  <si>
    <t xml:space="preserve">Tax </t>
  </si>
  <si>
    <t>Credit</t>
  </si>
  <si>
    <t>Customer</t>
  </si>
  <si>
    <t>kWhs per billing run</t>
  </si>
  <si>
    <t>Total kWhs per Rev. Run</t>
  </si>
  <si>
    <t>kWhs per Revenue Run</t>
  </si>
  <si>
    <t>kWhs per billing run (30,31&amp; 32)</t>
  </si>
  <si>
    <t>Schedule 76 Rates</t>
  </si>
  <si>
    <t>Schedule 92 LIRAP Funding</t>
  </si>
  <si>
    <t>SCH. 13</t>
  </si>
  <si>
    <t>SCH. 23</t>
  </si>
  <si>
    <t>SCHEDULE 25I</t>
  </si>
  <si>
    <t>SCH. 25I</t>
  </si>
  <si>
    <t>25I</t>
  </si>
  <si>
    <t>Sch 25I</t>
  </si>
  <si>
    <t>Schedule 13</t>
  </si>
  <si>
    <t>Schedule 23</t>
  </si>
  <si>
    <t>Schedule 25I</t>
  </si>
  <si>
    <t>Schedule 013</t>
  </si>
  <si>
    <t>0025I</t>
  </si>
  <si>
    <t>025I</t>
  </si>
  <si>
    <t>Schedule 023</t>
  </si>
  <si>
    <t>Schedule Shifting</t>
  </si>
  <si>
    <t>Schedule 25I KWH</t>
  </si>
  <si>
    <t>Schedule 25I Total</t>
  </si>
  <si>
    <t>Schedule 25I kVA</t>
  </si>
  <si>
    <t>Customer Total</t>
  </si>
  <si>
    <t>Transportation - Large General Service</t>
  </si>
  <si>
    <t>Transportation - General Service</t>
  </si>
  <si>
    <t>Extra Large General Service - Specific Contract</t>
  </si>
  <si>
    <t>Transportation General Services - Schedule 13</t>
  </si>
  <si>
    <t>Transportation Large General Service - Schedule 23</t>
  </si>
  <si>
    <t>11/12/23</t>
  </si>
  <si>
    <t>21/22/23</t>
  </si>
  <si>
    <t>General Services - Schedule 11, 12 &amp; 13</t>
  </si>
  <si>
    <t>Large General Service - Schedule 21, 22 &amp; 23</t>
  </si>
  <si>
    <t>On-Peak</t>
  </si>
  <si>
    <t>Off-Peak</t>
  </si>
  <si>
    <t>in excess of 3,000 kVA</t>
  </si>
  <si>
    <t>25I KWHs</t>
  </si>
  <si>
    <t>25I KVA</t>
  </si>
  <si>
    <t>Calc Revenue for 25I</t>
  </si>
  <si>
    <t>Less transfer from 25 to 25I (Cust 9)</t>
  </si>
  <si>
    <t>Less Customer Closing (Cust 15)</t>
  </si>
  <si>
    <t>Sch 25 Present Primary Voltage Discount</t>
  </si>
  <si>
    <t>Sch 25 Proposed Primary Voltage Discount</t>
  </si>
  <si>
    <t>Sch 25I Present Primary Voltage Discount</t>
  </si>
  <si>
    <t>Revenue for 25I per Bill (less city tax)</t>
  </si>
  <si>
    <t>Reallocation</t>
  </si>
  <si>
    <t>Specific</t>
  </si>
  <si>
    <t>Contract</t>
  </si>
  <si>
    <t>with Sch 25I</t>
  </si>
  <si>
    <t>Manually deducted in Column K</t>
  </si>
  <si>
    <t>3,000 kva or less</t>
  </si>
  <si>
    <t>Over 3,000 kva</t>
  </si>
  <si>
    <t>Total Present Revenue</t>
  </si>
  <si>
    <t>IEP Revenue Requirement Calculation</t>
  </si>
  <si>
    <t>Factor</t>
  </si>
  <si>
    <t>IEP Special Contract</t>
  </si>
  <si>
    <t>Special Contract</t>
  </si>
  <si>
    <t>Total Proposed Revenue</t>
  </si>
  <si>
    <t>Exhibit B - Rate Design</t>
  </si>
  <si>
    <t xml:space="preserve">LIRAP </t>
  </si>
  <si>
    <t>DSM</t>
  </si>
  <si>
    <t>from Sp Ct</t>
  </si>
  <si>
    <t>Schedule 76 Rate Design</t>
  </si>
  <si>
    <t>of Rate</t>
  </si>
  <si>
    <t>Rate Base</t>
  </si>
  <si>
    <t>Tax Rate</t>
  </si>
  <si>
    <t>Billing Determinants</t>
  </si>
  <si>
    <t>General Services - Schedule 11 &amp; 12</t>
  </si>
  <si>
    <t>Large General Service - Schedule 21 &amp; 22</t>
  </si>
  <si>
    <t>Schedule 76</t>
  </si>
  <si>
    <t>Total Rate Base (per TLK-E-5)</t>
  </si>
  <si>
    <t>Sch 1-2</t>
  </si>
  <si>
    <t>Sch 11-22</t>
  </si>
  <si>
    <t>Sch 21-22</t>
  </si>
  <si>
    <t>Sch 30-32</t>
  </si>
  <si>
    <t>Sch 41-48</t>
  </si>
  <si>
    <t>Check</t>
  </si>
  <si>
    <t>Original</t>
  </si>
  <si>
    <t>from Staff_DR_153 Attachment C</t>
  </si>
  <si>
    <t>0.6% of base rates</t>
  </si>
  <si>
    <t>Schedule 41-48</t>
  </si>
  <si>
    <t>In recognition of the Economic Bypass option available to IEP, the Parties agree that IEP will receive a reduction of $2 million toward its overall contribution towards Avista’s fixed cost assigned to IEP. To accomplish this reduction, the initial bypass rate shall be set so that IEP’s 2019 annual billing determinants produce the following amount of revenue: The final approved revenue requirement change in Docket UE-200900 multiplied by 0.033 plus $20,909,280. For example, if Avista’s full electric rate increase request of $44.18 million is approved, IEP’s revenue would be $22,367,220 ($20,909,280 + $44,180,000 X 0.033).</t>
  </si>
  <si>
    <t>The total level of revenue requirement assigned to IEP will be updated as a result of any base rate percentage changes approved for Schedule 25 by the WUTC that occur after Docket UE-200900. A Schedule 25 rate factor will be established equal to the Special Contract rate divided by Schedule 25’s final base rate approved in UE-200900, where rates are expressed as rate year revenue divided by rate year MWh. The Special Contract rate change will be equal to the Schedule 25 rate factor times the Schedule 25 rate change. For example, if Avista’s rate request in UE-200900 results in Schedule 25 revenue of $40 million and load of 600,000 MWh, Schedule 25 rates will be $66.67/MWh. If the Special Contract revenue is set at $22 million with a load of 440,000 MWh the Special Contract rate will be $50/MWh, resulting in a rate factor of 0.75. For subsequent base rate changes, the Special Contract rate change under this example will, therefore, be 75 percent of the Schedule 25 $/MWh rate change.</t>
  </si>
  <si>
    <t>Rate Factor Calculation for future IEP Special Contract Rate Changes</t>
  </si>
  <si>
    <t>Rate Year Revenue</t>
  </si>
  <si>
    <t>MWh</t>
  </si>
  <si>
    <t>Rate Factor</t>
  </si>
  <si>
    <t>Special Contract Rate Spread - Percentage of Rate Base</t>
  </si>
  <si>
    <t>Excluding IEP</t>
  </si>
  <si>
    <t>Reallocated</t>
  </si>
  <si>
    <t xml:space="preserve">Special </t>
  </si>
  <si>
    <t>Base Revenue</t>
  </si>
  <si>
    <t>Avista Final Rev Req</t>
  </si>
  <si>
    <t xml:space="preserve">Final </t>
  </si>
  <si>
    <t>Order</t>
  </si>
  <si>
    <t>IEP Tax Credit Amount</t>
  </si>
  <si>
    <t>*-3.2% =((1-1.033)/1.033)</t>
  </si>
  <si>
    <t>3.2% decrease of base required to offset increase of 3.3% increase to original base rates</t>
  </si>
  <si>
    <t>P.12 Exh. SJB-KR-1T</t>
  </si>
  <si>
    <t>Q.     Is the ultimate Economic Bypass Revenue Requirement dependent on the rates approved in this proceeding?</t>
  </si>
  <si>
    <t>A.     Yes.  To ensure that IEP contributes to Avista’s fixed costs, the Economic Bypass Revenue Requirement will start with a $2 million reduction to IEP’s 2019 revenue, or $20,909,280.  That amount will then be added to the product of the total revenue requirement change approved in this case and 0.033, which represents IEP’s share of the total Washington revenue requirement.  Consequently, if the Commission approved Avista’s full rate increase, as modified in its rebuttal testimony, of $40.155 million on the electric side, the Economic Bypass Revenue requirement would be $22,234,395 ($40,155,000 x 0.033 + 20,909,280).</t>
  </si>
  <si>
    <t>LIRAP Change</t>
  </si>
  <si>
    <t>x 2</t>
  </si>
  <si>
    <t>Approved</t>
  </si>
  <si>
    <t>Incremental</t>
  </si>
  <si>
    <t>Tax Credit</t>
  </si>
  <si>
    <t>Extra Large General Service Specific Contract - Schedule 25I</t>
  </si>
  <si>
    <t>LIRAP Incremental Amt</t>
  </si>
  <si>
    <t>3.33% of base rates</t>
  </si>
  <si>
    <t>Approved - UE- 200900</t>
  </si>
  <si>
    <t>(l)</t>
  </si>
  <si>
    <t>(m)</t>
  </si>
  <si>
    <t>(n)</t>
  </si>
  <si>
    <t>Rate Order</t>
  </si>
  <si>
    <t>61. We find that the Settling Parties’ agreement for how to return the AFUDC deferral balances is appropriate. By returning the balances over the upcoming year through Schedules 76 and 176, the Settling Parties ensure a quick return to customers of these funds. Doing so also contributes to reducing the burden of the increase in rates we authorize in this Order. In addition, we find that the Settling Parties’ agreement to distribute the deferral balance amount to customer classes based on allocated rate base needs no modification. Accordingly, we determine that the Settlement’s resolution of how to return the AFUDC deferral balances to customers is in the public interest and should be approved.</t>
  </si>
  <si>
    <t>Order language confirming rate base spread: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</si>
</sst>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2">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0.000\¢\)"/>
    <numFmt numFmtId="166" formatCode="&quot;$&quot;#,##0.00000_);\(&quot;$&quot;#,##0.00000\)"/>
    <numFmt numFmtId="167" formatCode="&quot;$&quot;#,##0.0000_);\(&quot;$&quot;#,##0.0000\)"/>
    <numFmt numFmtId="168" formatCode="#,##0;\-#,##0;"/>
    <numFmt numFmtId="169" formatCode="_(&quot;$&quot;* #,##0_);_(&quot;$&quot;* \(#,##0\);_(&quot;$&quot;* &quot;-&quot;??_);_(@_)"/>
    <numFmt numFmtId="170" formatCode="&quot;$&quot;#,##0.00"/>
    <numFmt numFmtId="171" formatCode="0.0%"/>
    <numFmt numFmtId="172" formatCode="0.00000"/>
    <numFmt numFmtId="173" formatCode="0.0000"/>
    <numFmt numFmtId="174" formatCode="&quot;$&quot;#,##0.00;\-&quot;$&quot;#,##0.00;"/>
    <numFmt numFmtId="175" formatCode="&quot;$&quot;#,##0;\-&quot;$&quot;#,##0;"/>
    <numFmt numFmtId="176" formatCode="&quot;$&quot;#,##0"/>
    <numFmt numFmtId="177" formatCode=";;;"/>
    <numFmt numFmtId="178" formatCode="#,##0;;"/>
    <numFmt numFmtId="179" formatCode="#,##0.000\¢\ ;\(#,##0.000\¢\);"/>
    <numFmt numFmtId="180" formatCode="&quot;$&quot;#,##0.00000"/>
    <numFmt numFmtId="181" formatCode="0.0%;\-0.0%;"/>
    <numFmt numFmtId="182" formatCode="&quot;$&quot;#,##0.00&quot;/kW &quot;;\-&quot;$&quot;#,##0.00&quot;/kW &quot;;"/>
    <numFmt numFmtId="183" formatCode="&quot;$&quot;#,##0_);\(&quot;$&quot;#,##0\);"/>
    <numFmt numFmtId="184" formatCode="&quot;$&quot;#,##0.00&quot;/kva &quot;;\-&quot;$&quot;#,##0.00&quot;/kva &quot;;"/>
    <numFmt numFmtId="185" formatCode="#,##0_);\(#,##0\);"/>
    <numFmt numFmtId="186" formatCode="0.000%"/>
    <numFmt numFmtId="187" formatCode="&quot;Over&quot;"/>
    <numFmt numFmtId="188" formatCode="mmm\ yy"/>
    <numFmt numFmtId="189" formatCode="#,##0.000_);\(#,##0.000\)"/>
    <numFmt numFmtId="190" formatCode="0.0%;\ \(0.0%\)"/>
    <numFmt numFmtId="191" formatCode="[$-409]mmm/yy;@"/>
    <numFmt numFmtId="192" formatCode="_(&quot;$&quot;* #,##0.00000_);_(&quot;$&quot;* \(#,##0.00000\);_(&quot;$&quot;* &quot;-&quot;??_);_(@_)"/>
    <numFmt numFmtId="193" formatCode="&quot;$&quot;#,##0.000_);\(&quot;$&quot;#,##0.000\)"/>
    <numFmt numFmtId="194" formatCode="0.000"/>
    <numFmt numFmtId="195" formatCode="0.0000%"/>
    <numFmt numFmtId="196" formatCode="[$-409]mmm\-yy;@"/>
    <numFmt numFmtId="197" formatCode="[$-F800]dddd\,\ mmmm\ dd\,\ yyyy"/>
    <numFmt numFmtId="198" formatCode="mmmm\ d\,\ yyyy"/>
    <numFmt numFmtId="199" formatCode="[$-409]mmmm\-yy;@"/>
    <numFmt numFmtId="200" formatCode="#,##0_%_);\(#,##0\)_%;#,##0_%_);@_%_)"/>
    <numFmt numFmtId="201" formatCode="_._.* #,##0.0_)_%;_._.* \(#,##0.0\)_%"/>
    <numFmt numFmtId="202" formatCode="_._.* #,##0.00_)_%;_._.* \(#,##0.00\)_%"/>
    <numFmt numFmtId="203" formatCode="_._.* #,##0.000_)_%;_._.* \(#,##0.000\)_%"/>
    <numFmt numFmtId="204" formatCode="_(* #,##0.00_);_(* \(\ #,##0.00\ \);_(* &quot;-&quot;??_);_(\ @_ \)"/>
    <numFmt numFmtId="205" formatCode="_._.* #,##0_)_%;_._.* #,##0_)_%;_._.* 0_)_%;_._.@_)_%"/>
    <numFmt numFmtId="206" formatCode="_._.&quot;$&quot;* #,##0.0_)_%;_._.&quot;$&quot;* \(#,##0.0\)_%"/>
    <numFmt numFmtId="207" formatCode="_._.&quot;$&quot;* #,##0.00_)_%;_._.&quot;$&quot;* \(#,##0.00\)_%"/>
    <numFmt numFmtId="208" formatCode="_._.&quot;$&quot;* #,##0.000_)_%;_._.&quot;$&quot;* \(#,##0.000\)_%"/>
    <numFmt numFmtId="209" formatCode="_._.&quot;$&quot;* #,###_)_%;_._.&quot;$&quot;* #,###_)_%;_._.&quot;$&quot;* 0_)_%;_._.@_)_%"/>
    <numFmt numFmtId="210" formatCode="#,###,##0.00;\(#,###,##0.00\)"/>
    <numFmt numFmtId="211" formatCode="#,###,##0;\(#,###,##0\)"/>
    <numFmt numFmtId="212" formatCode="0.0"/>
    <numFmt numFmtId="213" formatCode="_(&quot;$&quot;* #,##0.0_);_(&quot;$&quot;* \(#,##0.0\);_(&quot;$&quot;* &quot;-&quot;??_);_(@_)"/>
    <numFmt numFmtId="214" formatCode="&quot;$&quot;#,###,##0.00;\(&quot;$&quot;#,###,##0.00\)"/>
    <numFmt numFmtId="215" formatCode="&quot;$&quot;#,###,##0;\(&quot;$&quot;#,###,##0\)"/>
    <numFmt numFmtId="216" formatCode="#,##0.00%;\(#,##0.00%\)"/>
    <numFmt numFmtId="217" formatCode="_(0_)%;\(0\)%"/>
    <numFmt numFmtId="218" formatCode="_._._(* 0_)%;_._.* \(0\)%"/>
    <numFmt numFmtId="219" formatCode="_(0.0_)%;\(0.0\)%"/>
    <numFmt numFmtId="220" formatCode="_._._(* 0.0_)%;_._.* \(0.0\)%"/>
    <numFmt numFmtId="221" formatCode="_(0.00_)%;\(0.00\)%"/>
    <numFmt numFmtId="222" formatCode="_._._(* 0.00_)%;_._.* \(0.00\)%"/>
    <numFmt numFmtId="223" formatCode="_(0.000_)%;\(0.000\)%"/>
    <numFmt numFmtId="224" formatCode="_._._(* 0.000_)%;_._.* \(0.000\)%"/>
    <numFmt numFmtId="225" formatCode="_(0.0000_)%;\(0.0000\)%"/>
    <numFmt numFmtId="226" formatCode="_._._(* 0.0000_)%;_._.* \(0.0000\)%"/>
    <numFmt numFmtId="227" formatCode="_(* #,##0_);_(* \(#,##0\);_(* 0_);_(@_)"/>
    <numFmt numFmtId="228" formatCode="_(* #,##0.0_);_(* \(#,##0.0\)"/>
    <numFmt numFmtId="229" formatCode="_(* #,##0.00_);_(* \(#,##0.00\)"/>
    <numFmt numFmtId="230" formatCode="_(* #,##0.000_);_(* \(#,##0.000\)"/>
    <numFmt numFmtId="231" formatCode="_(&quot;$&quot;* #,##0_);_(&quot;$&quot;* \(#,##0\);_(&quot;$&quot;* 0_);_(@_)"/>
    <numFmt numFmtId="232" formatCode="_(&quot;$&quot;* #,##0.0_);_(&quot;$&quot;* \(#,##0.0\)"/>
    <numFmt numFmtId="233" formatCode="_(&quot;$&quot;* #,##0.00_);_(&quot;$&quot;* \(#,##0.00\)"/>
    <numFmt numFmtId="234" formatCode="_(&quot;$&quot;* #,##0.000_);_(&quot;$&quot;* \(#,##0.000\)"/>
    <numFmt numFmtId="235" formatCode="#,##0.0_x_x"/>
    <numFmt numFmtId="236" formatCode="&quot;$&quot;#,##0\ ;\(&quot;$&quot;#,##0\)"/>
    <numFmt numFmtId="237" formatCode="_(&quot;$&quot;* #,##0.000000_);_(&quot;$&quot;* \(#,##0.000000\);_(&quot;$&quot;* &quot;-&quot;??_);_(@_)"/>
    <numFmt numFmtId="238" formatCode="#,##0;\(#,##0\)"/>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Geneva"/>
    </font>
    <font>
      <b/>
      <sz val="8"/>
      <name val="Courier"/>
      <family val="3"/>
    </font>
    <font>
      <u/>
      <sz val="8"/>
      <name val="Geneva"/>
    </font>
    <font>
      <b/>
      <sz val="8"/>
      <name val="Geneva"/>
    </font>
    <font>
      <sz val="8"/>
      <color indexed="12"/>
      <name val="Geneva"/>
    </font>
    <font>
      <sz val="8"/>
      <name val="Arial"/>
      <family val="2"/>
    </font>
    <font>
      <sz val="10"/>
      <color indexed="8"/>
      <name val="Times New Roman"/>
      <family val="1"/>
    </font>
    <font>
      <sz val="9"/>
      <name val="Geneva"/>
    </font>
    <font>
      <b/>
      <sz val="9"/>
      <name val="Geneva"/>
    </font>
    <font>
      <u/>
      <sz val="9"/>
      <name val="Geneva"/>
    </font>
    <font>
      <u val="singleAccounting"/>
      <sz val="9"/>
      <name val="Geneva"/>
    </font>
    <font>
      <b/>
      <u val="singleAccounting"/>
      <sz val="9"/>
      <name val="Geneva"/>
    </font>
    <font>
      <b/>
      <u/>
      <sz val="9"/>
      <name val="Geneva"/>
    </font>
    <font>
      <b/>
      <sz val="10"/>
      <name val="Arial"/>
      <family val="2"/>
    </font>
    <font>
      <sz val="8"/>
      <color indexed="81"/>
      <name val="Tahoma"/>
      <family val="2"/>
    </font>
    <font>
      <b/>
      <sz val="10"/>
      <name val="Geneva"/>
    </font>
    <font>
      <u/>
      <sz val="10"/>
      <name val="Geneva"/>
    </font>
    <font>
      <sz val="10"/>
      <name val="Arial"/>
      <family val="2"/>
    </font>
    <font>
      <u val="singleAccounting"/>
      <sz val="10"/>
      <name val="Arial"/>
      <family val="2"/>
    </font>
    <font>
      <b/>
      <sz val="12"/>
      <name val="Arial"/>
      <family val="2"/>
    </font>
    <font>
      <b/>
      <sz val="11"/>
      <name val="Arial"/>
      <family val="2"/>
    </font>
    <font>
      <sz val="11"/>
      <name val="Arial"/>
      <family val="2"/>
    </font>
    <font>
      <u/>
      <sz val="10"/>
      <name val="Arial"/>
      <family val="2"/>
    </font>
    <font>
      <sz val="10"/>
      <name val="Times New Roman"/>
      <family val="1"/>
    </font>
    <font>
      <sz val="10"/>
      <color indexed="39"/>
      <name val="Arial"/>
      <family val="2"/>
    </font>
    <font>
      <sz val="8"/>
      <color indexed="39"/>
      <name val="Geneva"/>
    </font>
    <font>
      <sz val="9"/>
      <color indexed="39"/>
      <name val="Geneva"/>
    </font>
    <font>
      <b/>
      <sz val="9"/>
      <name val="Arial"/>
      <family val="2"/>
    </font>
    <font>
      <b/>
      <u/>
      <sz val="10"/>
      <name val="Arial"/>
      <family val="2"/>
    </font>
    <font>
      <u/>
      <sz val="10"/>
      <name val="Arial"/>
      <family val="2"/>
    </font>
    <font>
      <sz val="11"/>
      <color indexed="81"/>
      <name val="Tahoma"/>
      <family val="2"/>
    </font>
    <font>
      <sz val="10"/>
      <color indexed="12"/>
      <name val="Arial"/>
      <family val="2"/>
    </font>
    <font>
      <sz val="10"/>
      <color indexed="12"/>
      <name val="Arial"/>
      <family val="2"/>
    </font>
    <font>
      <b/>
      <sz val="10"/>
      <color indexed="12"/>
      <name val="Arial"/>
      <family val="2"/>
    </font>
    <font>
      <sz val="10"/>
      <name val="Symbol"/>
      <family val="1"/>
      <charset val="2"/>
    </font>
    <font>
      <u/>
      <sz val="10"/>
      <name val="Symbol"/>
      <family val="1"/>
      <charset val="2"/>
    </font>
    <font>
      <b/>
      <sz val="10"/>
      <color indexed="10"/>
      <name val="Arial"/>
      <family val="2"/>
    </font>
    <font>
      <b/>
      <sz val="8"/>
      <color indexed="12"/>
      <name val="Geneva"/>
    </font>
    <font>
      <u val="doubleAccounting"/>
      <sz val="10"/>
      <name val="Arial"/>
      <family val="2"/>
    </font>
    <font>
      <sz val="10"/>
      <color indexed="10"/>
      <name val="Arial"/>
      <family val="2"/>
    </font>
    <font>
      <sz val="8"/>
      <color indexed="10"/>
      <name val="Geneva"/>
    </font>
    <font>
      <b/>
      <i/>
      <sz val="10"/>
      <name val="Arial"/>
      <family val="2"/>
    </font>
    <font>
      <sz val="10"/>
      <color indexed="8"/>
      <name val="Arial"/>
      <family val="2"/>
    </font>
    <font>
      <u val="doubleAccounting"/>
      <sz val="10"/>
      <color indexed="12"/>
      <name val="Arial"/>
      <family val="2"/>
    </font>
    <font>
      <b/>
      <sz val="8"/>
      <color indexed="10"/>
      <name val="Geneva"/>
    </font>
    <font>
      <sz val="10"/>
      <color rgb="FF0000FF"/>
      <name val="Arial"/>
      <family val="2"/>
    </font>
    <font>
      <b/>
      <sz val="8"/>
      <color indexed="81"/>
      <name val="Tahoma"/>
      <family val="2"/>
    </font>
    <font>
      <sz val="8"/>
      <color rgb="FF0000FF"/>
      <name val="Geneva"/>
    </font>
    <font>
      <sz val="10"/>
      <color theme="0"/>
      <name val="Arial"/>
      <family val="2"/>
    </font>
    <font>
      <sz val="10"/>
      <name val="Geneva"/>
    </font>
    <font>
      <sz val="9"/>
      <color rgb="FF0000FF"/>
      <name val="Geneva"/>
    </font>
    <font>
      <u val="singleAccounting"/>
      <sz val="9"/>
      <color indexed="39"/>
      <name val="Geneva"/>
    </font>
    <font>
      <u val="singleAccounting"/>
      <sz val="9"/>
      <color rgb="FF0000FF"/>
      <name val="Geneva"/>
    </font>
    <font>
      <sz val="12"/>
      <name val="Arial"/>
      <family val="2"/>
    </font>
    <font>
      <sz val="11"/>
      <color indexed="8"/>
      <name val="Calibri"/>
      <family val="2"/>
    </font>
    <font>
      <sz val="12"/>
      <color theme="1"/>
      <name val="Times New Roman"/>
      <family val="2"/>
    </font>
    <font>
      <sz val="12"/>
      <name val="Times New Roman"/>
      <family val="1"/>
    </font>
    <font>
      <sz val="8"/>
      <color indexed="56"/>
      <name val="Arial"/>
      <family val="2"/>
    </font>
    <font>
      <sz val="10"/>
      <name val="MS Sans Serif"/>
      <family val="2"/>
    </font>
    <font>
      <b/>
      <sz val="10"/>
      <name val="MS Sans Serif"/>
      <family val="2"/>
    </font>
    <font>
      <sz val="12"/>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sz val="10"/>
      <color theme="6" tint="-0.249977111117893"/>
      <name val="Arial"/>
      <family val="2"/>
    </font>
    <font>
      <sz val="12"/>
      <color indexed="10"/>
      <name val="Times New Roman"/>
      <family val="1"/>
    </font>
    <font>
      <b/>
      <u/>
      <sz val="12"/>
      <name val="Arial"/>
      <family val="2"/>
    </font>
    <font>
      <sz val="10"/>
      <color theme="1"/>
      <name val="Arial"/>
      <family val="2"/>
    </font>
    <font>
      <sz val="10"/>
      <color indexed="60"/>
      <name val="Arial"/>
      <family val="2"/>
    </font>
    <font>
      <b/>
      <sz val="14"/>
      <name val="Arial"/>
      <family val="2"/>
    </font>
    <font>
      <sz val="8"/>
      <color rgb="FF00B050"/>
      <name val="Geneva"/>
    </font>
    <font>
      <sz val="8"/>
      <color theme="1"/>
      <name val="Calibri"/>
      <family val="2"/>
      <scheme val="minor"/>
    </font>
    <font>
      <sz val="9"/>
      <name val="Courier"/>
      <family val="3"/>
    </font>
    <font>
      <sz val="9"/>
      <color indexed="81"/>
      <name val="Tahoma"/>
      <family val="2"/>
    </font>
    <font>
      <b/>
      <sz val="9"/>
      <color indexed="81"/>
      <name val="Tahoma"/>
      <family val="2"/>
    </font>
    <font>
      <b/>
      <sz val="11"/>
      <color theme="3"/>
      <name val="Calibri"/>
      <family val="2"/>
    </font>
    <font>
      <b/>
      <sz val="22"/>
      <color indexed="8"/>
      <name val="Times New Roman"/>
      <family val="1"/>
    </font>
    <font>
      <b/>
      <sz val="11"/>
      <color indexed="16"/>
      <name val="Times New Roman"/>
      <family val="1"/>
    </font>
    <font>
      <b/>
      <i/>
      <sz val="11"/>
      <color indexed="8"/>
      <name val="Times New Roman"/>
      <family val="1"/>
    </font>
    <font>
      <b/>
      <sz val="10"/>
      <color indexed="8"/>
      <name val="Arial"/>
      <family val="2"/>
    </font>
    <font>
      <b/>
      <sz val="8"/>
      <color indexed="8"/>
      <name val="Arial"/>
      <family val="2"/>
    </font>
    <font>
      <b/>
      <sz val="8"/>
      <color indexed="8"/>
      <name val="Courier New"/>
      <family val="3"/>
    </font>
    <font>
      <u/>
      <sz val="10"/>
      <color indexed="12"/>
      <name val="Arial"/>
      <family val="2"/>
    </font>
    <font>
      <sz val="11"/>
      <color indexed="8"/>
      <name val="Times New Roman"/>
      <family val="1"/>
    </font>
    <font>
      <b/>
      <sz val="12"/>
      <color indexed="8"/>
      <name val="Arial"/>
      <family val="2"/>
    </font>
    <font>
      <sz val="8"/>
      <color indexed="8"/>
      <name val="Arial"/>
      <family val="2"/>
    </font>
    <font>
      <sz val="8"/>
      <color indexed="12"/>
      <name val="Arial"/>
      <family val="2"/>
    </font>
    <font>
      <sz val="8"/>
      <color indexed="8"/>
      <name val="Wingdings"/>
      <charset val="2"/>
    </font>
    <font>
      <sz val="11"/>
      <color indexed="9"/>
      <name val="Calibri"/>
      <family val="2"/>
    </font>
    <font>
      <sz val="10"/>
      <color indexed="9"/>
      <name val="Arial"/>
      <family val="2"/>
    </font>
    <font>
      <sz val="11"/>
      <color indexed="20"/>
      <name val="Calibri"/>
      <family val="2"/>
      <scheme val="minor"/>
    </font>
    <font>
      <sz val="11"/>
      <color indexed="20"/>
      <name val="Calibri"/>
      <family val="2"/>
    </font>
    <font>
      <b/>
      <sz val="11"/>
      <color indexed="52"/>
      <name val="Calibri"/>
      <family val="2"/>
    </font>
    <font>
      <b/>
      <sz val="8"/>
      <name val="Arial"/>
      <family val="2"/>
    </font>
    <font>
      <b/>
      <sz val="11"/>
      <color indexed="9"/>
      <name val="Calibri"/>
      <family val="2"/>
    </font>
    <font>
      <b/>
      <sz val="9.75"/>
      <name val="Abadi MT Condensed"/>
      <family val="2"/>
    </font>
    <font>
      <sz val="8"/>
      <name val="Palatino"/>
      <family val="1"/>
    </font>
    <font>
      <sz val="9"/>
      <name val="Times New Roman"/>
      <family val="1"/>
    </font>
    <font>
      <u val="singleAccounting"/>
      <sz val="9"/>
      <name val="Times New Roman"/>
      <family val="1"/>
    </font>
    <font>
      <sz val="8"/>
      <color indexed="8"/>
      <name val="Calibri"/>
      <family val="2"/>
    </font>
    <font>
      <sz val="7.2"/>
      <color indexed="8"/>
      <name val="Arial"/>
      <family val="2"/>
    </font>
    <font>
      <sz val="10"/>
      <name val="Tahoma"/>
      <family val="2"/>
    </font>
    <font>
      <b/>
      <sz val="13"/>
      <name val="Arial"/>
      <family val="2"/>
    </font>
    <font>
      <sz val="9"/>
      <name val="StoneSerif"/>
    </font>
    <font>
      <b/>
      <sz val="10"/>
      <color indexed="55"/>
      <name val="Arial"/>
      <family val="2"/>
    </font>
    <font>
      <i/>
      <sz val="11"/>
      <color indexed="23"/>
      <name val="Calibri"/>
      <family val="2"/>
    </font>
    <font>
      <sz val="10"/>
      <color indexed="0"/>
      <name val="Arial"/>
      <family val="2"/>
    </font>
    <font>
      <sz val="11"/>
      <color indexed="17"/>
      <name val="Calibri"/>
      <family val="2"/>
    </font>
    <font>
      <b/>
      <sz val="15"/>
      <color indexed="56"/>
      <name val="Calibri"/>
      <family val="2"/>
      <scheme val="minor"/>
    </font>
    <font>
      <b/>
      <sz val="15"/>
      <color indexed="56"/>
      <name val="Calibri"/>
      <family val="2"/>
    </font>
    <font>
      <b/>
      <sz val="13"/>
      <color indexed="56"/>
      <name val="Calibri"/>
      <family val="2"/>
      <scheme val="minor"/>
    </font>
    <font>
      <b/>
      <sz val="13"/>
      <color indexed="56"/>
      <name val="Calibri"/>
      <family val="2"/>
    </font>
    <font>
      <b/>
      <sz val="11"/>
      <color indexed="56"/>
      <name val="Calibri"/>
      <family val="2"/>
      <scheme val="minor"/>
    </font>
    <font>
      <b/>
      <sz val="11"/>
      <color indexed="56"/>
      <name val="Calibri"/>
      <family val="2"/>
    </font>
    <font>
      <u/>
      <sz val="10"/>
      <color indexed="12"/>
      <name val="Arial Black"/>
      <family val="2"/>
    </font>
    <font>
      <sz val="11"/>
      <color indexed="62"/>
      <name val="Calibri"/>
      <family val="2"/>
    </font>
    <font>
      <sz val="11"/>
      <color indexed="52"/>
      <name val="Calibri"/>
      <family val="2"/>
    </font>
    <font>
      <sz val="11"/>
      <color indexed="60"/>
      <name val="Calibri"/>
      <family val="2"/>
    </font>
    <font>
      <sz val="10"/>
      <color indexed="8"/>
      <name val="MS Sans Serif"/>
      <family val="2"/>
    </font>
    <font>
      <b/>
      <sz val="11"/>
      <color indexed="63"/>
      <name val="Calibri"/>
      <family val="2"/>
    </font>
    <font>
      <sz val="11"/>
      <name val="Abadi MT Condensed Extra Bold"/>
      <family val="2"/>
    </font>
    <font>
      <sz val="10"/>
      <name val="Abadi MT Condensed"/>
      <family val="2"/>
    </font>
    <font>
      <sz val="8"/>
      <color rgb="FF000000"/>
      <name val="Arial"/>
      <family val="2"/>
    </font>
    <font>
      <b/>
      <i/>
      <sz val="12"/>
      <color indexed="4"/>
      <name val="Arial"/>
      <family val="2"/>
    </font>
    <font>
      <b/>
      <sz val="12"/>
      <color rgb="FF000000"/>
      <name val="Arial"/>
      <family val="2"/>
    </font>
    <font>
      <b/>
      <sz val="16"/>
      <color indexed="0"/>
      <name val="Calibri"/>
      <family val="2"/>
    </font>
    <font>
      <b/>
      <i/>
      <sz val="9"/>
      <color indexed="0"/>
      <name val="Arial"/>
      <family val="2"/>
    </font>
    <font>
      <b/>
      <i/>
      <sz val="10"/>
      <color indexed="0"/>
      <name val="Arial"/>
      <family val="2"/>
    </font>
    <font>
      <b/>
      <sz val="8"/>
      <color rgb="FF000000"/>
      <name val="Arial"/>
      <family val="2"/>
    </font>
    <font>
      <sz val="9"/>
      <color rgb="FF000000"/>
      <name val="Arial"/>
      <family val="2"/>
    </font>
    <font>
      <b/>
      <i/>
      <sz val="14"/>
      <color indexed="0"/>
      <name val="Calibri"/>
      <family val="2"/>
    </font>
    <font>
      <b/>
      <sz val="12"/>
      <color indexed="0"/>
      <name val="Times New Roman"/>
      <family val="1"/>
    </font>
    <font>
      <b/>
      <sz val="10"/>
      <color indexed="0"/>
      <name val="Arial"/>
      <family val="2"/>
    </font>
    <font>
      <i/>
      <sz val="9"/>
      <color indexed="0"/>
      <name val="Arial"/>
      <family val="2"/>
    </font>
    <font>
      <b/>
      <sz val="12"/>
      <color indexed="0"/>
      <name val="Calibri"/>
      <family val="2"/>
    </font>
    <font>
      <b/>
      <sz val="12"/>
      <color indexed="2"/>
      <name val="Calibri"/>
      <family val="2"/>
    </font>
    <font>
      <sz val="22"/>
      <color indexed="18"/>
      <name val="Abadi MT Condensed Extra Bold"/>
      <family val="2"/>
    </font>
    <font>
      <b/>
      <sz val="18"/>
      <color indexed="56"/>
      <name val="Cambria"/>
      <family val="2"/>
      <scheme val="major"/>
    </font>
    <font>
      <b/>
      <sz val="18"/>
      <color indexed="56"/>
      <name val="Cambria"/>
      <family val="2"/>
    </font>
    <font>
      <b/>
      <sz val="11"/>
      <color indexed="8"/>
      <name val="Calibri"/>
      <family val="2"/>
    </font>
    <font>
      <sz val="11"/>
      <color indexed="10"/>
      <name val="Calibri"/>
      <family val="2"/>
    </font>
    <font>
      <sz val="10"/>
      <name val="Helv"/>
    </font>
    <font>
      <sz val="11"/>
      <color theme="1"/>
      <name val="Calibri"/>
      <family val="2"/>
    </font>
    <font>
      <strike/>
      <sz val="10"/>
      <name val="Arial"/>
      <family val="2"/>
    </font>
    <font>
      <strike/>
      <sz val="10"/>
      <color indexed="39"/>
      <name val="Arial"/>
      <family val="2"/>
    </font>
    <font>
      <strike/>
      <sz val="10"/>
      <color rgb="FF0000FF"/>
      <name val="Arial"/>
      <family val="2"/>
    </font>
    <font>
      <strike/>
      <sz val="10"/>
      <color rgb="FFFF0000"/>
      <name val="Arial"/>
      <family val="2"/>
    </font>
    <font>
      <strike/>
      <u/>
      <sz val="10"/>
      <name val="Arial"/>
      <family val="2"/>
    </font>
    <font>
      <sz val="8"/>
      <color rgb="FF333333"/>
      <name val="Arial"/>
      <family val="2"/>
    </font>
    <font>
      <sz val="8"/>
      <color rgb="FF454545"/>
      <name val="Arial"/>
      <family val="2"/>
    </font>
    <font>
      <sz val="10"/>
      <color rgb="FF454545"/>
      <name val="Arial"/>
      <family val="2"/>
    </font>
    <font>
      <b/>
      <sz val="8"/>
      <color rgb="FF444444"/>
      <name val="Arial"/>
      <family val="2"/>
    </font>
    <font>
      <b/>
      <sz val="8"/>
      <color rgb="FF31455E"/>
      <name val="Arial"/>
      <family val="2"/>
    </font>
    <font>
      <b/>
      <sz val="8"/>
      <color rgb="FF222222"/>
      <name val="Arial"/>
      <family val="2"/>
    </font>
    <font>
      <sz val="11"/>
      <color rgb="FF0000FF"/>
      <name val="Calibri"/>
      <family val="2"/>
      <scheme val="minor"/>
    </font>
    <font>
      <sz val="11"/>
      <name val="Calibri"/>
      <family val="2"/>
      <scheme val="minor"/>
    </font>
    <font>
      <b/>
      <sz val="10"/>
      <color rgb="FF0000FF"/>
      <name val="Arial"/>
      <family val="2"/>
    </font>
    <font>
      <b/>
      <u/>
      <sz val="10"/>
      <name val="Helvetica"/>
    </font>
    <font>
      <sz val="10"/>
      <name val="Helvetica"/>
    </font>
    <font>
      <sz val="11"/>
      <name val="Calibri"/>
      <family val="2"/>
    </font>
    <font>
      <b/>
      <sz val="12"/>
      <name val="Times New Roman"/>
      <family val="1"/>
    </font>
    <font>
      <sz val="11"/>
      <name val="Times New Roman"/>
      <family val="1"/>
    </font>
  </fonts>
  <fills count="86">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11"/>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65"/>
        <bgColor indexed="64"/>
      </patternFill>
    </fill>
    <fill>
      <patternFill patternType="mediumGray">
        <fgColor indexed="22"/>
      </patternFill>
    </fill>
    <fill>
      <patternFill patternType="solid">
        <fgColor indexed="5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theme="6" tint="0.39997558519241921"/>
        <bgColor indexed="64"/>
      </patternFill>
    </fill>
    <fill>
      <patternFill patternType="solid">
        <fgColor indexed="9"/>
        <bgColor indexed="64"/>
      </patternFill>
    </fill>
    <fill>
      <patternFill patternType="solid">
        <fgColor indexed="9"/>
      </patternFill>
    </fill>
    <fill>
      <patternFill patternType="solid">
        <fgColor indexed="2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0"/>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BFBFBF"/>
        <bgColor indexed="64"/>
      </patternFill>
    </fill>
    <fill>
      <patternFill patternType="solid">
        <fgColor indexed="8"/>
      </patternFill>
    </fill>
    <fill>
      <patternFill patternType="solid">
        <fgColor indexed="22"/>
        <bgColor indexed="64"/>
      </patternFill>
    </fill>
    <fill>
      <patternFill patternType="solid">
        <fgColor indexed="51"/>
        <bgColor indexed="64"/>
      </patternFill>
    </fill>
    <fill>
      <patternFill patternType="solid">
        <fgColor rgb="FFEBF19D"/>
        <bgColor indexed="64"/>
      </patternFill>
    </fill>
    <fill>
      <patternFill patternType="solid">
        <fgColor rgb="FFE7E5E5"/>
      </patternFill>
    </fill>
    <fill>
      <patternFill patternType="solid">
        <fgColor rgb="FFFFFFFF"/>
      </patternFill>
    </fill>
    <fill>
      <patternFill patternType="solid">
        <fgColor rgb="FFDEE6F2"/>
      </patternFill>
    </fill>
    <fill>
      <patternFill patternType="solid">
        <fgColor rgb="FFBDDAF3"/>
      </patternFill>
    </fill>
    <fill>
      <patternFill patternType="solid">
        <fgColor rgb="FFEFF3F7"/>
      </patternFill>
    </fill>
    <fill>
      <patternFill patternType="solid">
        <fgColor theme="5" tint="0.59999389629810485"/>
        <bgColor indexed="64"/>
      </patternFill>
    </fill>
    <fill>
      <patternFill patternType="solid">
        <fgColor theme="5" tint="0.79998168889431442"/>
        <bgColor indexed="64"/>
      </patternFill>
    </fill>
  </fills>
  <borders count="81">
    <border>
      <left/>
      <right/>
      <top/>
      <bottom/>
      <diagonal/>
    </border>
    <border>
      <left/>
      <right/>
      <top/>
      <bottom style="thin">
        <color indexed="64"/>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style="medium">
        <color indexed="8"/>
      </right>
      <top/>
      <bottom style="thin">
        <color indexed="8"/>
      </bottom>
      <diagonal/>
    </border>
    <border>
      <left style="medium">
        <color indexed="8"/>
      </left>
      <right/>
      <top/>
      <bottom/>
      <diagonal/>
    </border>
    <border>
      <left style="thin">
        <color indexed="8"/>
      </left>
      <right style="thin">
        <color indexed="8"/>
      </right>
      <top/>
      <bottom/>
      <diagonal/>
    </border>
    <border>
      <left/>
      <right style="thin">
        <color indexed="8"/>
      </right>
      <top/>
      <bottom/>
      <diagonal/>
    </border>
    <border>
      <left/>
      <right style="medium">
        <color indexed="8"/>
      </right>
      <top/>
      <bottom/>
      <diagonal/>
    </border>
    <border>
      <left style="medium">
        <color indexed="8"/>
      </left>
      <right/>
      <top style="double">
        <color indexed="8"/>
      </top>
      <bottom style="medium">
        <color indexed="8"/>
      </bottom>
      <diagonal/>
    </border>
    <border>
      <left style="thin">
        <color indexed="8"/>
      </left>
      <right style="thin">
        <color indexed="8"/>
      </right>
      <top style="double">
        <color indexed="8"/>
      </top>
      <bottom style="medium">
        <color indexed="8"/>
      </bottom>
      <diagonal/>
    </border>
    <border>
      <left/>
      <right style="thin">
        <color indexed="8"/>
      </right>
      <top style="double">
        <color indexed="8"/>
      </top>
      <bottom style="medium">
        <color indexed="8"/>
      </bottom>
      <diagonal/>
    </border>
    <border>
      <left/>
      <right style="medium">
        <color indexed="8"/>
      </right>
      <top style="double">
        <color indexed="8"/>
      </top>
      <bottom style="medium">
        <color indexed="8"/>
      </bottom>
      <diagonal/>
    </border>
    <border>
      <left/>
      <right/>
      <top style="double">
        <color indexed="8"/>
      </top>
      <bottom style="medium">
        <color indexed="8"/>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8"/>
      </left>
      <right style="thin">
        <color indexed="8"/>
      </right>
      <top/>
      <bottom style="medium">
        <color indexed="64"/>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bottom/>
      <diagonal/>
    </border>
    <border>
      <left style="medium">
        <color rgb="FFC0C0C0"/>
      </left>
      <right style="medium">
        <color rgb="FFC0C0C0"/>
      </right>
      <top/>
      <bottom style="medium">
        <color rgb="FFC0C0C0"/>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right/>
      <top/>
      <bottom style="medium">
        <color rgb="FF93B1CD"/>
      </bottom>
      <diagonal/>
    </border>
    <border>
      <left/>
      <right style="medium">
        <color rgb="FF93B1CD"/>
      </right>
      <top/>
      <bottom style="medium">
        <color rgb="FF93B1CD"/>
      </bottom>
      <diagonal/>
    </border>
    <border>
      <left style="medium">
        <color rgb="FFE1E6EC"/>
      </left>
      <right style="medium">
        <color rgb="FFE1E6EC"/>
      </right>
      <top/>
      <bottom style="medium">
        <color rgb="FFE1E6EC"/>
      </bottom>
      <diagonal/>
    </border>
    <border>
      <left style="medium">
        <color rgb="FFC0C0C0"/>
      </left>
      <right style="medium">
        <color rgb="FFC0C0C0"/>
      </right>
      <top style="medium">
        <color rgb="FFC0C0C0"/>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43230">
    <xf numFmtId="0" fontId="0"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alignment readingOrder="1"/>
    </xf>
    <xf numFmtId="0" fontId="61" fillId="0" borderId="0"/>
    <xf numFmtId="40" fontId="61" fillId="0" borderId="0" applyFont="0" applyFill="0" applyBorder="0" applyAlignment="0" applyProtection="0"/>
    <xf numFmtId="8" fontId="61" fillId="0" borderId="0" applyFont="0" applyFill="0" applyBorder="0" applyAlignment="0" applyProtection="0"/>
    <xf numFmtId="9" fontId="61" fillId="0" borderId="0" applyFont="0" applyFill="0" applyBorder="0" applyAlignment="0" applyProtection="0"/>
    <xf numFmtId="41" fontId="11"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0" fontId="35" fillId="0" borderId="0"/>
    <xf numFmtId="43" fontId="11"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43" fontId="65" fillId="0" borderId="0" applyFont="0" applyFill="0" applyBorder="0" applyAlignment="0" applyProtection="0"/>
    <xf numFmtId="44" fontId="11" fillId="0" borderId="0" applyFont="0" applyFill="0" applyBorder="0" applyAlignment="0" applyProtection="0"/>
    <xf numFmtId="44" fontId="65"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0" fontId="65" fillId="0" borderId="0"/>
    <xf numFmtId="0" fontId="66" fillId="0" borderId="0"/>
    <xf numFmtId="0" fontId="35" fillId="0" borderId="0"/>
    <xf numFmtId="0" fontId="65" fillId="0" borderId="0"/>
    <xf numFmtId="0" fontId="35" fillId="0" borderId="0"/>
    <xf numFmtId="0" fontId="11" fillId="0" borderId="0"/>
    <xf numFmtId="0" fontId="11" fillId="0" borderId="0"/>
    <xf numFmtId="0" fontId="67" fillId="0" borderId="0"/>
    <xf numFmtId="0" fontId="11" fillId="0" borderId="0"/>
    <xf numFmtId="9" fontId="35" fillId="0" borderId="0" applyFont="0" applyFill="0" applyBorder="0" applyAlignment="0" applyProtection="0"/>
    <xf numFmtId="9" fontId="68" fillId="0" borderId="0" applyFont="0" applyFill="0" applyBorder="0" applyAlignment="0" applyProtection="0"/>
    <xf numFmtId="9" fontId="11" fillId="0" borderId="0" applyFont="0" applyFill="0" applyBorder="0" applyAlignment="0" applyProtection="0"/>
    <xf numFmtId="9" fontId="65" fillId="0" borderId="0" applyFont="0" applyFill="0" applyBorder="0" applyAlignment="0" applyProtection="0"/>
    <xf numFmtId="38" fontId="69" fillId="0" borderId="0" applyNumberFormat="0" applyFont="0" applyFill="0" applyBorder="0">
      <alignment horizontal="left" indent="4"/>
      <protection locked="0"/>
    </xf>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71" fillId="0" borderId="3">
      <alignment horizontal="center"/>
    </xf>
    <xf numFmtId="3" fontId="70" fillId="0" borderId="0" applyFont="0" applyFill="0" applyBorder="0" applyAlignment="0" applyProtection="0"/>
    <xf numFmtId="0" fontId="70" fillId="13" borderId="0" applyNumberFormat="0" applyFont="0" applyBorder="0" applyAlignment="0" applyProtection="0"/>
    <xf numFmtId="164" fontId="65" fillId="2" borderId="0" applyFont="0" applyFill="0" applyBorder="0" applyAlignment="0" applyProtection="0">
      <alignment wrapText="1"/>
    </xf>
    <xf numFmtId="0" fontId="11" fillId="14" borderId="0" applyNumberFormat="0" applyFont="0" applyFill="0" applyBorder="0" applyAlignment="0" applyProtection="0"/>
    <xf numFmtId="0" fontId="73" fillId="0" borderId="0" applyNumberFormat="0" applyFill="0" applyBorder="0" applyAlignment="0" applyProtection="0"/>
    <xf numFmtId="0" fontId="74" fillId="0" borderId="40" applyNumberFormat="0" applyFill="0" applyAlignment="0" applyProtection="0"/>
    <xf numFmtId="0" fontId="75" fillId="0" borderId="41" applyNumberFormat="0" applyFill="0" applyAlignment="0" applyProtection="0"/>
    <xf numFmtId="0" fontId="76" fillId="0" borderId="42" applyNumberFormat="0" applyFill="0" applyAlignment="0" applyProtection="0"/>
    <xf numFmtId="0" fontId="76" fillId="0" borderId="0" applyNumberFormat="0" applyFill="0" applyBorder="0" applyAlignment="0" applyProtection="0"/>
    <xf numFmtId="0" fontId="77" fillId="15" borderId="0" applyNumberFormat="0" applyBorder="0" applyAlignment="0" applyProtection="0"/>
    <xf numFmtId="0" fontId="78" fillId="16" borderId="0" applyNumberFormat="0" applyBorder="0" applyAlignment="0" applyProtection="0"/>
    <xf numFmtId="0" fontId="79" fillId="17" borderId="0" applyNumberFormat="0" applyBorder="0" applyAlignment="0" applyProtection="0"/>
    <xf numFmtId="0" fontId="80" fillId="18" borderId="43" applyNumberFormat="0" applyAlignment="0" applyProtection="0"/>
    <xf numFmtId="0" fontId="81" fillId="19" borderId="44" applyNumberFormat="0" applyAlignment="0" applyProtection="0"/>
    <xf numFmtId="0" fontId="82" fillId="19" borderId="43" applyNumberFormat="0" applyAlignment="0" applyProtection="0"/>
    <xf numFmtId="0" fontId="83" fillId="0" borderId="45" applyNumberFormat="0" applyFill="0" applyAlignment="0" applyProtection="0"/>
    <xf numFmtId="0" fontId="84" fillId="20" borderId="4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48" applyNumberFormat="0" applyFill="0" applyAlignment="0" applyProtection="0"/>
    <xf numFmtId="0" fontId="88"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88" fillId="45" borderId="0" applyNumberFormat="0" applyBorder="0" applyAlignment="0" applyProtection="0"/>
    <xf numFmtId="0" fontId="1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89" fillId="0" borderId="0"/>
    <xf numFmtId="43" fontId="65" fillId="0" borderId="0" applyFont="0" applyFill="0" applyBorder="0" applyAlignment="0" applyProtection="0"/>
    <xf numFmtId="44" fontId="65" fillId="0" borderId="0" applyFont="0" applyFill="0" applyBorder="0" applyAlignment="0" applyProtection="0"/>
    <xf numFmtId="9" fontId="35" fillId="0" borderId="0" applyFont="0" applyFill="0" applyBorder="0" applyAlignment="0" applyProtection="0"/>
    <xf numFmtId="0" fontId="9" fillId="0" borderId="0"/>
    <xf numFmtId="43" fontId="9" fillId="0" borderId="0" applyFont="0" applyFill="0" applyBorder="0" applyAlignment="0" applyProtection="0"/>
    <xf numFmtId="0" fontId="11" fillId="0" borderId="0"/>
    <xf numFmtId="43" fontId="9"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68" fillId="0" borderId="0"/>
    <xf numFmtId="0" fontId="91" fillId="4"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61" fillId="0" borderId="0"/>
    <xf numFmtId="9" fontId="1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3" fillId="0" borderId="0"/>
    <xf numFmtId="9" fontId="9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3" fontId="11" fillId="46" borderId="0" applyFont="0" applyFill="0" applyBorder="0" applyAlignment="0" applyProtection="0"/>
    <xf numFmtId="5" fontId="11" fillId="46" borderId="0" applyFont="0" applyFill="0" applyBorder="0" applyAlignment="0" applyProtection="0"/>
    <xf numFmtId="0" fontId="11" fillId="46" borderId="0" applyFont="0" applyFill="0" applyBorder="0" applyAlignment="0" applyProtection="0"/>
    <xf numFmtId="2" fontId="11" fillId="46" borderId="0" applyFont="0" applyFill="0" applyBorder="0" applyAlignment="0" applyProtection="0"/>
    <xf numFmtId="41" fontId="94" fillId="2" borderId="52">
      <alignment horizontal="left"/>
      <protection locked="0"/>
    </xf>
    <xf numFmtId="0" fontId="35" fillId="0" borderId="0"/>
    <xf numFmtId="44" fontId="35" fillId="0" borderId="0" applyFont="0" applyFill="0" applyBorder="0" applyAlignment="0" applyProtection="0"/>
    <xf numFmtId="44" fontId="11" fillId="0" borderId="0" applyFont="0" applyFill="0" applyBorder="0" applyAlignment="0" applyProtection="0"/>
    <xf numFmtId="9" fontId="61" fillId="0" borderId="0" applyFont="0" applyFill="0" applyBorder="0" applyAlignment="0" applyProtection="0"/>
    <xf numFmtId="9" fontId="93" fillId="0" borderId="0" applyFont="0" applyFill="0" applyBorder="0" applyAlignment="0" applyProtection="0"/>
    <xf numFmtId="43" fontId="61" fillId="0" borderId="0" applyFont="0" applyFill="0" applyBorder="0" applyAlignment="0" applyProtection="0"/>
    <xf numFmtId="0" fontId="93" fillId="0" borderId="0"/>
    <xf numFmtId="44" fontId="11" fillId="0" borderId="0" applyFont="0" applyFill="0" applyBorder="0" applyAlignment="0" applyProtection="0"/>
    <xf numFmtId="9" fontId="93"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3" fillId="0" borderId="0"/>
    <xf numFmtId="9" fontId="35"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35" fillId="0" borderId="0" applyFont="0" applyFill="0" applyBorder="0" applyAlignment="0" applyProtection="0"/>
    <xf numFmtId="0" fontId="61" fillId="0" borderId="0"/>
    <xf numFmtId="44" fontId="11" fillId="0" borderId="0" applyFont="0" applyFill="0" applyBorder="0" applyAlignment="0" applyProtection="0"/>
    <xf numFmtId="9" fontId="35" fillId="0" borderId="0" applyFont="0" applyFill="0" applyBorder="0" applyAlignment="0" applyProtection="0"/>
    <xf numFmtId="43" fontId="11" fillId="0" borderId="0" applyFont="0" applyFill="0" applyBorder="0" applyAlignment="0" applyProtection="0"/>
    <xf numFmtId="9" fontId="93" fillId="0" borderId="0" applyFont="0" applyFill="0" applyBorder="0" applyAlignment="0" applyProtection="0"/>
    <xf numFmtId="44" fontId="11" fillId="0" borderId="0" applyFont="0" applyFill="0" applyBorder="0" applyAlignment="0" applyProtection="0"/>
    <xf numFmtId="0" fontId="35" fillId="0" borderId="0"/>
    <xf numFmtId="9" fontId="9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93" fillId="0" borderId="0"/>
    <xf numFmtId="43" fontId="35"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3" fontId="61" fillId="0" borderId="0" applyFont="0" applyFill="0" applyBorder="0" applyAlignment="0" applyProtection="0"/>
    <xf numFmtId="9" fontId="93" fillId="0" borderId="0" applyFont="0" applyFill="0" applyBorder="0" applyAlignment="0" applyProtection="0"/>
    <xf numFmtId="0" fontId="35" fillId="0" borderId="0"/>
    <xf numFmtId="44" fontId="35" fillId="0" borderId="0" applyFont="0" applyFill="0" applyBorder="0" applyAlignment="0" applyProtection="0"/>
    <xf numFmtId="9" fontId="11" fillId="0" borderId="0" applyFont="0" applyFill="0" applyBorder="0" applyAlignment="0" applyProtection="0"/>
    <xf numFmtId="0" fontId="35" fillId="0" borderId="0"/>
    <xf numFmtId="44" fontId="35" fillId="0" borderId="0" applyFont="0" applyFill="0" applyBorder="0" applyAlignment="0" applyProtection="0"/>
    <xf numFmtId="0" fontId="93" fillId="0" borderId="0"/>
    <xf numFmtId="9" fontId="61" fillId="0" borderId="0" applyFont="0" applyFill="0" applyBorder="0" applyAlignment="0" applyProtection="0"/>
    <xf numFmtId="0" fontId="61" fillId="0" borderId="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9" fontId="93" fillId="0" borderId="0" applyFont="0" applyFill="0" applyBorder="0" applyAlignment="0" applyProtection="0"/>
    <xf numFmtId="43" fontId="35"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0" fontId="93" fillId="0" borderId="0"/>
    <xf numFmtId="44" fontId="11" fillId="0" borderId="0" applyFont="0" applyFill="0" applyBorder="0" applyAlignment="0" applyProtection="0"/>
    <xf numFmtId="0" fontId="93" fillId="0" borderId="0"/>
    <xf numFmtId="0" fontId="93" fillId="0" borderId="0"/>
    <xf numFmtId="44" fontId="11" fillId="0" borderId="0" applyFont="0" applyFill="0" applyBorder="0" applyAlignment="0" applyProtection="0"/>
    <xf numFmtId="0" fontId="9" fillId="0" borderId="0"/>
    <xf numFmtId="9" fontId="6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9" fontId="11" fillId="0" borderId="0" applyFont="0" applyFill="0" applyBorder="0" applyAlignment="0" applyProtection="0"/>
    <xf numFmtId="44" fontId="35" fillId="0" borderId="0" applyFont="0" applyFill="0" applyBorder="0" applyAlignment="0" applyProtection="0"/>
    <xf numFmtId="0" fontId="93" fillId="0" borderId="0"/>
    <xf numFmtId="9" fontId="93" fillId="0" borderId="0" applyFont="0" applyFill="0" applyBorder="0" applyAlignment="0" applyProtection="0"/>
    <xf numFmtId="9" fontId="61" fillId="0" borderId="0" applyFont="0" applyFill="0" applyBorder="0" applyAlignment="0" applyProtection="0"/>
    <xf numFmtId="0" fontId="9" fillId="0" borderId="0"/>
    <xf numFmtId="9" fontId="1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44" fontId="11" fillId="0" borderId="0" applyFont="0" applyFill="0" applyBorder="0" applyAlignment="0" applyProtection="0"/>
    <xf numFmtId="9" fontId="35" fillId="0" borderId="0" applyFont="0" applyFill="0" applyBorder="0" applyAlignment="0" applyProtection="0"/>
    <xf numFmtId="0" fontId="93" fillId="0" borderId="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0" fontId="93" fillId="0" borderId="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9" fontId="11"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4" fontId="11" fillId="0" borderId="0" applyFont="0" applyFill="0" applyBorder="0" applyAlignment="0" applyProtection="0"/>
    <xf numFmtId="9" fontId="35"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9" fontId="61" fillId="0" borderId="0" applyFont="0" applyFill="0" applyBorder="0" applyAlignment="0" applyProtection="0"/>
    <xf numFmtId="43" fontId="35" fillId="0" borderId="0" applyFont="0" applyFill="0" applyBorder="0" applyAlignment="0" applyProtection="0"/>
    <xf numFmtId="0" fontId="35" fillId="0" borderId="0"/>
    <xf numFmtId="0" fontId="11" fillId="0" borderId="0"/>
    <xf numFmtId="9"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43" fontId="61" fillId="0" borderId="0" applyFont="0" applyFill="0" applyBorder="0" applyAlignment="0" applyProtection="0"/>
    <xf numFmtId="43" fontId="11" fillId="0" borderId="0" applyFont="0" applyFill="0" applyBorder="0" applyAlignment="0" applyProtection="0"/>
    <xf numFmtId="0" fontId="61" fillId="0" borderId="0"/>
    <xf numFmtId="43" fontId="35" fillId="0" borderId="0" applyFont="0" applyFill="0" applyBorder="0" applyAlignment="0" applyProtection="0"/>
    <xf numFmtId="0" fontId="35" fillId="0" borderId="0"/>
    <xf numFmtId="0" fontId="11" fillId="0" borderId="0"/>
    <xf numFmtId="43" fontId="6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35" fillId="0" borderId="0"/>
    <xf numFmtId="0" fontId="11" fillId="0" borderId="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43" fontId="35" fillId="0" borderId="0" applyFont="0" applyFill="0" applyBorder="0" applyAlignment="0" applyProtection="0"/>
    <xf numFmtId="0" fontId="93" fillId="0" borderId="0"/>
    <xf numFmtId="44" fontId="11" fillId="0" borderId="0" applyFont="0" applyFill="0" applyBorder="0" applyAlignment="0" applyProtection="0"/>
    <xf numFmtId="43" fontId="11" fillId="0" borderId="0" applyFont="0" applyFill="0" applyBorder="0" applyAlignment="0" applyProtection="0"/>
    <xf numFmtId="0" fontId="9" fillId="0" borderId="0"/>
    <xf numFmtId="0" fontId="61"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1" fillId="0" borderId="0"/>
    <xf numFmtId="0" fontId="61" fillId="0" borderId="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3" fillId="0" borderId="0"/>
    <xf numFmtId="9" fontId="93"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9" fontId="11"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61" fillId="0" borderId="0"/>
    <xf numFmtId="44" fontId="11" fillId="0" borderId="0" applyFont="0" applyFill="0" applyBorder="0" applyAlignment="0" applyProtection="0"/>
    <xf numFmtId="0" fontId="61" fillId="0" borderId="0"/>
    <xf numFmtId="9" fontId="93" fillId="0" borderId="0" applyFont="0" applyFill="0" applyBorder="0" applyAlignment="0" applyProtection="0"/>
    <xf numFmtId="9" fontId="61" fillId="0" borderId="0" applyFont="0" applyFill="0" applyBorder="0" applyAlignment="0" applyProtection="0"/>
    <xf numFmtId="43" fontId="11" fillId="0" borderId="0" applyFont="0" applyFill="0" applyBorder="0" applyAlignment="0" applyProtection="0"/>
    <xf numFmtId="9" fontId="35" fillId="0" borderId="0" applyFont="0" applyFill="0" applyBorder="0" applyAlignment="0" applyProtection="0"/>
    <xf numFmtId="9" fontId="61" fillId="0" borderId="0" applyFont="0" applyFill="0" applyBorder="0" applyAlignment="0" applyProtection="0"/>
    <xf numFmtId="0" fontId="93" fillId="0" borderId="0"/>
    <xf numFmtId="43"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0" fontId="11" fillId="0" borderId="0"/>
    <xf numFmtId="44"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61" fillId="0" borderId="0"/>
    <xf numFmtId="43" fontId="1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61" fillId="0" borderId="0" applyFont="0" applyFill="0" applyBorder="0" applyAlignment="0" applyProtection="0"/>
    <xf numFmtId="0" fontId="35" fillId="0" borderId="0"/>
    <xf numFmtId="0" fontId="9" fillId="31" borderId="0" applyNumberFormat="0" applyBorder="0" applyAlignment="0" applyProtection="0"/>
    <xf numFmtId="0" fontId="9" fillId="32" borderId="0" applyNumberFormat="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9" fontId="11" fillId="0" borderId="0" applyFont="0" applyFill="0" applyBorder="0" applyAlignment="0" applyProtection="0"/>
    <xf numFmtId="0" fontId="61" fillId="0" borderId="0"/>
    <xf numFmtId="0" fontId="9" fillId="39" borderId="0" applyNumberFormat="0" applyBorder="0" applyAlignment="0" applyProtection="0"/>
    <xf numFmtId="0" fontId="9" fillId="40" borderId="0" applyNumberFormat="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43" fontId="35"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9" fontId="35"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93"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9" fontId="61" fillId="0" borderId="0" applyFont="0" applyFill="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9" fontId="1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61"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61" fillId="0" borderId="0"/>
    <xf numFmtId="0" fontId="11" fillId="0" borderId="0"/>
    <xf numFmtId="0" fontId="93" fillId="0" borderId="0"/>
    <xf numFmtId="0" fontId="9" fillId="23" borderId="0" applyNumberFormat="0" applyBorder="0" applyAlignment="0" applyProtection="0"/>
    <xf numFmtId="0" fontId="9" fillId="24" borderId="0" applyNumberFormat="0" applyBorder="0" applyAlignment="0" applyProtection="0"/>
    <xf numFmtId="9" fontId="6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0" fontId="61" fillId="0" borderId="0"/>
    <xf numFmtId="0" fontId="35" fillId="0" borderId="0"/>
    <xf numFmtId="0" fontId="9" fillId="39" borderId="0" applyNumberFormat="0" applyBorder="0" applyAlignment="0" applyProtection="0"/>
    <xf numFmtId="0" fontId="9" fillId="40" borderId="0" applyNumberFormat="0" applyBorder="0" applyAlignment="0" applyProtection="0"/>
    <xf numFmtId="0" fontId="61" fillId="0" borderId="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3" fillId="0" borderId="0"/>
    <xf numFmtId="0" fontId="9" fillId="23" borderId="0" applyNumberFormat="0" applyBorder="0" applyAlignment="0" applyProtection="0"/>
    <xf numFmtId="0" fontId="9" fillId="24" borderId="0" applyNumberFormat="0" applyBorder="0" applyAlignment="0" applyProtection="0"/>
    <xf numFmtId="43" fontId="61"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35" fillId="0" borderId="0"/>
    <xf numFmtId="0" fontId="9" fillId="31" borderId="0" applyNumberFormat="0" applyBorder="0" applyAlignment="0" applyProtection="0"/>
    <xf numFmtId="0" fontId="9" fillId="32" borderId="0" applyNumberFormat="0" applyBorder="0" applyAlignment="0" applyProtection="0"/>
    <xf numFmtId="44" fontId="11" fillId="0" borderId="0" applyFont="0" applyFill="0" applyBorder="0" applyAlignment="0" applyProtection="0"/>
    <xf numFmtId="0" fontId="61" fillId="0" borderId="0"/>
    <xf numFmtId="0" fontId="9" fillId="35" borderId="0" applyNumberFormat="0" applyBorder="0" applyAlignment="0" applyProtection="0"/>
    <xf numFmtId="0" fontId="9" fillId="36" borderId="0" applyNumberFormat="0" applyBorder="0" applyAlignment="0" applyProtection="0"/>
    <xf numFmtId="0" fontId="11" fillId="0" borderId="0"/>
    <xf numFmtId="0" fontId="9" fillId="39" borderId="0" applyNumberFormat="0" applyBorder="0" applyAlignment="0" applyProtection="0"/>
    <xf numFmtId="0" fontId="9" fillId="40" borderId="0" applyNumberFormat="0" applyBorder="0" applyAlignment="0" applyProtection="0"/>
    <xf numFmtId="43" fontId="11" fillId="0" borderId="0" applyFont="0" applyFill="0" applyBorder="0" applyAlignment="0" applyProtection="0"/>
    <xf numFmtId="9" fontId="93"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35" fillId="0" borderId="0"/>
    <xf numFmtId="0" fontId="9" fillId="27" borderId="0" applyNumberFormat="0" applyBorder="0" applyAlignment="0" applyProtection="0"/>
    <xf numFmtId="0" fontId="9" fillId="28" borderId="0" applyNumberFormat="0" applyBorder="0" applyAlignment="0" applyProtection="0"/>
    <xf numFmtId="0" fontId="11" fillId="0" borderId="0"/>
    <xf numFmtId="9"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9" fontId="61" fillId="0" borderId="0" applyFont="0" applyFill="0" applyBorder="0" applyAlignment="0" applyProtection="0"/>
    <xf numFmtId="9" fontId="35"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35"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3" fillId="0" borderId="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43" fontId="35"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1" fillId="0" borderId="0"/>
    <xf numFmtId="44" fontId="35" fillId="0" borderId="0" applyFont="0" applyFill="0" applyBorder="0" applyAlignment="0" applyProtection="0"/>
    <xf numFmtId="0" fontId="61" fillId="0" borderId="0"/>
    <xf numFmtId="43"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9" fontId="35" fillId="0" borderId="0" applyFont="0" applyFill="0" applyBorder="0" applyAlignment="0" applyProtection="0"/>
    <xf numFmtId="9" fontId="1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44" fontId="35"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0" fontId="93" fillId="0" borderId="0"/>
    <xf numFmtId="44" fontId="11"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61" fillId="0" borderId="0"/>
    <xf numFmtId="43"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61" fillId="0" borderId="0" applyFont="0" applyFill="0" applyBorder="0" applyAlignment="0" applyProtection="0"/>
    <xf numFmtId="0" fontId="35" fillId="0" borderId="0"/>
    <xf numFmtId="0" fontId="9" fillId="39" borderId="0" applyNumberFormat="0" applyBorder="0" applyAlignment="0" applyProtection="0"/>
    <xf numFmtId="0" fontId="9" fillId="40" borderId="0" applyNumberFormat="0" applyBorder="0" applyAlignment="0" applyProtection="0"/>
    <xf numFmtId="9" fontId="93" fillId="0" borderId="0" applyFont="0" applyFill="0" applyBorder="0" applyAlignment="0" applyProtection="0"/>
    <xf numFmtId="44" fontId="35" fillId="0" borderId="0" applyFont="0" applyFill="0" applyBorder="0" applyAlignment="0" applyProtection="0"/>
    <xf numFmtId="0" fontId="9" fillId="43" borderId="0" applyNumberFormat="0" applyBorder="0" applyAlignment="0" applyProtection="0"/>
    <xf numFmtId="0" fontId="9" fillId="44" borderId="0" applyNumberFormat="0" applyBorder="0" applyAlignment="0" applyProtection="0"/>
    <xf numFmtId="9" fontId="11"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0" fontId="61" fillId="0" borderId="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9" fontId="61" fillId="0" borderId="0" applyFont="0" applyFill="0" applyBorder="0" applyAlignment="0" applyProtection="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43" fontId="61" fillId="0" borderId="0" applyFont="0" applyFill="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4" fontId="35"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9" fontId="11"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43" fontId="35"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0" fontId="93" fillId="0" borderId="0"/>
    <xf numFmtId="44" fontId="11"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11" fillId="0" borderId="0" applyFon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35" fillId="0" borderId="0"/>
    <xf numFmtId="0" fontId="9" fillId="43" borderId="0" applyNumberFormat="0" applyBorder="0" applyAlignment="0" applyProtection="0"/>
    <xf numFmtId="0" fontId="9" fillId="44" borderId="0" applyNumberFormat="0" applyBorder="0" applyAlignment="0" applyProtection="0"/>
    <xf numFmtId="9" fontId="93" fillId="0" borderId="0" applyFont="0" applyFill="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0" borderId="0"/>
    <xf numFmtId="0" fontId="9" fillId="21" borderId="47" applyNumberFormat="0" applyFont="0" applyAlignment="0" applyProtection="0"/>
    <xf numFmtId="43" fontId="9" fillId="0" borderId="0" applyFont="0" applyFill="0" applyBorder="0" applyAlignment="0" applyProtection="0"/>
    <xf numFmtId="9" fontId="9" fillId="0" borderId="0" applyFont="0" applyFill="0" applyBorder="0" applyAlignment="0" applyProtection="0"/>
    <xf numFmtId="0" fontId="11" fillId="0" borderId="0"/>
    <xf numFmtId="0" fontId="11" fillId="0" borderId="0"/>
    <xf numFmtId="43" fontId="65" fillId="0" borderId="0" applyFont="0" applyFill="0" applyBorder="0" applyAlignment="0" applyProtection="0"/>
    <xf numFmtId="44" fontId="65" fillId="0" borderId="0" applyFont="0" applyFill="0" applyBorder="0" applyAlignment="0" applyProtection="0"/>
    <xf numFmtId="9" fontId="3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21" borderId="47" applyNumberFormat="0" applyFont="0" applyAlignment="0" applyProtection="0"/>
    <xf numFmtId="43" fontId="8" fillId="0" borderId="0" applyFont="0" applyFill="0" applyBorder="0" applyAlignment="0" applyProtection="0"/>
    <xf numFmtId="9" fontId="8" fillId="0" borderId="0" applyFont="0" applyFill="0" applyBorder="0" applyAlignment="0" applyProtection="0"/>
    <xf numFmtId="44" fontId="11"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98" fillId="0" borderId="0"/>
    <xf numFmtId="44" fontId="11" fillId="0" borderId="0" applyFont="0" applyFill="0" applyBorder="0" applyAlignment="0" applyProtection="0"/>
    <xf numFmtId="0" fontId="7" fillId="40"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1" fillId="0" borderId="0">
      <alignment readingOrder="1"/>
    </xf>
    <xf numFmtId="43" fontId="11" fillId="0" borderId="0" applyFont="0" applyFill="0" applyBorder="0" applyAlignment="0" applyProtection="0"/>
    <xf numFmtId="43" fontId="11" fillId="0" borderId="0" applyFont="0" applyFill="0" applyBorder="0" applyAlignment="0" applyProtection="0"/>
    <xf numFmtId="3" fontId="93" fillId="0" borderId="0"/>
    <xf numFmtId="3" fontId="93"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93" fillId="0" borderId="0"/>
    <xf numFmtId="3" fontId="93" fillId="0" borderId="0"/>
    <xf numFmtId="0" fontId="101" fillId="0" borderId="42" applyNumberFormat="0" applyFill="0" applyAlignment="0" applyProtection="0"/>
    <xf numFmtId="3" fontId="93" fillId="0" borderId="0"/>
    <xf numFmtId="3" fontId="93" fillId="0" borderId="0"/>
    <xf numFmtId="3" fontId="93" fillId="0" borderId="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0" fontId="102" fillId="0" borderId="0" applyBorder="0">
      <alignment horizontal="centerContinuous"/>
    </xf>
    <xf numFmtId="0" fontId="103" fillId="0" borderId="0" applyBorder="0">
      <alignment horizontal="centerContinuous"/>
    </xf>
    <xf numFmtId="0" fontId="104" fillId="48" borderId="0">
      <alignment horizontal="right"/>
    </xf>
    <xf numFmtId="0" fontId="103" fillId="48" borderId="9"/>
    <xf numFmtId="44" fontId="93" fillId="0" borderId="0" applyFont="0" applyFill="0" applyBorder="0" applyAlignment="0" applyProtection="0"/>
    <xf numFmtId="42" fontId="11" fillId="0" borderId="0" applyFont="0" applyFill="0" applyBorder="0" applyAlignment="0" applyProtection="0"/>
    <xf numFmtId="43" fontId="93" fillId="0" borderId="0" applyFont="0" applyFill="0" applyBorder="0" applyAlignment="0" applyProtection="0"/>
    <xf numFmtId="0" fontId="105" fillId="49" borderId="0">
      <alignment horizontal="left"/>
    </xf>
    <xf numFmtId="0" fontId="106" fillId="49" borderId="0">
      <alignment horizontal="right"/>
    </xf>
    <xf numFmtId="0" fontId="106" fillId="49" borderId="0">
      <alignment horizontal="center"/>
    </xf>
    <xf numFmtId="0" fontId="106" fillId="49" borderId="0">
      <alignment horizontal="right"/>
    </xf>
    <xf numFmtId="0" fontId="107" fillId="49" borderId="0">
      <alignment horizontal="left"/>
    </xf>
    <xf numFmtId="41"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2" fontId="68" fillId="0" borderId="0" applyFont="0" applyFill="0" applyBorder="0" applyAlignment="0" applyProtection="0"/>
    <xf numFmtId="9" fontId="93" fillId="0" borderId="0" applyFont="0" applyFill="0" applyBorder="0" applyAlignment="0" applyProtection="0"/>
    <xf numFmtId="0" fontId="7" fillId="28" borderId="0" applyNumberFormat="0" applyBorder="0" applyAlignment="0" applyProtection="0"/>
    <xf numFmtId="44" fontId="68" fillId="0" borderId="0" applyFont="0" applyFill="0" applyBorder="0" applyAlignment="0" applyProtection="0"/>
    <xf numFmtId="44" fontId="7" fillId="0" borderId="0" applyFont="0" applyFill="0" applyBorder="0" applyAlignment="0" applyProtection="0"/>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5" fillId="49" borderId="0">
      <alignment horizontal="left"/>
    </xf>
    <xf numFmtId="0" fontId="105" fillId="49" borderId="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0" fontId="109" fillId="48" borderId="0">
      <alignment horizontal="right"/>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8" fillId="0" borderId="0" applyFont="0" applyFill="0" applyBorder="0" applyAlignment="0" applyProtection="0"/>
    <xf numFmtId="0" fontId="105" fillId="49" borderId="0">
      <alignment horizontal="center"/>
    </xf>
    <xf numFmtId="49" fontId="110" fillId="49" borderId="0">
      <alignment horizontal="center"/>
    </xf>
    <xf numFmtId="0" fontId="106" fillId="49" borderId="0">
      <alignment horizontal="center"/>
    </xf>
    <xf numFmtId="0" fontId="106" fillId="49" borderId="0">
      <alignment horizontal="centerContinuous"/>
    </xf>
    <xf numFmtId="0" fontId="111" fillId="49" borderId="0">
      <alignment horizontal="left"/>
    </xf>
    <xf numFmtId="49" fontId="111" fillId="49" borderId="0">
      <alignment horizontal="center"/>
    </xf>
    <xf numFmtId="0" fontId="105" fillId="49" borderId="0">
      <alignment horizontal="left"/>
    </xf>
    <xf numFmtId="49" fontId="111" fillId="49" borderId="0">
      <alignment horizontal="left"/>
    </xf>
    <xf numFmtId="0" fontId="105" fillId="49" borderId="0">
      <alignment horizontal="centerContinuous"/>
    </xf>
    <xf numFmtId="0" fontId="105" fillId="49" borderId="0">
      <alignment horizontal="right"/>
    </xf>
    <xf numFmtId="49" fontId="105" fillId="49" borderId="0">
      <alignment horizontal="left"/>
    </xf>
    <xf numFmtId="0" fontId="106" fillId="49" borderId="0">
      <alignment horizontal="right"/>
    </xf>
    <xf numFmtId="0" fontId="111" fillId="50" borderId="0">
      <alignment horizontal="center"/>
    </xf>
    <xf numFmtId="0" fontId="112" fillId="50" borderId="0">
      <alignment horizontal="center"/>
    </xf>
    <xf numFmtId="0" fontId="113" fillId="49" borderId="0">
      <alignment horizontal="center"/>
    </xf>
    <xf numFmtId="0" fontId="11"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76" fillId="0" borderId="42" applyNumberFormat="0" applyFill="0" applyAlignment="0" applyProtection="0"/>
    <xf numFmtId="43" fontId="7" fillId="0" borderId="0" applyFont="0" applyFill="0" applyBorder="0" applyAlignment="0" applyProtection="0"/>
    <xf numFmtId="196" fontId="35" fillId="3" borderId="0" applyFont="0" applyFill="0" applyBorder="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8" fillId="0" borderId="0"/>
    <xf numFmtId="43" fontId="68" fillId="0" borderId="0" applyFont="0" applyFill="0" applyBorder="0" applyAlignment="0" applyProtection="0"/>
    <xf numFmtId="41" fontId="68" fillId="0" borderId="0" applyFont="0" applyFill="0" applyBorder="0" applyAlignment="0" applyProtection="0"/>
    <xf numFmtId="44" fontId="68" fillId="0" borderId="0" applyFont="0" applyFill="0" applyBorder="0" applyAlignment="0" applyProtection="0"/>
    <xf numFmtId="42" fontId="68" fillId="0" borderId="0" applyFont="0" applyFill="0" applyBorder="0" applyAlignment="0" applyProtection="0"/>
    <xf numFmtId="9" fontId="68" fillId="0" borderId="0" applyFont="0" applyFill="0" applyBorder="0" applyAlignment="0" applyProtection="0"/>
    <xf numFmtId="0" fontId="7" fillId="0" borderId="0"/>
    <xf numFmtId="0" fontId="54" fillId="0" borderId="0">
      <alignment vertical="top"/>
    </xf>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66"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66"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66"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66"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66" fillId="55"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66" fillId="56"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66"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66" fillId="5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66"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66"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66" fillId="57"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0" fontId="66" fillId="60"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61" borderId="0" applyNumberFormat="0" applyBorder="0" applyAlignment="0" applyProtection="0"/>
    <xf numFmtId="0" fontId="114" fillId="61"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114" fillId="58"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59" borderId="0" applyNumberFormat="0" applyBorder="0" applyAlignment="0" applyProtection="0"/>
    <xf numFmtId="0" fontId="114" fillId="59"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8" fillId="62" borderId="0" applyNumberFormat="0" applyBorder="0" applyAlignment="0" applyProtection="0"/>
    <xf numFmtId="0" fontId="114" fillId="62"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88" fillId="41" borderId="0" applyNumberFormat="0" applyBorder="0" applyAlignment="0" applyProtection="0"/>
    <xf numFmtId="0" fontId="114" fillId="63"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45" borderId="0" applyNumberFormat="0" applyBorder="0" applyAlignment="0" applyProtection="0"/>
    <xf numFmtId="0" fontId="88" fillId="64" borderId="0" applyNumberFormat="0" applyBorder="0" applyAlignment="0" applyProtection="0"/>
    <xf numFmtId="0" fontId="114" fillId="64"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65" borderId="0" applyNumberFormat="0" applyBorder="0" applyAlignment="0" applyProtection="0"/>
    <xf numFmtId="0" fontId="114" fillId="6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66" borderId="0" applyNumberFormat="0" applyBorder="0" applyAlignment="0" applyProtection="0"/>
    <xf numFmtId="0" fontId="114" fillId="66"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67" borderId="0" applyNumberFormat="0" applyBorder="0" applyAlignment="0" applyProtection="0"/>
    <xf numFmtId="0" fontId="114" fillId="67"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62" borderId="0" applyNumberFormat="0" applyBorder="0" applyAlignment="0" applyProtection="0"/>
    <xf numFmtId="0" fontId="114" fillId="62"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114" fillId="63"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88" fillId="42" borderId="0" applyNumberFormat="0" applyBorder="0" applyAlignment="0" applyProtection="0"/>
    <xf numFmtId="0" fontId="114" fillId="68" borderId="0" applyNumberFormat="0" applyBorder="0" applyAlignment="0" applyProtection="0"/>
    <xf numFmtId="199" fontId="115" fillId="69" borderId="0" applyNumberFormat="0" applyBorder="0" applyAlignment="0" applyProtection="0"/>
    <xf numFmtId="199" fontId="43" fillId="7" borderId="0" applyNumberFormat="0" applyBorder="0" applyAlignment="0" applyProtection="0"/>
    <xf numFmtId="199" fontId="43" fillId="7"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78" fillId="16" borderId="0" applyNumberFormat="0" applyBorder="0" applyAlignment="0" applyProtection="0"/>
    <xf numFmtId="0" fontId="116" fillId="16" borderId="0" applyNumberFormat="0" applyBorder="0" applyAlignment="0" applyProtection="0"/>
    <xf numFmtId="0" fontId="117" fillId="52" borderId="0" applyNumberFormat="0" applyBorder="0" applyAlignment="0" applyProtection="0"/>
    <xf numFmtId="0" fontId="35" fillId="0" borderId="0" applyFill="0" applyBorder="0" applyAlignment="0" applyProtection="0"/>
    <xf numFmtId="0" fontId="82" fillId="19" borderId="43" applyNumberFormat="0" applyAlignment="0" applyProtection="0"/>
    <xf numFmtId="0" fontId="82" fillId="19" borderId="43" applyNumberFormat="0" applyAlignment="0" applyProtection="0"/>
    <xf numFmtId="0" fontId="82" fillId="19" borderId="43" applyNumberFormat="0" applyAlignment="0" applyProtection="0"/>
    <xf numFmtId="0" fontId="82" fillId="70" borderId="43" applyNumberFormat="0" applyAlignment="0" applyProtection="0"/>
    <xf numFmtId="0" fontId="118" fillId="70" borderId="53" applyNumberFormat="0" applyAlignment="0" applyProtection="0"/>
    <xf numFmtId="0" fontId="119" fillId="0" borderId="0" applyFill="0" applyBorder="0" applyProtection="0">
      <alignment horizontal="center" vertical="center"/>
    </xf>
    <xf numFmtId="0" fontId="39" fillId="0" borderId="0" applyFill="0" applyBorder="0" applyProtection="0">
      <alignment horizontal="center"/>
      <protection locked="0"/>
    </xf>
    <xf numFmtId="0" fontId="119" fillId="0" borderId="0" applyFill="0" applyBorder="0" applyProtection="0">
      <alignment horizontal="center" vertical="center"/>
    </xf>
    <xf numFmtId="0" fontId="84" fillId="20" borderId="46" applyNumberFormat="0" applyAlignment="0" applyProtection="0"/>
    <xf numFmtId="0" fontId="84" fillId="20" borderId="46" applyNumberFormat="0" applyAlignment="0" applyProtection="0"/>
    <xf numFmtId="0" fontId="84" fillId="20" borderId="46" applyNumberFormat="0" applyAlignment="0" applyProtection="0"/>
    <xf numFmtId="0" fontId="120" fillId="71" borderId="54" applyNumberFormat="0" applyAlignment="0" applyProtection="0"/>
    <xf numFmtId="0" fontId="121" fillId="0" borderId="3">
      <alignment horizontal="center"/>
    </xf>
    <xf numFmtId="200" fontId="122" fillId="0" borderId="0" applyFont="0" applyFill="0" applyBorder="0" applyAlignment="0" applyProtection="0">
      <alignment horizontal="right"/>
    </xf>
    <xf numFmtId="201" fontId="123" fillId="0" borderId="0" applyFont="0" applyFill="0" applyBorder="0" applyAlignment="0" applyProtection="0"/>
    <xf numFmtId="202" fontId="124" fillId="0" borderId="0" applyFont="0" applyFill="0" applyBorder="0" applyAlignment="0" applyProtection="0"/>
    <xf numFmtId="203" fontId="1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4"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54" fillId="0" borderId="0" applyFont="0" applyFill="0" applyBorder="0" applyAlignment="0" applyProtection="0"/>
    <xf numFmtId="43" fontId="125" fillId="0" borderId="0" applyFont="0" applyFill="0" applyBorder="0" applyAlignment="0" applyProtection="0"/>
    <xf numFmtId="43" fontId="11" fillId="0" borderId="0" applyFont="0" applyFill="0" applyBorder="0" applyAlignment="0" applyProtection="0"/>
    <xf numFmtId="43" fontId="125"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66"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alignment vertical="top"/>
    </xf>
    <xf numFmtId="43" fontId="54" fillId="0" borderId="0" applyFont="0" applyFill="0" applyBorder="0" applyAlignment="0" applyProtection="0">
      <alignment vertical="top"/>
    </xf>
    <xf numFmtId="43" fontId="54" fillId="0" borderId="0" applyFont="0" applyFill="0" applyBorder="0" applyAlignment="0" applyProtection="0">
      <alignment vertical="top"/>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6" fillId="0" borderId="0" applyFont="0" applyFill="0" applyBorder="0" applyAlignment="0" applyProtection="0"/>
    <xf numFmtId="43" fontId="5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204" fontId="12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204" fontId="127" fillId="0" borderId="0" applyFont="0" applyFill="0" applyBorder="0" applyAlignment="0" applyProtection="0"/>
    <xf numFmtId="43" fontId="11"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4"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5" fontId="123" fillId="0" borderId="0">
      <protection locked="0"/>
    </xf>
    <xf numFmtId="0" fontId="128" fillId="0" borderId="0" applyFill="0" applyBorder="0" applyAlignment="0" applyProtection="0"/>
    <xf numFmtId="0" fontId="95" fillId="0" borderId="0" applyFill="0" applyBorder="0" applyAlignment="0" applyProtection="0">
      <protection locked="0"/>
    </xf>
    <xf numFmtId="0" fontId="128" fillId="0" borderId="0" applyFill="0" applyBorder="0" applyAlignment="0" applyProtection="0"/>
    <xf numFmtId="206" fontId="124" fillId="0" borderId="0" applyFont="0" applyFill="0" applyBorder="0" applyAlignment="0" applyProtection="0"/>
    <xf numFmtId="207" fontId="124" fillId="0" borderId="0" applyFont="0" applyFill="0" applyBorder="0" applyAlignment="0" applyProtection="0"/>
    <xf numFmtId="208" fontId="12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125"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5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5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09" fontId="123" fillId="0" borderId="0">
      <protection locked="0"/>
    </xf>
    <xf numFmtId="198" fontId="129" fillId="0" borderId="0" applyFont="0" applyFill="0" applyBorder="0" applyAlignment="0" applyProtection="0"/>
    <xf numFmtId="199" fontId="130" fillId="0" borderId="0" applyNumberFormat="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131" fillId="0" borderId="0" applyNumberFormat="0" applyFill="0" applyBorder="0" applyAlignment="0" applyProtection="0"/>
    <xf numFmtId="210" fontId="132" fillId="0" borderId="0"/>
    <xf numFmtId="211" fontId="132" fillId="0" borderId="0"/>
    <xf numFmtId="164" fontId="132" fillId="0" borderId="0"/>
    <xf numFmtId="211" fontId="132" fillId="0" borderId="0"/>
    <xf numFmtId="212" fontId="132" fillId="0" borderId="0"/>
    <xf numFmtId="212" fontId="132" fillId="0" borderId="0"/>
    <xf numFmtId="210" fontId="132" fillId="0" borderId="0"/>
    <xf numFmtId="213" fontId="132" fillId="0" borderId="0"/>
    <xf numFmtId="214" fontId="132" fillId="0" borderId="0"/>
    <xf numFmtId="215" fontId="132" fillId="0" borderId="0"/>
    <xf numFmtId="216" fontId="132"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133" fillId="53" borderId="0" applyNumberFormat="0" applyBorder="0" applyAlignment="0" applyProtection="0"/>
    <xf numFmtId="0" fontId="74" fillId="0" borderId="40" applyNumberFormat="0" applyFill="0" applyAlignment="0" applyProtection="0"/>
    <xf numFmtId="0" fontId="74" fillId="0" borderId="40" applyNumberFormat="0" applyFill="0" applyAlignment="0" applyProtection="0"/>
    <xf numFmtId="0" fontId="74" fillId="0" borderId="40" applyNumberFormat="0" applyFill="0" applyAlignment="0" applyProtection="0"/>
    <xf numFmtId="0" fontId="134" fillId="0" borderId="55" applyNumberFormat="0" applyFill="0" applyAlignment="0" applyProtection="0"/>
    <xf numFmtId="0" fontId="135" fillId="0" borderId="55"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75" fillId="0" borderId="41" applyNumberFormat="0" applyFill="0" applyAlignment="0" applyProtection="0"/>
    <xf numFmtId="0" fontId="136" fillId="0" borderId="41" applyNumberFormat="0" applyFill="0" applyAlignment="0" applyProtection="0"/>
    <xf numFmtId="0" fontId="137" fillId="0" borderId="56" applyNumberFormat="0" applyFill="0" applyAlignment="0" applyProtection="0"/>
    <xf numFmtId="0" fontId="76" fillId="0" borderId="42" applyNumberFormat="0" applyFill="0" applyAlignment="0" applyProtection="0"/>
    <xf numFmtId="0" fontId="76" fillId="0" borderId="42" applyNumberFormat="0" applyFill="0" applyAlignment="0" applyProtection="0"/>
    <xf numFmtId="0" fontId="138" fillId="0" borderId="57" applyNumberFormat="0" applyFill="0" applyAlignment="0" applyProtection="0"/>
    <xf numFmtId="0" fontId="139" fillId="0" borderId="57"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25" fillId="0" borderId="0" applyFill="0" applyAlignment="0" applyProtection="0"/>
    <xf numFmtId="0" fontId="39" fillId="0" borderId="0" applyFill="0" applyAlignment="0" applyProtection="0">
      <protection locked="0"/>
    </xf>
    <xf numFmtId="0" fontId="25" fillId="0" borderId="0" applyFill="0" applyAlignment="0" applyProtection="0"/>
    <xf numFmtId="0" fontId="25" fillId="0" borderId="1" applyFill="0" applyAlignment="0" applyProtection="0"/>
    <xf numFmtId="0" fontId="39" fillId="0" borderId="1" applyFill="0" applyAlignment="0" applyProtection="0">
      <protection locked="0"/>
    </xf>
    <xf numFmtId="0" fontId="25" fillId="0" borderId="1" applyFill="0" applyAlignment="0" applyProtection="0"/>
    <xf numFmtId="0" fontId="39" fillId="0" borderId="0" applyFill="0" applyAlignment="0" applyProtection="0"/>
    <xf numFmtId="199" fontId="140" fillId="48" borderId="0" applyNumberFormat="0" applyBorder="0" applyAlignment="0" applyProtection="0"/>
    <xf numFmtId="0" fontId="80" fillId="18" borderId="43" applyNumberFormat="0" applyAlignment="0" applyProtection="0"/>
    <xf numFmtId="0" fontId="80" fillId="18" borderId="43" applyNumberFormat="0" applyAlignment="0" applyProtection="0"/>
    <xf numFmtId="0" fontId="80" fillId="18" borderId="43" applyNumberFormat="0" applyAlignment="0" applyProtection="0"/>
    <xf numFmtId="0" fontId="141" fillId="56" borderId="53" applyNumberFormat="0" applyAlignment="0" applyProtection="0"/>
    <xf numFmtId="199" fontId="43" fillId="2" borderId="0" applyNumberFormat="0" applyBorder="0" applyAlignment="0" applyProtection="0"/>
    <xf numFmtId="199" fontId="43" fillId="2" borderId="0" applyNumberFormat="0" applyBorder="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142" fillId="0" borderId="58" applyNumberFormat="0" applyFill="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143" fillId="72" borderId="0" applyNumberFormat="0" applyBorder="0" applyAlignment="0" applyProtection="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11"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11" fillId="0" borderId="0"/>
    <xf numFmtId="199" fontId="93" fillId="0" borderId="0"/>
    <xf numFmtId="199" fontId="93" fillId="0" borderId="0"/>
    <xf numFmtId="199" fontId="93" fillId="0" borderId="0"/>
    <xf numFmtId="199" fontId="93"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0" fontId="7" fillId="0" borderId="0"/>
    <xf numFmtId="0" fontId="7" fillId="0" borderId="0"/>
    <xf numFmtId="0" fontId="7" fillId="0" borderId="0"/>
    <xf numFmtId="0" fontId="7" fillId="0" borderId="0"/>
    <xf numFmtId="0" fontId="7" fillId="0" borderId="0"/>
    <xf numFmtId="0" fontId="7" fillId="0" borderId="0"/>
    <xf numFmtId="0" fontId="9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197" fontId="93" fillId="0" borderId="0"/>
    <xf numFmtId="197" fontId="93" fillId="0" borderId="0"/>
    <xf numFmtId="197" fontId="93" fillId="0" borderId="0"/>
    <xf numFmtId="197" fontId="93"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97" fillId="0" borderId="0"/>
    <xf numFmtId="199" fontId="11" fillId="0" borderId="0"/>
    <xf numFmtId="0" fontId="97" fillId="0" borderId="0"/>
    <xf numFmtId="0" fontId="7" fillId="0" borderId="0"/>
    <xf numFmtId="0" fontId="97" fillId="0" borderId="0"/>
    <xf numFmtId="0" fontId="7" fillId="0" borderId="0"/>
    <xf numFmtId="0" fontId="7" fillId="0" borderId="0"/>
    <xf numFmtId="0" fontId="7" fillId="0" borderId="0"/>
    <xf numFmtId="0" fontId="7" fillId="0" borderId="0"/>
    <xf numFmtId="0" fontId="97" fillId="0" borderId="0"/>
    <xf numFmtId="0" fontId="11" fillId="0" borderId="0"/>
    <xf numFmtId="0" fontId="7" fillId="0" borderId="0"/>
    <xf numFmtId="0" fontId="7" fillId="0" borderId="0"/>
    <xf numFmtId="199" fontId="11" fillId="0" borderId="0"/>
    <xf numFmtId="0" fontId="7" fillId="0" borderId="0"/>
    <xf numFmtId="0" fontId="7" fillId="0" borderId="0"/>
    <xf numFmtId="0" fontId="7" fillId="0" borderId="0"/>
    <xf numFmtId="0" fontId="7" fillId="0" borderId="0"/>
    <xf numFmtId="0" fontId="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35" fillId="0" borderId="0"/>
    <xf numFmtId="0" fontId="11" fillId="0" borderId="0"/>
    <xf numFmtId="0" fontId="35"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4" fillId="0" borderId="0"/>
    <xf numFmtId="0" fontId="11" fillId="0" borderId="0"/>
    <xf numFmtId="0" fontId="54" fillId="0" borderId="0">
      <alignment vertical="top"/>
    </xf>
    <xf numFmtId="0" fontId="11" fillId="0" borderId="0"/>
    <xf numFmtId="0" fontId="11" fillId="0" borderId="0"/>
    <xf numFmtId="199" fontId="11" fillId="0" borderId="0"/>
    <xf numFmtId="0" fontId="7" fillId="0" borderId="0"/>
    <xf numFmtId="0" fontId="7" fillId="0" borderId="0"/>
    <xf numFmtId="0" fontId="7" fillId="0" borderId="0"/>
    <xf numFmtId="199"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54" fillId="0" borderId="0">
      <alignment vertical="top"/>
    </xf>
    <xf numFmtId="0" fontId="54"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 fillId="0" borderId="0"/>
    <xf numFmtId="0" fontId="11" fillId="0" borderId="0"/>
    <xf numFmtId="0" fontId="54" fillId="0" borderId="0">
      <alignment vertical="top"/>
    </xf>
    <xf numFmtId="0" fontId="54" fillId="0" borderId="0">
      <alignment vertical="top"/>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1" fillId="0" borderId="0"/>
    <xf numFmtId="0" fontId="11" fillId="0" borderId="0"/>
    <xf numFmtId="0" fontId="11" fillId="0" borderId="0"/>
    <xf numFmtId="199" fontId="93" fillId="0" borderId="0"/>
    <xf numFmtId="199" fontId="93" fillId="0" borderId="0"/>
    <xf numFmtId="199" fontId="93" fillId="0" borderId="0"/>
    <xf numFmtId="199" fontId="93" fillId="0" borderId="0"/>
    <xf numFmtId="0" fontId="1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2" fillId="0" borderId="0"/>
    <xf numFmtId="197" fontId="93" fillId="0" borderId="0"/>
    <xf numFmtId="197" fontId="93" fillId="0" borderId="0"/>
    <xf numFmtId="197" fontId="93" fillId="0" borderId="0"/>
    <xf numFmtId="197"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2" fillId="0" borderId="0"/>
    <xf numFmtId="0" fontId="7" fillId="0" borderId="0"/>
    <xf numFmtId="0" fontId="7" fillId="0" borderId="0"/>
    <xf numFmtId="0" fontId="7" fillId="0" borderId="0"/>
    <xf numFmtId="0" fontId="7" fillId="0" borderId="0"/>
    <xf numFmtId="197" fontId="11" fillId="0" borderId="0"/>
    <xf numFmtId="0" fontId="54" fillId="0" borderId="0">
      <alignment vertical="top"/>
    </xf>
    <xf numFmtId="0" fontId="54" fillId="0" borderId="0">
      <alignment vertical="top"/>
    </xf>
    <xf numFmtId="0" fontId="93" fillId="0" borderId="0"/>
    <xf numFmtId="0" fontId="7" fillId="0" borderId="0"/>
    <xf numFmtId="0" fontId="93" fillId="0" borderId="0"/>
    <xf numFmtId="0" fontId="93" fillId="0" borderId="0"/>
    <xf numFmtId="0" fontId="93" fillId="0" borderId="0"/>
    <xf numFmtId="199" fontId="93" fillId="0" borderId="0"/>
    <xf numFmtId="199" fontId="93" fillId="0" borderId="0"/>
    <xf numFmtId="0" fontId="54" fillId="0" borderId="0">
      <alignment vertical="top"/>
    </xf>
    <xf numFmtId="199" fontId="93" fillId="0" borderId="0"/>
    <xf numFmtId="199" fontId="93" fillId="0" borderId="0"/>
    <xf numFmtId="0" fontId="11" fillId="0" borderId="0"/>
    <xf numFmtId="0" fontId="7" fillId="0" borderId="0"/>
    <xf numFmtId="0" fontId="93" fillId="0" borderId="0"/>
    <xf numFmtId="0" fontId="54" fillId="0" borderId="0">
      <alignment vertical="top"/>
    </xf>
    <xf numFmtId="0" fontId="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7" fillId="0" borderId="0"/>
    <xf numFmtId="0" fontId="7" fillId="0" borderId="0"/>
    <xf numFmtId="0" fontId="11" fillId="0" borderId="0"/>
    <xf numFmtId="0" fontId="11" fillId="0" borderId="0"/>
    <xf numFmtId="0" fontId="7" fillId="0" borderId="0"/>
    <xf numFmtId="0" fontId="7" fillId="0" borderId="0"/>
    <xf numFmtId="0" fontId="11"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11" fillId="0" borderId="0"/>
    <xf numFmtId="0" fontId="7" fillId="0" borderId="0"/>
    <xf numFmtId="0" fontId="11" fillId="0" borderId="0"/>
    <xf numFmtId="0" fontId="7" fillId="0" borderId="0"/>
    <xf numFmtId="0" fontId="11"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11" fillId="0" borderId="0"/>
    <xf numFmtId="0" fontId="35" fillId="0" borderId="0"/>
    <xf numFmtId="0" fontId="11"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199" fontId="13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199" fontId="93" fillId="0" borderId="0"/>
    <xf numFmtId="199" fontId="93" fillId="0" borderId="0"/>
    <xf numFmtId="199" fontId="93" fillId="0" borderId="0"/>
    <xf numFmtId="199"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93" fillId="0" borderId="0"/>
    <xf numFmtId="0" fontId="93" fillId="0" borderId="0"/>
    <xf numFmtId="0" fontId="93"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66" fillId="21" borderId="47" applyNumberFormat="0" applyFont="0" applyAlignment="0" applyProtection="0"/>
    <xf numFmtId="0" fontId="11" fillId="73" borderId="59" applyNumberFormat="0" applyFont="0" applyAlignment="0" applyProtection="0"/>
    <xf numFmtId="0" fontId="7" fillId="21" borderId="47" applyNumberFormat="0" applyFont="0" applyAlignment="0" applyProtection="0"/>
    <xf numFmtId="0" fontId="81" fillId="19" borderId="44" applyNumberFormat="0" applyAlignment="0" applyProtection="0"/>
    <xf numFmtId="0" fontId="81" fillId="19" borderId="44" applyNumberFormat="0" applyAlignment="0" applyProtection="0"/>
    <xf numFmtId="0" fontId="81" fillId="19" borderId="44" applyNumberFormat="0" applyAlignment="0" applyProtection="0"/>
    <xf numFmtId="0" fontId="81" fillId="70" borderId="44" applyNumberFormat="0" applyAlignment="0" applyProtection="0"/>
    <xf numFmtId="0" fontId="145" fillId="70" borderId="60" applyNumberFormat="0" applyAlignment="0" applyProtection="0"/>
    <xf numFmtId="199" fontId="11" fillId="3" borderId="0" applyNumberFormat="0" applyBorder="0" applyAlignment="0" applyProtection="0"/>
    <xf numFmtId="199" fontId="11" fillId="3" borderId="0" applyNumberFormat="0" applyBorder="0" applyAlignment="0" applyProtection="0"/>
    <xf numFmtId="217" fontId="124" fillId="0" borderId="0" applyFont="0" applyFill="0" applyBorder="0" applyAlignment="0" applyProtection="0"/>
    <xf numFmtId="218" fontId="123" fillId="0" borderId="0" applyFont="0" applyFill="0" applyBorder="0" applyAlignment="0" applyProtection="0"/>
    <xf numFmtId="219" fontId="124" fillId="0" borderId="0" applyFont="0" applyFill="0" applyBorder="0" applyAlignment="0" applyProtection="0"/>
    <xf numFmtId="220" fontId="123" fillId="0" borderId="0" applyFont="0" applyFill="0" applyBorder="0" applyAlignment="0" applyProtection="0"/>
    <xf numFmtId="221" fontId="124" fillId="0" borderId="0" applyFont="0" applyFill="0" applyBorder="0" applyAlignment="0" applyProtection="0"/>
    <xf numFmtId="222" fontId="123" fillId="0" borderId="0" applyFont="0" applyFill="0" applyBorder="0" applyAlignment="0" applyProtection="0"/>
    <xf numFmtId="223" fontId="124" fillId="0" borderId="0" applyFont="0" applyFill="0" applyBorder="0" applyAlignment="0" applyProtection="0"/>
    <xf numFmtId="224" fontId="123" fillId="0" borderId="0" applyFont="0" applyFill="0" applyBorder="0" applyAlignment="0" applyProtection="0"/>
    <xf numFmtId="225" fontId="123" fillId="0" borderId="0" applyFont="0" applyFill="0" applyBorder="0" applyAlignment="0" applyProtection="0"/>
    <xf numFmtId="226" fontId="1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7" fillId="0" borderId="0" applyFont="0" applyFill="0" applyBorder="0" applyAlignment="0" applyProtection="0"/>
    <xf numFmtId="9" fontId="54" fillId="0" borderId="0" applyFont="0" applyFill="0" applyBorder="0" applyAlignment="0" applyProtection="0"/>
    <xf numFmtId="9" fontId="97" fillId="0" borderId="0" applyFont="0" applyFill="0" applyBorder="0" applyAlignment="0" applyProtection="0"/>
    <xf numFmtId="9" fontId="54"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125"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199" fontId="115" fillId="69" borderId="0" applyNumberFormat="0" applyBorder="0" applyAlignment="0" applyProtection="0"/>
    <xf numFmtId="0" fontId="146" fillId="0" borderId="0">
      <alignment horizontal="right"/>
    </xf>
    <xf numFmtId="0" fontId="147" fillId="0" borderId="0">
      <alignment horizontal="right"/>
    </xf>
    <xf numFmtId="0" fontId="132" fillId="0" borderId="0"/>
    <xf numFmtId="0" fontId="148" fillId="0" borderId="0" applyNumberFormat="0" applyBorder="0" applyAlignment="0"/>
    <xf numFmtId="0" fontId="148" fillId="0" borderId="0" applyNumberFormat="0" applyBorder="0" applyAlignment="0"/>
    <xf numFmtId="0" fontId="54" fillId="0" borderId="0" applyNumberFormat="0" applyBorder="0" applyAlignment="0"/>
    <xf numFmtId="199" fontId="54" fillId="0" borderId="0" applyNumberFormat="0" applyBorder="0" applyAlignment="0"/>
    <xf numFmtId="0" fontId="132" fillId="0" borderId="0"/>
    <xf numFmtId="199" fontId="54" fillId="0" borderId="0" applyNumberFormat="0" applyBorder="0" applyAlignment="0"/>
    <xf numFmtId="0" fontId="149" fillId="0" borderId="0"/>
    <xf numFmtId="0" fontId="150" fillId="0" borderId="0" applyNumberFormat="0" applyBorder="0" applyAlignment="0"/>
    <xf numFmtId="0" fontId="150" fillId="0" borderId="0" applyNumberFormat="0" applyBorder="0" applyAlignment="0"/>
    <xf numFmtId="0" fontId="149" fillId="0" borderId="0"/>
    <xf numFmtId="0" fontId="151" fillId="0" borderId="0"/>
    <xf numFmtId="199" fontId="152" fillId="0" borderId="0"/>
    <xf numFmtId="0" fontId="153" fillId="0" borderId="0"/>
    <xf numFmtId="0" fontId="154" fillId="0" borderId="0" applyNumberFormat="0" applyBorder="0" applyAlignment="0"/>
    <xf numFmtId="0" fontId="154" fillId="0" borderId="0" applyNumberFormat="0" applyBorder="0" applyAlignment="0"/>
    <xf numFmtId="0" fontId="153" fillId="0" borderId="0"/>
    <xf numFmtId="0" fontId="155" fillId="0" borderId="0" applyNumberFormat="0" applyBorder="0" applyAlignment="0"/>
    <xf numFmtId="0" fontId="156" fillId="0" borderId="0"/>
    <xf numFmtId="199" fontId="157" fillId="0" borderId="0"/>
    <xf numFmtId="0" fontId="158" fillId="0" borderId="0"/>
    <xf numFmtId="0" fontId="154" fillId="74" borderId="0" applyNumberFormat="0" applyBorder="0" applyAlignment="0"/>
    <xf numFmtId="0" fontId="159" fillId="0" borderId="0"/>
    <xf numFmtId="0" fontId="160" fillId="0" borderId="0"/>
    <xf numFmtId="0" fontId="161" fillId="0" borderId="0"/>
    <xf numFmtId="0" fontId="160" fillId="75" borderId="0"/>
    <xf numFmtId="0" fontId="73" fillId="0" borderId="0" applyNumberFormat="0" applyFill="0" applyBorder="0" applyAlignment="0" applyProtection="0"/>
    <xf numFmtId="0" fontId="162" fillId="76" borderId="61" applyNumberFormat="0">
      <alignment horizontal="left"/>
    </xf>
    <xf numFmtId="0" fontId="73" fillId="0" borderId="0" applyNumberFormat="0" applyFill="0" applyBorder="0" applyAlignment="0" applyProtection="0"/>
    <xf numFmtId="0" fontId="7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2" fillId="76" borderId="62">
      <alignment horizontal="left"/>
    </xf>
    <xf numFmtId="0" fontId="87" fillId="0" borderId="48" applyNumberFormat="0" applyFill="0" applyAlignment="0" applyProtection="0"/>
    <xf numFmtId="0" fontId="87" fillId="0" borderId="48" applyNumberFormat="0" applyFill="0" applyAlignment="0" applyProtection="0"/>
    <xf numFmtId="0" fontId="87" fillId="0" borderId="48" applyNumberFormat="0" applyFill="0" applyAlignment="0" applyProtection="0"/>
    <xf numFmtId="0" fontId="87" fillId="0" borderId="63" applyNumberFormat="0" applyFill="0" applyAlignment="0" applyProtection="0"/>
    <xf numFmtId="0" fontId="165" fillId="0" borderId="6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66" fillId="0" borderId="0" applyNumberFormat="0" applyFill="0" applyBorder="0" applyAlignment="0" applyProtection="0"/>
    <xf numFmtId="199" fontId="25" fillId="77" borderId="0" applyNumberFormat="0" applyBorder="0" applyAlignment="0" applyProtection="0"/>
    <xf numFmtId="227" fontId="123" fillId="0" borderId="0" applyFont="0" applyFill="0" applyBorder="0" applyAlignment="0" applyProtection="0"/>
    <xf numFmtId="228" fontId="123" fillId="0" borderId="0" applyFont="0" applyFill="0" applyBorder="0" applyAlignment="0" applyProtection="0"/>
    <xf numFmtId="229" fontId="123" fillId="0" borderId="0" applyFont="0" applyFill="0" applyBorder="0" applyAlignment="0" applyProtection="0"/>
    <xf numFmtId="230" fontId="123" fillId="0" borderId="0" applyFont="0" applyFill="0" applyBorder="0" applyAlignment="0" applyProtection="0"/>
    <xf numFmtId="231" fontId="123" fillId="0" borderId="0" applyFont="0" applyFill="0" applyBorder="0" applyAlignment="0" applyProtection="0"/>
    <xf numFmtId="232" fontId="123" fillId="0" borderId="0" applyFont="0" applyFill="0" applyBorder="0" applyAlignment="0" applyProtection="0"/>
    <xf numFmtId="233" fontId="123" fillId="0" borderId="0" applyFont="0" applyFill="0" applyBorder="0" applyAlignment="0" applyProtection="0"/>
    <xf numFmtId="234" fontId="123" fillId="0" borderId="0" applyFont="0" applyFill="0" applyBorder="0" applyAlignment="0" applyProtection="0"/>
    <xf numFmtId="235" fontId="35" fillId="0" borderId="0" applyFont="0" applyFill="0" applyBorder="0" applyAlignment="0" applyProtection="0">
      <alignment horizontal="right"/>
    </xf>
    <xf numFmtId="3" fontId="93" fillId="0" borderId="0"/>
    <xf numFmtId="0" fontId="101" fillId="0" borderId="42" applyNumberFormat="0" applyFill="0" applyAlignment="0" applyProtection="0"/>
    <xf numFmtId="3" fontId="93" fillId="0" borderId="0"/>
    <xf numFmtId="3" fontId="93" fillId="0" borderId="0"/>
    <xf numFmtId="3" fontId="93" fillId="0" borderId="0"/>
    <xf numFmtId="3" fontId="93" fillId="0" borderId="0"/>
    <xf numFmtId="3" fontId="93" fillId="0" borderId="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2"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8" fillId="0" borderId="0" applyFont="0" applyFill="0" applyBorder="0" applyAlignment="0" applyProtection="0"/>
    <xf numFmtId="44" fontId="7" fillId="0" borderId="0" applyFont="0" applyFill="0" applyBorder="0" applyAlignment="0" applyProtection="0"/>
    <xf numFmtId="0" fontId="108"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8" fillId="0" borderId="0" applyFont="0" applyFill="0" applyBorder="0" applyAlignment="0" applyProtection="0"/>
    <xf numFmtId="0" fontId="11"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2" fontId="93" fillId="0" borderId="0" applyFont="0" applyFill="0" applyBorder="0" applyAlignment="0" applyProtection="0"/>
    <xf numFmtId="41"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01" fillId="0" borderId="42" applyNumberFormat="0" applyFill="0" applyAlignment="0" applyProtection="0"/>
    <xf numFmtId="0" fontId="93" fillId="0" borderId="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145" fillId="70" borderId="60" applyNumberFormat="0" applyAlignment="0" applyProtection="0"/>
    <xf numFmtId="0" fontId="118" fillId="70" borderId="53" applyNumberFormat="0" applyAlignment="0" applyProtection="0"/>
    <xf numFmtId="44"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0" fontId="118" fillId="70" borderId="53" applyNumberFormat="0" applyAlignment="0" applyProtection="0"/>
    <xf numFmtId="43" fontId="93" fillId="0" borderId="0" applyFont="0" applyFill="0" applyBorder="0" applyAlignment="0" applyProtection="0"/>
    <xf numFmtId="0" fontId="11" fillId="73" borderId="59" applyNumberFormat="0" applyFont="0" applyAlignment="0" applyProtection="0"/>
    <xf numFmtId="9" fontId="93" fillId="0" borderId="0" applyFont="0" applyFill="0" applyBorder="0" applyAlignment="0" applyProtection="0"/>
    <xf numFmtId="0" fontId="165" fillId="0" borderId="63" applyNumberFormat="0" applyFill="0" applyAlignment="0" applyProtection="0"/>
    <xf numFmtId="43"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0" fontId="165" fillId="0" borderId="63"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0" fontId="118" fillId="70" borderId="53" applyNumberFormat="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41" fillId="56" borderId="53" applyNumberFormat="0" applyAlignment="0" applyProtection="0"/>
    <xf numFmtId="0" fontId="141" fillId="56" borderId="53" applyNumberFormat="0" applyAlignment="0" applyProtection="0"/>
    <xf numFmtId="0" fontId="141" fillId="56" borderId="53" applyNumberFormat="0" applyAlignment="0" applyProtection="0"/>
    <xf numFmtId="0" fontId="11" fillId="73" borderId="59" applyNumberFormat="0" applyFont="0" applyAlignment="0" applyProtection="0"/>
    <xf numFmtId="0" fontId="87" fillId="0" borderId="63" applyNumberFormat="0" applyFill="0" applyAlignment="0" applyProtection="0"/>
    <xf numFmtId="43" fontId="93"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44" fontId="93" fillId="0" borderId="0" applyFont="0" applyFill="0" applyBorder="0" applyAlignment="0" applyProtection="0"/>
    <xf numFmtId="0" fontId="87"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0" fontId="165" fillId="0" borderId="63" applyNumberFormat="0" applyFill="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0" fontId="118" fillId="70" borderId="53" applyNumberFormat="0" applyAlignment="0" applyProtection="0"/>
    <xf numFmtId="9" fontId="93" fillId="0" borderId="0" applyFont="0" applyFill="0" applyBorder="0" applyAlignment="0" applyProtection="0"/>
    <xf numFmtId="0" fontId="145" fillId="70" borderId="60" applyNumberFormat="0" applyAlignment="0" applyProtection="0"/>
    <xf numFmtId="0" fontId="87"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0" fontId="87" fillId="0" borderId="63" applyNumberFormat="0" applyFill="0" applyAlignment="0" applyProtection="0"/>
    <xf numFmtId="0" fontId="165" fillId="0" borderId="63" applyNumberFormat="0" applyFill="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0" fontId="141" fillId="56" borderId="53" applyNumberFormat="0" applyAlignment="0" applyProtection="0"/>
    <xf numFmtId="0" fontId="7" fillId="0" borderId="0"/>
    <xf numFmtId="43" fontId="7" fillId="0" borderId="0" applyFont="0" applyFill="0" applyBorder="0" applyAlignment="0" applyProtection="0"/>
    <xf numFmtId="0" fontId="11"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7" fillId="0" borderId="63" applyNumberFormat="0" applyFill="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1" fillId="73" borderId="59" applyNumberFormat="0" applyFont="0" applyAlignment="0" applyProtection="0"/>
    <xf numFmtId="0" fontId="145" fillId="70" borderId="60"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165" fillId="0" borderId="63"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8" fillId="70" borderId="53" applyNumberFormat="0" applyAlignment="0" applyProtection="0"/>
    <xf numFmtId="0" fontId="165" fillId="0" borderId="63" applyNumberFormat="0" applyFill="0" applyAlignment="0" applyProtection="0"/>
    <xf numFmtId="0" fontId="165" fillId="0" borderId="63" applyNumberFormat="0" applyFill="0" applyAlignment="0" applyProtection="0"/>
    <xf numFmtId="0" fontId="118" fillId="70"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1" fillId="56"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0" fontId="87"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73" borderId="59" applyNumberFormat="0" applyFont="0" applyAlignment="0" applyProtection="0"/>
    <xf numFmtId="0" fontId="118" fillId="70"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87"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5" fillId="0" borderId="63" applyNumberFormat="0" applyFill="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1" fillId="56" borderId="5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11" fillId="73" borderId="59"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7" fillId="0" borderId="63" applyNumberFormat="0" applyFill="0" applyAlignment="0" applyProtection="0"/>
    <xf numFmtId="0" fontId="145" fillId="70" borderId="60" applyNumberFormat="0" applyAlignment="0" applyProtection="0"/>
    <xf numFmtId="0" fontId="145" fillId="70" borderId="60" applyNumberFormat="0" applyAlignment="0" applyProtection="0"/>
    <xf numFmtId="0" fontId="165" fillId="0" borderId="63" applyNumberFormat="0" applyFill="0" applyAlignment="0" applyProtection="0"/>
    <xf numFmtId="0" fontId="87" fillId="0" borderId="63" applyNumberFormat="0" applyFill="0" applyAlignment="0" applyProtection="0"/>
    <xf numFmtId="0" fontId="145" fillId="70" borderId="60" applyNumberFormat="0" applyAlignment="0" applyProtection="0"/>
    <xf numFmtId="0" fontId="141" fillId="56" borderId="53" applyNumberFormat="0" applyAlignment="0" applyProtection="0"/>
    <xf numFmtId="0" fontId="141" fillId="56" borderId="53" applyNumberFormat="0" applyAlignment="0" applyProtection="0"/>
    <xf numFmtId="0" fontId="118" fillId="70" borderId="53" applyNumberFormat="0" applyAlignment="0" applyProtection="0"/>
    <xf numFmtId="0" fontId="145" fillId="70" borderId="60" applyNumberFormat="0" applyAlignment="0" applyProtection="0"/>
    <xf numFmtId="0" fontId="141" fillId="56" borderId="53" applyNumberFormat="0" applyAlignment="0" applyProtection="0"/>
    <xf numFmtId="0" fontId="118" fillId="70" borderId="53" applyNumberFormat="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11" fillId="0" borderId="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39" fontId="167" fillId="0" borderId="0"/>
    <xf numFmtId="40" fontId="61" fillId="0" borderId="0" applyFont="0" applyFill="0" applyBorder="0" applyAlignment="0" applyProtection="0"/>
    <xf numFmtId="8" fontId="61" fillId="0" borderId="0" applyFont="0" applyFill="0" applyBorder="0" applyAlignment="0" applyProtection="0"/>
    <xf numFmtId="9" fontId="61" fillId="0" borderId="0" applyFont="0" applyFill="0" applyBorder="0" applyAlignment="0" applyProtection="0"/>
    <xf numFmtId="0" fontId="168" fillId="0" borderId="0"/>
    <xf numFmtId="44" fontId="168" fillId="0" borderId="0" applyFont="0" applyFill="0" applyBorder="0" applyAlignment="0" applyProtection="0"/>
    <xf numFmtId="43" fontId="168" fillId="0" borderId="0" applyFont="0" applyFill="0" applyBorder="0" applyAlignment="0" applyProtection="0"/>
    <xf numFmtId="43" fontId="7" fillId="0" borderId="0" applyFont="0" applyFill="0" applyBorder="0" applyAlignment="0" applyProtection="0"/>
    <xf numFmtId="3" fontId="17" fillId="0" borderId="0" applyFont="0" applyFill="0" applyBorder="0" applyAlignment="0" applyProtection="0"/>
    <xf numFmtId="44" fontId="9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36"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7" fillId="0" borderId="0"/>
    <xf numFmtId="0" fontId="93" fillId="0" borderId="0"/>
    <xf numFmtId="0" fontId="7" fillId="0" borderId="0"/>
    <xf numFmtId="10" fontId="17" fillId="0" borderId="0" applyFont="0" applyFill="0" applyBorder="0" applyAlignment="0" applyProtection="0"/>
    <xf numFmtId="9" fontId="9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8" fillId="0" borderId="0"/>
    <xf numFmtId="0" fontId="61"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1" fillId="0" borderId="0"/>
    <xf numFmtId="43" fontId="93" fillId="0" borderId="0" applyFont="0" applyFill="0" applyBorder="0" applyAlignment="0" applyProtection="0"/>
    <xf numFmtId="44" fontId="93" fillId="0" borderId="0" applyFont="0" applyFill="0" applyBorder="0" applyAlignment="0" applyProtection="0"/>
    <xf numFmtId="44" fontId="11" fillId="0" borderId="0" applyFont="0" applyFill="0" applyBorder="0" applyAlignment="0" applyProtection="0"/>
    <xf numFmtId="0" fontId="93" fillId="0" borderId="0"/>
    <xf numFmtId="9" fontId="93" fillId="0" borderId="0" applyFont="0" applyFill="0" applyBorder="0" applyAlignment="0" applyProtection="0"/>
    <xf numFmtId="9" fontId="11" fillId="0" borderId="0" applyFont="0" applyFill="0" applyBorder="0" applyAlignment="0" applyProtection="0"/>
    <xf numFmtId="0" fontId="11" fillId="0" borderId="0"/>
    <xf numFmtId="44" fontId="11" fillId="0" borderId="0" applyFont="0" applyFill="0" applyBorder="0" applyAlignment="0" applyProtection="0"/>
    <xf numFmtId="44" fontId="11" fillId="0" borderId="0" applyFont="0" applyFill="0" applyBorder="0" applyAlignment="0" applyProtection="0"/>
    <xf numFmtId="0" fontId="7" fillId="0" borderId="0"/>
    <xf numFmtId="43" fontId="7" fillId="0" borderId="0" applyFont="0" applyFill="0" applyBorder="0" applyAlignment="0" applyProtection="0"/>
    <xf numFmtId="44" fontId="168" fillId="0" borderId="0" applyFont="0" applyFill="0" applyBorder="0" applyAlignment="0" applyProtection="0"/>
    <xf numFmtId="9" fontId="168" fillId="0" borderId="0" applyFont="0" applyFill="0" applyBorder="0" applyAlignment="0" applyProtection="0"/>
    <xf numFmtId="43" fontId="7" fillId="0" borderId="0" applyFont="0" applyFill="0" applyBorder="0" applyAlignment="0" applyProtection="0"/>
    <xf numFmtId="0" fontId="7" fillId="0" borderId="0"/>
    <xf numFmtId="0" fontId="93" fillId="0" borderId="0"/>
    <xf numFmtId="0" fontId="101" fillId="0" borderId="42" applyNumberFormat="0" applyFill="0" applyAlignment="0" applyProtection="0"/>
    <xf numFmtId="9" fontId="93" fillId="0" borderId="0" applyFont="0" applyFill="0" applyBorder="0" applyAlignment="0" applyProtection="0"/>
    <xf numFmtId="44" fontId="93" fillId="0" borderId="0" applyFont="0" applyFill="0" applyBorder="0" applyAlignment="0" applyProtection="0"/>
    <xf numFmtId="43" fontId="93" fillId="0" borderId="0" applyFont="0" applyFill="0" applyBorder="0" applyAlignment="0" applyProtection="0"/>
    <xf numFmtId="41" fontId="93" fillId="0" borderId="0" applyFont="0" applyFill="0" applyBorder="0" applyAlignment="0" applyProtection="0"/>
    <xf numFmtId="42" fontId="93"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5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5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59"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5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6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0" fontId="7" fillId="43" borderId="0" applyNumberFormat="0" applyBorder="0" applyAlignment="0" applyProtection="0"/>
    <xf numFmtId="0" fontId="7" fillId="43" borderId="0" applyNumberFormat="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21" borderId="47" applyNumberFormat="0" applyFont="0" applyAlignment="0" applyProtection="0"/>
    <xf numFmtId="0" fontId="7" fillId="39" borderId="0" applyNumberFormat="0" applyBorder="0" applyAlignment="0" applyProtection="0"/>
    <xf numFmtId="0" fontId="7" fillId="0" borderId="0"/>
    <xf numFmtId="0" fontId="7" fillId="23" borderId="0" applyNumberFormat="0" applyBorder="0" applyAlignment="0" applyProtection="0"/>
    <xf numFmtId="0" fontId="7" fillId="32" borderId="0" applyNumberFormat="0" applyBorder="0" applyAlignment="0" applyProtection="0"/>
    <xf numFmtId="0" fontId="7" fillId="40" borderId="0" applyNumberFormat="0" applyBorder="0" applyAlignment="0" applyProtection="0"/>
    <xf numFmtId="0" fontId="7" fillId="27" borderId="0" applyNumberFormat="0" applyBorder="0" applyAlignment="0" applyProtection="0"/>
    <xf numFmtId="0" fontId="7" fillId="36" borderId="0" applyNumberFormat="0" applyBorder="0" applyAlignment="0" applyProtection="0"/>
    <xf numFmtId="0" fontId="7" fillId="28" borderId="0" applyNumberFormat="0" applyBorder="0" applyAlignment="0" applyProtection="0"/>
    <xf numFmtId="0" fontId="7" fillId="0" borderId="0"/>
    <xf numFmtId="0" fontId="7" fillId="0" borderId="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43" borderId="0" applyNumberFormat="0" applyBorder="0" applyAlignment="0" applyProtection="0"/>
    <xf numFmtId="0" fontId="7" fillId="24" borderId="0" applyNumberFormat="0" applyBorder="0" applyAlignment="0" applyProtection="0"/>
    <xf numFmtId="0" fontId="7" fillId="21" borderId="47" applyNumberFormat="0" applyFont="0" applyAlignment="0" applyProtection="0"/>
    <xf numFmtId="0" fontId="7" fillId="36" borderId="0" applyNumberFormat="0" applyBorder="0" applyAlignment="0" applyProtection="0"/>
    <xf numFmtId="43" fontId="7" fillId="0" borderId="0" applyFont="0" applyFill="0" applyBorder="0" applyAlignment="0" applyProtection="0"/>
    <xf numFmtId="0" fontId="7" fillId="44" borderId="0" applyNumberFormat="0" applyBorder="0" applyAlignment="0" applyProtection="0"/>
    <xf numFmtId="0" fontId="7" fillId="43" borderId="0" applyNumberFormat="0" applyBorder="0" applyAlignment="0" applyProtection="0"/>
    <xf numFmtId="43" fontId="7" fillId="0" borderId="0" applyFont="0" applyFill="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8" borderId="0" applyNumberFormat="0" applyBorder="0" applyAlignment="0" applyProtection="0"/>
    <xf numFmtId="0" fontId="7" fillId="0" borderId="0"/>
    <xf numFmtId="9" fontId="7" fillId="0" borderId="0" applyFont="0" applyFill="0" applyBorder="0" applyAlignment="0" applyProtection="0"/>
    <xf numFmtId="0" fontId="7" fillId="0" borderId="0"/>
    <xf numFmtId="0" fontId="7" fillId="32" borderId="0" applyNumberFormat="0" applyBorder="0" applyAlignment="0" applyProtection="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0" fontId="7" fillId="3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44" borderId="0" applyNumberFormat="0" applyBorder="0" applyAlignment="0" applyProtection="0"/>
    <xf numFmtId="0" fontId="7" fillId="21" borderId="47" applyNumberFormat="0" applyFont="0" applyAlignment="0" applyProtection="0"/>
    <xf numFmtId="43" fontId="7" fillId="0" borderId="0" applyFont="0" applyFill="0" applyBorder="0" applyAlignment="0" applyProtection="0"/>
    <xf numFmtId="0" fontId="7" fillId="21" borderId="47" applyNumberFormat="0" applyFont="0" applyAlignment="0" applyProtection="0"/>
    <xf numFmtId="0" fontId="7" fillId="31"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0" fontId="7" fillId="40"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35" borderId="0" applyNumberFormat="0" applyBorder="0" applyAlignment="0" applyProtection="0"/>
    <xf numFmtId="0" fontId="7" fillId="44"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36"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0" borderId="0"/>
    <xf numFmtId="0" fontId="7" fillId="36" borderId="0" applyNumberFormat="0" applyBorder="0" applyAlignment="0" applyProtection="0"/>
    <xf numFmtId="0" fontId="7" fillId="43" borderId="0" applyNumberFormat="0" applyBorder="0" applyAlignment="0" applyProtection="0"/>
    <xf numFmtId="0" fontId="7" fillId="39" borderId="0" applyNumberFormat="0" applyBorder="0" applyAlignment="0" applyProtection="0"/>
    <xf numFmtId="0" fontId="7" fillId="0" borderId="0"/>
    <xf numFmtId="0" fontId="7" fillId="43" borderId="0" applyNumberFormat="0" applyBorder="0" applyAlignment="0" applyProtection="0"/>
    <xf numFmtId="0" fontId="7" fillId="43" borderId="0" applyNumberFormat="0" applyBorder="0" applyAlignment="0" applyProtection="0"/>
    <xf numFmtId="0" fontId="7" fillId="23"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23" borderId="0" applyNumberFormat="0" applyBorder="0" applyAlignment="0" applyProtection="0"/>
    <xf numFmtId="0" fontId="7" fillId="36"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9"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28" borderId="0" applyNumberFormat="0" applyBorder="0" applyAlignment="0" applyProtection="0"/>
    <xf numFmtId="0" fontId="7" fillId="36" borderId="0" applyNumberFormat="0" applyBorder="0" applyAlignment="0" applyProtection="0"/>
    <xf numFmtId="9" fontId="7" fillId="0" borderId="0" applyFont="0" applyFill="0" applyBorder="0" applyAlignment="0" applyProtection="0"/>
    <xf numFmtId="0" fontId="7" fillId="39" borderId="0" applyNumberFormat="0" applyBorder="0" applyAlignment="0" applyProtection="0"/>
    <xf numFmtId="0" fontId="7" fillId="31" borderId="0" applyNumberFormat="0" applyBorder="0" applyAlignment="0" applyProtection="0"/>
    <xf numFmtId="0" fontId="7" fillId="0" borderId="0"/>
    <xf numFmtId="0" fontId="7" fillId="43" borderId="0" applyNumberFormat="0" applyBorder="0" applyAlignment="0" applyProtection="0"/>
    <xf numFmtId="0" fontId="7" fillId="27"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21" borderId="47" applyNumberFormat="0" applyFont="0" applyAlignment="0" applyProtection="0"/>
    <xf numFmtId="43" fontId="7" fillId="0" borderId="0" applyFont="0" applyFill="0" applyBorder="0" applyAlignment="0" applyProtection="0"/>
    <xf numFmtId="0" fontId="7" fillId="39"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3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24"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21" borderId="47" applyNumberFormat="0" applyFont="0" applyAlignment="0" applyProtection="0"/>
    <xf numFmtId="0" fontId="7" fillId="32"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0" fontId="7" fillId="39"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4" borderId="0" applyNumberFormat="0" applyBorder="0" applyAlignment="0" applyProtection="0"/>
    <xf numFmtId="0" fontId="7" fillId="44" borderId="0" applyNumberFormat="0" applyBorder="0" applyAlignment="0" applyProtection="0"/>
    <xf numFmtId="0" fontId="7" fillId="32" borderId="0" applyNumberFormat="0" applyBorder="0" applyAlignment="0" applyProtection="0"/>
    <xf numFmtId="0" fontId="7" fillId="28" borderId="0" applyNumberFormat="0" applyBorder="0" applyAlignment="0" applyProtection="0"/>
    <xf numFmtId="0" fontId="7" fillId="27" borderId="0" applyNumberFormat="0" applyBorder="0" applyAlignment="0" applyProtection="0"/>
    <xf numFmtId="0" fontId="7" fillId="32"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9" fontId="7" fillId="0" borderId="0" applyFont="0" applyFill="0" applyBorder="0" applyAlignment="0" applyProtection="0"/>
    <xf numFmtId="0" fontId="7" fillId="21" borderId="47" applyNumberFormat="0" applyFont="0" applyAlignment="0" applyProtection="0"/>
    <xf numFmtId="0" fontId="7" fillId="0" borderId="0"/>
    <xf numFmtId="0" fontId="7" fillId="43" borderId="0" applyNumberFormat="0" applyBorder="0" applyAlignment="0" applyProtection="0"/>
    <xf numFmtId="0" fontId="7" fillId="23" borderId="0" applyNumberFormat="0" applyBorder="0" applyAlignment="0" applyProtection="0"/>
    <xf numFmtId="0" fontId="7" fillId="2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21" borderId="47" applyNumberFormat="0" applyFont="0" applyAlignment="0" applyProtection="0"/>
    <xf numFmtId="43" fontId="7" fillId="0" borderId="0" applyFont="0" applyFill="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27" borderId="0" applyNumberFormat="0" applyBorder="0" applyAlignment="0" applyProtection="0"/>
    <xf numFmtId="0" fontId="7" fillId="4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0" borderId="0"/>
    <xf numFmtId="43" fontId="7" fillId="0" borderId="0" applyFont="0" applyFill="0" applyBorder="0" applyAlignment="0" applyProtection="0"/>
    <xf numFmtId="0" fontId="7" fillId="44" borderId="0" applyNumberFormat="0" applyBorder="0" applyAlignment="0" applyProtection="0"/>
    <xf numFmtId="43" fontId="7" fillId="0" borderId="0" applyFont="0" applyFill="0" applyBorder="0" applyAlignment="0" applyProtection="0"/>
    <xf numFmtId="0" fontId="7" fillId="23" borderId="0" applyNumberFormat="0" applyBorder="0" applyAlignment="0" applyProtection="0"/>
    <xf numFmtId="0" fontId="7" fillId="2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24" borderId="0" applyNumberFormat="0" applyBorder="0" applyAlignment="0" applyProtection="0"/>
    <xf numFmtId="0" fontId="7" fillId="0" borderId="0"/>
    <xf numFmtId="0" fontId="7" fillId="3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23"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27"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35" borderId="0" applyNumberFormat="0" applyBorder="0" applyAlignment="0" applyProtection="0"/>
    <xf numFmtId="0" fontId="7" fillId="23" borderId="0" applyNumberFormat="0" applyBorder="0" applyAlignment="0" applyProtection="0"/>
    <xf numFmtId="9" fontId="7" fillId="0" borderId="0" applyFont="0" applyFill="0" applyBorder="0" applyAlignment="0" applyProtection="0"/>
    <xf numFmtId="0" fontId="7" fillId="44"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40" borderId="0" applyNumberFormat="0" applyBorder="0" applyAlignment="0" applyProtection="0"/>
    <xf numFmtId="0" fontId="7" fillId="27" borderId="0" applyNumberFormat="0" applyBorder="0" applyAlignment="0" applyProtection="0"/>
    <xf numFmtId="43" fontId="7" fillId="0" borderId="0" applyFont="0" applyFill="0" applyBorder="0" applyAlignment="0" applyProtection="0"/>
    <xf numFmtId="0" fontId="7" fillId="0" borderId="0"/>
    <xf numFmtId="0" fontId="7" fillId="28" borderId="0" applyNumberFormat="0" applyBorder="0" applyAlignment="0" applyProtection="0"/>
    <xf numFmtId="0" fontId="7" fillId="44" borderId="0" applyNumberFormat="0" applyBorder="0" applyAlignment="0" applyProtection="0"/>
    <xf numFmtId="0" fontId="7" fillId="24"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5" borderId="0" applyNumberFormat="0" applyBorder="0" applyAlignment="0" applyProtection="0"/>
    <xf numFmtId="9" fontId="7" fillId="0" borderId="0" applyFont="0" applyFill="0" applyBorder="0" applyAlignment="0" applyProtection="0"/>
    <xf numFmtId="0" fontId="7" fillId="31" borderId="0" applyNumberFormat="0" applyBorder="0" applyAlignment="0" applyProtection="0"/>
    <xf numFmtId="0" fontId="7" fillId="40" borderId="0" applyNumberFormat="0" applyBorder="0" applyAlignment="0" applyProtection="0"/>
    <xf numFmtId="43" fontId="7" fillId="0" borderId="0" applyFont="0" applyFill="0" applyBorder="0" applyAlignment="0" applyProtection="0"/>
    <xf numFmtId="0" fontId="7" fillId="31" borderId="0" applyNumberFormat="0" applyBorder="0" applyAlignment="0" applyProtection="0"/>
    <xf numFmtId="0" fontId="7" fillId="0" borderId="0"/>
    <xf numFmtId="0" fontId="7" fillId="40"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21" borderId="47" applyNumberFormat="0" applyFont="0" applyAlignment="0" applyProtection="0"/>
    <xf numFmtId="0" fontId="7" fillId="39" borderId="0" applyNumberFormat="0" applyBorder="0" applyAlignment="0" applyProtection="0"/>
    <xf numFmtId="0" fontId="7" fillId="28"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32" borderId="0" applyNumberFormat="0" applyBorder="0" applyAlignment="0" applyProtection="0"/>
    <xf numFmtId="0" fontId="7" fillId="31" borderId="0" applyNumberFormat="0" applyBorder="0" applyAlignment="0" applyProtection="0"/>
    <xf numFmtId="0" fontId="7" fillId="0" borderId="0"/>
    <xf numFmtId="0" fontId="7" fillId="44" borderId="0" applyNumberFormat="0" applyBorder="0" applyAlignment="0" applyProtection="0"/>
    <xf numFmtId="0" fontId="7" fillId="2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5" borderId="0" applyNumberFormat="0" applyBorder="0" applyAlignment="0" applyProtection="0"/>
    <xf numFmtId="43" fontId="7" fillId="0" borderId="0" applyFont="0" applyFill="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0" borderId="0"/>
    <xf numFmtId="0" fontId="6" fillId="21" borderId="47"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0" borderId="0"/>
    <xf numFmtId="0" fontId="5" fillId="21" borderId="47" applyNumberFormat="0" applyFont="0" applyAlignment="0" applyProtection="0"/>
    <xf numFmtId="43" fontId="5" fillId="0" borderId="0" applyFont="0" applyFill="0" applyBorder="0" applyAlignment="0" applyProtection="0"/>
    <xf numFmtId="9" fontId="5"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40"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28" borderId="0" applyNumberFormat="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5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5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54"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5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60"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0" fontId="4" fillId="21" borderId="4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43" borderId="0" applyNumberFormat="0" applyBorder="0" applyAlignment="0" applyProtection="0"/>
    <xf numFmtId="0" fontId="4" fillId="43" borderId="0" applyNumberFormat="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21" borderId="47" applyNumberFormat="0" applyFont="0" applyAlignment="0" applyProtection="0"/>
    <xf numFmtId="0" fontId="4" fillId="39" borderId="0" applyNumberFormat="0" applyBorder="0" applyAlignment="0" applyProtection="0"/>
    <xf numFmtId="0" fontId="4" fillId="0" borderId="0"/>
    <xf numFmtId="0" fontId="4" fillId="23" borderId="0" applyNumberFormat="0" applyBorder="0" applyAlignment="0" applyProtection="0"/>
    <xf numFmtId="0" fontId="4" fillId="32"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0" fontId="4" fillId="36" borderId="0" applyNumberFormat="0" applyBorder="0" applyAlignment="0" applyProtection="0"/>
    <xf numFmtId="0" fontId="4" fillId="28" borderId="0" applyNumberFormat="0" applyBorder="0" applyAlignment="0" applyProtection="0"/>
    <xf numFmtId="0" fontId="4" fillId="0" borderId="0"/>
    <xf numFmtId="0" fontId="4" fillId="0" borderId="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40" borderId="0" applyNumberFormat="0" applyBorder="0" applyAlignment="0" applyProtection="0"/>
    <xf numFmtId="0" fontId="4" fillId="35"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1" borderId="47" applyNumberFormat="0" applyFont="0" applyAlignment="0" applyProtection="0"/>
    <xf numFmtId="0" fontId="4" fillId="36" borderId="0" applyNumberFormat="0" applyBorder="0" applyAlignment="0" applyProtection="0"/>
    <xf numFmtId="43" fontId="4" fillId="0" borderId="0" applyFont="0" applyFill="0" applyBorder="0" applyAlignment="0" applyProtection="0"/>
    <xf numFmtId="0" fontId="4" fillId="44"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0" fontId="4" fillId="2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8"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32" borderId="0" applyNumberFormat="0" applyBorder="0" applyAlignment="0" applyProtection="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2" borderId="0" applyNumberFormat="0" applyBorder="0" applyAlignment="0" applyProtection="0"/>
    <xf numFmtId="0" fontId="4" fillId="3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44" borderId="0" applyNumberFormat="0" applyBorder="0" applyAlignment="0" applyProtection="0"/>
    <xf numFmtId="0" fontId="4" fillId="21" borderId="47" applyNumberFormat="0" applyFont="0" applyAlignment="0" applyProtection="0"/>
    <xf numFmtId="43" fontId="4" fillId="0" borderId="0" applyFont="0" applyFill="0" applyBorder="0" applyAlignment="0" applyProtection="0"/>
    <xf numFmtId="0" fontId="4" fillId="21" borderId="47" applyNumberFormat="0" applyFont="0" applyAlignment="0" applyProtection="0"/>
    <xf numFmtId="0" fontId="4" fillId="31"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35"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0" borderId="0"/>
    <xf numFmtId="0" fontId="4" fillId="36" borderId="0" applyNumberFormat="0" applyBorder="0" applyAlignment="0" applyProtection="0"/>
    <xf numFmtId="0" fontId="4" fillId="43" borderId="0" applyNumberFormat="0" applyBorder="0" applyAlignment="0" applyProtection="0"/>
    <xf numFmtId="0" fontId="4" fillId="39" borderId="0" applyNumberFormat="0" applyBorder="0" applyAlignment="0" applyProtection="0"/>
    <xf numFmtId="0" fontId="4" fillId="0" borderId="0"/>
    <xf numFmtId="0" fontId="4" fillId="43" borderId="0" applyNumberFormat="0" applyBorder="0" applyAlignment="0" applyProtection="0"/>
    <xf numFmtId="0" fontId="4" fillId="43" borderId="0" applyNumberFormat="0" applyBorder="0" applyAlignment="0" applyProtection="0"/>
    <xf numFmtId="0" fontId="4" fillId="23"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23"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39"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0" fontId="4" fillId="28" borderId="0" applyNumberFormat="0" applyBorder="0" applyAlignment="0" applyProtection="0"/>
    <xf numFmtId="0" fontId="4" fillId="36" borderId="0" applyNumberFormat="0" applyBorder="0" applyAlignment="0" applyProtection="0"/>
    <xf numFmtId="9" fontId="4" fillId="0" borderId="0" applyFont="0" applyFill="0" applyBorder="0" applyAlignment="0" applyProtection="0"/>
    <xf numFmtId="0" fontId="4" fillId="39" borderId="0" applyNumberFormat="0" applyBorder="0" applyAlignment="0" applyProtection="0"/>
    <xf numFmtId="0" fontId="4" fillId="31" borderId="0" applyNumberFormat="0" applyBorder="0" applyAlignment="0" applyProtection="0"/>
    <xf numFmtId="0" fontId="4" fillId="0" borderId="0"/>
    <xf numFmtId="0" fontId="4" fillId="43"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21" borderId="47" applyNumberFormat="0" applyFont="0" applyAlignment="0" applyProtection="0"/>
    <xf numFmtId="43" fontId="4" fillId="0" borderId="0" applyFont="0" applyFill="0" applyBorder="0" applyAlignment="0" applyProtection="0"/>
    <xf numFmtId="0" fontId="4" fillId="39"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3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24"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21" borderId="47" applyNumberFormat="0" applyFont="0" applyAlignment="0" applyProtection="0"/>
    <xf numFmtId="0" fontId="4" fillId="32"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43" fontId="4" fillId="0" borderId="0" applyFont="0" applyFill="0" applyBorder="0" applyAlignment="0" applyProtection="0"/>
    <xf numFmtId="0" fontId="4" fillId="39"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9" fontId="4" fillId="0" borderId="0" applyFont="0" applyFill="0" applyBorder="0" applyAlignment="0" applyProtection="0"/>
    <xf numFmtId="0" fontId="4" fillId="21" borderId="47" applyNumberFormat="0" applyFont="0" applyAlignment="0" applyProtection="0"/>
    <xf numFmtId="0" fontId="4" fillId="0" borderId="0"/>
    <xf numFmtId="0" fontId="4" fillId="43" borderId="0" applyNumberFormat="0" applyBorder="0" applyAlignment="0" applyProtection="0"/>
    <xf numFmtId="0" fontId="4" fillId="23" borderId="0" applyNumberFormat="0" applyBorder="0" applyAlignment="0" applyProtection="0"/>
    <xf numFmtId="0" fontId="4" fillId="28"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27" borderId="0" applyNumberFormat="0" applyBorder="0" applyAlignment="0" applyProtection="0"/>
    <xf numFmtId="0" fontId="4" fillId="4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43" fontId="4" fillId="0" borderId="0" applyFont="0" applyFill="0" applyBorder="0" applyAlignment="0" applyProtection="0"/>
    <xf numFmtId="0" fontId="4" fillId="44" borderId="0" applyNumberFormat="0" applyBorder="0" applyAlignment="0" applyProtection="0"/>
    <xf numFmtId="43" fontId="4" fillId="0" borderId="0" applyFont="0" applyFill="0" applyBorder="0" applyAlignment="0" applyProtection="0"/>
    <xf numFmtId="0" fontId="4" fillId="23" borderId="0" applyNumberFormat="0" applyBorder="0" applyAlignment="0" applyProtection="0"/>
    <xf numFmtId="0" fontId="4" fillId="28"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24" borderId="0" applyNumberFormat="0" applyBorder="0" applyAlignment="0" applyProtection="0"/>
    <xf numFmtId="0" fontId="4" fillId="0" borderId="0"/>
    <xf numFmtId="0" fontId="4" fillId="3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23"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43" fontId="4" fillId="0" borderId="0" applyFont="0" applyFill="0" applyBorder="0" applyAlignment="0" applyProtection="0"/>
    <xf numFmtId="0" fontId="4" fillId="27"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35" borderId="0" applyNumberFormat="0" applyBorder="0" applyAlignment="0" applyProtection="0"/>
    <xf numFmtId="0" fontId="4" fillId="23" borderId="0" applyNumberFormat="0" applyBorder="0" applyAlignment="0" applyProtection="0"/>
    <xf numFmtId="9" fontId="4" fillId="0" borderId="0" applyFont="0" applyFill="0" applyBorder="0" applyAlignment="0" applyProtection="0"/>
    <xf numFmtId="0" fontId="4" fillId="44"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43" fontId="4" fillId="0" borderId="0" applyFont="0" applyFill="0" applyBorder="0" applyAlignment="0" applyProtection="0"/>
    <xf numFmtId="0" fontId="4" fillId="0" borderId="0"/>
    <xf numFmtId="0" fontId="4" fillId="28" borderId="0" applyNumberFormat="0" applyBorder="0" applyAlignment="0" applyProtection="0"/>
    <xf numFmtId="0" fontId="4" fillId="44"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5" borderId="0" applyNumberFormat="0" applyBorder="0" applyAlignment="0" applyProtection="0"/>
    <xf numFmtId="9" fontId="4" fillId="0" borderId="0" applyFont="0" applyFill="0" applyBorder="0" applyAlignment="0" applyProtection="0"/>
    <xf numFmtId="0" fontId="4" fillId="31" borderId="0" applyNumberFormat="0" applyBorder="0" applyAlignment="0" applyProtection="0"/>
    <xf numFmtId="0" fontId="4" fillId="40" borderId="0" applyNumberFormat="0" applyBorder="0" applyAlignment="0" applyProtection="0"/>
    <xf numFmtId="43" fontId="4" fillId="0" borderId="0" applyFont="0" applyFill="0" applyBorder="0" applyAlignment="0" applyProtection="0"/>
    <xf numFmtId="0" fontId="4" fillId="31" borderId="0" applyNumberFormat="0" applyBorder="0" applyAlignment="0" applyProtection="0"/>
    <xf numFmtId="0" fontId="4" fillId="0" borderId="0"/>
    <xf numFmtId="0" fontId="4" fillId="40"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21" borderId="47" applyNumberFormat="0" applyFont="0" applyAlignment="0" applyProtection="0"/>
    <xf numFmtId="0" fontId="4" fillId="39" borderId="0" applyNumberFormat="0" applyBorder="0" applyAlignment="0" applyProtection="0"/>
    <xf numFmtId="0" fontId="4" fillId="28"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32" borderId="0" applyNumberFormat="0" applyBorder="0" applyAlignment="0" applyProtection="0"/>
    <xf numFmtId="0" fontId="4" fillId="31" borderId="0" applyNumberFormat="0" applyBorder="0" applyAlignment="0" applyProtection="0"/>
    <xf numFmtId="0" fontId="4" fillId="0" borderId="0"/>
    <xf numFmtId="0" fontId="4" fillId="44" borderId="0" applyNumberFormat="0" applyBorder="0" applyAlignment="0" applyProtection="0"/>
    <xf numFmtId="0" fontId="4" fillId="2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35" borderId="0" applyNumberFormat="0" applyBorder="0" applyAlignment="0" applyProtection="0"/>
    <xf numFmtId="43" fontId="4" fillId="0" borderId="0" applyFont="0" applyFill="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0" borderId="0"/>
    <xf numFmtId="0" fontId="4" fillId="21" borderId="47" applyNumberFormat="0" applyFont="0" applyAlignment="0" applyProtection="0"/>
    <xf numFmtId="43"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1" fillId="0" borderId="0"/>
    <xf numFmtId="43" fontId="11" fillId="0" borderId="0" applyFont="0" applyFill="0" applyBorder="0" applyAlignment="0" applyProtection="0"/>
  </cellStyleXfs>
  <cellXfs count="932">
    <xf numFmtId="0" fontId="0" fillId="0" borderId="0" xfId="0"/>
    <xf numFmtId="0" fontId="12" fillId="0" borderId="0" xfId="0" applyFont="1" applyAlignment="1">
      <alignment horizontal="left"/>
    </xf>
    <xf numFmtId="0" fontId="12" fillId="0" borderId="0" xfId="0" applyFont="1" applyAlignment="1">
      <alignment horizontal="center"/>
    </xf>
    <xf numFmtId="0" fontId="12" fillId="0" borderId="1" xfId="0" applyFont="1" applyBorder="1" applyAlignment="1">
      <alignment horizontal="center"/>
    </xf>
    <xf numFmtId="0" fontId="13" fillId="0" borderId="1" xfId="0" applyFont="1" applyBorder="1"/>
    <xf numFmtId="0" fontId="12" fillId="0" borderId="0" xfId="0" applyFont="1"/>
    <xf numFmtId="0" fontId="12" fillId="0" borderId="1" xfId="0" applyFont="1" applyBorder="1"/>
    <xf numFmtId="3" fontId="12" fillId="0" borderId="0" xfId="0" applyNumberFormat="1" applyFont="1"/>
    <xf numFmtId="164" fontId="12" fillId="0" borderId="0" xfId="1" applyNumberFormat="1" applyFont="1"/>
    <xf numFmtId="7" fontId="12" fillId="0" borderId="0" xfId="0" applyNumberFormat="1" applyFont="1"/>
    <xf numFmtId="165" fontId="12" fillId="0" borderId="0" xfId="0" applyNumberFormat="1" applyFont="1"/>
    <xf numFmtId="5" fontId="12" fillId="0" borderId="0" xfId="0" applyNumberFormat="1" applyFont="1"/>
    <xf numFmtId="37" fontId="12" fillId="0" borderId="0" xfId="0" applyNumberFormat="1" applyFont="1"/>
    <xf numFmtId="0" fontId="15" fillId="0" borderId="0" xfId="0" applyFont="1" applyAlignment="1">
      <alignment horizontal="left"/>
    </xf>
    <xf numFmtId="0" fontId="15" fillId="0" borderId="0" xfId="0" applyFont="1"/>
    <xf numFmtId="5" fontId="15" fillId="0" borderId="0" xfId="0" applyNumberFormat="1" applyFont="1"/>
    <xf numFmtId="10" fontId="15" fillId="0" borderId="0" xfId="0" applyNumberFormat="1" applyFont="1"/>
    <xf numFmtId="10" fontId="12" fillId="0" borderId="0" xfId="0" applyNumberFormat="1" applyFont="1"/>
    <xf numFmtId="5" fontId="16" fillId="0" borderId="0" xfId="0" applyNumberFormat="1" applyFont="1"/>
    <xf numFmtId="0" fontId="0" fillId="0" borderId="0" xfId="0" applyFill="1"/>
    <xf numFmtId="0" fontId="19" fillId="0" borderId="0" xfId="0" applyFont="1"/>
    <xf numFmtId="164" fontId="19" fillId="0" borderId="0" xfId="1" applyNumberFormat="1" applyFont="1" applyFill="1"/>
    <xf numFmtId="0" fontId="19" fillId="0" borderId="0" xfId="0" applyFont="1" applyFill="1"/>
    <xf numFmtId="0" fontId="19" fillId="0" borderId="0" xfId="0" applyFont="1" applyFill="1" applyAlignment="1">
      <alignment horizontal="left"/>
    </xf>
    <xf numFmtId="0" fontId="20" fillId="0" borderId="0" xfId="0" applyFont="1" applyFill="1" applyAlignment="1">
      <alignment horizontal="centerContinuous"/>
    </xf>
    <xf numFmtId="0" fontId="19" fillId="0" borderId="0" xfId="0" applyFont="1" applyFill="1" applyAlignment="1">
      <alignment horizontal="center"/>
    </xf>
    <xf numFmtId="0" fontId="21" fillId="0" borderId="0" xfId="0" applyFont="1" applyFill="1"/>
    <xf numFmtId="0" fontId="21" fillId="0" borderId="0" xfId="0" applyFont="1" applyFill="1" applyAlignment="1">
      <alignment horizontal="center"/>
    </xf>
    <xf numFmtId="164" fontId="23" fillId="0" borderId="0" xfId="1" applyNumberFormat="1" applyFont="1" applyFill="1"/>
    <xf numFmtId="164" fontId="19" fillId="0" borderId="0" xfId="0" applyNumberFormat="1" applyFont="1" applyFill="1"/>
    <xf numFmtId="10" fontId="19" fillId="0" borderId="0" xfId="0" applyNumberFormat="1" applyFont="1" applyFill="1"/>
    <xf numFmtId="164" fontId="22" fillId="0" borderId="0" xfId="1" applyNumberFormat="1" applyFont="1" applyFill="1"/>
    <xf numFmtId="43" fontId="19" fillId="0" borderId="0" xfId="1" applyFont="1" applyFill="1"/>
    <xf numFmtId="0" fontId="19" fillId="0" borderId="0" xfId="0" applyFont="1" applyFill="1" applyAlignment="1">
      <alignment horizontal="left" indent="1"/>
    </xf>
    <xf numFmtId="164" fontId="12" fillId="0" borderId="0" xfId="1" applyNumberFormat="1" applyFont="1" applyAlignment="1">
      <alignment horizontal="left"/>
    </xf>
    <xf numFmtId="0" fontId="0" fillId="0" borderId="0" xfId="0" applyAlignment="1">
      <alignment horizontal="center"/>
    </xf>
    <xf numFmtId="0" fontId="0" fillId="0" borderId="0" xfId="0" applyAlignment="1">
      <alignment horizontal="left"/>
    </xf>
    <xf numFmtId="164" fontId="11" fillId="0" borderId="0" xfId="1" applyNumberFormat="1"/>
    <xf numFmtId="164" fontId="11" fillId="0" borderId="2" xfId="1" applyNumberFormat="1" applyBorder="1"/>
    <xf numFmtId="164" fontId="0" fillId="0" borderId="2" xfId="0" applyNumberFormat="1" applyBorder="1"/>
    <xf numFmtId="164" fontId="11" fillId="0" borderId="0" xfId="1" applyNumberFormat="1" applyFont="1" applyFill="1" applyBorder="1"/>
    <xf numFmtId="0" fontId="0" fillId="0" borderId="0" xfId="0" applyAlignment="1">
      <alignment vertical="justify"/>
    </xf>
    <xf numFmtId="164" fontId="0" fillId="0" borderId="0" xfId="0" applyNumberFormat="1" applyAlignment="1">
      <alignment horizontal="centerContinuous" vertical="justify"/>
    </xf>
    <xf numFmtId="164" fontId="0" fillId="0" borderId="0" xfId="0" applyNumberFormat="1"/>
    <xf numFmtId="0" fontId="11" fillId="0" borderId="0" xfId="0" applyFont="1"/>
    <xf numFmtId="0" fontId="25" fillId="0" borderId="0" xfId="0" applyFont="1" applyAlignment="1">
      <alignment horizontal="center"/>
    </xf>
    <xf numFmtId="164" fontId="0" fillId="0" borderId="0" xfId="0" applyNumberFormat="1" applyBorder="1"/>
    <xf numFmtId="164" fontId="11" fillId="0" borderId="0" xfId="1" applyNumberFormat="1" applyBorder="1"/>
    <xf numFmtId="164" fontId="11" fillId="0" borderId="0" xfId="1" applyNumberFormat="1" applyFont="1"/>
    <xf numFmtId="169" fontId="11" fillId="0" borderId="0" xfId="2" applyNumberFormat="1"/>
    <xf numFmtId="43" fontId="11" fillId="0" borderId="0" xfId="1" applyFont="1"/>
    <xf numFmtId="43" fontId="0" fillId="0" borderId="2" xfId="0" applyNumberFormat="1" applyBorder="1"/>
    <xf numFmtId="172" fontId="0" fillId="0" borderId="0" xfId="0" applyNumberFormat="1"/>
    <xf numFmtId="170" fontId="0" fillId="0" borderId="0" xfId="0" applyNumberFormat="1"/>
    <xf numFmtId="0" fontId="0" fillId="0" borderId="0" xfId="0" applyAlignment="1">
      <alignment horizontal="centerContinuous"/>
    </xf>
    <xf numFmtId="0" fontId="27" fillId="0" borderId="0" xfId="0" applyFont="1" applyAlignment="1">
      <alignment horizontal="centerContinuous"/>
    </xf>
    <xf numFmtId="0" fontId="28" fillId="0" borderId="0" xfId="0" applyFont="1" applyAlignment="1">
      <alignment horizontal="center"/>
    </xf>
    <xf numFmtId="169" fontId="0" fillId="0" borderId="0" xfId="0" applyNumberFormat="1"/>
    <xf numFmtId="0" fontId="0" fillId="0" borderId="0" xfId="0" applyAlignment="1">
      <alignment horizontal="right"/>
    </xf>
    <xf numFmtId="169" fontId="11" fillId="0" borderId="0" xfId="2" applyNumberFormat="1" applyFont="1"/>
    <xf numFmtId="0" fontId="31" fillId="0" borderId="0" xfId="0" applyFont="1"/>
    <xf numFmtId="0" fontId="32" fillId="0" borderId="0" xfId="0" applyFont="1"/>
    <xf numFmtId="0" fontId="33" fillId="0" borderId="0" xfId="0" applyFont="1"/>
    <xf numFmtId="0" fontId="32" fillId="0" borderId="1" xfId="0" applyFont="1" applyBorder="1" applyAlignment="1">
      <alignment horizontal="centerContinuous"/>
    </xf>
    <xf numFmtId="0" fontId="0" fillId="0" borderId="1" xfId="0" applyBorder="1" applyAlignment="1">
      <alignment horizontal="centerContinuous"/>
    </xf>
    <xf numFmtId="0" fontId="25" fillId="0" borderId="3" xfId="0" applyFont="1" applyBorder="1" applyAlignment="1">
      <alignment horizontal="center"/>
    </xf>
    <xf numFmtId="0" fontId="25" fillId="0" borderId="3" xfId="0" applyFont="1" applyBorder="1" applyAlignment="1">
      <alignment horizontal="right"/>
    </xf>
    <xf numFmtId="0" fontId="25" fillId="0" borderId="3" xfId="0" quotePrefix="1" applyFont="1" applyBorder="1" applyAlignment="1">
      <alignment horizontal="center"/>
    </xf>
    <xf numFmtId="168" fontId="0" fillId="0" borderId="0" xfId="0" applyNumberFormat="1"/>
    <xf numFmtId="175" fontId="0" fillId="0" borderId="0" xfId="0" applyNumberFormat="1"/>
    <xf numFmtId="0" fontId="25" fillId="0" borderId="0" xfId="0" applyFont="1" applyAlignment="1">
      <alignment horizontal="right"/>
    </xf>
    <xf numFmtId="0" fontId="0" fillId="0" borderId="0" xfId="0" quotePrefix="1" applyAlignment="1">
      <alignment horizontal="center"/>
    </xf>
    <xf numFmtId="3" fontId="0" fillId="0" borderId="0" xfId="0" applyNumberFormat="1"/>
    <xf numFmtId="3" fontId="0" fillId="0" borderId="2" xfId="0" applyNumberFormat="1" applyBorder="1"/>
    <xf numFmtId="3" fontId="0" fillId="0" borderId="0" xfId="0" applyNumberFormat="1" applyBorder="1"/>
    <xf numFmtId="0" fontId="0" fillId="0" borderId="0" xfId="0" quotePrefix="1" applyAlignment="1">
      <alignment horizontal="right"/>
    </xf>
    <xf numFmtId="168" fontId="0" fillId="0" borderId="2" xfId="0" applyNumberFormat="1" applyBorder="1"/>
    <xf numFmtId="175" fontId="0" fillId="0" borderId="2" xfId="0" applyNumberFormat="1" applyBorder="1"/>
    <xf numFmtId="175" fontId="29" fillId="0" borderId="0" xfId="0" applyNumberFormat="1" applyFont="1"/>
    <xf numFmtId="0" fontId="34" fillId="0" borderId="0" xfId="0" applyFont="1"/>
    <xf numFmtId="0" fontId="32" fillId="0" borderId="0" xfId="0" applyFont="1" applyAlignment="1">
      <alignment horizontal="centerContinuous"/>
    </xf>
    <xf numFmtId="168" fontId="0" fillId="0" borderId="0" xfId="0" applyNumberFormat="1" applyFill="1"/>
    <xf numFmtId="174" fontId="11" fillId="0" borderId="0" xfId="0" applyNumberFormat="1" applyFont="1"/>
    <xf numFmtId="10" fontId="32" fillId="0" borderId="0" xfId="0" applyNumberFormat="1" applyFont="1"/>
    <xf numFmtId="10" fontId="0" fillId="0" borderId="0" xfId="0" applyNumberFormat="1"/>
    <xf numFmtId="0" fontId="0" fillId="0" borderId="0" xfId="0" applyFill="1" applyAlignment="1">
      <alignment horizontal="right"/>
    </xf>
    <xf numFmtId="0" fontId="18" fillId="0" borderId="0" xfId="0" applyFont="1" applyFill="1" applyBorder="1" applyAlignment="1">
      <alignment vertical="center"/>
    </xf>
    <xf numFmtId="0" fontId="12" fillId="0" borderId="0" xfId="1" applyNumberFormat="1" applyFont="1"/>
    <xf numFmtId="0" fontId="12" fillId="0" borderId="0" xfId="0" applyFont="1" applyAlignment="1">
      <alignment horizontal="left" indent="1"/>
    </xf>
    <xf numFmtId="37" fontId="12" fillId="0" borderId="0" xfId="0" applyNumberFormat="1" applyFont="1" applyAlignment="1">
      <alignment horizontal="left" indent="1"/>
    </xf>
    <xf numFmtId="165" fontId="12" fillId="0" borderId="0" xfId="0" applyNumberFormat="1" applyFont="1" applyAlignment="1">
      <alignment horizontal="left" indent="1"/>
    </xf>
    <xf numFmtId="5" fontId="12" fillId="0" borderId="0" xfId="0" applyNumberFormat="1" applyFont="1" applyAlignment="1">
      <alignment horizontal="left" indent="1"/>
    </xf>
    <xf numFmtId="3" fontId="12" fillId="0" borderId="0" xfId="0" applyNumberFormat="1" applyFont="1" applyAlignment="1">
      <alignment horizontal="left" indent="1"/>
    </xf>
    <xf numFmtId="5" fontId="12" fillId="0" borderId="0" xfId="0" applyNumberFormat="1" applyFont="1" applyBorder="1"/>
    <xf numFmtId="0" fontId="0" fillId="0" borderId="0" xfId="0" quotePrefix="1"/>
    <xf numFmtId="3" fontId="36" fillId="0" borderId="0" xfId="0" applyNumberFormat="1" applyFont="1"/>
    <xf numFmtId="0" fontId="36" fillId="0" borderId="0" xfId="0" applyFont="1" applyAlignment="1">
      <alignment horizontal="center"/>
    </xf>
    <xf numFmtId="170" fontId="36" fillId="0" borderId="0" xfId="0" applyNumberFormat="1" applyFont="1"/>
    <xf numFmtId="176" fontId="36" fillId="0" borderId="0" xfId="0" applyNumberFormat="1" applyFont="1"/>
    <xf numFmtId="164" fontId="37" fillId="0" borderId="0" xfId="1" applyNumberFormat="1" applyFont="1"/>
    <xf numFmtId="164" fontId="38" fillId="0" borderId="0" xfId="1" applyNumberFormat="1" applyFont="1" applyFill="1"/>
    <xf numFmtId="0" fontId="38" fillId="0" borderId="0" xfId="0" applyFont="1" applyFill="1"/>
    <xf numFmtId="10" fontId="37" fillId="0" borderId="0" xfId="0" applyNumberFormat="1" applyFont="1"/>
    <xf numFmtId="37" fontId="12" fillId="0" borderId="1" xfId="0" applyNumberFormat="1" applyFont="1" applyBorder="1"/>
    <xf numFmtId="37" fontId="16" fillId="0" borderId="0" xfId="0" applyNumberFormat="1" applyFont="1"/>
    <xf numFmtId="37" fontId="12" fillId="0" borderId="0" xfId="0" applyNumberFormat="1" applyFont="1" applyBorder="1"/>
    <xf numFmtId="37" fontId="12" fillId="0" borderId="2" xfId="0" applyNumberFormat="1" applyFont="1" applyBorder="1"/>
    <xf numFmtId="37" fontId="12" fillId="0" borderId="0" xfId="1" applyNumberFormat="1" applyFont="1"/>
    <xf numFmtId="37" fontId="37" fillId="0" borderId="0" xfId="1" applyNumberFormat="1" applyFont="1"/>
    <xf numFmtId="37" fontId="37" fillId="0" borderId="0" xfId="0" applyNumberFormat="1" applyFont="1"/>
    <xf numFmtId="0" fontId="14" fillId="0" borderId="0" xfId="0" applyFont="1"/>
    <xf numFmtId="37" fontId="12" fillId="0" borderId="0" xfId="0" applyNumberFormat="1" applyFont="1" applyFill="1"/>
    <xf numFmtId="5" fontId="12" fillId="0" borderId="0" xfId="0" applyNumberFormat="1" applyFont="1" applyFill="1"/>
    <xf numFmtId="0" fontId="12" fillId="0" borderId="0" xfId="0" applyFont="1" applyAlignment="1"/>
    <xf numFmtId="0" fontId="12" fillId="0" borderId="0" xfId="0" applyFont="1" applyAlignment="1">
      <alignment horizontal="right"/>
    </xf>
    <xf numFmtId="0" fontId="14" fillId="0" borderId="0" xfId="0" applyFont="1" applyAlignment="1"/>
    <xf numFmtId="0" fontId="25" fillId="0" borderId="0" xfId="0" applyFont="1"/>
    <xf numFmtId="0" fontId="37" fillId="0" borderId="0" xfId="0" applyFont="1"/>
    <xf numFmtId="177" fontId="12" fillId="0" borderId="0" xfId="0" applyNumberFormat="1" applyFont="1"/>
    <xf numFmtId="178" fontId="12" fillId="0" borderId="0" xfId="0" applyNumberFormat="1" applyFont="1" applyAlignment="1">
      <alignment horizontal="center"/>
    </xf>
    <xf numFmtId="170" fontId="36" fillId="2" borderId="0" xfId="0" applyNumberFormat="1" applyFont="1" applyFill="1"/>
    <xf numFmtId="0" fontId="0" fillId="2" borderId="0" xfId="0" applyFill="1"/>
    <xf numFmtId="165" fontId="36" fillId="2" borderId="0" xfId="0" applyNumberFormat="1" applyFont="1" applyFill="1"/>
    <xf numFmtId="170" fontId="11" fillId="3" borderId="0" xfId="0" applyNumberFormat="1" applyFont="1" applyFill="1"/>
    <xf numFmtId="0" fontId="0" fillId="3" borderId="0" xfId="0" applyFill="1"/>
    <xf numFmtId="165" fontId="36" fillId="3" borderId="0" xfId="0" applyNumberFormat="1" applyFont="1" applyFill="1"/>
    <xf numFmtId="170" fontId="36" fillId="3" borderId="0" xfId="0" applyNumberFormat="1" applyFont="1" applyFill="1"/>
    <xf numFmtId="170" fontId="11" fillId="4" borderId="0" xfId="0" applyNumberFormat="1" applyFont="1" applyFill="1"/>
    <xf numFmtId="0" fontId="0" fillId="4" borderId="0" xfId="0" applyFill="1"/>
    <xf numFmtId="165" fontId="11" fillId="4" borderId="0" xfId="0" applyNumberFormat="1" applyFont="1" applyFill="1"/>
    <xf numFmtId="170" fontId="11" fillId="5" borderId="0" xfId="0" applyNumberFormat="1" applyFont="1" applyFill="1"/>
    <xf numFmtId="0" fontId="0" fillId="5" borderId="0" xfId="0" applyFill="1"/>
    <xf numFmtId="165" fontId="11" fillId="5" borderId="0" xfId="0" applyNumberFormat="1" applyFont="1" applyFill="1"/>
    <xf numFmtId="0" fontId="34" fillId="0" borderId="0" xfId="0" applyFont="1" applyAlignment="1"/>
    <xf numFmtId="0" fontId="12" fillId="0" borderId="0" xfId="0" quotePrefix="1" applyFont="1"/>
    <xf numFmtId="174" fontId="12" fillId="0" borderId="0" xfId="0" applyNumberFormat="1" applyFont="1"/>
    <xf numFmtId="179" fontId="12" fillId="0" borderId="0" xfId="0" applyNumberFormat="1" applyFont="1"/>
    <xf numFmtId="0" fontId="25" fillId="0" borderId="0" xfId="0" applyFont="1" applyAlignment="1">
      <alignment horizontal="centerContinuous"/>
    </xf>
    <xf numFmtId="0" fontId="40" fillId="0" borderId="0" xfId="0" applyFont="1" applyAlignment="1">
      <alignment horizontal="center"/>
    </xf>
    <xf numFmtId="170" fontId="36" fillId="0" borderId="0" xfId="0" applyNumberFormat="1" applyFont="1" applyFill="1"/>
    <xf numFmtId="174" fontId="36" fillId="0" borderId="0" xfId="0" applyNumberFormat="1" applyFont="1" applyFill="1"/>
    <xf numFmtId="175" fontId="0" fillId="0" borderId="2" xfId="0" applyNumberFormat="1" applyFill="1" applyBorder="1"/>
    <xf numFmtId="0" fontId="25" fillId="0" borderId="0" xfId="0" applyFont="1" applyAlignment="1">
      <alignment horizontal="left" indent="1"/>
    </xf>
    <xf numFmtId="0" fontId="0" fillId="0" borderId="0" xfId="0" applyAlignment="1">
      <alignment horizontal="left" indent="1"/>
    </xf>
    <xf numFmtId="176" fontId="0" fillId="0" borderId="0" xfId="0" applyNumberFormat="1"/>
    <xf numFmtId="0" fontId="0" fillId="0" borderId="4" xfId="0" applyBorder="1"/>
    <xf numFmtId="174" fontId="0" fillId="0" borderId="2" xfId="0" applyNumberFormat="1" applyBorder="1"/>
    <xf numFmtId="0" fontId="0" fillId="0" borderId="5" xfId="0" applyBorder="1"/>
    <xf numFmtId="0" fontId="0" fillId="0" borderId="6" xfId="0" applyBorder="1"/>
    <xf numFmtId="0" fontId="0" fillId="0" borderId="7" xfId="0" applyBorder="1"/>
    <xf numFmtId="0" fontId="0" fillId="0" borderId="4" xfId="0" applyBorder="1" applyAlignment="1"/>
    <xf numFmtId="176" fontId="0" fillId="0" borderId="5" xfId="0" applyNumberFormat="1" applyBorder="1"/>
    <xf numFmtId="0" fontId="0" fillId="0" borderId="0" xfId="0" applyAlignment="1"/>
    <xf numFmtId="179" fontId="0" fillId="0" borderId="0" xfId="0" applyNumberFormat="1"/>
    <xf numFmtId="3" fontId="45" fillId="0" borderId="0" xfId="0" applyNumberFormat="1" applyFont="1" applyAlignment="1">
      <alignment horizontal="center"/>
    </xf>
    <xf numFmtId="179" fontId="44" fillId="0" borderId="0" xfId="0" applyNumberFormat="1" applyFont="1"/>
    <xf numFmtId="10" fontId="44" fillId="0" borderId="0" xfId="0" applyNumberFormat="1" applyFont="1"/>
    <xf numFmtId="171" fontId="0" fillId="0" borderId="0" xfId="0" applyNumberFormat="1"/>
    <xf numFmtId="0" fontId="0" fillId="0" borderId="0" xfId="0" applyBorder="1"/>
    <xf numFmtId="170" fontId="44" fillId="0" borderId="0" xfId="0" applyNumberFormat="1" applyFont="1" applyBorder="1"/>
    <xf numFmtId="0" fontId="0" fillId="0" borderId="8" xfId="0" applyBorder="1"/>
    <xf numFmtId="0" fontId="0" fillId="0" borderId="9" xfId="0" applyBorder="1"/>
    <xf numFmtId="0" fontId="0" fillId="0" borderId="6" xfId="0" applyFill="1" applyBorder="1"/>
    <xf numFmtId="181" fontId="11" fillId="0" borderId="1" xfId="0" applyNumberFormat="1" applyFont="1" applyBorder="1"/>
    <xf numFmtId="0" fontId="44" fillId="0" borderId="0" xfId="0" applyFont="1"/>
    <xf numFmtId="0" fontId="40" fillId="0" borderId="0" xfId="0" applyFont="1" applyAlignment="1">
      <alignment horizontal="centerContinuous"/>
    </xf>
    <xf numFmtId="3" fontId="45" fillId="0" borderId="0" xfId="0" applyNumberFormat="1" applyFont="1" applyAlignment="1">
      <alignment horizontal="right"/>
    </xf>
    <xf numFmtId="179" fontId="44" fillId="0" borderId="1" xfId="0" applyNumberFormat="1" applyFont="1" applyBorder="1"/>
    <xf numFmtId="0" fontId="0" fillId="0" borderId="2" xfId="0" applyBorder="1"/>
    <xf numFmtId="0" fontId="0" fillId="0" borderId="1" xfId="0" applyFill="1" applyBorder="1"/>
    <xf numFmtId="0" fontId="0" fillId="0" borderId="2" xfId="0" applyBorder="1" applyAlignment="1"/>
    <xf numFmtId="0" fontId="0" fillId="0" borderId="1" xfId="0" applyBorder="1"/>
    <xf numFmtId="178" fontId="0" fillId="0" borderId="0" xfId="0" applyNumberFormat="1"/>
    <xf numFmtId="0" fontId="0" fillId="0" borderId="2" xfId="0" applyBorder="1" applyAlignment="1">
      <alignment horizontal="centerContinuous"/>
    </xf>
    <xf numFmtId="3" fontId="44" fillId="0" borderId="0" xfId="0" applyNumberFormat="1" applyFont="1"/>
    <xf numFmtId="0" fontId="45" fillId="0" borderId="0" xfId="0" applyFont="1"/>
    <xf numFmtId="0" fontId="25" fillId="0" borderId="2" xfId="0" applyFont="1" applyBorder="1" applyAlignment="1">
      <alignment horizontal="left" indent="7"/>
    </xf>
    <xf numFmtId="0" fontId="45" fillId="0" borderId="0" xfId="0" applyFont="1" applyAlignment="1">
      <alignment horizontal="center"/>
    </xf>
    <xf numFmtId="3" fontId="11" fillId="0" borderId="0" xfId="0" applyNumberFormat="1" applyFont="1"/>
    <xf numFmtId="0" fontId="41" fillId="0" borderId="0" xfId="0" applyFont="1" applyAlignment="1">
      <alignment horizontal="centerContinuous"/>
    </xf>
    <xf numFmtId="165" fontId="0" fillId="0" borderId="0" xfId="0" applyNumberFormat="1"/>
    <xf numFmtId="171" fontId="25" fillId="0" borderId="0" xfId="0" applyNumberFormat="1" applyFont="1"/>
    <xf numFmtId="0" fontId="25" fillId="0" borderId="0" xfId="0" applyFont="1" applyAlignment="1"/>
    <xf numFmtId="170" fontId="44" fillId="6" borderId="0" xfId="0" applyNumberFormat="1" applyFont="1" applyFill="1" applyBorder="1"/>
    <xf numFmtId="0" fontId="0" fillId="6" borderId="0" xfId="0" applyFill="1"/>
    <xf numFmtId="0" fontId="0" fillId="7" borderId="0" xfId="0" applyFill="1"/>
    <xf numFmtId="179" fontId="44" fillId="0" borderId="5" xfId="0" applyNumberFormat="1" applyFont="1" applyBorder="1"/>
    <xf numFmtId="179" fontId="44" fillId="0" borderId="9" xfId="0" applyNumberFormat="1" applyFont="1" applyBorder="1"/>
    <xf numFmtId="179" fontId="44" fillId="0" borderId="7" xfId="0" applyNumberFormat="1" applyFont="1" applyBorder="1"/>
    <xf numFmtId="179" fontId="44" fillId="6" borderId="2" xfId="0" applyNumberFormat="1" applyFont="1" applyFill="1" applyBorder="1"/>
    <xf numFmtId="179" fontId="44" fillId="6" borderId="0" xfId="0" applyNumberFormat="1" applyFont="1" applyFill="1" applyBorder="1"/>
    <xf numFmtId="179" fontId="44" fillId="6" borderId="1" xfId="0" applyNumberFormat="1" applyFont="1" applyFill="1" applyBorder="1"/>
    <xf numFmtId="0" fontId="12" fillId="0" borderId="10" xfId="0" applyFont="1" applyBorder="1"/>
    <xf numFmtId="165" fontId="12" fillId="0" borderId="0" xfId="0" applyNumberFormat="1" applyFont="1" applyFill="1"/>
    <xf numFmtId="5" fontId="12" fillId="0" borderId="2" xfId="0" applyNumberFormat="1" applyFont="1" applyBorder="1"/>
    <xf numFmtId="5" fontId="14" fillId="0" borderId="2" xfId="0" applyNumberFormat="1" applyFont="1" applyBorder="1"/>
    <xf numFmtId="5" fontId="12" fillId="0" borderId="2" xfId="0" applyNumberFormat="1" applyFont="1" applyFill="1" applyBorder="1"/>
    <xf numFmtId="37" fontId="12" fillId="0" borderId="0" xfId="1" applyNumberFormat="1" applyFont="1" applyAlignment="1"/>
    <xf numFmtId="0" fontId="12" fillId="0" borderId="2" xfId="0" applyFont="1" applyBorder="1"/>
    <xf numFmtId="0" fontId="25" fillId="0" borderId="0" xfId="0" applyFont="1" applyBorder="1" applyAlignment="1">
      <alignment horizontal="center"/>
    </xf>
    <xf numFmtId="10" fontId="25" fillId="0" borderId="0" xfId="0" applyNumberFormat="1" applyFont="1" applyAlignment="1">
      <alignment horizontal="center"/>
    </xf>
    <xf numFmtId="10" fontId="25" fillId="0" borderId="0" xfId="0" applyNumberFormat="1" applyFont="1" applyBorder="1" applyAlignment="1">
      <alignment horizontal="center"/>
    </xf>
    <xf numFmtId="10" fontId="25" fillId="0" borderId="1" xfId="0" applyNumberFormat="1" applyFont="1" applyBorder="1" applyAlignment="1">
      <alignment horizontal="center"/>
    </xf>
    <xf numFmtId="0" fontId="25" fillId="0" borderId="1" xfId="0" applyFont="1" applyBorder="1" applyAlignment="1">
      <alignment horizontal="center"/>
    </xf>
    <xf numFmtId="10" fontId="25" fillId="0" borderId="0" xfId="0" applyNumberFormat="1" applyFont="1"/>
    <xf numFmtId="0" fontId="40" fillId="0" borderId="0" xfId="0" applyFont="1"/>
    <xf numFmtId="7" fontId="25" fillId="0" borderId="0" xfId="0" applyNumberFormat="1" applyFont="1"/>
    <xf numFmtId="166" fontId="25" fillId="0" borderId="0" xfId="0" applyNumberFormat="1" applyFont="1"/>
    <xf numFmtId="176" fontId="25" fillId="0" borderId="0" xfId="0" applyNumberFormat="1" applyFont="1"/>
    <xf numFmtId="166" fontId="11" fillId="0" borderId="0" xfId="0" applyNumberFormat="1" applyFont="1"/>
    <xf numFmtId="174" fontId="11" fillId="0" borderId="0" xfId="0" applyNumberFormat="1" applyFont="1" applyAlignment="1">
      <alignment horizontal="center"/>
    </xf>
    <xf numFmtId="7" fontId="11" fillId="0" borderId="0" xfId="0" applyNumberFormat="1" applyFont="1"/>
    <xf numFmtId="182" fontId="11" fillId="0" borderId="0" xfId="0" applyNumberFormat="1" applyFont="1" applyAlignment="1">
      <alignment horizontal="right"/>
    </xf>
    <xf numFmtId="0" fontId="11" fillId="0" borderId="0" xfId="0" applyFont="1" applyAlignment="1">
      <alignment horizontal="center"/>
    </xf>
    <xf numFmtId="0" fontId="11" fillId="0" borderId="0" xfId="0" applyFont="1" applyAlignment="1">
      <alignment horizontal="right"/>
    </xf>
    <xf numFmtId="183" fontId="11" fillId="0" borderId="0" xfId="0" applyNumberFormat="1" applyFont="1"/>
    <xf numFmtId="183" fontId="25" fillId="0" borderId="0" xfId="0" applyNumberFormat="1" applyFont="1"/>
    <xf numFmtId="184" fontId="11" fillId="0" borderId="0" xfId="0" applyNumberFormat="1" applyFont="1" applyAlignment="1">
      <alignment horizontal="right"/>
    </xf>
    <xf numFmtId="4" fontId="0" fillId="0" borderId="0" xfId="0" applyNumberFormat="1"/>
    <xf numFmtId="167" fontId="12" fillId="0" borderId="0" xfId="0" applyNumberFormat="1" applyFont="1"/>
    <xf numFmtId="43" fontId="0" fillId="0" borderId="0" xfId="0" applyNumberFormat="1"/>
    <xf numFmtId="0" fontId="48" fillId="0" borderId="0" xfId="0" applyFont="1"/>
    <xf numFmtId="173" fontId="12" fillId="0" borderId="0" xfId="0" applyNumberFormat="1" applyFont="1"/>
    <xf numFmtId="5" fontId="25" fillId="0" borderId="0" xfId="0" applyNumberFormat="1" applyFont="1" applyBorder="1"/>
    <xf numFmtId="0" fontId="25" fillId="0" borderId="0" xfId="0" applyFont="1" applyBorder="1"/>
    <xf numFmtId="176" fontId="29" fillId="0" borderId="0" xfId="0" applyNumberFormat="1" applyFont="1"/>
    <xf numFmtId="176" fontId="29" fillId="0" borderId="2" xfId="0" applyNumberFormat="1" applyFont="1" applyBorder="1"/>
    <xf numFmtId="176" fontId="0" fillId="0" borderId="2" xfId="0" applyNumberFormat="1" applyBorder="1"/>
    <xf numFmtId="0" fontId="21" fillId="0" borderId="0" xfId="0" applyFont="1" applyFill="1" applyAlignment="1">
      <alignment horizontal="right"/>
    </xf>
    <xf numFmtId="5" fontId="0" fillId="0" borderId="0" xfId="0" applyNumberFormat="1"/>
    <xf numFmtId="174" fontId="11" fillId="0" borderId="0" xfId="0" applyNumberFormat="1" applyFont="1" applyFill="1"/>
    <xf numFmtId="0" fontId="19" fillId="0" borderId="0" xfId="0" applyFont="1" applyFill="1" applyAlignment="1">
      <alignment horizontal="centerContinuous"/>
    </xf>
    <xf numFmtId="164" fontId="11" fillId="0" borderId="2" xfId="1" applyNumberFormat="1" applyFont="1" applyFill="1" applyBorder="1"/>
    <xf numFmtId="3" fontId="25" fillId="0" borderId="0" xfId="0" applyNumberFormat="1" applyFont="1" applyAlignment="1">
      <alignment horizontal="center"/>
    </xf>
    <xf numFmtId="187" fontId="45" fillId="0" borderId="0" xfId="0" applyNumberFormat="1" applyFont="1" applyAlignment="1">
      <alignment horizontal="center"/>
    </xf>
    <xf numFmtId="3" fontId="40" fillId="0" borderId="0" xfId="0" applyNumberFormat="1" applyFont="1" applyAlignment="1">
      <alignment horizontal="center"/>
    </xf>
    <xf numFmtId="3" fontId="11" fillId="0" borderId="2" xfId="1" applyNumberFormat="1" applyFont="1" applyFill="1" applyBorder="1"/>
    <xf numFmtId="164" fontId="11" fillId="0" borderId="11" xfId="1" applyNumberFormat="1" applyFont="1" applyFill="1" applyBorder="1"/>
    <xf numFmtId="164" fontId="11" fillId="0" borderId="11" xfId="1" applyNumberFormat="1" applyBorder="1"/>
    <xf numFmtId="164" fontId="19" fillId="0" borderId="12" xfId="0" applyNumberFormat="1" applyFont="1" applyFill="1" applyBorder="1"/>
    <xf numFmtId="164" fontId="19" fillId="0" borderId="11" xfId="0" applyNumberFormat="1" applyFont="1" applyFill="1" applyBorder="1"/>
    <xf numFmtId="37" fontId="19" fillId="0" borderId="0" xfId="0" applyNumberFormat="1" applyFont="1"/>
    <xf numFmtId="164" fontId="19" fillId="0" borderId="0" xfId="0" applyNumberFormat="1" applyFont="1"/>
    <xf numFmtId="164" fontId="19" fillId="0" borderId="2" xfId="0" applyNumberFormat="1" applyFont="1" applyFill="1" applyBorder="1"/>
    <xf numFmtId="0" fontId="12" fillId="0" borderId="0" xfId="0" applyFont="1" applyFill="1" applyAlignment="1">
      <alignment horizontal="left" indent="1"/>
    </xf>
    <xf numFmtId="164" fontId="19" fillId="0" borderId="0" xfId="0" applyNumberFormat="1" applyFont="1" applyFill="1" applyBorder="1"/>
    <xf numFmtId="37" fontId="19" fillId="0" borderId="12" xfId="0" applyNumberFormat="1" applyFont="1" applyBorder="1"/>
    <xf numFmtId="37" fontId="14" fillId="0" borderId="1" xfId="0" applyNumberFormat="1" applyFont="1" applyBorder="1"/>
    <xf numFmtId="37" fontId="14" fillId="0" borderId="1" xfId="0" applyNumberFormat="1" applyFont="1" applyFill="1" applyBorder="1"/>
    <xf numFmtId="37" fontId="12" fillId="0" borderId="1" xfId="0" applyNumberFormat="1" applyFont="1" applyFill="1" applyBorder="1"/>
    <xf numFmtId="41" fontId="11" fillId="0" borderId="0" xfId="2" applyNumberFormat="1" applyFont="1"/>
    <xf numFmtId="41" fontId="11" fillId="0" borderId="0" xfId="2" applyNumberFormat="1"/>
    <xf numFmtId="41" fontId="0" fillId="0" borderId="0" xfId="0" applyNumberFormat="1"/>
    <xf numFmtId="41" fontId="30" fillId="0" borderId="0" xfId="2" applyNumberFormat="1" applyFont="1"/>
    <xf numFmtId="169" fontId="50" fillId="0" borderId="0" xfId="0" applyNumberFormat="1" applyFont="1"/>
    <xf numFmtId="4" fontId="44" fillId="0" borderId="0" xfId="0" applyNumberFormat="1" applyFont="1"/>
    <xf numFmtId="4" fontId="44" fillId="0" borderId="0" xfId="0" applyNumberFormat="1" applyFont="1" applyFill="1"/>
    <xf numFmtId="169" fontId="0" fillId="0" borderId="0" xfId="0" applyNumberFormat="1" applyFill="1"/>
    <xf numFmtId="10" fontId="0" fillId="0" borderId="0" xfId="0" applyNumberFormat="1" applyFill="1"/>
    <xf numFmtId="0" fontId="0" fillId="0" borderId="4" xfId="0" applyFill="1" applyBorder="1" applyAlignment="1">
      <alignment horizontal="right"/>
    </xf>
    <xf numFmtId="169" fontId="0" fillId="0" borderId="2" xfId="0" applyNumberFormat="1" applyFill="1" applyBorder="1"/>
    <xf numFmtId="0" fontId="0" fillId="0" borderId="2" xfId="0" applyFill="1" applyBorder="1"/>
    <xf numFmtId="0" fontId="0" fillId="0" borderId="2" xfId="0" applyFill="1" applyBorder="1" applyAlignment="1">
      <alignment horizontal="right"/>
    </xf>
    <xf numFmtId="169" fontId="0" fillId="0" borderId="5" xfId="0" applyNumberFormat="1" applyFill="1" applyBorder="1"/>
    <xf numFmtId="0" fontId="0" fillId="0" borderId="8" xfId="0" applyFill="1" applyBorder="1" applyAlignment="1">
      <alignment horizontal="right"/>
    </xf>
    <xf numFmtId="169" fontId="0" fillId="0" borderId="0" xfId="0" applyNumberFormat="1" applyFill="1" applyBorder="1"/>
    <xf numFmtId="0" fontId="0" fillId="0" borderId="0" xfId="0" applyFill="1" applyBorder="1"/>
    <xf numFmtId="0" fontId="0" fillId="0" borderId="0" xfId="0" applyFill="1" applyBorder="1" applyAlignment="1">
      <alignment horizontal="right"/>
    </xf>
    <xf numFmtId="169" fontId="0" fillId="0" borderId="9" xfId="0" applyNumberFormat="1" applyFill="1" applyBorder="1"/>
    <xf numFmtId="0" fontId="0" fillId="0" borderId="6" xfId="0" applyFill="1" applyBorder="1" applyAlignment="1">
      <alignment horizontal="right"/>
    </xf>
    <xf numFmtId="169" fontId="0" fillId="0" borderId="1" xfId="0" applyNumberFormat="1" applyFill="1" applyBorder="1"/>
    <xf numFmtId="0" fontId="0" fillId="0" borderId="1" xfId="0" applyFill="1" applyBorder="1" applyAlignment="1">
      <alignment horizontal="right"/>
    </xf>
    <xf numFmtId="169" fontId="0" fillId="0" borderId="7" xfId="0" applyNumberFormat="1" applyFill="1" applyBorder="1"/>
    <xf numFmtId="10" fontId="44" fillId="0" borderId="0" xfId="0" applyNumberFormat="1" applyFont="1" applyFill="1"/>
    <xf numFmtId="10" fontId="25" fillId="0" borderId="2" xfId="0" applyNumberFormat="1" applyFont="1" applyFill="1" applyBorder="1"/>
    <xf numFmtId="10" fontId="0" fillId="0" borderId="2" xfId="0" applyNumberFormat="1" applyFill="1" applyBorder="1"/>
    <xf numFmtId="0" fontId="34" fillId="0" borderId="0" xfId="0" applyFont="1" applyFill="1" applyAlignment="1">
      <alignment horizontal="right"/>
    </xf>
    <xf numFmtId="10" fontId="11" fillId="0" borderId="0" xfId="0" applyNumberFormat="1" applyFont="1" applyFill="1"/>
    <xf numFmtId="174" fontId="0" fillId="0" borderId="0" xfId="0" applyNumberFormat="1"/>
    <xf numFmtId="3" fontId="11" fillId="0" borderId="0" xfId="0" applyNumberFormat="1" applyFont="1" applyBorder="1"/>
    <xf numFmtId="0" fontId="34" fillId="0" borderId="0" xfId="0" applyFont="1" applyAlignment="1">
      <alignment horizontal="right"/>
    </xf>
    <xf numFmtId="165" fontId="44" fillId="0" borderId="0" xfId="0" applyNumberFormat="1" applyFont="1" applyFill="1"/>
    <xf numFmtId="165" fontId="11" fillId="0" borderId="0" xfId="0" applyNumberFormat="1" applyFont="1" applyFill="1"/>
    <xf numFmtId="0" fontId="51" fillId="0" borderId="0" xfId="0" applyFont="1"/>
    <xf numFmtId="5" fontId="0" fillId="3" borderId="0" xfId="0" applyNumberFormat="1" applyFill="1"/>
    <xf numFmtId="5" fontId="0" fillId="0" borderId="0" xfId="0" applyNumberFormat="1" applyFill="1"/>
    <xf numFmtId="5" fontId="44" fillId="0" borderId="0" xfId="0" applyNumberFormat="1" applyFont="1" applyFill="1"/>
    <xf numFmtId="0" fontId="52" fillId="0" borderId="0" xfId="0" applyFont="1" applyAlignment="1"/>
    <xf numFmtId="0" fontId="25" fillId="0" borderId="0" xfId="0" applyFont="1" applyFill="1" applyBorder="1" applyAlignment="1">
      <alignment horizontal="center"/>
    </xf>
    <xf numFmtId="172" fontId="11" fillId="0" borderId="0" xfId="0" applyNumberFormat="1" applyFont="1"/>
    <xf numFmtId="5" fontId="11" fillId="0" borderId="0" xfId="0" applyNumberFormat="1" applyFont="1" applyFill="1"/>
    <xf numFmtId="5" fontId="11" fillId="5" borderId="0" xfId="0" applyNumberFormat="1" applyFont="1" applyFill="1"/>
    <xf numFmtId="0" fontId="49" fillId="0" borderId="0" xfId="0" applyFont="1" applyAlignment="1">
      <alignment horizontal="left" indent="1"/>
    </xf>
    <xf numFmtId="5" fontId="44" fillId="0" borderId="0" xfId="0" applyNumberFormat="1" applyFont="1" applyFill="1" applyBorder="1"/>
    <xf numFmtId="169" fontId="25" fillId="0" borderId="0" xfId="0" applyNumberFormat="1" applyFont="1" applyFill="1"/>
    <xf numFmtId="0" fontId="53" fillId="0" borderId="0" xfId="0" applyFont="1" applyAlignment="1">
      <alignment horizontal="center"/>
    </xf>
    <xf numFmtId="5" fontId="0" fillId="3" borderId="0" xfId="0" applyNumberFormat="1" applyFill="1" applyBorder="1"/>
    <xf numFmtId="5" fontId="0" fillId="0" borderId="0" xfId="0" applyNumberFormat="1" applyFill="1" applyBorder="1"/>
    <xf numFmtId="188" fontId="0" fillId="0" borderId="0" xfId="0" applyNumberFormat="1" applyAlignment="1">
      <alignment horizontal="center"/>
    </xf>
    <xf numFmtId="0" fontId="0" fillId="0" borderId="0" xfId="0" applyFill="1" applyAlignment="1">
      <alignment vertical="justify"/>
    </xf>
    <xf numFmtId="188" fontId="0" fillId="0" borderId="0" xfId="0" applyNumberFormat="1" applyFill="1" applyAlignment="1">
      <alignment horizontal="center"/>
    </xf>
    <xf numFmtId="164" fontId="0" fillId="0" borderId="2" xfId="0" applyNumberFormat="1" applyFill="1" applyBorder="1"/>
    <xf numFmtId="164" fontId="0" fillId="0" borderId="0" xfId="0" applyNumberFormat="1" applyFill="1" applyBorder="1"/>
    <xf numFmtId="164" fontId="11" fillId="0" borderId="0" xfId="1" applyNumberFormat="1" applyFill="1"/>
    <xf numFmtId="164" fontId="11" fillId="0" borderId="2" xfId="1" applyNumberFormat="1" applyFill="1" applyBorder="1"/>
    <xf numFmtId="164" fontId="11" fillId="0" borderId="0" xfId="1" applyNumberFormat="1" applyFill="1" applyBorder="1"/>
    <xf numFmtId="43" fontId="11" fillId="0" borderId="0" xfId="1" applyFill="1"/>
    <xf numFmtId="43" fontId="0" fillId="0" borderId="2" xfId="0" applyNumberFormat="1" applyFill="1" applyBorder="1"/>
    <xf numFmtId="189" fontId="11" fillId="0" borderId="0" xfId="0" applyNumberFormat="1" applyFont="1" applyFill="1"/>
    <xf numFmtId="0" fontId="34" fillId="0" borderId="0" xfId="0" applyFont="1" applyAlignment="1">
      <alignment horizontal="centerContinuous"/>
    </xf>
    <xf numFmtId="171" fontId="44" fillId="0" borderId="0" xfId="0" applyNumberFormat="1" applyFont="1"/>
    <xf numFmtId="171" fontId="55" fillId="0" borderId="0" xfId="0" applyNumberFormat="1" applyFont="1" applyBorder="1"/>
    <xf numFmtId="170" fontId="11" fillId="0" borderId="0" xfId="0" applyNumberFormat="1" applyFont="1"/>
    <xf numFmtId="186" fontId="0" fillId="0" borderId="0" xfId="0" applyNumberFormat="1"/>
    <xf numFmtId="0" fontId="56" fillId="0" borderId="0" xfId="0" applyFont="1"/>
    <xf numFmtId="7" fontId="0" fillId="0" borderId="0" xfId="0" applyNumberFormat="1"/>
    <xf numFmtId="37" fontId="45" fillId="0" borderId="0" xfId="0" applyNumberFormat="1" applyFont="1" applyFill="1"/>
    <xf numFmtId="189" fontId="11" fillId="7" borderId="0" xfId="0" applyNumberFormat="1" applyFont="1" applyFill="1"/>
    <xf numFmtId="0" fontId="0" fillId="0" borderId="0" xfId="0"/>
    <xf numFmtId="0" fontId="36" fillId="0" borderId="0" xfId="0" applyFont="1" applyFill="1" applyAlignment="1">
      <alignment horizontal="center"/>
    </xf>
    <xf numFmtId="0" fontId="0" fillId="0" borderId="0" xfId="0"/>
    <xf numFmtId="0" fontId="11" fillId="0" borderId="0" xfId="0" applyFont="1" applyAlignment="1">
      <alignment horizontal="left" indent="1"/>
    </xf>
    <xf numFmtId="37" fontId="59" fillId="0" borderId="0" xfId="1" applyNumberFormat="1" applyFont="1" applyFill="1"/>
    <xf numFmtId="169" fontId="44" fillId="9" borderId="0" xfId="0" applyNumberFormat="1" applyFont="1" applyFill="1"/>
    <xf numFmtId="0" fontId="44" fillId="9" borderId="0" xfId="0" applyFont="1" applyFill="1"/>
    <xf numFmtId="0" fontId="60" fillId="0" borderId="0" xfId="0" applyFont="1" applyAlignment="1">
      <alignment horizontal="left"/>
    </xf>
    <xf numFmtId="171" fontId="50" fillId="0" borderId="0" xfId="0" applyNumberFormat="1" applyFont="1" applyBorder="1"/>
    <xf numFmtId="0" fontId="0" fillId="0" borderId="0" xfId="0"/>
    <xf numFmtId="0" fontId="0" fillId="0" borderId="0" xfId="0"/>
    <xf numFmtId="0" fontId="0" fillId="0" borderId="0" xfId="0"/>
    <xf numFmtId="0" fontId="0" fillId="0" borderId="0" xfId="0" applyFill="1" applyAlignment="1">
      <alignment horizontal="center"/>
    </xf>
    <xf numFmtId="191" fontId="0" fillId="0" borderId="0" xfId="0" applyNumberFormat="1" applyAlignment="1">
      <alignment horizontal="center"/>
    </xf>
    <xf numFmtId="0" fontId="0" fillId="0" borderId="0" xfId="0"/>
    <xf numFmtId="0" fontId="0" fillId="0" borderId="0" xfId="0"/>
    <xf numFmtId="0" fontId="12" fillId="0" borderId="0" xfId="0" applyFont="1" applyFill="1"/>
    <xf numFmtId="0" fontId="11" fillId="0" borderId="0" xfId="4"/>
    <xf numFmtId="0" fontId="12" fillId="0" borderId="0" xfId="4" applyFont="1" applyAlignment="1">
      <alignment horizontal="left"/>
    </xf>
    <xf numFmtId="0" fontId="12" fillId="0" borderId="0" xfId="4" applyFont="1" applyFill="1" applyAlignment="1">
      <alignment horizontal="left"/>
    </xf>
    <xf numFmtId="0" fontId="11" fillId="0" borderId="0" xfId="4"/>
    <xf numFmtId="0" fontId="12" fillId="0" borderId="0" xfId="4" applyFont="1" applyAlignment="1">
      <alignment horizontal="left"/>
    </xf>
    <xf numFmtId="0" fontId="12" fillId="0" borderId="0" xfId="4" applyFont="1" applyAlignment="1">
      <alignment horizontal="left"/>
    </xf>
    <xf numFmtId="190" fontId="25" fillId="0" borderId="0" xfId="0" applyNumberFormat="1" applyFont="1" applyAlignment="1">
      <alignment horizontal="center"/>
    </xf>
    <xf numFmtId="171" fontId="25" fillId="0" borderId="0" xfId="0" applyNumberFormat="1" applyFont="1" applyAlignment="1">
      <alignment horizontal="center"/>
    </xf>
    <xf numFmtId="0" fontId="11" fillId="0" borderId="0" xfId="0" applyFont="1" applyAlignment="1">
      <alignment wrapText="1"/>
    </xf>
    <xf numFmtId="0" fontId="11" fillId="0" borderId="0" xfId="0" applyFont="1" applyAlignment="1"/>
    <xf numFmtId="0" fontId="11" fillId="0" borderId="0" xfId="0" applyFont="1" applyAlignment="1">
      <alignment horizontal="left"/>
    </xf>
    <xf numFmtId="0" fontId="11" fillId="0" borderId="1" xfId="0" applyFont="1" applyBorder="1" applyAlignment="1">
      <alignment horizontal="center"/>
    </xf>
    <xf numFmtId="5" fontId="11" fillId="0" borderId="0" xfId="4" applyNumberFormat="1" applyFont="1" applyAlignment="1">
      <alignment horizontal="center"/>
    </xf>
    <xf numFmtId="5" fontId="25" fillId="0" borderId="0" xfId="0" applyNumberFormat="1" applyFont="1" applyAlignment="1">
      <alignment horizontal="center"/>
    </xf>
    <xf numFmtId="0" fontId="25" fillId="0" borderId="0" xfId="0" applyFont="1" applyAlignment="1">
      <alignment horizontal="center"/>
    </xf>
    <xf numFmtId="0" fontId="0" fillId="0" borderId="0" xfId="0"/>
    <xf numFmtId="0" fontId="11" fillId="0" borderId="0" xfId="0" applyFont="1" applyAlignment="1">
      <alignment horizontal="centerContinuous"/>
    </xf>
    <xf numFmtId="0" fontId="34" fillId="0" borderId="0" xfId="0" applyFont="1" applyAlignment="1">
      <alignment horizontal="center"/>
    </xf>
    <xf numFmtId="171" fontId="11" fillId="0" borderId="0" xfId="0" applyNumberFormat="1" applyFont="1"/>
    <xf numFmtId="180" fontId="25" fillId="0" borderId="0" xfId="0" applyNumberFormat="1" applyFont="1"/>
    <xf numFmtId="0" fontId="11" fillId="0" borderId="0" xfId="0" applyFont="1" applyBorder="1" applyAlignment="1">
      <alignment horizontal="right"/>
    </xf>
    <xf numFmtId="5" fontId="11" fillId="0" borderId="0" xfId="0" applyNumberFormat="1" applyFont="1" applyBorder="1"/>
    <xf numFmtId="0" fontId="11" fillId="0" borderId="0" xfId="0" applyFont="1" applyBorder="1"/>
    <xf numFmtId="0" fontId="11" fillId="0" borderId="0" xfId="0" applyFont="1" applyFill="1" applyBorder="1" applyAlignment="1">
      <alignment horizontal="right"/>
    </xf>
    <xf numFmtId="5" fontId="11" fillId="0" borderId="0" xfId="0" applyNumberFormat="1" applyFont="1" applyAlignment="1">
      <alignment horizontal="center"/>
    </xf>
    <xf numFmtId="0" fontId="11" fillId="0" borderId="0" xfId="0" applyFont="1" applyBorder="1" applyAlignment="1">
      <alignment horizontal="center"/>
    </xf>
    <xf numFmtId="5" fontId="11" fillId="0" borderId="0" xfId="0" applyNumberFormat="1" applyFont="1" applyBorder="1" applyAlignment="1">
      <alignment horizontal="center"/>
    </xf>
    <xf numFmtId="5" fontId="11" fillId="0" borderId="1" xfId="0" applyNumberFormat="1" applyFont="1" applyBorder="1" applyAlignment="1">
      <alignment horizontal="center"/>
    </xf>
    <xf numFmtId="5" fontId="25" fillId="0" borderId="0" xfId="0" applyNumberFormat="1" applyFont="1"/>
    <xf numFmtId="5" fontId="11" fillId="0" borderId="0" xfId="0" applyNumberFormat="1" applyFont="1"/>
    <xf numFmtId="5" fontId="34" fillId="0" borderId="0" xfId="0" applyNumberFormat="1" applyFont="1" applyBorder="1" applyAlignment="1">
      <alignment horizontal="center"/>
    </xf>
    <xf numFmtId="5" fontId="34" fillId="0" borderId="0" xfId="0" applyNumberFormat="1" applyFont="1" applyAlignment="1">
      <alignment horizontal="center"/>
    </xf>
    <xf numFmtId="5" fontId="34" fillId="0" borderId="0" xfId="0" applyNumberFormat="1" applyFont="1"/>
    <xf numFmtId="176" fontId="11" fillId="0" borderId="0" xfId="0" applyNumberFormat="1" applyFont="1" applyAlignment="1">
      <alignment horizontal="center"/>
    </xf>
    <xf numFmtId="176" fontId="11" fillId="0" borderId="0" xfId="0" applyNumberFormat="1" applyFont="1"/>
    <xf numFmtId="0" fontId="11" fillId="0" borderId="0" xfId="0" applyFont="1" applyAlignment="1">
      <alignment horizontal="left" indent="3"/>
    </xf>
    <xf numFmtId="185" fontId="11" fillId="0" borderId="0" xfId="0" applyNumberFormat="1" applyFont="1"/>
    <xf numFmtId="0" fontId="11" fillId="0" borderId="0" xfId="0" applyFont="1" applyFill="1" applyAlignment="1">
      <alignment horizontal="left" indent="1"/>
    </xf>
    <xf numFmtId="169" fontId="11" fillId="0" borderId="0" xfId="2" applyNumberFormat="1" applyFont="1" applyFill="1"/>
    <xf numFmtId="0" fontId="0" fillId="0" borderId="0" xfId="0"/>
    <xf numFmtId="0" fontId="25" fillId="0" borderId="0" xfId="0" applyFont="1" applyAlignment="1">
      <alignment horizontal="center"/>
    </xf>
    <xf numFmtId="0" fontId="0" fillId="0" borderId="0" xfId="0"/>
    <xf numFmtId="171" fontId="11" fillId="0" borderId="0" xfId="3" applyNumberFormat="1" applyFont="1"/>
    <xf numFmtId="175" fontId="0" fillId="0" borderId="0" xfId="0" applyNumberFormat="1" applyBorder="1"/>
    <xf numFmtId="0" fontId="0" fillId="0" borderId="0" xfId="0" applyBorder="1" applyAlignment="1">
      <alignment horizontal="centerContinuous"/>
    </xf>
    <xf numFmtId="0" fontId="25" fillId="0" borderId="0" xfId="0" quotePrefix="1" applyFont="1" applyBorder="1" applyAlignment="1">
      <alignment horizontal="center"/>
    </xf>
    <xf numFmtId="0" fontId="0" fillId="0" borderId="0" xfId="0"/>
    <xf numFmtId="37" fontId="59" fillId="0" borderId="0" xfId="0" applyNumberFormat="1" applyFont="1" applyFill="1"/>
    <xf numFmtId="0" fontId="11" fillId="0" borderId="0" xfId="4" applyFont="1" applyAlignment="1"/>
    <xf numFmtId="0" fontId="11" fillId="0" borderId="0" xfId="4" applyFont="1"/>
    <xf numFmtId="164" fontId="11" fillId="0" borderId="0" xfId="1" applyNumberFormat="1"/>
    <xf numFmtId="164" fontId="19" fillId="0" borderId="0" xfId="1" applyNumberFormat="1" applyFont="1" applyFill="1" applyBorder="1"/>
    <xf numFmtId="0" fontId="12" fillId="0" borderId="0" xfId="1" applyNumberFormat="1" applyFont="1" applyFill="1"/>
    <xf numFmtId="0" fontId="0" fillId="0" borderId="0" xfId="0"/>
    <xf numFmtId="164" fontId="63" fillId="8" borderId="0" xfId="1" applyNumberFormat="1" applyFont="1" applyFill="1"/>
    <xf numFmtId="164" fontId="19" fillId="8" borderId="0" xfId="1" applyNumberFormat="1" applyFont="1" applyFill="1" applyBorder="1"/>
    <xf numFmtId="169" fontId="11" fillId="0" borderId="0" xfId="0" applyNumberFormat="1" applyFont="1"/>
    <xf numFmtId="169" fontId="57" fillId="0" borderId="0" xfId="2" applyNumberFormat="1" applyFont="1"/>
    <xf numFmtId="193" fontId="11" fillId="0" borderId="0" xfId="0" applyNumberFormat="1" applyFont="1"/>
    <xf numFmtId="10" fontId="11" fillId="0" borderId="0" xfId="3" applyNumberFormat="1" applyFont="1"/>
    <xf numFmtId="169" fontId="0" fillId="0" borderId="0" xfId="2" applyNumberFormat="1" applyFont="1"/>
    <xf numFmtId="16" fontId="11" fillId="0" borderId="0" xfId="0" quotePrefix="1" applyNumberFormat="1" applyFont="1" applyAlignment="1">
      <alignment horizontal="center"/>
    </xf>
    <xf numFmtId="0" fontId="11" fillId="0" borderId="0" xfId="0" quotePrefix="1" applyFont="1" applyAlignment="1">
      <alignment horizontal="center"/>
    </xf>
    <xf numFmtId="180" fontId="25" fillId="0" borderId="0" xfId="0" applyNumberFormat="1" applyFont="1" applyFill="1"/>
    <xf numFmtId="0" fontId="0" fillId="0" borderId="0" xfId="0"/>
    <xf numFmtId="1" fontId="11" fillId="0" borderId="0" xfId="0" applyNumberFormat="1" applyFont="1"/>
    <xf numFmtId="44" fontId="11" fillId="0" borderId="0" xfId="0" applyNumberFormat="1" applyFont="1"/>
    <xf numFmtId="44" fontId="25" fillId="0" borderId="0" xfId="2" applyFont="1"/>
    <xf numFmtId="0" fontId="0" fillId="0" borderId="0" xfId="0"/>
    <xf numFmtId="0" fontId="11" fillId="0" borderId="0" xfId="4"/>
    <xf numFmtId="0" fontId="11" fillId="0" borderId="0" xfId="4" applyFill="1"/>
    <xf numFmtId="164" fontId="0" fillId="0" borderId="0" xfId="0" applyNumberFormat="1" applyAlignment="1">
      <alignment horizontal="right"/>
    </xf>
    <xf numFmtId="164" fontId="0" fillId="0" borderId="2" xfId="11" applyNumberFormat="1" applyFont="1" applyBorder="1"/>
    <xf numFmtId="164" fontId="0" fillId="0" borderId="0" xfId="1" applyNumberFormat="1" applyFont="1"/>
    <xf numFmtId="164" fontId="0" fillId="0" borderId="1" xfId="1" applyNumberFormat="1" applyFont="1" applyBorder="1"/>
    <xf numFmtId="164" fontId="0" fillId="0" borderId="0" xfId="1" applyNumberFormat="1" applyFont="1" applyBorder="1"/>
    <xf numFmtId="164" fontId="0" fillId="0" borderId="1" xfId="0" applyNumberFormat="1" applyBorder="1"/>
    <xf numFmtId="10" fontId="0" fillId="0" borderId="0" xfId="3" applyNumberFormat="1" applyFont="1"/>
    <xf numFmtId="10" fontId="0" fillId="0" borderId="1" xfId="3" applyNumberFormat="1" applyFont="1" applyBorder="1"/>
    <xf numFmtId="188" fontId="11" fillId="0" borderId="0" xfId="4" applyNumberFormat="1" applyAlignment="1">
      <alignment horizontal="center"/>
    </xf>
    <xf numFmtId="164" fontId="11" fillId="0" borderId="2" xfId="1" applyNumberFormat="1" applyFont="1" applyFill="1" applyBorder="1"/>
    <xf numFmtId="164" fontId="36" fillId="0" borderId="0" xfId="1" applyNumberFormat="1" applyFont="1" applyFill="1"/>
    <xf numFmtId="164" fontId="36" fillId="0" borderId="0" xfId="1" applyNumberFormat="1" applyFont="1" applyFill="1"/>
    <xf numFmtId="164" fontId="11" fillId="12" borderId="0" xfId="1" applyNumberFormat="1" applyFont="1" applyFill="1"/>
    <xf numFmtId="164" fontId="11" fillId="0" borderId="0" xfId="1" applyNumberFormat="1" applyFont="1" applyFill="1"/>
    <xf numFmtId="43" fontId="11" fillId="0" borderId="0" xfId="1" applyFill="1"/>
    <xf numFmtId="164" fontId="38" fillId="0" borderId="0" xfId="1" applyNumberFormat="1" applyFont="1" applyFill="1" applyBorder="1"/>
    <xf numFmtId="0" fontId="11" fillId="0" borderId="0" xfId="0" applyFont="1"/>
    <xf numFmtId="174" fontId="11" fillId="0" borderId="0" xfId="0" applyNumberFormat="1" applyFont="1" applyFill="1"/>
    <xf numFmtId="164" fontId="19" fillId="0" borderId="0" xfId="1" applyNumberFormat="1" applyFont="1" applyFill="1"/>
    <xf numFmtId="164" fontId="38" fillId="0" borderId="0" xfId="1" applyNumberFormat="1" applyFont="1" applyFill="1"/>
    <xf numFmtId="164" fontId="62" fillId="0" borderId="0" xfId="1" applyNumberFormat="1" applyFont="1" applyFill="1" applyBorder="1"/>
    <xf numFmtId="164" fontId="63" fillId="0" borderId="0" xfId="1" applyNumberFormat="1" applyFont="1" applyFill="1"/>
    <xf numFmtId="164" fontId="63" fillId="0" borderId="0" xfId="1" applyNumberFormat="1" applyFont="1" applyFill="1" applyBorder="1"/>
    <xf numFmtId="164" fontId="64" fillId="0" borderId="0" xfId="1" applyNumberFormat="1" applyFont="1" applyFill="1"/>
    <xf numFmtId="0" fontId="0" fillId="0" borderId="0" xfId="0"/>
    <xf numFmtId="169" fontId="11" fillId="0" borderId="0" xfId="2" applyNumberFormat="1" applyFont="1" applyBorder="1"/>
    <xf numFmtId="0" fontId="0" fillId="0" borderId="0" xfId="0"/>
    <xf numFmtId="176" fontId="36" fillId="0" borderId="0" xfId="0" applyNumberFormat="1" applyFont="1" applyFill="1"/>
    <xf numFmtId="164" fontId="57" fillId="0" borderId="0" xfId="1" applyNumberFormat="1" applyFont="1" applyAlignment="1">
      <alignment horizontal="center"/>
    </xf>
    <xf numFmtId="44" fontId="0" fillId="0" borderId="0" xfId="2" applyFont="1"/>
    <xf numFmtId="9" fontId="12" fillId="0" borderId="0" xfId="3" applyFont="1"/>
    <xf numFmtId="169" fontId="12" fillId="0" borderId="0" xfId="2" applyNumberFormat="1" applyFont="1"/>
    <xf numFmtId="164" fontId="12" fillId="0" borderId="0" xfId="0" applyNumberFormat="1" applyFont="1"/>
    <xf numFmtId="164" fontId="12" fillId="0" borderId="1" xfId="1" applyNumberFormat="1" applyFont="1" applyBorder="1"/>
    <xf numFmtId="169" fontId="12" fillId="0" borderId="1" xfId="2" applyNumberFormat="1" applyFont="1" applyBorder="1"/>
    <xf numFmtId="9" fontId="12" fillId="0" borderId="1" xfId="3" applyFont="1" applyBorder="1"/>
    <xf numFmtId="0" fontId="0" fillId="0" borderId="0" xfId="0"/>
    <xf numFmtId="171" fontId="0" fillId="0" borderId="0" xfId="3" applyNumberFormat="1" applyFont="1"/>
    <xf numFmtId="0" fontId="31" fillId="0" borderId="13" xfId="23" applyFont="1" applyBorder="1" applyAlignment="1">
      <alignment horizontal="centerContinuous" vertical="center"/>
    </xf>
    <xf numFmtId="0" fontId="65" fillId="0" borderId="14" xfId="23" applyFont="1" applyBorder="1" applyAlignment="1">
      <alignment horizontal="centerContinuous" vertical="center"/>
    </xf>
    <xf numFmtId="0" fontId="65" fillId="0" borderId="15" xfId="23" applyFont="1" applyBorder="1" applyAlignment="1">
      <alignment horizontal="centerContinuous" vertical="center"/>
    </xf>
    <xf numFmtId="0" fontId="65" fillId="0" borderId="16" xfId="23" applyBorder="1"/>
    <xf numFmtId="0" fontId="65" fillId="0" borderId="17" xfId="23" applyBorder="1" applyAlignment="1">
      <alignment horizontal="center"/>
    </xf>
    <xf numFmtId="0" fontId="65" fillId="0" borderId="18" xfId="23" applyBorder="1" applyAlignment="1">
      <alignment horizontal="center"/>
    </xf>
    <xf numFmtId="0" fontId="65" fillId="0" borderId="19" xfId="23" applyBorder="1" applyAlignment="1">
      <alignment horizontal="center"/>
    </xf>
    <xf numFmtId="0" fontId="65" fillId="0" borderId="20" xfId="23" applyBorder="1" applyAlignment="1">
      <alignment vertical="top"/>
    </xf>
    <xf numFmtId="0" fontId="65" fillId="0" borderId="21" xfId="23" applyBorder="1" applyAlignment="1">
      <alignment horizontal="center" vertical="top"/>
    </xf>
    <xf numFmtId="0" fontId="65" fillId="0" borderId="22" xfId="23" applyBorder="1" applyAlignment="1">
      <alignment horizontal="center" vertical="top"/>
    </xf>
    <xf numFmtId="0" fontId="65" fillId="0" borderId="23" xfId="23" applyBorder="1" applyAlignment="1">
      <alignment horizontal="center" vertical="top"/>
    </xf>
    <xf numFmtId="0" fontId="65" fillId="0" borderId="24" xfId="23" applyBorder="1"/>
    <xf numFmtId="186" fontId="72" fillId="0" borderId="25" xfId="23" applyNumberFormat="1" applyFont="1" applyFill="1" applyBorder="1" applyProtection="1"/>
    <xf numFmtId="195" fontId="72" fillId="0" borderId="26" xfId="23" applyNumberFormat="1" applyFont="1" applyFill="1" applyBorder="1" applyProtection="1"/>
    <xf numFmtId="186" fontId="65" fillId="0" borderId="27" xfId="23" applyNumberFormat="1" applyBorder="1" applyProtection="1"/>
    <xf numFmtId="0" fontId="65" fillId="0" borderId="24" xfId="23" applyBorder="1" applyAlignment="1">
      <alignment vertical="top"/>
    </xf>
    <xf numFmtId="186" fontId="72" fillId="0" borderId="25" xfId="23" applyNumberFormat="1" applyFont="1" applyFill="1" applyBorder="1" applyAlignment="1" applyProtection="1">
      <alignment vertical="top"/>
    </xf>
    <xf numFmtId="195" fontId="72" fillId="0" borderId="26" xfId="23" applyNumberFormat="1" applyFont="1" applyFill="1" applyBorder="1" applyAlignment="1" applyProtection="1">
      <alignment vertical="top"/>
    </xf>
    <xf numFmtId="0" fontId="65" fillId="0" borderId="28" xfId="23" applyBorder="1" applyAlignment="1">
      <alignment vertical="center"/>
    </xf>
    <xf numFmtId="10" fontId="65" fillId="0" borderId="29" xfId="23" applyNumberFormat="1" applyBorder="1" applyAlignment="1" applyProtection="1">
      <alignment vertical="center"/>
    </xf>
    <xf numFmtId="186" fontId="65" fillId="0" borderId="30" xfId="23" applyNumberFormat="1" applyBorder="1" applyAlignment="1" applyProtection="1">
      <alignment vertical="center"/>
    </xf>
    <xf numFmtId="186" fontId="65" fillId="0" borderId="31" xfId="23" applyNumberFormat="1" applyBorder="1" applyAlignment="1" applyProtection="1">
      <alignment vertical="center"/>
    </xf>
    <xf numFmtId="0" fontId="65" fillId="0" borderId="0" xfId="23" applyAlignment="1">
      <alignment vertical="center"/>
    </xf>
    <xf numFmtId="186" fontId="65" fillId="0" borderId="0" xfId="23" applyNumberFormat="1" applyAlignment="1" applyProtection="1">
      <alignment vertical="center"/>
    </xf>
    <xf numFmtId="0" fontId="65" fillId="0" borderId="0" xfId="23"/>
    <xf numFmtId="0" fontId="65" fillId="0" borderId="27" xfId="23" applyBorder="1"/>
    <xf numFmtId="194" fontId="72" fillId="0" borderId="27" xfId="23" applyNumberFormat="1" applyFont="1" applyFill="1" applyBorder="1" applyAlignment="1">
      <alignment horizontal="right"/>
    </xf>
    <xf numFmtId="0" fontId="65" fillId="0" borderId="0" xfId="23" applyAlignment="1">
      <alignment horizontal="center"/>
    </xf>
    <xf numFmtId="0" fontId="65" fillId="0" borderId="0" xfId="23" applyFill="1" applyAlignment="1">
      <alignment horizontal="right"/>
    </xf>
    <xf numFmtId="0" fontId="65" fillId="0" borderId="0" xfId="23" applyFill="1"/>
    <xf numFmtId="0" fontId="65" fillId="0" borderId="0" xfId="23" applyAlignment="1">
      <alignment vertical="top"/>
    </xf>
    <xf numFmtId="0" fontId="65" fillId="0" borderId="0" xfId="23" applyFill="1" applyAlignment="1">
      <alignment horizontal="right" vertical="top"/>
    </xf>
    <xf numFmtId="186" fontId="65" fillId="0" borderId="27" xfId="23" applyNumberFormat="1" applyBorder="1" applyAlignment="1" applyProtection="1">
      <alignment vertical="top"/>
    </xf>
    <xf numFmtId="0" fontId="65" fillId="0" borderId="32" xfId="23" applyBorder="1" applyAlignment="1">
      <alignment vertical="center"/>
    </xf>
    <xf numFmtId="0" fontId="11" fillId="0" borderId="33" xfId="23" applyFont="1" applyBorder="1"/>
    <xf numFmtId="0" fontId="11" fillId="0" borderId="34" xfId="23" applyFont="1" applyBorder="1"/>
    <xf numFmtId="0" fontId="11" fillId="0" borderId="34" xfId="23" applyFont="1" applyBorder="1" applyAlignment="1">
      <alignment horizontal="center"/>
    </xf>
    <xf numFmtId="0" fontId="11" fillId="0" borderId="35" xfId="23" applyFont="1" applyBorder="1" applyAlignment="1">
      <alignment horizontal="center"/>
    </xf>
    <xf numFmtId="0" fontId="11" fillId="0" borderId="25" xfId="23" applyFont="1" applyBorder="1" applyAlignment="1">
      <alignment horizontal="center"/>
    </xf>
    <xf numFmtId="0" fontId="11" fillId="0" borderId="36" xfId="23" applyFont="1" applyBorder="1" applyAlignment="1">
      <alignment horizontal="center"/>
    </xf>
    <xf numFmtId="0" fontId="11" fillId="0" borderId="37" xfId="23" applyFont="1" applyBorder="1" applyAlignment="1">
      <alignment horizontal="center"/>
    </xf>
    <xf numFmtId="0" fontId="11" fillId="0" borderId="38" xfId="23" applyFont="1" applyBorder="1" applyAlignment="1">
      <alignment horizontal="center"/>
    </xf>
    <xf numFmtId="5" fontId="57" fillId="0" borderId="39" xfId="23" applyNumberFormat="1" applyFont="1" applyFill="1" applyBorder="1" applyProtection="1"/>
    <xf numFmtId="10" fontId="11" fillId="0" borderId="39" xfId="23" applyNumberFormat="1" applyFont="1" applyBorder="1" applyProtection="1"/>
    <xf numFmtId="0" fontId="11" fillId="0" borderId="0" xfId="23" applyFont="1" applyFill="1" applyBorder="1" applyAlignment="1">
      <alignment horizontal="center"/>
    </xf>
    <xf numFmtId="186" fontId="31" fillId="0" borderId="0" xfId="0" applyNumberFormat="1" applyFont="1"/>
    <xf numFmtId="0" fontId="0" fillId="0" borderId="0" xfId="0"/>
    <xf numFmtId="0" fontId="0" fillId="0" borderId="0" xfId="0"/>
    <xf numFmtId="171" fontId="25" fillId="0" borderId="51" xfId="3" applyNumberFormat="1" applyFont="1" applyBorder="1"/>
    <xf numFmtId="7" fontId="25" fillId="0" borderId="50" xfId="85" applyNumberFormat="1" applyFont="1" applyBorder="1"/>
    <xf numFmtId="7" fontId="11" fillId="0" borderId="0" xfId="2" applyNumberFormat="1" applyFont="1"/>
    <xf numFmtId="7" fontId="90" fillId="0" borderId="0" xfId="2" applyNumberFormat="1" applyFont="1"/>
    <xf numFmtId="7" fontId="11" fillId="0" borderId="50" xfId="2" applyNumberFormat="1" applyFont="1" applyBorder="1"/>
    <xf numFmtId="7" fontId="11" fillId="0" borderId="50" xfId="85" applyNumberFormat="1" applyBorder="1"/>
    <xf numFmtId="0" fontId="11" fillId="0" borderId="0" xfId="85"/>
    <xf numFmtId="0" fontId="25" fillId="0" borderId="0" xfId="85" applyFont="1"/>
    <xf numFmtId="7" fontId="25" fillId="0" borderId="0" xfId="85" applyNumberFormat="1" applyFont="1"/>
    <xf numFmtId="7" fontId="11" fillId="0" borderId="0" xfId="85" applyNumberFormat="1"/>
    <xf numFmtId="44" fontId="11" fillId="0" borderId="0" xfId="2" applyFont="1"/>
    <xf numFmtId="192" fontId="11" fillId="0" borderId="0" xfId="2" applyNumberFormat="1" applyFont="1"/>
    <xf numFmtId="44" fontId="11" fillId="0" borderId="50" xfId="2" applyFont="1" applyBorder="1"/>
    <xf numFmtId="192" fontId="90" fillId="0" borderId="0" xfId="2" applyNumberFormat="1" applyFont="1"/>
    <xf numFmtId="171" fontId="25" fillId="0" borderId="0" xfId="3" applyNumberFormat="1" applyFont="1"/>
    <xf numFmtId="0" fontId="11" fillId="0" borderId="50" xfId="85" applyBorder="1"/>
    <xf numFmtId="0" fontId="92" fillId="0" borderId="0" xfId="85" applyFont="1"/>
    <xf numFmtId="0" fontId="25" fillId="0" borderId="0" xfId="0" applyFont="1" applyAlignment="1">
      <alignment horizontal="center"/>
    </xf>
    <xf numFmtId="176" fontId="34" fillId="0" borderId="0" xfId="0" applyNumberFormat="1" applyFont="1" applyAlignment="1">
      <alignment horizontal="center"/>
    </xf>
    <xf numFmtId="166" fontId="25" fillId="0" borderId="0" xfId="0" applyNumberFormat="1" applyFont="1" applyAlignment="1">
      <alignment horizontal="right"/>
    </xf>
    <xf numFmtId="166" fontId="25" fillId="0" borderId="0" xfId="0" applyNumberFormat="1" applyFont="1" applyBorder="1"/>
    <xf numFmtId="166" fontId="11" fillId="0" borderId="0" xfId="0" applyNumberFormat="1" applyFont="1" applyAlignment="1">
      <alignment horizontal="right"/>
    </xf>
    <xf numFmtId="166" fontId="25" fillId="0" borderId="0" xfId="0" applyNumberFormat="1" applyFont="1" applyFill="1"/>
    <xf numFmtId="169" fontId="11" fillId="0" borderId="0" xfId="2" applyNumberFormat="1" applyFont="1"/>
    <xf numFmtId="169" fontId="11" fillId="0" borderId="0" xfId="2" applyNumberFormat="1" applyFont="1" applyFill="1"/>
    <xf numFmtId="0" fontId="11" fillId="0" borderId="0" xfId="728" applyFont="1" applyAlignment="1"/>
    <xf numFmtId="0" fontId="11" fillId="0" borderId="0" xfId="728" applyFont="1" applyAlignment="1">
      <alignment horizontal="left"/>
    </xf>
    <xf numFmtId="171" fontId="11" fillId="0" borderId="0" xfId="3" applyNumberFormat="1" applyFont="1"/>
    <xf numFmtId="0" fontId="0" fillId="0" borderId="0" xfId="0"/>
    <xf numFmtId="0" fontId="0" fillId="0" borderId="0" xfId="0"/>
    <xf numFmtId="0" fontId="0" fillId="0" borderId="0" xfId="0"/>
    <xf numFmtId="0" fontId="0" fillId="0" borderId="0" xfId="0"/>
    <xf numFmtId="170" fontId="59" fillId="0" borderId="0" xfId="0" applyNumberFormat="1" applyFont="1"/>
    <xf numFmtId="37" fontId="96" fillId="0" borderId="0" xfId="0" applyNumberFormat="1" applyFont="1" applyFill="1"/>
    <xf numFmtId="0" fontId="0" fillId="0" borderId="0" xfId="0"/>
    <xf numFmtId="0" fontId="0" fillId="0" borderId="0" xfId="0" applyAlignment="1">
      <alignment horizontal="center"/>
    </xf>
    <xf numFmtId="164" fontId="0" fillId="0" borderId="0" xfId="0" applyNumberFormat="1"/>
    <xf numFmtId="0" fontId="40" fillId="0" borderId="0" xfId="0" applyFont="1"/>
    <xf numFmtId="188" fontId="11" fillId="0" borderId="0" xfId="4" applyNumberFormat="1" applyAlignment="1">
      <alignment horizontal="center"/>
    </xf>
    <xf numFmtId="9" fontId="0" fillId="0" borderId="0" xfId="3" applyFont="1"/>
    <xf numFmtId="9" fontId="0" fillId="0" borderId="0" xfId="0" applyNumberFormat="1"/>
    <xf numFmtId="164" fontId="0" fillId="47" borderId="0" xfId="11" applyNumberFormat="1" applyFont="1" applyFill="1" applyBorder="1"/>
    <xf numFmtId="164" fontId="0" fillId="11" borderId="0" xfId="11" applyNumberFormat="1" applyFont="1" applyFill="1" applyBorder="1"/>
    <xf numFmtId="0" fontId="0" fillId="9" borderId="0" xfId="0" applyFill="1"/>
    <xf numFmtId="0" fontId="0" fillId="0" borderId="0" xfId="0"/>
    <xf numFmtId="0" fontId="25" fillId="0" borderId="0" xfId="0" applyFont="1" applyAlignment="1">
      <alignment horizontal="center"/>
    </xf>
    <xf numFmtId="192" fontId="25" fillId="0" borderId="0" xfId="2" applyNumberFormat="1" applyFont="1"/>
    <xf numFmtId="0" fontId="25" fillId="0" borderId="0" xfId="0" applyFont="1" applyAlignment="1">
      <alignment horizontal="center"/>
    </xf>
    <xf numFmtId="0" fontId="0" fillId="0" borderId="0" xfId="0"/>
    <xf numFmtId="164" fontId="36" fillId="0" borderId="0" xfId="15" applyNumberFormat="1" applyFont="1" applyFill="1"/>
    <xf numFmtId="164" fontId="36" fillId="0" borderId="0" xfId="15" applyNumberFormat="1" applyFont="1"/>
    <xf numFmtId="3" fontId="36" fillId="0" borderId="0" xfId="85" applyNumberFormat="1" applyFont="1" applyFill="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3" fontId="36" fillId="0" borderId="0" xfId="85" applyNumberFormat="1" applyFont="1"/>
    <xf numFmtId="164" fontId="36" fillId="0" borderId="0" xfId="4511" applyNumberFormat="1" applyFont="1" applyFill="1"/>
    <xf numFmtId="164" fontId="36" fillId="0" borderId="0" xfId="4511" applyNumberFormat="1" applyFont="1"/>
    <xf numFmtId="164" fontId="43" fillId="12" borderId="0" xfId="4511" applyNumberFormat="1" applyFont="1" applyFill="1"/>
    <xf numFmtId="188" fontId="11" fillId="0" borderId="0" xfId="4" applyNumberFormat="1" applyAlignment="1">
      <alignment horizontal="center"/>
    </xf>
    <xf numFmtId="164" fontId="43" fillId="0" borderId="0" xfId="4511" applyNumberFormat="1" applyFont="1" applyFill="1"/>
    <xf numFmtId="164" fontId="43" fillId="0" borderId="0" xfId="4511" applyNumberFormat="1" applyFont="1"/>
    <xf numFmtId="0" fontId="57" fillId="0" borderId="67" xfId="0" applyFont="1" applyBorder="1"/>
    <xf numFmtId="0" fontId="11" fillId="0" borderId="16" xfId="23" applyFont="1" applyBorder="1" applyAlignment="1">
      <alignment horizontal="center"/>
    </xf>
    <xf numFmtId="0" fontId="0" fillId="0" borderId="3" xfId="0" applyBorder="1"/>
    <xf numFmtId="0" fontId="0" fillId="0" borderId="66" xfId="0" applyBorder="1"/>
    <xf numFmtId="0" fontId="11" fillId="0" borderId="65" xfId="23" applyFont="1" applyFill="1" applyBorder="1" applyAlignment="1">
      <alignment horizontal="left"/>
    </xf>
    <xf numFmtId="0" fontId="11" fillId="0" borderId="66" xfId="23" applyFont="1" applyFill="1" applyBorder="1" applyAlignment="1">
      <alignment horizontal="center"/>
    </xf>
    <xf numFmtId="0" fontId="0" fillId="0" borderId="0" xfId="0"/>
    <xf numFmtId="170" fontId="0" fillId="0" borderId="0" xfId="0" applyNumberFormat="1"/>
    <xf numFmtId="0" fontId="0" fillId="0" borderId="0" xfId="0" applyAlignment="1">
      <alignment horizontal="right"/>
    </xf>
    <xf numFmtId="168" fontId="0" fillId="0" borderId="0" xfId="0" applyNumberFormat="1"/>
    <xf numFmtId="0" fontId="36" fillId="0" borderId="0" xfId="0" applyFont="1" applyAlignment="1">
      <alignment horizontal="center"/>
    </xf>
    <xf numFmtId="170" fontId="36" fillId="0" borderId="0" xfId="0" applyNumberFormat="1" applyFont="1" applyFill="1"/>
    <xf numFmtId="0" fontId="0" fillId="0" borderId="0" xfId="0" applyBorder="1"/>
    <xf numFmtId="0" fontId="11" fillId="0" borderId="0" xfId="0" applyFont="1" applyAlignment="1">
      <alignment horizontal="center"/>
    </xf>
    <xf numFmtId="174" fontId="11" fillId="0" borderId="0" xfId="0" applyNumberFormat="1" applyFont="1" applyFill="1"/>
    <xf numFmtId="174" fontId="0" fillId="0" borderId="0" xfId="0" applyNumberFormat="1"/>
    <xf numFmtId="0" fontId="25" fillId="0" borderId="0" xfId="0" applyFont="1" applyFill="1" applyBorder="1" applyAlignment="1">
      <alignment horizontal="center"/>
    </xf>
    <xf numFmtId="44" fontId="0" fillId="0" borderId="0" xfId="2" applyFont="1"/>
    <xf numFmtId="186" fontId="25" fillId="0" borderId="64" xfId="3" applyNumberFormat="1" applyFont="1" applyBorder="1"/>
    <xf numFmtId="0" fontId="11" fillId="0" borderId="36" xfId="23" applyFont="1" applyFill="1" applyBorder="1" applyAlignment="1">
      <alignment horizontal="left"/>
    </xf>
    <xf numFmtId="174" fontId="57" fillId="0" borderId="0" xfId="85" applyNumberFormat="1" applyFont="1" applyFill="1"/>
    <xf numFmtId="164" fontId="57" fillId="0" borderId="0" xfId="1" applyNumberFormat="1" applyFont="1" applyAlignment="1">
      <alignment horizontal="center"/>
    </xf>
    <xf numFmtId="0" fontId="11" fillId="0" borderId="0" xfId="23" applyFont="1" applyFill="1" applyBorder="1" applyAlignment="1">
      <alignment horizontal="center"/>
    </xf>
    <xf numFmtId="186" fontId="31" fillId="0" borderId="31" xfId="23" applyNumberFormat="1" applyFont="1" applyBorder="1" applyAlignment="1" applyProtection="1">
      <alignment vertical="center"/>
    </xf>
    <xf numFmtId="0" fontId="0" fillId="0" borderId="0" xfId="0"/>
    <xf numFmtId="192" fontId="0" fillId="0" borderId="0" xfId="2" applyNumberFormat="1" applyFont="1" applyFill="1"/>
    <xf numFmtId="0" fontId="25" fillId="0" borderId="0" xfId="0" applyFont="1" applyAlignment="1">
      <alignment horizontal="center"/>
    </xf>
    <xf numFmtId="0" fontId="0" fillId="0" borderId="0" xfId="0"/>
    <xf numFmtId="0" fontId="0" fillId="0" borderId="0" xfId="0"/>
    <xf numFmtId="192" fontId="25" fillId="0" borderId="0" xfId="2" applyNumberFormat="1" applyFont="1" applyFill="1"/>
    <xf numFmtId="0" fontId="31" fillId="0" borderId="13" xfId="23" applyFont="1" applyBorder="1" applyAlignment="1">
      <alignment horizontal="centerContinuous" vertical="center"/>
    </xf>
    <xf numFmtId="0" fontId="65" fillId="0" borderId="14" xfId="23" applyFont="1" applyBorder="1" applyAlignment="1">
      <alignment horizontal="centerContinuous" vertical="center"/>
    </xf>
    <xf numFmtId="0" fontId="65" fillId="0" borderId="15" xfId="23" applyFont="1" applyBorder="1" applyAlignment="1">
      <alignment horizontal="centerContinuous" vertical="center"/>
    </xf>
    <xf numFmtId="186" fontId="31" fillId="0" borderId="31" xfId="23" applyNumberFormat="1" applyFont="1" applyBorder="1" applyAlignment="1" applyProtection="1">
      <alignment vertical="center"/>
    </xf>
    <xf numFmtId="0" fontId="0" fillId="0" borderId="0" xfId="0" quotePrefix="1" applyFill="1"/>
    <xf numFmtId="182" fontId="11" fillId="0" borderId="0" xfId="0" quotePrefix="1" applyNumberFormat="1" applyFont="1" applyAlignment="1">
      <alignment horizontal="right"/>
    </xf>
    <xf numFmtId="182" fontId="11" fillId="0" borderId="0" xfId="0" quotePrefix="1" applyNumberFormat="1" applyFont="1" applyAlignment="1">
      <alignment horizontal="left"/>
    </xf>
    <xf numFmtId="186" fontId="11" fillId="0" borderId="17" xfId="23" applyNumberFormat="1" applyFont="1" applyBorder="1" applyProtection="1"/>
    <xf numFmtId="5" fontId="25" fillId="0" borderId="0" xfId="0" applyNumberFormat="1" applyFont="1" applyAlignment="1">
      <alignment horizontal="center"/>
    </xf>
    <xf numFmtId="0" fontId="31" fillId="0" borderId="0" xfId="0" applyFont="1" applyAlignment="1">
      <alignment horizontal="left"/>
    </xf>
    <xf numFmtId="164" fontId="0" fillId="0" borderId="0" xfId="1" applyNumberFormat="1" applyFont="1" applyFill="1"/>
    <xf numFmtId="0" fontId="0" fillId="0" borderId="0" xfId="0"/>
    <xf numFmtId="0" fontId="0" fillId="0" borderId="0" xfId="0"/>
    <xf numFmtId="0" fontId="169" fillId="0" borderId="0" xfId="0" applyFont="1"/>
    <xf numFmtId="164" fontId="37" fillId="0" borderId="0" xfId="1" applyNumberFormat="1" applyFont="1" applyFill="1"/>
    <xf numFmtId="44" fontId="25" fillId="0" borderId="0" xfId="0" applyNumberFormat="1" applyFont="1"/>
    <xf numFmtId="0" fontId="0" fillId="0" borderId="0" xfId="0"/>
    <xf numFmtId="174" fontId="57" fillId="0" borderId="0" xfId="0" applyNumberFormat="1" applyFont="1" applyFill="1"/>
    <xf numFmtId="0" fontId="169" fillId="0" borderId="0" xfId="0" applyFont="1" applyAlignment="1">
      <alignment horizontal="right"/>
    </xf>
    <xf numFmtId="0" fontId="170" fillId="0" borderId="0" xfId="0" applyFont="1" applyAlignment="1">
      <alignment horizontal="center"/>
    </xf>
    <xf numFmtId="174" fontId="90" fillId="0" borderId="0" xfId="85" applyNumberFormat="1" applyFont="1" applyFill="1"/>
    <xf numFmtId="192" fontId="57" fillId="0" borderId="0" xfId="2" applyNumberFormat="1" applyFont="1" applyFill="1"/>
    <xf numFmtId="171" fontId="0" fillId="0" borderId="0" xfId="0" applyNumberFormat="1" applyFill="1"/>
    <xf numFmtId="175" fontId="11" fillId="0" borderId="0" xfId="0" applyNumberFormat="1" applyFont="1"/>
    <xf numFmtId="0" fontId="0" fillId="0" borderId="0" xfId="0"/>
    <xf numFmtId="169" fontId="0" fillId="0" borderId="11" xfId="0" applyNumberFormat="1" applyBorder="1"/>
    <xf numFmtId="192" fontId="57" fillId="0" borderId="0" xfId="2" applyNumberFormat="1" applyFont="1"/>
    <xf numFmtId="5" fontId="57" fillId="0" borderId="17" xfId="23" applyNumberFormat="1" applyFont="1" applyFill="1" applyBorder="1" applyProtection="1"/>
    <xf numFmtId="0" fontId="57" fillId="0" borderId="67" xfId="0" applyFont="1" applyFill="1" applyBorder="1"/>
    <xf numFmtId="0" fontId="34" fillId="0" borderId="0" xfId="0" applyFont="1" applyFill="1"/>
    <xf numFmtId="0" fontId="11" fillId="0" borderId="0" xfId="85" applyFill="1"/>
    <xf numFmtId="0" fontId="34" fillId="0" borderId="0" xfId="85" applyFont="1" applyFill="1"/>
    <xf numFmtId="0" fontId="11" fillId="0" borderId="0" xfId="23" applyFont="1" applyFill="1" applyBorder="1" applyAlignment="1">
      <alignment horizontal="left"/>
    </xf>
    <xf numFmtId="0" fontId="11" fillId="0" borderId="49" xfId="85" applyFill="1" applyBorder="1"/>
    <xf numFmtId="0" fontId="0" fillId="0" borderId="0" xfId="0"/>
    <xf numFmtId="168" fontId="169" fillId="0" borderId="0" xfId="0" applyNumberFormat="1" applyFont="1"/>
    <xf numFmtId="174" fontId="171" fillId="0" borderId="0" xfId="0" applyNumberFormat="1" applyFont="1" applyFill="1"/>
    <xf numFmtId="174" fontId="169" fillId="0" borderId="0" xfId="0" applyNumberFormat="1" applyFont="1" applyFill="1"/>
    <xf numFmtId="0" fontId="60" fillId="0" borderId="0" xfId="4" applyFont="1" applyFill="1" applyProtection="1">
      <protection hidden="1"/>
    </xf>
    <xf numFmtId="0" fontId="60" fillId="0" borderId="0" xfId="0" applyFont="1"/>
    <xf numFmtId="169" fontId="0" fillId="0" borderId="0" xfId="2" applyNumberFormat="1" applyFont="1" applyBorder="1"/>
    <xf numFmtId="10" fontId="25" fillId="0" borderId="0" xfId="3" applyNumberFormat="1" applyFont="1"/>
    <xf numFmtId="164" fontId="0" fillId="0" borderId="0" xfId="1" applyNumberFormat="1" applyFont="1" applyAlignment="1">
      <alignment horizontal="right"/>
    </xf>
    <xf numFmtId="164" fontId="0" fillId="0" borderId="0" xfId="1" quotePrefix="1" applyNumberFormat="1" applyFont="1"/>
    <xf numFmtId="44" fontId="0" fillId="0" borderId="0" xfId="0" applyNumberFormat="1"/>
    <xf numFmtId="0" fontId="0" fillId="0" borderId="0" xfId="0"/>
    <xf numFmtId="0" fontId="0" fillId="0" borderId="0" xfId="0"/>
    <xf numFmtId="174" fontId="90" fillId="0" borderId="0" xfId="0" applyNumberFormat="1" applyFont="1" applyFill="1"/>
    <xf numFmtId="164" fontId="36" fillId="78" borderId="0" xfId="15" applyNumberFormat="1" applyFont="1" applyFill="1"/>
    <xf numFmtId="164" fontId="36" fillId="78" borderId="0" xfId="4511" applyNumberFormat="1" applyFont="1" applyFill="1"/>
    <xf numFmtId="0" fontId="0" fillId="0" borderId="0" xfId="0"/>
    <xf numFmtId="0" fontId="0" fillId="0" borderId="0" xfId="0"/>
    <xf numFmtId="5" fontId="11" fillId="0" borderId="0" xfId="0" applyNumberFormat="1" applyFont="1" applyFill="1" applyAlignment="1">
      <alignment horizontal="center"/>
    </xf>
    <xf numFmtId="3" fontId="19" fillId="0" borderId="0" xfId="0" applyNumberFormat="1" applyFont="1" applyFill="1"/>
    <xf numFmtId="164" fontId="24" fillId="0" borderId="0" xfId="1" applyNumberFormat="1" applyFont="1" applyFill="1"/>
    <xf numFmtId="37" fontId="0" fillId="0" borderId="0" xfId="0" applyNumberFormat="1"/>
    <xf numFmtId="0" fontId="11" fillId="0" borderId="1" xfId="0" applyFont="1" applyFill="1" applyBorder="1" applyAlignment="1">
      <alignment horizontal="center"/>
    </xf>
    <xf numFmtId="0" fontId="25" fillId="0" borderId="1" xfId="0" applyFont="1" applyFill="1" applyBorder="1" applyAlignment="1">
      <alignment horizontal="center"/>
    </xf>
    <xf numFmtId="0" fontId="11" fillId="0" borderId="0" xfId="0" applyFont="1" applyFill="1"/>
    <xf numFmtId="5" fontId="34" fillId="0" borderId="0" xfId="4" applyNumberFormat="1" applyFont="1" applyAlignment="1">
      <alignment horizontal="center"/>
    </xf>
    <xf numFmtId="5" fontId="34" fillId="0" borderId="0" xfId="0" applyNumberFormat="1" applyFont="1" applyFill="1" applyAlignment="1">
      <alignment horizontal="center"/>
    </xf>
    <xf numFmtId="0" fontId="0" fillId="0" borderId="0" xfId="0"/>
    <xf numFmtId="5" fontId="25" fillId="0" borderId="0" xfId="0" applyNumberFormat="1" applyFont="1" applyAlignment="1">
      <alignment horizontal="center"/>
    </xf>
    <xf numFmtId="0" fontId="0" fillId="0" borderId="0" xfId="0"/>
    <xf numFmtId="171" fontId="11" fillId="0" borderId="0" xfId="3" applyNumberFormat="1" applyFont="1" applyAlignment="1">
      <alignment horizontal="center"/>
    </xf>
    <xf numFmtId="10" fontId="11" fillId="0" borderId="0" xfId="3" applyNumberFormat="1" applyFont="1" applyAlignment="1">
      <alignment horizontal="center"/>
    </xf>
    <xf numFmtId="5" fontId="11" fillId="0" borderId="1" xfId="0" applyNumberFormat="1" applyFont="1" applyFill="1" applyBorder="1" applyAlignment="1">
      <alignment horizontal="center"/>
    </xf>
    <xf numFmtId="182" fontId="11" fillId="0" borderId="0" xfId="0" quotePrefix="1" applyNumberFormat="1" applyFont="1" applyFill="1" applyAlignment="1">
      <alignment horizontal="left"/>
    </xf>
    <xf numFmtId="0" fontId="11" fillId="0" borderId="0" xfId="0" applyFont="1" applyFill="1" applyAlignment="1">
      <alignment horizontal="center"/>
    </xf>
    <xf numFmtId="171" fontId="12" fillId="0" borderId="0" xfId="3" applyNumberFormat="1" applyFont="1"/>
    <xf numFmtId="0" fontId="0" fillId="0" borderId="0" xfId="0"/>
    <xf numFmtId="43" fontId="12" fillId="0" borderId="0" xfId="0" applyNumberFormat="1" applyFont="1"/>
    <xf numFmtId="0" fontId="60" fillId="0" borderId="0" xfId="4" quotePrefix="1" applyFont="1" applyAlignment="1">
      <alignment horizontal="left"/>
    </xf>
    <xf numFmtId="0" fontId="60" fillId="0" borderId="0" xfId="4" quotePrefix="1" applyFont="1" applyFill="1" applyAlignment="1">
      <alignment horizontal="left"/>
    </xf>
    <xf numFmtId="0" fontId="60" fillId="0" borderId="0" xfId="4" applyFont="1"/>
    <xf numFmtId="0" fontId="60" fillId="0" borderId="0" xfId="4" applyFont="1" applyAlignment="1">
      <alignment horizontal="left"/>
    </xf>
    <xf numFmtId="0" fontId="60" fillId="0" borderId="0" xfId="4" applyFont="1" applyFill="1" applyAlignment="1">
      <alignment horizontal="left"/>
    </xf>
    <xf numFmtId="0" fontId="0" fillId="0" borderId="0" xfId="0"/>
    <xf numFmtId="0" fontId="0" fillId="0" borderId="0" xfId="0"/>
    <xf numFmtId="164" fontId="30" fillId="0" borderId="0" xfId="1" applyNumberFormat="1" applyFont="1" applyFill="1"/>
    <xf numFmtId="164" fontId="57" fillId="12" borderId="0" xfId="15" applyNumberFormat="1" applyFont="1" applyFill="1" applyBorder="1"/>
    <xf numFmtId="164" fontId="57" fillId="12" borderId="68" xfId="15" applyNumberFormat="1" applyFont="1" applyFill="1" applyBorder="1"/>
    <xf numFmtId="16" fontId="0" fillId="0" borderId="0" xfId="0" applyNumberFormat="1"/>
    <xf numFmtId="0" fontId="0" fillId="0" borderId="0" xfId="0"/>
    <xf numFmtId="37" fontId="37" fillId="0" borderId="0" xfId="0" applyNumberFormat="1" applyFont="1" applyFill="1"/>
    <xf numFmtId="0" fontId="0" fillId="0" borderId="0" xfId="0"/>
    <xf numFmtId="171" fontId="25" fillId="0" borderId="0" xfId="3" applyNumberFormat="1" applyFont="1" applyFill="1"/>
    <xf numFmtId="175" fontId="169" fillId="0" borderId="0" xfId="0" applyNumberFormat="1" applyFont="1"/>
    <xf numFmtId="174" fontId="171" fillId="0" borderId="0" xfId="85" applyNumberFormat="1" applyFont="1" applyFill="1"/>
    <xf numFmtId="170" fontId="169" fillId="0" borderId="0" xfId="0" applyNumberFormat="1" applyFont="1"/>
    <xf numFmtId="174" fontId="169" fillId="0" borderId="0" xfId="0" applyNumberFormat="1" applyFont="1"/>
    <xf numFmtId="7" fontId="0" fillId="0" borderId="0" xfId="2" applyNumberFormat="1" applyFont="1"/>
    <xf numFmtId="178" fontId="0" fillId="0" borderId="0" xfId="0" applyNumberFormat="1" applyFill="1"/>
    <xf numFmtId="3" fontId="36" fillId="0" borderId="0" xfId="0" applyNumberFormat="1" applyFont="1" applyFill="1"/>
    <xf numFmtId="164" fontId="171" fillId="0" borderId="0" xfId="1" applyNumberFormat="1" applyFont="1" applyAlignment="1">
      <alignment horizontal="center"/>
    </xf>
    <xf numFmtId="170" fontId="170" fillId="0" borderId="0" xfId="0" applyNumberFormat="1" applyFont="1" applyFill="1"/>
    <xf numFmtId="44" fontId="169" fillId="0" borderId="0" xfId="2" applyFont="1"/>
    <xf numFmtId="0" fontId="170" fillId="0" borderId="0" xfId="0" applyFont="1" applyFill="1" applyAlignment="1">
      <alignment horizontal="center"/>
    </xf>
    <xf numFmtId="168" fontId="169" fillId="0" borderId="0" xfId="0" applyNumberFormat="1" applyFont="1" applyFill="1"/>
    <xf numFmtId="0" fontId="169" fillId="0" borderId="0" xfId="0" applyFont="1" applyFill="1"/>
    <xf numFmtId="0" fontId="169" fillId="0" borderId="0" xfId="0" applyFont="1" applyFill="1" applyAlignment="1">
      <alignment horizontal="right"/>
    </xf>
    <xf numFmtId="174" fontId="172" fillId="0" borderId="0" xfId="0" applyNumberFormat="1" applyFont="1" applyFill="1"/>
    <xf numFmtId="0" fontId="173" fillId="0" borderId="0" xfId="0" applyFont="1"/>
    <xf numFmtId="3" fontId="57" fillId="0" borderId="0" xfId="85" applyNumberFormat="1" applyFont="1" applyFill="1"/>
    <xf numFmtId="0" fontId="0" fillId="0" borderId="0" xfId="0" applyBorder="1" applyAlignment="1">
      <alignment horizontal="right"/>
    </xf>
    <xf numFmtId="176" fontId="0" fillId="0" borderId="0" xfId="0" applyNumberFormat="1" applyBorder="1"/>
    <xf numFmtId="175" fontId="11" fillId="0" borderId="0" xfId="0" applyNumberFormat="1" applyFont="1" applyBorder="1"/>
    <xf numFmtId="175" fontId="29" fillId="0" borderId="0" xfId="0" applyNumberFormat="1" applyFont="1" applyFill="1"/>
    <xf numFmtId="0" fontId="34" fillId="0" borderId="0" xfId="0" applyFont="1" applyFill="1" applyBorder="1"/>
    <xf numFmtId="176" fontId="0" fillId="0" borderId="0" xfId="0" applyNumberFormat="1" applyFill="1" applyBorder="1"/>
    <xf numFmtId="175" fontId="11" fillId="0" borderId="0" xfId="0" applyNumberFormat="1" applyFont="1" applyFill="1" applyBorder="1"/>
    <xf numFmtId="175" fontId="0" fillId="0" borderId="0" xfId="0" applyNumberFormat="1" applyFill="1" applyBorder="1"/>
    <xf numFmtId="164" fontId="0" fillId="0" borderId="0" xfId="0" applyNumberFormat="1" applyFill="1" applyAlignment="1">
      <alignment vertical="justify"/>
    </xf>
    <xf numFmtId="0" fontId="0" fillId="0" borderId="0" xfId="0"/>
    <xf numFmtId="0" fontId="11" fillId="0" borderId="0" xfId="4" applyFont="1" applyFill="1" applyProtection="1">
      <protection hidden="1"/>
    </xf>
    <xf numFmtId="0" fontId="0" fillId="0" borderId="0" xfId="0"/>
    <xf numFmtId="0" fontId="25" fillId="0" borderId="0" xfId="0" applyFont="1" applyFill="1"/>
    <xf numFmtId="0" fontId="0" fillId="0" borderId="1" xfId="0" applyBorder="1" applyAlignment="1">
      <alignment horizontal="center"/>
    </xf>
    <xf numFmtId="0" fontId="0" fillId="0" borderId="1" xfId="0" applyFill="1" applyBorder="1" applyAlignment="1">
      <alignment horizontal="center"/>
    </xf>
    <xf numFmtId="0" fontId="0" fillId="0" borderId="0" xfId="0" applyFill="1" applyBorder="1" applyAlignment="1">
      <alignment horizontal="center"/>
    </xf>
    <xf numFmtId="192" fontId="0" fillId="0" borderId="0" xfId="2" applyNumberFormat="1" applyFont="1"/>
    <xf numFmtId="192" fontId="0" fillId="0" borderId="0" xfId="0" applyNumberFormat="1"/>
    <xf numFmtId="237" fontId="0" fillId="0" borderId="0" xfId="0" applyNumberFormat="1"/>
    <xf numFmtId="169" fontId="0" fillId="0" borderId="0" xfId="3" applyNumberFormat="1" applyFont="1"/>
    <xf numFmtId="44" fontId="0" fillId="0" borderId="0" xfId="2" applyFont="1" applyFill="1"/>
    <xf numFmtId="44" fontId="0" fillId="0" borderId="0" xfId="0" applyNumberFormat="1" applyFill="1"/>
    <xf numFmtId="10" fontId="0" fillId="0" borderId="0" xfId="3" applyNumberFormat="1" applyFont="1" applyFill="1"/>
    <xf numFmtId="0" fontId="0" fillId="0" borderId="0" xfId="0" applyBorder="1" applyAlignment="1">
      <alignment horizontal="center"/>
    </xf>
    <xf numFmtId="192" fontId="25" fillId="0" borderId="0" xfId="2" applyNumberFormat="1" applyFont="1" applyBorder="1"/>
    <xf numFmtId="10" fontId="25" fillId="0" borderId="0" xfId="3" applyNumberFormat="1" applyFont="1" applyBorder="1"/>
    <xf numFmtId="10" fontId="34" fillId="0" borderId="0" xfId="3" applyNumberFormat="1" applyFont="1"/>
    <xf numFmtId="0" fontId="95" fillId="0" borderId="0" xfId="0" applyFont="1"/>
    <xf numFmtId="0" fontId="57" fillId="8" borderId="0" xfId="0" applyFont="1" applyFill="1" applyAlignment="1">
      <alignment horizontal="center"/>
    </xf>
    <xf numFmtId="5" fontId="25" fillId="0" borderId="0" xfId="0" applyNumberFormat="1" applyFont="1" applyAlignment="1">
      <alignment horizontal="center"/>
    </xf>
    <xf numFmtId="5" fontId="25" fillId="0" borderId="1" xfId="0" applyNumberFormat="1" applyFont="1" applyBorder="1" applyAlignment="1">
      <alignment horizontal="center"/>
    </xf>
    <xf numFmtId="5" fontId="25" fillId="0" borderId="0" xfId="4" applyNumberFormat="1" applyFont="1" applyAlignment="1">
      <alignment horizontal="center"/>
    </xf>
    <xf numFmtId="0" fontId="0" fillId="0" borderId="0" xfId="0"/>
    <xf numFmtId="0" fontId="174" fillId="79" borderId="69" xfId="0" applyFont="1" applyFill="1" applyBorder="1" applyAlignment="1">
      <alignment horizontal="left" vertical="top"/>
    </xf>
    <xf numFmtId="238" fontId="176" fillId="80" borderId="70" xfId="0" applyNumberFormat="1" applyFont="1" applyFill="1" applyBorder="1" applyAlignment="1">
      <alignment horizontal="right" vertical="top"/>
    </xf>
    <xf numFmtId="3" fontId="175" fillId="0" borderId="70" xfId="0" applyNumberFormat="1" applyFont="1" applyBorder="1" applyAlignment="1">
      <alignment horizontal="right" vertical="top"/>
    </xf>
    <xf numFmtId="3" fontId="177" fillId="81" borderId="71" xfId="0" applyNumberFormat="1" applyFont="1" applyFill="1" applyBorder="1" applyAlignment="1">
      <alignment horizontal="right" vertical="top"/>
    </xf>
    <xf numFmtId="0" fontId="0" fillId="0" borderId="70" xfId="0" applyBorder="1"/>
    <xf numFmtId="3" fontId="179" fillId="83" borderId="76" xfId="0" applyNumberFormat="1" applyFont="1" applyFill="1" applyBorder="1" applyAlignment="1">
      <alignment horizontal="right" vertical="top"/>
    </xf>
    <xf numFmtId="44" fontId="180" fillId="0" borderId="0" xfId="2" applyFont="1"/>
    <xf numFmtId="44" fontId="181" fillId="0" borderId="0" xfId="2" applyFont="1"/>
    <xf numFmtId="169" fontId="180" fillId="0" borderId="0" xfId="2" applyNumberFormat="1" applyFont="1"/>
    <xf numFmtId="0" fontId="0" fillId="0" borderId="0" xfId="0"/>
    <xf numFmtId="0" fontId="0" fillId="0" borderId="0" xfId="0"/>
    <xf numFmtId="164" fontId="0" fillId="0" borderId="0" xfId="1" applyNumberFormat="1" applyFont="1" applyFill="1" applyBorder="1"/>
    <xf numFmtId="10" fontId="43" fillId="0" borderId="0" xfId="0" applyNumberFormat="1" applyFont="1" applyFill="1"/>
    <xf numFmtId="0" fontId="11" fillId="0" borderId="0" xfId="0" quotePrefix="1" applyFont="1" applyFill="1"/>
    <xf numFmtId="164" fontId="59" fillId="0" borderId="0" xfId="1" applyNumberFormat="1" applyFont="1" applyFill="1"/>
    <xf numFmtId="0" fontId="0" fillId="0" borderId="0" xfId="0"/>
    <xf numFmtId="43" fontId="25" fillId="0" borderId="0" xfId="1" applyFont="1"/>
    <xf numFmtId="0" fontId="0" fillId="0" borderId="0" xfId="0"/>
    <xf numFmtId="5" fontId="25" fillId="0" borderId="0" xfId="0" applyNumberFormat="1" applyFont="1" applyFill="1" applyBorder="1"/>
    <xf numFmtId="171" fontId="169" fillId="0" borderId="0" xfId="3" applyNumberFormat="1" applyFont="1"/>
    <xf numFmtId="0" fontId="183" fillId="0" borderId="0" xfId="0" applyFont="1"/>
    <xf numFmtId="0" fontId="184" fillId="0" borderId="0" xfId="0" applyFont="1"/>
    <xf numFmtId="0" fontId="184" fillId="0" borderId="0" xfId="0" applyFont="1" applyAlignment="1">
      <alignment horizontal="left" indent="1"/>
    </xf>
    <xf numFmtId="192" fontId="184" fillId="0" borderId="0" xfId="2" applyNumberFormat="1" applyFont="1"/>
    <xf numFmtId="0" fontId="184" fillId="0" borderId="0" xfId="0" applyFont="1" applyFill="1" applyAlignment="1">
      <alignment horizontal="left" indent="1"/>
    </xf>
    <xf numFmtId="164" fontId="36" fillId="84" borderId="0" xfId="4511" applyNumberFormat="1" applyFont="1" applyFill="1"/>
    <xf numFmtId="164" fontId="36" fillId="84" borderId="0" xfId="15" applyNumberFormat="1" applyFont="1" applyFill="1"/>
    <xf numFmtId="164" fontId="11" fillId="84" borderId="0" xfId="1" applyNumberFormat="1" applyFont="1" applyFill="1"/>
    <xf numFmtId="0" fontId="0" fillId="84" borderId="0" xfId="0" applyFill="1"/>
    <xf numFmtId="9" fontId="0" fillId="84" borderId="0" xfId="3" applyFont="1" applyFill="1"/>
    <xf numFmtId="9" fontId="0" fillId="84" borderId="0" xfId="0" applyNumberFormat="1" applyFill="1"/>
    <xf numFmtId="164" fontId="38" fillId="8" borderId="0" xfId="1" applyNumberFormat="1" applyFont="1" applyFill="1"/>
    <xf numFmtId="0" fontId="0" fillId="0" borderId="0" xfId="0"/>
    <xf numFmtId="0" fontId="174" fillId="79" borderId="69" xfId="0" applyFont="1" applyFill="1" applyBorder="1" applyAlignment="1">
      <alignment horizontal="left" vertical="top"/>
    </xf>
    <xf numFmtId="0" fontId="0" fillId="0" borderId="0" xfId="0"/>
    <xf numFmtId="0" fontId="0" fillId="0" borderId="33" xfId="0" applyFill="1" applyBorder="1"/>
    <xf numFmtId="0" fontId="0" fillId="0" borderId="78" xfId="0" applyBorder="1" applyAlignment="1">
      <alignment horizontal="center"/>
    </xf>
    <xf numFmtId="0" fontId="0" fillId="0" borderId="78" xfId="0" applyBorder="1"/>
    <xf numFmtId="164" fontId="0" fillId="0" borderId="78" xfId="11" applyNumberFormat="1" applyFont="1" applyBorder="1"/>
    <xf numFmtId="0" fontId="0" fillId="0" borderId="79" xfId="0" applyBorder="1"/>
    <xf numFmtId="0" fontId="0" fillId="0" borderId="35" xfId="0" applyBorder="1"/>
    <xf numFmtId="164" fontId="0" fillId="10" borderId="0" xfId="11" applyNumberFormat="1" applyFont="1" applyFill="1" applyBorder="1"/>
    <xf numFmtId="164" fontId="0" fillId="0" borderId="0" xfId="11" applyNumberFormat="1" applyFont="1" applyBorder="1"/>
    <xf numFmtId="0" fontId="0" fillId="0" borderId="68" xfId="0" applyBorder="1"/>
    <xf numFmtId="164" fontId="11" fillId="47" borderId="0" xfId="1" applyNumberFormat="1" applyFill="1" applyBorder="1"/>
    <xf numFmtId="164" fontId="0" fillId="0" borderId="0" xfId="11" applyNumberFormat="1" applyFont="1" applyFill="1" applyBorder="1"/>
    <xf numFmtId="171" fontId="0" fillId="0" borderId="68" xfId="12" applyNumberFormat="1" applyFont="1" applyBorder="1"/>
    <xf numFmtId="0" fontId="0" fillId="0" borderId="36" xfId="0" applyBorder="1"/>
    <xf numFmtId="164" fontId="0" fillId="0" borderId="3" xfId="11" applyNumberFormat="1" applyFont="1" applyBorder="1"/>
    <xf numFmtId="164" fontId="0" fillId="0" borderId="3" xfId="11" applyNumberFormat="1" applyFont="1" applyFill="1" applyBorder="1"/>
    <xf numFmtId="164" fontId="0" fillId="0" borderId="3" xfId="0" applyNumberFormat="1" applyBorder="1"/>
    <xf numFmtId="171" fontId="0" fillId="0" borderId="64" xfId="12" applyNumberFormat="1" applyFont="1" applyBorder="1"/>
    <xf numFmtId="171" fontId="0" fillId="0" borderId="78" xfId="12" applyNumberFormat="1" applyFont="1" applyBorder="1"/>
    <xf numFmtId="0" fontId="0" fillId="0" borderId="35" xfId="0" applyFill="1" applyBorder="1"/>
    <xf numFmtId="171" fontId="0" fillId="0" borderId="0" xfId="12" applyNumberFormat="1" applyFont="1" applyBorder="1"/>
    <xf numFmtId="164" fontId="0" fillId="0" borderId="68" xfId="0" applyNumberFormat="1" applyBorder="1"/>
    <xf numFmtId="44" fontId="0" fillId="0" borderId="0" xfId="13" applyFont="1" applyFill="1" applyBorder="1"/>
    <xf numFmtId="44" fontId="0" fillId="0" borderId="0" xfId="13" applyFont="1" applyBorder="1"/>
    <xf numFmtId="44" fontId="0" fillId="0" borderId="68" xfId="0" applyNumberFormat="1" applyBorder="1"/>
    <xf numFmtId="0" fontId="0" fillId="0" borderId="3" xfId="0" applyFill="1" applyBorder="1"/>
    <xf numFmtId="0" fontId="0" fillId="0" borderId="64" xfId="0" applyBorder="1"/>
    <xf numFmtId="0" fontId="0" fillId="0" borderId="78" xfId="0" applyFill="1" applyBorder="1"/>
    <xf numFmtId="171" fontId="0" fillId="0" borderId="68" xfId="3" applyNumberFormat="1" applyFont="1" applyBorder="1"/>
    <xf numFmtId="0" fontId="11" fillId="0" borderId="0" xfId="0" applyFont="1" applyAlignment="1">
      <alignment horizontal="left" vertical="justify"/>
    </xf>
    <xf numFmtId="0" fontId="11" fillId="0" borderId="0" xfId="43228"/>
    <xf numFmtId="0" fontId="11" fillId="0" borderId="0" xfId="43228" applyAlignment="1">
      <alignment vertical="justify"/>
    </xf>
    <xf numFmtId="0" fontId="93" fillId="0" borderId="0" xfId="43228" applyFont="1" applyAlignment="1">
      <alignment vertical="justify"/>
    </xf>
    <xf numFmtId="0" fontId="11" fillId="0" borderId="0" xfId="0" applyFont="1" applyAlignment="1">
      <alignment horizontal="centerContinuous" vertical="justify"/>
    </xf>
    <xf numFmtId="3" fontId="43" fillId="0" borderId="0" xfId="23000" applyNumberFormat="1" applyFont="1" applyAlignment="1">
      <alignment vertical="justify"/>
    </xf>
    <xf numFmtId="3" fontId="0" fillId="0" borderId="0" xfId="0" applyNumberFormat="1" applyAlignment="1">
      <alignment vertical="justify"/>
    </xf>
    <xf numFmtId="3" fontId="11" fillId="0" borderId="2" xfId="43228" applyNumberFormat="1" applyBorder="1" applyAlignment="1">
      <alignment vertical="justify"/>
    </xf>
    <xf numFmtId="3" fontId="11" fillId="0" borderId="11" xfId="43228" applyNumberFormat="1" applyBorder="1" applyAlignment="1">
      <alignment vertical="justify"/>
    </xf>
    <xf numFmtId="171" fontId="0" fillId="0" borderId="0" xfId="3" applyNumberFormat="1" applyFont="1" applyAlignment="1">
      <alignment vertical="justify"/>
    </xf>
    <xf numFmtId="164" fontId="0" fillId="0" borderId="0" xfId="0" applyNumberFormat="1" applyAlignment="1">
      <alignment vertical="justify"/>
    </xf>
    <xf numFmtId="0" fontId="0" fillId="0" borderId="0" xfId="0"/>
    <xf numFmtId="43" fontId="0" fillId="0" borderId="0" xfId="0" applyNumberFormat="1" applyFill="1" applyBorder="1"/>
    <xf numFmtId="43" fontId="0" fillId="0" borderId="0" xfId="0" applyNumberFormat="1" applyBorder="1"/>
    <xf numFmtId="0" fontId="25" fillId="0" borderId="0" xfId="43228" applyFont="1"/>
    <xf numFmtId="3" fontId="11" fillId="0" borderId="0" xfId="1" applyNumberFormat="1" applyAlignment="1">
      <alignment vertical="justify"/>
    </xf>
    <xf numFmtId="0" fontId="59" fillId="0" borderId="0" xfId="0" applyNumberFormat="1" applyFont="1"/>
    <xf numFmtId="171" fontId="182" fillId="9" borderId="0" xfId="0" applyNumberFormat="1" applyFont="1" applyFill="1" applyAlignment="1">
      <alignment horizontal="center"/>
    </xf>
    <xf numFmtId="7" fontId="25" fillId="8" borderId="0" xfId="0" applyNumberFormat="1" applyFont="1" applyFill="1"/>
    <xf numFmtId="7" fontId="11" fillId="8" borderId="0" xfId="0" applyNumberFormat="1" applyFont="1" applyFill="1"/>
    <xf numFmtId="0" fontId="11" fillId="0" borderId="0" xfId="0" quotePrefix="1" applyNumberFormat="1" applyFont="1" applyAlignment="1">
      <alignment horizontal="center"/>
    </xf>
    <xf numFmtId="0" fontId="0" fillId="85" borderId="0" xfId="0" applyFill="1"/>
    <xf numFmtId="0" fontId="25" fillId="85" borderId="0" xfId="0" applyFont="1" applyFill="1"/>
    <xf numFmtId="188" fontId="0" fillId="85" borderId="0" xfId="0" applyNumberFormat="1" applyFill="1" applyAlignment="1">
      <alignment horizontal="center"/>
    </xf>
    <xf numFmtId="0" fontId="0" fillId="85" borderId="0" xfId="0" applyFill="1" applyAlignment="1">
      <alignment horizontal="center"/>
    </xf>
    <xf numFmtId="164" fontId="43" fillId="85" borderId="0" xfId="4511" applyNumberFormat="1" applyFont="1" applyFill="1"/>
    <xf numFmtId="164" fontId="43" fillId="85" borderId="0" xfId="15" applyNumberFormat="1" applyFont="1" applyFill="1"/>
    <xf numFmtId="164" fontId="11" fillId="85" borderId="0" xfId="1" applyNumberFormat="1" applyFont="1" applyFill="1"/>
    <xf numFmtId="164" fontId="0" fillId="85" borderId="2" xfId="0" applyNumberFormat="1" applyFill="1" applyBorder="1"/>
    <xf numFmtId="164" fontId="0" fillId="85" borderId="0" xfId="0" applyNumberFormat="1" applyFill="1"/>
    <xf numFmtId="164" fontId="11" fillId="85" borderId="0" xfId="1" applyNumberFormat="1" applyFill="1"/>
    <xf numFmtId="0" fontId="11" fillId="0" borderId="0" xfId="4" applyFont="1" applyFill="1" applyAlignment="1"/>
    <xf numFmtId="0" fontId="25" fillId="9" borderId="0" xfId="0" applyFont="1" applyFill="1"/>
    <xf numFmtId="43" fontId="0" fillId="0" borderId="0" xfId="1" applyFont="1"/>
    <xf numFmtId="0" fontId="60" fillId="84" borderId="0" xfId="0" applyFont="1" applyFill="1"/>
    <xf numFmtId="0" fontId="60" fillId="84" borderId="0" xfId="0" applyFont="1" applyFill="1" applyAlignment="1">
      <alignment horizontal="left"/>
    </xf>
    <xf numFmtId="43" fontId="11" fillId="84" borderId="0" xfId="1" applyNumberFormat="1" applyFont="1" applyFill="1"/>
    <xf numFmtId="164" fontId="0" fillId="84" borderId="0" xfId="0" applyNumberFormat="1" applyFill="1"/>
    <xf numFmtId="165" fontId="57" fillId="5" borderId="0" xfId="0" applyNumberFormat="1" applyFont="1" applyFill="1"/>
    <xf numFmtId="0" fontId="0" fillId="0" borderId="0" xfId="0"/>
    <xf numFmtId="10" fontId="57" fillId="0" borderId="0" xfId="3" applyNumberFormat="1" applyFont="1"/>
    <xf numFmtId="169" fontId="25" fillId="0" borderId="0" xfId="0" applyNumberFormat="1" applyFont="1"/>
    <xf numFmtId="0" fontId="0" fillId="0" borderId="0" xfId="0"/>
    <xf numFmtId="0" fontId="9" fillId="0" borderId="0" xfId="93"/>
    <xf numFmtId="0" fontId="25" fillId="0" borderId="0" xfId="93" applyFont="1"/>
    <xf numFmtId="0" fontId="9" fillId="0" borderId="0" xfId="93" applyAlignment="1">
      <alignment horizontal="center"/>
    </xf>
    <xf numFmtId="0" fontId="31" fillId="0" borderId="0" xfId="93" applyFont="1" applyAlignment="1">
      <alignment horizontal="left"/>
    </xf>
    <xf numFmtId="5" fontId="9" fillId="0" borderId="0" xfId="93" applyNumberFormat="1" applyAlignment="1">
      <alignment horizontal="center"/>
    </xf>
    <xf numFmtId="5" fontId="25" fillId="0" borderId="0" xfId="93" applyNumberFormat="1" applyFont="1" applyAlignment="1">
      <alignment horizontal="center"/>
    </xf>
    <xf numFmtId="10" fontId="25" fillId="0" borderId="0" xfId="93" applyNumberFormat="1" applyFont="1" applyAlignment="1">
      <alignment horizontal="center"/>
    </xf>
    <xf numFmtId="0" fontId="25" fillId="0" borderId="0" xfId="93" applyFont="1" applyAlignment="1">
      <alignment horizontal="center"/>
    </xf>
    <xf numFmtId="0" fontId="9" fillId="0" borderId="1" xfId="93" applyBorder="1" applyAlignment="1">
      <alignment horizontal="center"/>
    </xf>
    <xf numFmtId="5" fontId="9" fillId="0" borderId="1" xfId="93" applyNumberFormat="1" applyBorder="1" applyAlignment="1">
      <alignment horizontal="center"/>
    </xf>
    <xf numFmtId="10" fontId="25" fillId="0" borderId="1" xfId="93" applyNumberFormat="1" applyFont="1" applyBorder="1" applyAlignment="1">
      <alignment horizontal="center"/>
    </xf>
    <xf numFmtId="5" fontId="9" fillId="0" borderId="0" xfId="93" applyNumberFormat="1"/>
    <xf numFmtId="0" fontId="183" fillId="0" borderId="0" xfId="93" applyFont="1"/>
    <xf numFmtId="0" fontId="184" fillId="0" borderId="0" xfId="93" applyFont="1"/>
    <xf numFmtId="0" fontId="184" fillId="0" borderId="0" xfId="93" applyFont="1" applyAlignment="1">
      <alignment horizontal="center"/>
    </xf>
    <xf numFmtId="5" fontId="25" fillId="0" borderId="0" xfId="93" applyNumberFormat="1" applyFont="1"/>
    <xf numFmtId="16" fontId="9" fillId="0" borderId="0" xfId="93" quotePrefix="1" applyNumberFormat="1" applyAlignment="1">
      <alignment horizontal="center"/>
    </xf>
    <xf numFmtId="171" fontId="11" fillId="0" borderId="0" xfId="3" applyNumberFormat="1" applyAlignment="1">
      <alignment horizontal="center"/>
    </xf>
    <xf numFmtId="0" fontId="184" fillId="0" borderId="0" xfId="93" applyFont="1" applyAlignment="1">
      <alignment horizontal="left" indent="1"/>
    </xf>
    <xf numFmtId="37" fontId="184" fillId="0" borderId="0" xfId="93" applyNumberFormat="1" applyFont="1" applyAlignment="1">
      <alignment horizontal="right" indent="1"/>
    </xf>
    <xf numFmtId="169" fontId="184" fillId="0" borderId="0" xfId="2" applyNumberFormat="1" applyFont="1"/>
    <xf numFmtId="10" fontId="184" fillId="0" borderId="0" xfId="3" applyNumberFormat="1" applyFont="1"/>
    <xf numFmtId="0" fontId="57" fillId="0" borderId="0" xfId="93" applyFont="1"/>
    <xf numFmtId="7" fontId="184" fillId="0" borderId="0" xfId="93" applyNumberFormat="1" applyFont="1"/>
    <xf numFmtId="169" fontId="184" fillId="0" borderId="1" xfId="2" applyNumberFormat="1" applyFont="1" applyBorder="1"/>
    <xf numFmtId="37" fontId="184" fillId="0" borderId="0" xfId="93" applyNumberFormat="1" applyFont="1"/>
    <xf numFmtId="10" fontId="184" fillId="0" borderId="0" xfId="93" applyNumberFormat="1" applyFont="1"/>
    <xf numFmtId="0" fontId="9" fillId="0" borderId="0" xfId="93" quotePrefix="1" applyAlignment="1">
      <alignment horizontal="center"/>
    </xf>
    <xf numFmtId="5" fontId="34" fillId="0" borderId="0" xfId="93" applyNumberFormat="1" applyFont="1" applyAlignment="1">
      <alignment horizontal="center"/>
    </xf>
    <xf numFmtId="0" fontId="9" fillId="0" borderId="0" xfId="93" applyAlignment="1">
      <alignment horizontal="left" indent="3"/>
    </xf>
    <xf numFmtId="37" fontId="184" fillId="0" borderId="0" xfId="0" applyNumberFormat="1" applyFont="1" applyAlignment="1">
      <alignment horizontal="right" indent="1"/>
    </xf>
    <xf numFmtId="185" fontId="9" fillId="0" borderId="0" xfId="93" applyNumberFormat="1"/>
    <xf numFmtId="0" fontId="57" fillId="0" borderId="0" xfId="93" applyFont="1" applyAlignment="1">
      <alignment horizontal="center"/>
    </xf>
    <xf numFmtId="10" fontId="9" fillId="0" borderId="0" xfId="93" applyNumberFormat="1"/>
    <xf numFmtId="7" fontId="9" fillId="0" borderId="0" xfId="93" applyNumberFormat="1"/>
    <xf numFmtId="37" fontId="184" fillId="0" borderId="0" xfId="93" applyNumberFormat="1" applyFont="1" applyAlignment="1">
      <alignment horizontal="right"/>
    </xf>
    <xf numFmtId="44" fontId="9" fillId="0" borderId="0" xfId="93" applyNumberFormat="1"/>
    <xf numFmtId="164" fontId="57" fillId="0" borderId="0" xfId="1" applyNumberFormat="1" applyFont="1"/>
    <xf numFmtId="186" fontId="9" fillId="0" borderId="0" xfId="93" applyNumberFormat="1"/>
    <xf numFmtId="37" fontId="184" fillId="0" borderId="0" xfId="93" applyNumberFormat="1" applyFont="1" applyAlignment="1">
      <alignment horizontal="left" indent="1"/>
    </xf>
    <xf numFmtId="43" fontId="0" fillId="0" borderId="0" xfId="3" applyNumberFormat="1" applyFont="1"/>
    <xf numFmtId="169" fontId="9" fillId="0" borderId="80" xfId="93" applyNumberFormat="1" applyBorder="1"/>
    <xf numFmtId="0" fontId="9" fillId="0" borderId="33" xfId="93" applyBorder="1"/>
    <xf numFmtId="0" fontId="9" fillId="0" borderId="78" xfId="93" applyBorder="1"/>
    <xf numFmtId="0" fontId="9" fillId="0" borderId="79" xfId="93" applyBorder="1"/>
    <xf numFmtId="0" fontId="9" fillId="0" borderId="35" xfId="93" applyBorder="1"/>
    <xf numFmtId="0" fontId="9" fillId="0" borderId="68" xfId="93" applyBorder="1"/>
    <xf numFmtId="0" fontId="183" fillId="0" borderId="35" xfId="93" applyFont="1" applyBorder="1"/>
    <xf numFmtId="0" fontId="184" fillId="0" borderId="68" xfId="93" applyFont="1" applyBorder="1"/>
    <xf numFmtId="0" fontId="184" fillId="0" borderId="35" xfId="93" applyFont="1" applyBorder="1"/>
    <xf numFmtId="0" fontId="184" fillId="0" borderId="35" xfId="93" applyFont="1" applyBorder="1" applyAlignment="1">
      <alignment horizontal="left" indent="1"/>
    </xf>
    <xf numFmtId="192" fontId="184" fillId="0" borderId="68" xfId="2" applyNumberFormat="1" applyFont="1" applyBorder="1"/>
    <xf numFmtId="0" fontId="184" fillId="0" borderId="36" xfId="93" applyFont="1" applyBorder="1" applyAlignment="1">
      <alignment horizontal="left" indent="1"/>
    </xf>
    <xf numFmtId="0" fontId="184" fillId="0" borderId="3" xfId="93" applyFont="1" applyBorder="1" applyAlignment="1">
      <alignment horizontal="left" indent="1"/>
    </xf>
    <xf numFmtId="0" fontId="184" fillId="0" borderId="3" xfId="93" applyFont="1" applyBorder="1"/>
    <xf numFmtId="192" fontId="184" fillId="0" borderId="3" xfId="2" applyNumberFormat="1" applyFont="1" applyBorder="1"/>
    <xf numFmtId="0" fontId="184" fillId="0" borderId="64" xfId="93" applyFont="1" applyBorder="1"/>
    <xf numFmtId="0" fontId="2" fillId="0" borderId="0" xfId="93" applyFont="1"/>
    <xf numFmtId="0" fontId="87" fillId="0" borderId="0" xfId="93" applyFont="1"/>
    <xf numFmtId="169" fontId="9" fillId="0" borderId="0" xfId="93" applyNumberFormat="1" applyBorder="1"/>
    <xf numFmtId="10" fontId="9" fillId="0" borderId="0" xfId="3" applyNumberFormat="1" applyFont="1"/>
    <xf numFmtId="169" fontId="184" fillId="0" borderId="0" xfId="2" applyNumberFormat="1" applyFont="1" applyBorder="1"/>
    <xf numFmtId="5" fontId="2" fillId="0" borderId="0" xfId="93" applyNumberFormat="1" applyFont="1" applyAlignment="1">
      <alignment horizontal="center"/>
    </xf>
    <xf numFmtId="5" fontId="2" fillId="0" borderId="1" xfId="93" applyNumberFormat="1" applyFont="1" applyBorder="1" applyAlignment="1">
      <alignment horizontal="center"/>
    </xf>
    <xf numFmtId="164" fontId="9" fillId="0" borderId="0" xfId="1" applyNumberFormat="1" applyFont="1"/>
    <xf numFmtId="0" fontId="0" fillId="0" borderId="0" xfId="0"/>
    <xf numFmtId="164" fontId="57" fillId="0" borderId="0" xfId="1" applyNumberFormat="1" applyFont="1" applyFill="1"/>
    <xf numFmtId="171" fontId="182" fillId="0" borderId="0" xfId="0" applyNumberFormat="1" applyFont="1" applyFill="1" applyAlignment="1">
      <alignment horizontal="center"/>
    </xf>
    <xf numFmtId="0" fontId="0" fillId="0" borderId="0" xfId="0"/>
    <xf numFmtId="10" fontId="25" fillId="9" borderId="0" xfId="0" applyNumberFormat="1" applyFont="1" applyFill="1"/>
    <xf numFmtId="10" fontId="11" fillId="0" borderId="0" xfId="3" applyNumberFormat="1" applyFont="1" applyFill="1"/>
    <xf numFmtId="0" fontId="185" fillId="0" borderId="0" xfId="0" applyFont="1" applyAlignment="1">
      <alignment vertical="center"/>
    </xf>
    <xf numFmtId="174" fontId="25" fillId="0" borderId="0" xfId="0" applyNumberFormat="1" applyFont="1" applyFill="1"/>
    <xf numFmtId="10" fontId="65" fillId="0" borderId="27" xfId="23" applyNumberFormat="1" applyBorder="1" applyProtection="1"/>
    <xf numFmtId="10" fontId="65" fillId="0" borderId="31" xfId="23" applyNumberFormat="1" applyBorder="1" applyAlignment="1" applyProtection="1">
      <alignment vertical="center"/>
    </xf>
    <xf numFmtId="10" fontId="72" fillId="0" borderId="25" xfId="23" applyNumberFormat="1" applyFont="1" applyFill="1" applyBorder="1" applyProtection="1"/>
    <xf numFmtId="10" fontId="72" fillId="0" borderId="26" xfId="23" applyNumberFormat="1" applyFont="1" applyFill="1" applyBorder="1" applyProtection="1"/>
    <xf numFmtId="10" fontId="72" fillId="0" borderId="25" xfId="23" applyNumberFormat="1" applyFont="1" applyFill="1" applyBorder="1" applyAlignment="1" applyProtection="1">
      <alignment vertical="top"/>
    </xf>
    <xf numFmtId="10" fontId="72" fillId="0" borderId="26" xfId="23" applyNumberFormat="1" applyFont="1" applyFill="1" applyBorder="1" applyAlignment="1" applyProtection="1">
      <alignment vertical="top"/>
    </xf>
    <xf numFmtId="192" fontId="11" fillId="0" borderId="0" xfId="2" applyNumberFormat="1" applyFont="1" applyFill="1"/>
    <xf numFmtId="0" fontId="25" fillId="0" borderId="0" xfId="0" applyFont="1" applyAlignment="1">
      <alignment horizontal="center"/>
    </xf>
    <xf numFmtId="0" fontId="0" fillId="0" borderId="0" xfId="0"/>
    <xf numFmtId="0" fontId="0" fillId="0" borderId="0" xfId="0" applyAlignment="1">
      <alignment vertical="top" wrapText="1"/>
    </xf>
    <xf numFmtId="0" fontId="1" fillId="0" borderId="0" xfId="93" applyFont="1"/>
    <xf numFmtId="0" fontId="39" fillId="0" borderId="0" xfId="0" applyFont="1" applyAlignment="1">
      <alignment wrapText="1"/>
    </xf>
    <xf numFmtId="7" fontId="15" fillId="0" borderId="0" xfId="0" applyNumberFormat="1" applyFont="1" applyAlignment="1">
      <alignment wrapText="1"/>
    </xf>
    <xf numFmtId="0" fontId="0" fillId="0" borderId="0" xfId="0"/>
    <xf numFmtId="5" fontId="25" fillId="0" borderId="0" xfId="0" applyNumberFormat="1" applyFont="1" applyAlignment="1">
      <alignment horizontal="center"/>
    </xf>
    <xf numFmtId="0" fontId="11" fillId="0" borderId="0" xfId="0" applyFont="1" applyAlignment="1">
      <alignment vertical="top" wrapText="1"/>
    </xf>
    <xf numFmtId="0" fontId="34" fillId="0" borderId="0" xfId="0" applyFont="1" applyBorder="1" applyAlignment="1">
      <alignment horizontal="center"/>
    </xf>
    <xf numFmtId="0" fontId="0" fillId="0" borderId="0" xfId="0" applyAlignment="1">
      <alignment horizontal="left" vertical="top" wrapText="1"/>
    </xf>
    <xf numFmtId="0" fontId="68" fillId="0" borderId="0" xfId="0" applyFont="1" applyAlignment="1">
      <alignment horizontal="left" vertical="top" wrapText="1"/>
    </xf>
    <xf numFmtId="0" fontId="25" fillId="0" borderId="0" xfId="0" applyFont="1" applyAlignment="1">
      <alignment horizontal="center"/>
    </xf>
    <xf numFmtId="0" fontId="186" fillId="0" borderId="0" xfId="0" applyFont="1" applyAlignment="1">
      <alignment horizontal="center" vertical="top" wrapText="1"/>
    </xf>
    <xf numFmtId="0" fontId="187" fillId="0" borderId="0" xfId="0" applyFont="1" applyAlignment="1">
      <alignment horizontal="left" vertical="top" wrapText="1"/>
    </xf>
    <xf numFmtId="0" fontId="28" fillId="0" borderId="0" xfId="0" applyFont="1" applyAlignment="1">
      <alignment horizontal="center"/>
    </xf>
    <xf numFmtId="0" fontId="174" fillId="79" borderId="69" xfId="0" applyFont="1" applyFill="1" applyBorder="1" applyAlignment="1">
      <alignment horizontal="left" vertical="top"/>
    </xf>
    <xf numFmtId="0" fontId="0" fillId="79" borderId="69" xfId="0" applyFill="1" applyBorder="1"/>
    <xf numFmtId="0" fontId="178" fillId="82" borderId="73" xfId="0" applyFont="1" applyFill="1" applyBorder="1" applyAlignment="1">
      <alignment horizontal="left" vertical="top"/>
    </xf>
    <xf numFmtId="0" fontId="0" fillId="82" borderId="74" xfId="0" applyFill="1" applyBorder="1"/>
    <xf numFmtId="0" fontId="0" fillId="82" borderId="75" xfId="0" applyFill="1" applyBorder="1"/>
    <xf numFmtId="0" fontId="0" fillId="79" borderId="72" xfId="0" applyFill="1" applyBorder="1"/>
    <xf numFmtId="0" fontId="174" fillId="79" borderId="77" xfId="0" applyFont="1" applyFill="1" applyBorder="1" applyAlignment="1">
      <alignment horizontal="left" vertical="top"/>
    </xf>
  </cellXfs>
  <cellStyles count="43230">
    <cellStyle name="20% - Accent1" xfId="62" builtinId="30" customBuiltin="1"/>
    <cellStyle name="20% - Accent1 10" xfId="594" xr:uid="{00000000-0005-0000-0000-000001000000}"/>
    <cellStyle name="20% - Accent1 10 2" xfId="939" xr:uid="{00000000-0005-0000-0000-000002000000}"/>
    <cellStyle name="20% - Accent1 10 2 2" xfId="23821" xr:uid="{00000000-0005-0000-0000-000003000000}"/>
    <cellStyle name="20% - Accent1 10 3" xfId="22561" xr:uid="{00000000-0005-0000-0000-000004000000}"/>
    <cellStyle name="20% - Accent1 10 3 2" xfId="42472" xr:uid="{00000000-0005-0000-0000-000005000000}"/>
    <cellStyle name="20% - Accent1 10 4" xfId="22904" xr:uid="{00000000-0005-0000-0000-000006000000}"/>
    <cellStyle name="20% - Accent1 10 4 2" xfId="42815" xr:uid="{00000000-0005-0000-0000-000007000000}"/>
    <cellStyle name="20% - Accent1 10 5" xfId="23207" xr:uid="{00000000-0005-0000-0000-000008000000}"/>
    <cellStyle name="20% - Accent1 10 5 2" xfId="43118" xr:uid="{00000000-0005-0000-0000-000009000000}"/>
    <cellStyle name="20% - Accent1 10 6" xfId="23518" xr:uid="{00000000-0005-0000-0000-00000A000000}"/>
    <cellStyle name="20% - Accent1 11" xfId="622" xr:uid="{00000000-0005-0000-0000-00000B000000}"/>
    <cellStyle name="20% - Accent1 11 2" xfId="955" xr:uid="{00000000-0005-0000-0000-00000C000000}"/>
    <cellStyle name="20% - Accent1 11 2 2" xfId="23837" xr:uid="{00000000-0005-0000-0000-00000D000000}"/>
    <cellStyle name="20% - Accent1 11 3" xfId="22588" xr:uid="{00000000-0005-0000-0000-00000E000000}"/>
    <cellStyle name="20% - Accent1 11 3 2" xfId="42499" xr:uid="{00000000-0005-0000-0000-00000F000000}"/>
    <cellStyle name="20% - Accent1 11 4" xfId="22920" xr:uid="{00000000-0005-0000-0000-000010000000}"/>
    <cellStyle name="20% - Accent1 11 4 2" xfId="42831" xr:uid="{00000000-0005-0000-0000-000011000000}"/>
    <cellStyle name="20% - Accent1 11 5" xfId="23223" xr:uid="{00000000-0005-0000-0000-000012000000}"/>
    <cellStyle name="20% - Accent1 11 5 2" xfId="43134" xr:uid="{00000000-0005-0000-0000-000013000000}"/>
    <cellStyle name="20% - Accent1 11 6" xfId="23534" xr:uid="{00000000-0005-0000-0000-000014000000}"/>
    <cellStyle name="20% - Accent1 12" xfId="648" xr:uid="{00000000-0005-0000-0000-000015000000}"/>
    <cellStyle name="20% - Accent1 12 2" xfId="971" xr:uid="{00000000-0005-0000-0000-000016000000}"/>
    <cellStyle name="20% - Accent1 12 2 2" xfId="23853" xr:uid="{00000000-0005-0000-0000-000017000000}"/>
    <cellStyle name="20% - Accent1 12 3" xfId="22612" xr:uid="{00000000-0005-0000-0000-000018000000}"/>
    <cellStyle name="20% - Accent1 12 3 2" xfId="42523" xr:uid="{00000000-0005-0000-0000-000019000000}"/>
    <cellStyle name="20% - Accent1 12 4" xfId="22936" xr:uid="{00000000-0005-0000-0000-00001A000000}"/>
    <cellStyle name="20% - Accent1 12 4 2" xfId="42847" xr:uid="{00000000-0005-0000-0000-00001B000000}"/>
    <cellStyle name="20% - Accent1 12 5" xfId="23239" xr:uid="{00000000-0005-0000-0000-00001C000000}"/>
    <cellStyle name="20% - Accent1 12 5 2" xfId="43150" xr:uid="{00000000-0005-0000-0000-00001D000000}"/>
    <cellStyle name="20% - Accent1 12 6" xfId="23550" xr:uid="{00000000-0005-0000-0000-00001E000000}"/>
    <cellStyle name="20% - Accent1 13" xfId="673" xr:uid="{00000000-0005-0000-0000-00001F000000}"/>
    <cellStyle name="20% - Accent1 13 2" xfId="987" xr:uid="{00000000-0005-0000-0000-000020000000}"/>
    <cellStyle name="20% - Accent1 13 2 2" xfId="23869" xr:uid="{00000000-0005-0000-0000-000021000000}"/>
    <cellStyle name="20% - Accent1 13 3" xfId="22590" xr:uid="{00000000-0005-0000-0000-000022000000}"/>
    <cellStyle name="20% - Accent1 13 3 2" xfId="42501" xr:uid="{00000000-0005-0000-0000-000023000000}"/>
    <cellStyle name="20% - Accent1 13 4" xfId="22952" xr:uid="{00000000-0005-0000-0000-000024000000}"/>
    <cellStyle name="20% - Accent1 13 4 2" xfId="42863" xr:uid="{00000000-0005-0000-0000-000025000000}"/>
    <cellStyle name="20% - Accent1 13 5" xfId="23255" xr:uid="{00000000-0005-0000-0000-000026000000}"/>
    <cellStyle name="20% - Accent1 13 5 2" xfId="43166" xr:uid="{00000000-0005-0000-0000-000027000000}"/>
    <cellStyle name="20% - Accent1 13 6" xfId="23566" xr:uid="{00000000-0005-0000-0000-000028000000}"/>
    <cellStyle name="20% - Accent1 14" xfId="695" xr:uid="{00000000-0005-0000-0000-000029000000}"/>
    <cellStyle name="20% - Accent1 14 2" xfId="1003" xr:uid="{00000000-0005-0000-0000-00002A000000}"/>
    <cellStyle name="20% - Accent1 14 2 2" xfId="23885" xr:uid="{00000000-0005-0000-0000-00002B000000}"/>
    <cellStyle name="20% - Accent1 14 3" xfId="22556" xr:uid="{00000000-0005-0000-0000-00002C000000}"/>
    <cellStyle name="20% - Accent1 14 3 2" xfId="42467" xr:uid="{00000000-0005-0000-0000-00002D000000}"/>
    <cellStyle name="20% - Accent1 14 4" xfId="22968" xr:uid="{00000000-0005-0000-0000-00002E000000}"/>
    <cellStyle name="20% - Accent1 14 4 2" xfId="42879" xr:uid="{00000000-0005-0000-0000-00002F000000}"/>
    <cellStyle name="20% - Accent1 14 5" xfId="23271" xr:uid="{00000000-0005-0000-0000-000030000000}"/>
    <cellStyle name="20% - Accent1 14 5 2" xfId="43182" xr:uid="{00000000-0005-0000-0000-000031000000}"/>
    <cellStyle name="20% - Accent1 14 6" xfId="23582" xr:uid="{00000000-0005-0000-0000-000032000000}"/>
    <cellStyle name="20% - Accent1 15" xfId="711" xr:uid="{00000000-0005-0000-0000-000033000000}"/>
    <cellStyle name="20% - Accent1 15 2" xfId="1019" xr:uid="{00000000-0005-0000-0000-000034000000}"/>
    <cellStyle name="20% - Accent1 15 2 2" xfId="23901" xr:uid="{00000000-0005-0000-0000-000035000000}"/>
    <cellStyle name="20% - Accent1 15 3" xfId="22548" xr:uid="{00000000-0005-0000-0000-000036000000}"/>
    <cellStyle name="20% - Accent1 15 3 2" xfId="42459" xr:uid="{00000000-0005-0000-0000-000037000000}"/>
    <cellStyle name="20% - Accent1 15 4" xfId="22984" xr:uid="{00000000-0005-0000-0000-000038000000}"/>
    <cellStyle name="20% - Accent1 15 4 2" xfId="42895" xr:uid="{00000000-0005-0000-0000-000039000000}"/>
    <cellStyle name="20% - Accent1 15 5" xfId="23287" xr:uid="{00000000-0005-0000-0000-00003A000000}"/>
    <cellStyle name="20% - Accent1 15 5 2" xfId="43198" xr:uid="{00000000-0005-0000-0000-00003B000000}"/>
    <cellStyle name="20% - Accent1 15 6" xfId="23598" xr:uid="{00000000-0005-0000-0000-00003C000000}"/>
    <cellStyle name="20% - Accent1 16" xfId="735" xr:uid="{00000000-0005-0000-0000-00003D000000}"/>
    <cellStyle name="20% - Accent1 16 2" xfId="23617" xr:uid="{00000000-0005-0000-0000-00003E000000}"/>
    <cellStyle name="20% - Accent1 17" xfId="22700" xr:uid="{00000000-0005-0000-0000-00003F000000}"/>
    <cellStyle name="20% - Accent1 17 2" xfId="42611" xr:uid="{00000000-0005-0000-0000-000040000000}"/>
    <cellStyle name="20% - Accent1 18" xfId="23003" xr:uid="{00000000-0005-0000-0000-000041000000}"/>
    <cellStyle name="20% - Accent1 18 2" xfId="42914" xr:uid="{00000000-0005-0000-0000-000042000000}"/>
    <cellStyle name="20% - Accent1 19" xfId="23307" xr:uid="{00000000-0005-0000-0000-000043000000}"/>
    <cellStyle name="20% - Accent1 2" xfId="366" xr:uid="{00000000-0005-0000-0000-000044000000}"/>
    <cellStyle name="20% - Accent1 2 10" xfId="23390" xr:uid="{00000000-0005-0000-0000-000045000000}"/>
    <cellStyle name="20% - Accent1 2 2" xfId="811" xr:uid="{00000000-0005-0000-0000-000046000000}"/>
    <cellStyle name="20% - Accent1 2 2 2" xfId="6274" xr:uid="{00000000-0005-0000-0000-000047000000}"/>
    <cellStyle name="20% - Accent1 2 2 2 2" xfId="9360" xr:uid="{00000000-0005-0000-0000-000048000000}"/>
    <cellStyle name="20% - Accent1 2 2 2 2 2" xfId="15553" xr:uid="{00000000-0005-0000-0000-000049000000}"/>
    <cellStyle name="20% - Accent1 2 2 2 2 2 2" xfId="35473" xr:uid="{00000000-0005-0000-0000-00004A000000}"/>
    <cellStyle name="20% - Accent1 2 2 2 2 3" xfId="21705" xr:uid="{00000000-0005-0000-0000-00004B000000}"/>
    <cellStyle name="20% - Accent1 2 2 2 2 3 2" xfId="41625" xr:uid="{00000000-0005-0000-0000-00004C000000}"/>
    <cellStyle name="20% - Accent1 2 2 2 2 4" xfId="29320" xr:uid="{00000000-0005-0000-0000-00004D000000}"/>
    <cellStyle name="20% - Accent1 2 2 2 3" xfId="12487" xr:uid="{00000000-0005-0000-0000-00004E000000}"/>
    <cellStyle name="20% - Accent1 2 2 2 3 2" xfId="32407" xr:uid="{00000000-0005-0000-0000-00004F000000}"/>
    <cellStyle name="20% - Accent1 2 2 2 4" xfId="18639" xr:uid="{00000000-0005-0000-0000-000050000000}"/>
    <cellStyle name="20% - Accent1 2 2 2 4 2" xfId="38559" xr:uid="{00000000-0005-0000-0000-000051000000}"/>
    <cellStyle name="20% - Accent1 2 2 2 5" xfId="26254" xr:uid="{00000000-0005-0000-0000-000052000000}"/>
    <cellStyle name="20% - Accent1 2 2 3" xfId="7825" xr:uid="{00000000-0005-0000-0000-000053000000}"/>
    <cellStyle name="20% - Accent1 2 2 3 2" xfId="14019" xr:uid="{00000000-0005-0000-0000-000054000000}"/>
    <cellStyle name="20% - Accent1 2 2 3 2 2" xfId="33939" xr:uid="{00000000-0005-0000-0000-000055000000}"/>
    <cellStyle name="20% - Accent1 2 2 3 3" xfId="20171" xr:uid="{00000000-0005-0000-0000-000056000000}"/>
    <cellStyle name="20% - Accent1 2 2 3 3 2" xfId="40091" xr:uid="{00000000-0005-0000-0000-000057000000}"/>
    <cellStyle name="20% - Accent1 2 2 3 4" xfId="27786" xr:uid="{00000000-0005-0000-0000-000058000000}"/>
    <cellStyle name="20% - Accent1 2 2 4" xfId="10953" xr:uid="{00000000-0005-0000-0000-000059000000}"/>
    <cellStyle name="20% - Accent1 2 2 4 2" xfId="30873" xr:uid="{00000000-0005-0000-0000-00005A000000}"/>
    <cellStyle name="20% - Accent1 2 2 5" xfId="17105" xr:uid="{00000000-0005-0000-0000-00005B000000}"/>
    <cellStyle name="20% - Accent1 2 2 5 2" xfId="37025" xr:uid="{00000000-0005-0000-0000-00005C000000}"/>
    <cellStyle name="20% - Accent1 2 2 6" xfId="4649" xr:uid="{00000000-0005-0000-0000-00005D000000}"/>
    <cellStyle name="20% - Accent1 2 2 6 2" xfId="24720" xr:uid="{00000000-0005-0000-0000-00005E000000}"/>
    <cellStyle name="20% - Accent1 2 2 7" xfId="23693" xr:uid="{00000000-0005-0000-0000-00005F000000}"/>
    <cellStyle name="20% - Accent1 2 3" xfId="5488" xr:uid="{00000000-0005-0000-0000-000060000000}"/>
    <cellStyle name="20% - Accent1 2 3 2" xfId="8591" xr:uid="{00000000-0005-0000-0000-000061000000}"/>
    <cellStyle name="20% - Accent1 2 3 2 2" xfId="14784" xr:uid="{00000000-0005-0000-0000-000062000000}"/>
    <cellStyle name="20% - Accent1 2 3 2 2 2" xfId="34704" xr:uid="{00000000-0005-0000-0000-000063000000}"/>
    <cellStyle name="20% - Accent1 2 3 2 3" xfId="20936" xr:uid="{00000000-0005-0000-0000-000064000000}"/>
    <cellStyle name="20% - Accent1 2 3 2 3 2" xfId="40856" xr:uid="{00000000-0005-0000-0000-000065000000}"/>
    <cellStyle name="20% - Accent1 2 3 2 4" xfId="28551" xr:uid="{00000000-0005-0000-0000-000066000000}"/>
    <cellStyle name="20% - Accent1 2 3 3" xfId="11718" xr:uid="{00000000-0005-0000-0000-000067000000}"/>
    <cellStyle name="20% - Accent1 2 3 3 2" xfId="31638" xr:uid="{00000000-0005-0000-0000-000068000000}"/>
    <cellStyle name="20% - Accent1 2 3 4" xfId="17870" xr:uid="{00000000-0005-0000-0000-000069000000}"/>
    <cellStyle name="20% - Accent1 2 3 4 2" xfId="37790" xr:uid="{00000000-0005-0000-0000-00006A000000}"/>
    <cellStyle name="20% - Accent1 2 3 5" xfId="25485" xr:uid="{00000000-0005-0000-0000-00006B000000}"/>
    <cellStyle name="20% - Accent1 2 4" xfId="7056" xr:uid="{00000000-0005-0000-0000-00006C000000}"/>
    <cellStyle name="20% - Accent1 2 4 2" xfId="13250" xr:uid="{00000000-0005-0000-0000-00006D000000}"/>
    <cellStyle name="20% - Accent1 2 4 2 2" xfId="33170" xr:uid="{00000000-0005-0000-0000-00006E000000}"/>
    <cellStyle name="20% - Accent1 2 4 3" xfId="19402" xr:uid="{00000000-0005-0000-0000-00006F000000}"/>
    <cellStyle name="20% - Accent1 2 4 3 2" xfId="39322" xr:uid="{00000000-0005-0000-0000-000070000000}"/>
    <cellStyle name="20% - Accent1 2 4 4" xfId="27017" xr:uid="{00000000-0005-0000-0000-000071000000}"/>
    <cellStyle name="20% - Accent1 2 5" xfId="10184" xr:uid="{00000000-0005-0000-0000-000072000000}"/>
    <cellStyle name="20% - Accent1 2 5 2" xfId="30104" xr:uid="{00000000-0005-0000-0000-000073000000}"/>
    <cellStyle name="20% - Accent1 2 6" xfId="16336" xr:uid="{00000000-0005-0000-0000-000074000000}"/>
    <cellStyle name="20% - Accent1 2 6 2" xfId="36256" xr:uid="{00000000-0005-0000-0000-000075000000}"/>
    <cellStyle name="20% - Accent1 2 7" xfId="1208" xr:uid="{00000000-0005-0000-0000-000076000000}"/>
    <cellStyle name="20% - Accent1 2 7 2" xfId="23951" xr:uid="{00000000-0005-0000-0000-000077000000}"/>
    <cellStyle name="20% - Accent1 2 8" xfId="22776" xr:uid="{00000000-0005-0000-0000-000078000000}"/>
    <cellStyle name="20% - Accent1 2 8 2" xfId="42687" xr:uid="{00000000-0005-0000-0000-000079000000}"/>
    <cellStyle name="20% - Accent1 2 9" xfId="23079" xr:uid="{00000000-0005-0000-0000-00007A000000}"/>
    <cellStyle name="20% - Accent1 2 9 2" xfId="42990" xr:uid="{00000000-0005-0000-0000-00007B000000}"/>
    <cellStyle name="20% - Accent1 3" xfId="397" xr:uid="{00000000-0005-0000-0000-00007C000000}"/>
    <cellStyle name="20% - Accent1 3 10" xfId="23406" xr:uid="{00000000-0005-0000-0000-00007D000000}"/>
    <cellStyle name="20% - Accent1 3 2" xfId="827" xr:uid="{00000000-0005-0000-0000-00007E000000}"/>
    <cellStyle name="20% - Accent1 3 2 2" xfId="6275" xr:uid="{00000000-0005-0000-0000-00007F000000}"/>
    <cellStyle name="20% - Accent1 3 2 2 2" xfId="9361" xr:uid="{00000000-0005-0000-0000-000080000000}"/>
    <cellStyle name="20% - Accent1 3 2 2 2 2" xfId="15554" xr:uid="{00000000-0005-0000-0000-000081000000}"/>
    <cellStyle name="20% - Accent1 3 2 2 2 2 2" xfId="35474" xr:uid="{00000000-0005-0000-0000-000082000000}"/>
    <cellStyle name="20% - Accent1 3 2 2 2 3" xfId="21706" xr:uid="{00000000-0005-0000-0000-000083000000}"/>
    <cellStyle name="20% - Accent1 3 2 2 2 3 2" xfId="41626" xr:uid="{00000000-0005-0000-0000-000084000000}"/>
    <cellStyle name="20% - Accent1 3 2 2 2 4" xfId="29321" xr:uid="{00000000-0005-0000-0000-000085000000}"/>
    <cellStyle name="20% - Accent1 3 2 2 3" xfId="12488" xr:uid="{00000000-0005-0000-0000-000086000000}"/>
    <cellStyle name="20% - Accent1 3 2 2 3 2" xfId="32408" xr:uid="{00000000-0005-0000-0000-000087000000}"/>
    <cellStyle name="20% - Accent1 3 2 2 4" xfId="18640" xr:uid="{00000000-0005-0000-0000-000088000000}"/>
    <cellStyle name="20% - Accent1 3 2 2 4 2" xfId="38560" xr:uid="{00000000-0005-0000-0000-000089000000}"/>
    <cellStyle name="20% - Accent1 3 2 2 5" xfId="26255" xr:uid="{00000000-0005-0000-0000-00008A000000}"/>
    <cellStyle name="20% - Accent1 3 2 3" xfId="7826" xr:uid="{00000000-0005-0000-0000-00008B000000}"/>
    <cellStyle name="20% - Accent1 3 2 3 2" xfId="14020" xr:uid="{00000000-0005-0000-0000-00008C000000}"/>
    <cellStyle name="20% - Accent1 3 2 3 2 2" xfId="33940" xr:uid="{00000000-0005-0000-0000-00008D000000}"/>
    <cellStyle name="20% - Accent1 3 2 3 3" xfId="20172" xr:uid="{00000000-0005-0000-0000-00008E000000}"/>
    <cellStyle name="20% - Accent1 3 2 3 3 2" xfId="40092" xr:uid="{00000000-0005-0000-0000-00008F000000}"/>
    <cellStyle name="20% - Accent1 3 2 3 4" xfId="27787" xr:uid="{00000000-0005-0000-0000-000090000000}"/>
    <cellStyle name="20% - Accent1 3 2 4" xfId="10954" xr:uid="{00000000-0005-0000-0000-000091000000}"/>
    <cellStyle name="20% - Accent1 3 2 4 2" xfId="30874" xr:uid="{00000000-0005-0000-0000-000092000000}"/>
    <cellStyle name="20% - Accent1 3 2 5" xfId="17106" xr:uid="{00000000-0005-0000-0000-000093000000}"/>
    <cellStyle name="20% - Accent1 3 2 5 2" xfId="37026" xr:uid="{00000000-0005-0000-0000-000094000000}"/>
    <cellStyle name="20% - Accent1 3 2 6" xfId="4650" xr:uid="{00000000-0005-0000-0000-000095000000}"/>
    <cellStyle name="20% - Accent1 3 2 6 2" xfId="24721" xr:uid="{00000000-0005-0000-0000-000096000000}"/>
    <cellStyle name="20% - Accent1 3 2 7" xfId="23709" xr:uid="{00000000-0005-0000-0000-000097000000}"/>
    <cellStyle name="20% - Accent1 3 3" xfId="5489" xr:uid="{00000000-0005-0000-0000-000098000000}"/>
    <cellStyle name="20% - Accent1 3 3 2" xfId="8592" xr:uid="{00000000-0005-0000-0000-000099000000}"/>
    <cellStyle name="20% - Accent1 3 3 2 2" xfId="14785" xr:uid="{00000000-0005-0000-0000-00009A000000}"/>
    <cellStyle name="20% - Accent1 3 3 2 2 2" xfId="34705" xr:uid="{00000000-0005-0000-0000-00009B000000}"/>
    <cellStyle name="20% - Accent1 3 3 2 3" xfId="20937" xr:uid="{00000000-0005-0000-0000-00009C000000}"/>
    <cellStyle name="20% - Accent1 3 3 2 3 2" xfId="40857" xr:uid="{00000000-0005-0000-0000-00009D000000}"/>
    <cellStyle name="20% - Accent1 3 3 2 4" xfId="28552" xr:uid="{00000000-0005-0000-0000-00009E000000}"/>
    <cellStyle name="20% - Accent1 3 3 3" xfId="11719" xr:uid="{00000000-0005-0000-0000-00009F000000}"/>
    <cellStyle name="20% - Accent1 3 3 3 2" xfId="31639" xr:uid="{00000000-0005-0000-0000-0000A0000000}"/>
    <cellStyle name="20% - Accent1 3 3 4" xfId="17871" xr:uid="{00000000-0005-0000-0000-0000A1000000}"/>
    <cellStyle name="20% - Accent1 3 3 4 2" xfId="37791" xr:uid="{00000000-0005-0000-0000-0000A2000000}"/>
    <cellStyle name="20% - Accent1 3 3 5" xfId="25486" xr:uid="{00000000-0005-0000-0000-0000A3000000}"/>
    <cellStyle name="20% - Accent1 3 4" xfId="7057" xr:uid="{00000000-0005-0000-0000-0000A4000000}"/>
    <cellStyle name="20% - Accent1 3 4 2" xfId="13251" xr:uid="{00000000-0005-0000-0000-0000A5000000}"/>
    <cellStyle name="20% - Accent1 3 4 2 2" xfId="33171" xr:uid="{00000000-0005-0000-0000-0000A6000000}"/>
    <cellStyle name="20% - Accent1 3 4 3" xfId="19403" xr:uid="{00000000-0005-0000-0000-0000A7000000}"/>
    <cellStyle name="20% - Accent1 3 4 3 2" xfId="39323" xr:uid="{00000000-0005-0000-0000-0000A8000000}"/>
    <cellStyle name="20% - Accent1 3 4 4" xfId="27018" xr:uid="{00000000-0005-0000-0000-0000A9000000}"/>
    <cellStyle name="20% - Accent1 3 5" xfId="10185" xr:uid="{00000000-0005-0000-0000-0000AA000000}"/>
    <cellStyle name="20% - Accent1 3 5 2" xfId="30105" xr:uid="{00000000-0005-0000-0000-0000AB000000}"/>
    <cellStyle name="20% - Accent1 3 6" xfId="16337" xr:uid="{00000000-0005-0000-0000-0000AC000000}"/>
    <cellStyle name="20% - Accent1 3 6 2" xfId="36257" xr:uid="{00000000-0005-0000-0000-0000AD000000}"/>
    <cellStyle name="20% - Accent1 3 7" xfId="1209" xr:uid="{00000000-0005-0000-0000-0000AE000000}"/>
    <cellStyle name="20% - Accent1 3 7 2" xfId="23952" xr:uid="{00000000-0005-0000-0000-0000AF000000}"/>
    <cellStyle name="20% - Accent1 3 8" xfId="22792" xr:uid="{00000000-0005-0000-0000-0000B0000000}"/>
    <cellStyle name="20% - Accent1 3 8 2" xfId="42703" xr:uid="{00000000-0005-0000-0000-0000B1000000}"/>
    <cellStyle name="20% - Accent1 3 9" xfId="23095" xr:uid="{00000000-0005-0000-0000-0000B2000000}"/>
    <cellStyle name="20% - Accent1 3 9 2" xfId="43006" xr:uid="{00000000-0005-0000-0000-0000B3000000}"/>
    <cellStyle name="20% - Accent1 4" xfId="425" xr:uid="{00000000-0005-0000-0000-0000B4000000}"/>
    <cellStyle name="20% - Accent1 4 10" xfId="23422" xr:uid="{00000000-0005-0000-0000-0000B5000000}"/>
    <cellStyle name="20% - Accent1 4 2" xfId="843" xr:uid="{00000000-0005-0000-0000-0000B6000000}"/>
    <cellStyle name="20% - Accent1 4 2 2" xfId="6276" xr:uid="{00000000-0005-0000-0000-0000B7000000}"/>
    <cellStyle name="20% - Accent1 4 2 2 2" xfId="9362" xr:uid="{00000000-0005-0000-0000-0000B8000000}"/>
    <cellStyle name="20% - Accent1 4 2 2 2 2" xfId="15555" xr:uid="{00000000-0005-0000-0000-0000B9000000}"/>
    <cellStyle name="20% - Accent1 4 2 2 2 2 2" xfId="35475" xr:uid="{00000000-0005-0000-0000-0000BA000000}"/>
    <cellStyle name="20% - Accent1 4 2 2 2 3" xfId="21707" xr:uid="{00000000-0005-0000-0000-0000BB000000}"/>
    <cellStyle name="20% - Accent1 4 2 2 2 3 2" xfId="41627" xr:uid="{00000000-0005-0000-0000-0000BC000000}"/>
    <cellStyle name="20% - Accent1 4 2 2 2 4" xfId="29322" xr:uid="{00000000-0005-0000-0000-0000BD000000}"/>
    <cellStyle name="20% - Accent1 4 2 2 3" xfId="12489" xr:uid="{00000000-0005-0000-0000-0000BE000000}"/>
    <cellStyle name="20% - Accent1 4 2 2 3 2" xfId="32409" xr:uid="{00000000-0005-0000-0000-0000BF000000}"/>
    <cellStyle name="20% - Accent1 4 2 2 4" xfId="18641" xr:uid="{00000000-0005-0000-0000-0000C0000000}"/>
    <cellStyle name="20% - Accent1 4 2 2 4 2" xfId="38561" xr:uid="{00000000-0005-0000-0000-0000C1000000}"/>
    <cellStyle name="20% - Accent1 4 2 2 5" xfId="26256" xr:uid="{00000000-0005-0000-0000-0000C2000000}"/>
    <cellStyle name="20% - Accent1 4 2 3" xfId="7827" xr:uid="{00000000-0005-0000-0000-0000C3000000}"/>
    <cellStyle name="20% - Accent1 4 2 3 2" xfId="14021" xr:uid="{00000000-0005-0000-0000-0000C4000000}"/>
    <cellStyle name="20% - Accent1 4 2 3 2 2" xfId="33941" xr:uid="{00000000-0005-0000-0000-0000C5000000}"/>
    <cellStyle name="20% - Accent1 4 2 3 3" xfId="20173" xr:uid="{00000000-0005-0000-0000-0000C6000000}"/>
    <cellStyle name="20% - Accent1 4 2 3 3 2" xfId="40093" xr:uid="{00000000-0005-0000-0000-0000C7000000}"/>
    <cellStyle name="20% - Accent1 4 2 3 4" xfId="27788" xr:uid="{00000000-0005-0000-0000-0000C8000000}"/>
    <cellStyle name="20% - Accent1 4 2 4" xfId="10955" xr:uid="{00000000-0005-0000-0000-0000C9000000}"/>
    <cellStyle name="20% - Accent1 4 2 4 2" xfId="30875" xr:uid="{00000000-0005-0000-0000-0000CA000000}"/>
    <cellStyle name="20% - Accent1 4 2 5" xfId="17107" xr:uid="{00000000-0005-0000-0000-0000CB000000}"/>
    <cellStyle name="20% - Accent1 4 2 5 2" xfId="37027" xr:uid="{00000000-0005-0000-0000-0000CC000000}"/>
    <cellStyle name="20% - Accent1 4 2 6" xfId="4651" xr:uid="{00000000-0005-0000-0000-0000CD000000}"/>
    <cellStyle name="20% - Accent1 4 2 6 2" xfId="24722" xr:uid="{00000000-0005-0000-0000-0000CE000000}"/>
    <cellStyle name="20% - Accent1 4 2 7" xfId="23725" xr:uid="{00000000-0005-0000-0000-0000CF000000}"/>
    <cellStyle name="20% - Accent1 4 3" xfId="5490" xr:uid="{00000000-0005-0000-0000-0000D0000000}"/>
    <cellStyle name="20% - Accent1 4 3 2" xfId="8593" xr:uid="{00000000-0005-0000-0000-0000D1000000}"/>
    <cellStyle name="20% - Accent1 4 3 2 2" xfId="14786" xr:uid="{00000000-0005-0000-0000-0000D2000000}"/>
    <cellStyle name="20% - Accent1 4 3 2 2 2" xfId="34706" xr:uid="{00000000-0005-0000-0000-0000D3000000}"/>
    <cellStyle name="20% - Accent1 4 3 2 3" xfId="20938" xr:uid="{00000000-0005-0000-0000-0000D4000000}"/>
    <cellStyle name="20% - Accent1 4 3 2 3 2" xfId="40858" xr:uid="{00000000-0005-0000-0000-0000D5000000}"/>
    <cellStyle name="20% - Accent1 4 3 2 4" xfId="28553" xr:uid="{00000000-0005-0000-0000-0000D6000000}"/>
    <cellStyle name="20% - Accent1 4 3 3" xfId="11720" xr:uid="{00000000-0005-0000-0000-0000D7000000}"/>
    <cellStyle name="20% - Accent1 4 3 3 2" xfId="31640" xr:uid="{00000000-0005-0000-0000-0000D8000000}"/>
    <cellStyle name="20% - Accent1 4 3 4" xfId="17872" xr:uid="{00000000-0005-0000-0000-0000D9000000}"/>
    <cellStyle name="20% - Accent1 4 3 4 2" xfId="37792" xr:uid="{00000000-0005-0000-0000-0000DA000000}"/>
    <cellStyle name="20% - Accent1 4 3 5" xfId="25487" xr:uid="{00000000-0005-0000-0000-0000DB000000}"/>
    <cellStyle name="20% - Accent1 4 4" xfId="7058" xr:uid="{00000000-0005-0000-0000-0000DC000000}"/>
    <cellStyle name="20% - Accent1 4 4 2" xfId="13252" xr:uid="{00000000-0005-0000-0000-0000DD000000}"/>
    <cellStyle name="20% - Accent1 4 4 2 2" xfId="33172" xr:uid="{00000000-0005-0000-0000-0000DE000000}"/>
    <cellStyle name="20% - Accent1 4 4 3" xfId="19404" xr:uid="{00000000-0005-0000-0000-0000DF000000}"/>
    <cellStyle name="20% - Accent1 4 4 3 2" xfId="39324" xr:uid="{00000000-0005-0000-0000-0000E0000000}"/>
    <cellStyle name="20% - Accent1 4 4 4" xfId="27019" xr:uid="{00000000-0005-0000-0000-0000E1000000}"/>
    <cellStyle name="20% - Accent1 4 5" xfId="10186" xr:uid="{00000000-0005-0000-0000-0000E2000000}"/>
    <cellStyle name="20% - Accent1 4 5 2" xfId="30106" xr:uid="{00000000-0005-0000-0000-0000E3000000}"/>
    <cellStyle name="20% - Accent1 4 6" xfId="16338" xr:uid="{00000000-0005-0000-0000-0000E4000000}"/>
    <cellStyle name="20% - Accent1 4 6 2" xfId="36258" xr:uid="{00000000-0005-0000-0000-0000E5000000}"/>
    <cellStyle name="20% - Accent1 4 7" xfId="1210" xr:uid="{00000000-0005-0000-0000-0000E6000000}"/>
    <cellStyle name="20% - Accent1 4 7 2" xfId="23953" xr:uid="{00000000-0005-0000-0000-0000E7000000}"/>
    <cellStyle name="20% - Accent1 4 8" xfId="22808" xr:uid="{00000000-0005-0000-0000-0000E8000000}"/>
    <cellStyle name="20% - Accent1 4 8 2" xfId="42719" xr:uid="{00000000-0005-0000-0000-0000E9000000}"/>
    <cellStyle name="20% - Accent1 4 9" xfId="23111" xr:uid="{00000000-0005-0000-0000-0000EA000000}"/>
    <cellStyle name="20% - Accent1 4 9 2" xfId="43022" xr:uid="{00000000-0005-0000-0000-0000EB000000}"/>
    <cellStyle name="20% - Accent1 5" xfId="452" xr:uid="{00000000-0005-0000-0000-0000EC000000}"/>
    <cellStyle name="20% - Accent1 5 10" xfId="23127" xr:uid="{00000000-0005-0000-0000-0000ED000000}"/>
    <cellStyle name="20% - Accent1 5 10 2" xfId="43038" xr:uid="{00000000-0005-0000-0000-0000EE000000}"/>
    <cellStyle name="20% - Accent1 5 11" xfId="23438" xr:uid="{00000000-0005-0000-0000-0000EF000000}"/>
    <cellStyle name="20% - Accent1 5 2" xfId="859" xr:uid="{00000000-0005-0000-0000-0000F0000000}"/>
    <cellStyle name="20% - Accent1 5 2 2" xfId="6277" xr:uid="{00000000-0005-0000-0000-0000F1000000}"/>
    <cellStyle name="20% - Accent1 5 2 2 2" xfId="9363" xr:uid="{00000000-0005-0000-0000-0000F2000000}"/>
    <cellStyle name="20% - Accent1 5 2 2 2 2" xfId="15556" xr:uid="{00000000-0005-0000-0000-0000F3000000}"/>
    <cellStyle name="20% - Accent1 5 2 2 2 2 2" xfId="35476" xr:uid="{00000000-0005-0000-0000-0000F4000000}"/>
    <cellStyle name="20% - Accent1 5 2 2 2 3" xfId="21708" xr:uid="{00000000-0005-0000-0000-0000F5000000}"/>
    <cellStyle name="20% - Accent1 5 2 2 2 3 2" xfId="41628" xr:uid="{00000000-0005-0000-0000-0000F6000000}"/>
    <cellStyle name="20% - Accent1 5 2 2 2 4" xfId="29323" xr:uid="{00000000-0005-0000-0000-0000F7000000}"/>
    <cellStyle name="20% - Accent1 5 2 2 3" xfId="12490" xr:uid="{00000000-0005-0000-0000-0000F8000000}"/>
    <cellStyle name="20% - Accent1 5 2 2 3 2" xfId="32410" xr:uid="{00000000-0005-0000-0000-0000F9000000}"/>
    <cellStyle name="20% - Accent1 5 2 2 4" xfId="18642" xr:uid="{00000000-0005-0000-0000-0000FA000000}"/>
    <cellStyle name="20% - Accent1 5 2 2 4 2" xfId="38562" xr:uid="{00000000-0005-0000-0000-0000FB000000}"/>
    <cellStyle name="20% - Accent1 5 2 2 5" xfId="26257" xr:uid="{00000000-0005-0000-0000-0000FC000000}"/>
    <cellStyle name="20% - Accent1 5 2 3" xfId="7828" xr:uid="{00000000-0005-0000-0000-0000FD000000}"/>
    <cellStyle name="20% - Accent1 5 2 3 2" xfId="14022" xr:uid="{00000000-0005-0000-0000-0000FE000000}"/>
    <cellStyle name="20% - Accent1 5 2 3 2 2" xfId="33942" xr:uid="{00000000-0005-0000-0000-0000FF000000}"/>
    <cellStyle name="20% - Accent1 5 2 3 3" xfId="20174" xr:uid="{00000000-0005-0000-0000-000000010000}"/>
    <cellStyle name="20% - Accent1 5 2 3 3 2" xfId="40094" xr:uid="{00000000-0005-0000-0000-000001010000}"/>
    <cellStyle name="20% - Accent1 5 2 3 4" xfId="27789" xr:uid="{00000000-0005-0000-0000-000002010000}"/>
    <cellStyle name="20% - Accent1 5 2 4" xfId="10956" xr:uid="{00000000-0005-0000-0000-000003010000}"/>
    <cellStyle name="20% - Accent1 5 2 4 2" xfId="30876" xr:uid="{00000000-0005-0000-0000-000004010000}"/>
    <cellStyle name="20% - Accent1 5 2 5" xfId="17108" xr:uid="{00000000-0005-0000-0000-000005010000}"/>
    <cellStyle name="20% - Accent1 5 2 5 2" xfId="37028" xr:uid="{00000000-0005-0000-0000-000006010000}"/>
    <cellStyle name="20% - Accent1 5 2 6" xfId="4652" xr:uid="{00000000-0005-0000-0000-000007010000}"/>
    <cellStyle name="20% - Accent1 5 2 6 2" xfId="24723" xr:uid="{00000000-0005-0000-0000-000008010000}"/>
    <cellStyle name="20% - Accent1 5 2 7" xfId="23741" xr:uid="{00000000-0005-0000-0000-000009010000}"/>
    <cellStyle name="20% - Accent1 5 3" xfId="5491" xr:uid="{00000000-0005-0000-0000-00000A010000}"/>
    <cellStyle name="20% - Accent1 5 3 2" xfId="8594" xr:uid="{00000000-0005-0000-0000-00000B010000}"/>
    <cellStyle name="20% - Accent1 5 3 2 2" xfId="14787" xr:uid="{00000000-0005-0000-0000-00000C010000}"/>
    <cellStyle name="20% - Accent1 5 3 2 2 2" xfId="34707" xr:uid="{00000000-0005-0000-0000-00000D010000}"/>
    <cellStyle name="20% - Accent1 5 3 2 3" xfId="20939" xr:uid="{00000000-0005-0000-0000-00000E010000}"/>
    <cellStyle name="20% - Accent1 5 3 2 3 2" xfId="40859" xr:uid="{00000000-0005-0000-0000-00000F010000}"/>
    <cellStyle name="20% - Accent1 5 3 2 4" xfId="28554" xr:uid="{00000000-0005-0000-0000-000010010000}"/>
    <cellStyle name="20% - Accent1 5 3 3" xfId="11721" xr:uid="{00000000-0005-0000-0000-000011010000}"/>
    <cellStyle name="20% - Accent1 5 3 3 2" xfId="31641" xr:uid="{00000000-0005-0000-0000-000012010000}"/>
    <cellStyle name="20% - Accent1 5 3 4" xfId="17873" xr:uid="{00000000-0005-0000-0000-000013010000}"/>
    <cellStyle name="20% - Accent1 5 3 4 2" xfId="37793" xr:uid="{00000000-0005-0000-0000-000014010000}"/>
    <cellStyle name="20% - Accent1 5 3 5" xfId="25488" xr:uid="{00000000-0005-0000-0000-000015010000}"/>
    <cellStyle name="20% - Accent1 5 4" xfId="7059" xr:uid="{00000000-0005-0000-0000-000016010000}"/>
    <cellStyle name="20% - Accent1 5 4 2" xfId="13253" xr:uid="{00000000-0005-0000-0000-000017010000}"/>
    <cellStyle name="20% - Accent1 5 4 2 2" xfId="33173" xr:uid="{00000000-0005-0000-0000-000018010000}"/>
    <cellStyle name="20% - Accent1 5 4 3" xfId="19405" xr:uid="{00000000-0005-0000-0000-000019010000}"/>
    <cellStyle name="20% - Accent1 5 4 3 2" xfId="39325" xr:uid="{00000000-0005-0000-0000-00001A010000}"/>
    <cellStyle name="20% - Accent1 5 4 4" xfId="27020" xr:uid="{00000000-0005-0000-0000-00001B010000}"/>
    <cellStyle name="20% - Accent1 5 5" xfId="10187" xr:uid="{00000000-0005-0000-0000-00001C010000}"/>
    <cellStyle name="20% - Accent1 5 5 2" xfId="30107" xr:uid="{00000000-0005-0000-0000-00001D010000}"/>
    <cellStyle name="20% - Accent1 5 6" xfId="16339" xr:uid="{00000000-0005-0000-0000-00001E010000}"/>
    <cellStyle name="20% - Accent1 5 6 2" xfId="36259" xr:uid="{00000000-0005-0000-0000-00001F010000}"/>
    <cellStyle name="20% - Accent1 5 7" xfId="1211" xr:uid="{00000000-0005-0000-0000-000020010000}"/>
    <cellStyle name="20% - Accent1 5 7 2" xfId="23954" xr:uid="{00000000-0005-0000-0000-000021010000}"/>
    <cellStyle name="20% - Accent1 5 8" xfId="22630" xr:uid="{00000000-0005-0000-0000-000022010000}"/>
    <cellStyle name="20% - Accent1 5 8 2" xfId="42541" xr:uid="{00000000-0005-0000-0000-000023010000}"/>
    <cellStyle name="20% - Accent1 5 9" xfId="22824" xr:uid="{00000000-0005-0000-0000-000024010000}"/>
    <cellStyle name="20% - Accent1 5 9 2" xfId="42735" xr:uid="{00000000-0005-0000-0000-000025010000}"/>
    <cellStyle name="20% - Accent1 6" xfId="479" xr:uid="{00000000-0005-0000-0000-000026010000}"/>
    <cellStyle name="20% - Accent1 6 2" xfId="875" xr:uid="{00000000-0005-0000-0000-000027010000}"/>
    <cellStyle name="20% - Accent1 6 2 2" xfId="23757" xr:uid="{00000000-0005-0000-0000-000028010000}"/>
    <cellStyle name="20% - Accent1 6 3" xfId="1212" xr:uid="{00000000-0005-0000-0000-000029010000}"/>
    <cellStyle name="20% - Accent1 6 4" xfId="22647" xr:uid="{00000000-0005-0000-0000-00002A010000}"/>
    <cellStyle name="20% - Accent1 6 4 2" xfId="42558" xr:uid="{00000000-0005-0000-0000-00002B010000}"/>
    <cellStyle name="20% - Accent1 6 5" xfId="22840" xr:uid="{00000000-0005-0000-0000-00002C010000}"/>
    <cellStyle name="20% - Accent1 6 5 2" xfId="42751" xr:uid="{00000000-0005-0000-0000-00002D010000}"/>
    <cellStyle name="20% - Accent1 6 6" xfId="23143" xr:uid="{00000000-0005-0000-0000-00002E010000}"/>
    <cellStyle name="20% - Accent1 6 6 2" xfId="43054" xr:uid="{00000000-0005-0000-0000-00002F010000}"/>
    <cellStyle name="20% - Accent1 6 7" xfId="23454" xr:uid="{00000000-0005-0000-0000-000030010000}"/>
    <cellStyle name="20% - Accent1 7" xfId="503" xr:uid="{00000000-0005-0000-0000-000031010000}"/>
    <cellStyle name="20% - Accent1 7 2" xfId="891" xr:uid="{00000000-0005-0000-0000-000032010000}"/>
    <cellStyle name="20% - Accent1 7 2 2" xfId="23773" xr:uid="{00000000-0005-0000-0000-000033010000}"/>
    <cellStyle name="20% - Accent1 7 3" xfId="22479" xr:uid="{00000000-0005-0000-0000-000034010000}"/>
    <cellStyle name="20% - Accent1 7 3 2" xfId="42390" xr:uid="{00000000-0005-0000-0000-000035010000}"/>
    <cellStyle name="20% - Accent1 7 4" xfId="22856" xr:uid="{00000000-0005-0000-0000-000036010000}"/>
    <cellStyle name="20% - Accent1 7 4 2" xfId="42767" xr:uid="{00000000-0005-0000-0000-000037010000}"/>
    <cellStyle name="20% - Accent1 7 5" xfId="23159" xr:uid="{00000000-0005-0000-0000-000038010000}"/>
    <cellStyle name="20% - Accent1 7 5 2" xfId="43070" xr:uid="{00000000-0005-0000-0000-000039010000}"/>
    <cellStyle name="20% - Accent1 7 6" xfId="23470" xr:uid="{00000000-0005-0000-0000-00003A010000}"/>
    <cellStyle name="20% - Accent1 8" xfId="527" xr:uid="{00000000-0005-0000-0000-00003B010000}"/>
    <cellStyle name="20% - Accent1 8 2" xfId="907" xr:uid="{00000000-0005-0000-0000-00003C010000}"/>
    <cellStyle name="20% - Accent1 8 2 2" xfId="23789" xr:uid="{00000000-0005-0000-0000-00003D010000}"/>
    <cellStyle name="20% - Accent1 8 3" xfId="22695" xr:uid="{00000000-0005-0000-0000-00003E010000}"/>
    <cellStyle name="20% - Accent1 8 3 2" xfId="42606" xr:uid="{00000000-0005-0000-0000-00003F010000}"/>
    <cellStyle name="20% - Accent1 8 4" xfId="22872" xr:uid="{00000000-0005-0000-0000-000040010000}"/>
    <cellStyle name="20% - Accent1 8 4 2" xfId="42783" xr:uid="{00000000-0005-0000-0000-000041010000}"/>
    <cellStyle name="20% - Accent1 8 5" xfId="23175" xr:uid="{00000000-0005-0000-0000-000042010000}"/>
    <cellStyle name="20% - Accent1 8 5 2" xfId="43086" xr:uid="{00000000-0005-0000-0000-000043010000}"/>
    <cellStyle name="20% - Accent1 8 6" xfId="23486" xr:uid="{00000000-0005-0000-0000-000044010000}"/>
    <cellStyle name="20% - Accent1 9" xfId="565" xr:uid="{00000000-0005-0000-0000-000045010000}"/>
    <cellStyle name="20% - Accent1 9 2" xfId="923" xr:uid="{00000000-0005-0000-0000-000046010000}"/>
    <cellStyle name="20% - Accent1 9 2 2" xfId="23805" xr:uid="{00000000-0005-0000-0000-000047010000}"/>
    <cellStyle name="20% - Accent1 9 3" xfId="22655" xr:uid="{00000000-0005-0000-0000-000048010000}"/>
    <cellStyle name="20% - Accent1 9 3 2" xfId="42566" xr:uid="{00000000-0005-0000-0000-000049010000}"/>
    <cellStyle name="20% - Accent1 9 4" xfId="22888" xr:uid="{00000000-0005-0000-0000-00004A010000}"/>
    <cellStyle name="20% - Accent1 9 4 2" xfId="42799" xr:uid="{00000000-0005-0000-0000-00004B010000}"/>
    <cellStyle name="20% - Accent1 9 5" xfId="23191" xr:uid="{00000000-0005-0000-0000-00004C010000}"/>
    <cellStyle name="20% - Accent1 9 5 2" xfId="43102" xr:uid="{00000000-0005-0000-0000-00004D010000}"/>
    <cellStyle name="20% - Accent1 9 6" xfId="23502" xr:uid="{00000000-0005-0000-0000-00004E010000}"/>
    <cellStyle name="20% - Accent2" xfId="66" builtinId="34" customBuiltin="1"/>
    <cellStyle name="20% - Accent2 10" xfId="597" xr:uid="{00000000-0005-0000-0000-000050010000}"/>
    <cellStyle name="20% - Accent2 10 2" xfId="941" xr:uid="{00000000-0005-0000-0000-000051010000}"/>
    <cellStyle name="20% - Accent2 10 2 2" xfId="23823" xr:uid="{00000000-0005-0000-0000-000052010000}"/>
    <cellStyle name="20% - Accent2 10 3" xfId="22522" xr:uid="{00000000-0005-0000-0000-000053010000}"/>
    <cellStyle name="20% - Accent2 10 3 2" xfId="42433" xr:uid="{00000000-0005-0000-0000-000054010000}"/>
    <cellStyle name="20% - Accent2 10 4" xfId="22906" xr:uid="{00000000-0005-0000-0000-000055010000}"/>
    <cellStyle name="20% - Accent2 10 4 2" xfId="42817" xr:uid="{00000000-0005-0000-0000-000056010000}"/>
    <cellStyle name="20% - Accent2 10 5" xfId="23209" xr:uid="{00000000-0005-0000-0000-000057010000}"/>
    <cellStyle name="20% - Accent2 10 5 2" xfId="43120" xr:uid="{00000000-0005-0000-0000-000058010000}"/>
    <cellStyle name="20% - Accent2 10 6" xfId="23520" xr:uid="{00000000-0005-0000-0000-000059010000}"/>
    <cellStyle name="20% - Accent2 11" xfId="625" xr:uid="{00000000-0005-0000-0000-00005A010000}"/>
    <cellStyle name="20% - Accent2 11 2" xfId="957" xr:uid="{00000000-0005-0000-0000-00005B010000}"/>
    <cellStyle name="20% - Accent2 11 2 2" xfId="23839" xr:uid="{00000000-0005-0000-0000-00005C010000}"/>
    <cellStyle name="20% - Accent2 11 3" xfId="22649" xr:uid="{00000000-0005-0000-0000-00005D010000}"/>
    <cellStyle name="20% - Accent2 11 3 2" xfId="42560" xr:uid="{00000000-0005-0000-0000-00005E010000}"/>
    <cellStyle name="20% - Accent2 11 4" xfId="22922" xr:uid="{00000000-0005-0000-0000-00005F010000}"/>
    <cellStyle name="20% - Accent2 11 4 2" xfId="42833" xr:uid="{00000000-0005-0000-0000-000060010000}"/>
    <cellStyle name="20% - Accent2 11 5" xfId="23225" xr:uid="{00000000-0005-0000-0000-000061010000}"/>
    <cellStyle name="20% - Accent2 11 5 2" xfId="43136" xr:uid="{00000000-0005-0000-0000-000062010000}"/>
    <cellStyle name="20% - Accent2 11 6" xfId="23536" xr:uid="{00000000-0005-0000-0000-000063010000}"/>
    <cellStyle name="20% - Accent2 12" xfId="651" xr:uid="{00000000-0005-0000-0000-000064010000}"/>
    <cellStyle name="20% - Accent2 12 2" xfId="973" xr:uid="{00000000-0005-0000-0000-000065010000}"/>
    <cellStyle name="20% - Accent2 12 2 2" xfId="23855" xr:uid="{00000000-0005-0000-0000-000066010000}"/>
    <cellStyle name="20% - Accent2 12 3" xfId="22620" xr:uid="{00000000-0005-0000-0000-000067010000}"/>
    <cellStyle name="20% - Accent2 12 3 2" xfId="42531" xr:uid="{00000000-0005-0000-0000-000068010000}"/>
    <cellStyle name="20% - Accent2 12 4" xfId="22938" xr:uid="{00000000-0005-0000-0000-000069010000}"/>
    <cellStyle name="20% - Accent2 12 4 2" xfId="42849" xr:uid="{00000000-0005-0000-0000-00006A010000}"/>
    <cellStyle name="20% - Accent2 12 5" xfId="23241" xr:uid="{00000000-0005-0000-0000-00006B010000}"/>
    <cellStyle name="20% - Accent2 12 5 2" xfId="43152" xr:uid="{00000000-0005-0000-0000-00006C010000}"/>
    <cellStyle name="20% - Accent2 12 6" xfId="23552" xr:uid="{00000000-0005-0000-0000-00006D010000}"/>
    <cellStyle name="20% - Accent2 13" xfId="675" xr:uid="{00000000-0005-0000-0000-00006E010000}"/>
    <cellStyle name="20% - Accent2 13 2" xfId="989" xr:uid="{00000000-0005-0000-0000-00006F010000}"/>
    <cellStyle name="20% - Accent2 13 2 2" xfId="23871" xr:uid="{00000000-0005-0000-0000-000070010000}"/>
    <cellStyle name="20% - Accent2 13 3" xfId="22651" xr:uid="{00000000-0005-0000-0000-000071010000}"/>
    <cellStyle name="20% - Accent2 13 3 2" xfId="42562" xr:uid="{00000000-0005-0000-0000-000072010000}"/>
    <cellStyle name="20% - Accent2 13 4" xfId="22954" xr:uid="{00000000-0005-0000-0000-000073010000}"/>
    <cellStyle name="20% - Accent2 13 4 2" xfId="42865" xr:uid="{00000000-0005-0000-0000-000074010000}"/>
    <cellStyle name="20% - Accent2 13 5" xfId="23257" xr:uid="{00000000-0005-0000-0000-000075010000}"/>
    <cellStyle name="20% - Accent2 13 5 2" xfId="43168" xr:uid="{00000000-0005-0000-0000-000076010000}"/>
    <cellStyle name="20% - Accent2 13 6" xfId="23568" xr:uid="{00000000-0005-0000-0000-000077010000}"/>
    <cellStyle name="20% - Accent2 14" xfId="697" xr:uid="{00000000-0005-0000-0000-000078010000}"/>
    <cellStyle name="20% - Accent2 14 2" xfId="1005" xr:uid="{00000000-0005-0000-0000-000079010000}"/>
    <cellStyle name="20% - Accent2 14 2 2" xfId="23887" xr:uid="{00000000-0005-0000-0000-00007A010000}"/>
    <cellStyle name="20% - Accent2 14 3" xfId="22482" xr:uid="{00000000-0005-0000-0000-00007B010000}"/>
    <cellStyle name="20% - Accent2 14 3 2" xfId="42393" xr:uid="{00000000-0005-0000-0000-00007C010000}"/>
    <cellStyle name="20% - Accent2 14 4" xfId="22970" xr:uid="{00000000-0005-0000-0000-00007D010000}"/>
    <cellStyle name="20% - Accent2 14 4 2" xfId="42881" xr:uid="{00000000-0005-0000-0000-00007E010000}"/>
    <cellStyle name="20% - Accent2 14 5" xfId="23273" xr:uid="{00000000-0005-0000-0000-00007F010000}"/>
    <cellStyle name="20% - Accent2 14 5 2" xfId="43184" xr:uid="{00000000-0005-0000-0000-000080010000}"/>
    <cellStyle name="20% - Accent2 14 6" xfId="23584" xr:uid="{00000000-0005-0000-0000-000081010000}"/>
    <cellStyle name="20% - Accent2 15" xfId="713" xr:uid="{00000000-0005-0000-0000-000082010000}"/>
    <cellStyle name="20% - Accent2 15 2" xfId="1021" xr:uid="{00000000-0005-0000-0000-000083010000}"/>
    <cellStyle name="20% - Accent2 15 2 2" xfId="23903" xr:uid="{00000000-0005-0000-0000-000084010000}"/>
    <cellStyle name="20% - Accent2 15 3" xfId="22540" xr:uid="{00000000-0005-0000-0000-000085010000}"/>
    <cellStyle name="20% - Accent2 15 3 2" xfId="42451" xr:uid="{00000000-0005-0000-0000-000086010000}"/>
    <cellStyle name="20% - Accent2 15 4" xfId="22986" xr:uid="{00000000-0005-0000-0000-000087010000}"/>
    <cellStyle name="20% - Accent2 15 4 2" xfId="42897" xr:uid="{00000000-0005-0000-0000-000088010000}"/>
    <cellStyle name="20% - Accent2 15 5" xfId="23289" xr:uid="{00000000-0005-0000-0000-000089010000}"/>
    <cellStyle name="20% - Accent2 15 5 2" xfId="43200" xr:uid="{00000000-0005-0000-0000-00008A010000}"/>
    <cellStyle name="20% - Accent2 15 6" xfId="23600" xr:uid="{00000000-0005-0000-0000-00008B010000}"/>
    <cellStyle name="20% - Accent2 16" xfId="737" xr:uid="{00000000-0005-0000-0000-00008C010000}"/>
    <cellStyle name="20% - Accent2 16 2" xfId="23619" xr:uid="{00000000-0005-0000-0000-00008D010000}"/>
    <cellStyle name="20% - Accent2 17" xfId="22702" xr:uid="{00000000-0005-0000-0000-00008E010000}"/>
    <cellStyle name="20% - Accent2 17 2" xfId="42613" xr:uid="{00000000-0005-0000-0000-00008F010000}"/>
    <cellStyle name="20% - Accent2 18" xfId="23005" xr:uid="{00000000-0005-0000-0000-000090010000}"/>
    <cellStyle name="20% - Accent2 18 2" xfId="42916" xr:uid="{00000000-0005-0000-0000-000091010000}"/>
    <cellStyle name="20% - Accent2 19" xfId="23309" xr:uid="{00000000-0005-0000-0000-000092010000}"/>
    <cellStyle name="20% - Accent2 2" xfId="370" xr:uid="{00000000-0005-0000-0000-000093010000}"/>
    <cellStyle name="20% - Accent2 2 10" xfId="23392" xr:uid="{00000000-0005-0000-0000-000094010000}"/>
    <cellStyle name="20% - Accent2 2 2" xfId="813" xr:uid="{00000000-0005-0000-0000-000095010000}"/>
    <cellStyle name="20% - Accent2 2 2 2" xfId="6278" xr:uid="{00000000-0005-0000-0000-000096010000}"/>
    <cellStyle name="20% - Accent2 2 2 2 2" xfId="9364" xr:uid="{00000000-0005-0000-0000-000097010000}"/>
    <cellStyle name="20% - Accent2 2 2 2 2 2" xfId="15557" xr:uid="{00000000-0005-0000-0000-000098010000}"/>
    <cellStyle name="20% - Accent2 2 2 2 2 2 2" xfId="35477" xr:uid="{00000000-0005-0000-0000-000099010000}"/>
    <cellStyle name="20% - Accent2 2 2 2 2 3" xfId="21709" xr:uid="{00000000-0005-0000-0000-00009A010000}"/>
    <cellStyle name="20% - Accent2 2 2 2 2 3 2" xfId="41629" xr:uid="{00000000-0005-0000-0000-00009B010000}"/>
    <cellStyle name="20% - Accent2 2 2 2 2 4" xfId="29324" xr:uid="{00000000-0005-0000-0000-00009C010000}"/>
    <cellStyle name="20% - Accent2 2 2 2 3" xfId="12491" xr:uid="{00000000-0005-0000-0000-00009D010000}"/>
    <cellStyle name="20% - Accent2 2 2 2 3 2" xfId="32411" xr:uid="{00000000-0005-0000-0000-00009E010000}"/>
    <cellStyle name="20% - Accent2 2 2 2 4" xfId="18643" xr:uid="{00000000-0005-0000-0000-00009F010000}"/>
    <cellStyle name="20% - Accent2 2 2 2 4 2" xfId="38563" xr:uid="{00000000-0005-0000-0000-0000A0010000}"/>
    <cellStyle name="20% - Accent2 2 2 2 5" xfId="26258" xr:uid="{00000000-0005-0000-0000-0000A1010000}"/>
    <cellStyle name="20% - Accent2 2 2 3" xfId="7829" xr:uid="{00000000-0005-0000-0000-0000A2010000}"/>
    <cellStyle name="20% - Accent2 2 2 3 2" xfId="14023" xr:uid="{00000000-0005-0000-0000-0000A3010000}"/>
    <cellStyle name="20% - Accent2 2 2 3 2 2" xfId="33943" xr:uid="{00000000-0005-0000-0000-0000A4010000}"/>
    <cellStyle name="20% - Accent2 2 2 3 3" xfId="20175" xr:uid="{00000000-0005-0000-0000-0000A5010000}"/>
    <cellStyle name="20% - Accent2 2 2 3 3 2" xfId="40095" xr:uid="{00000000-0005-0000-0000-0000A6010000}"/>
    <cellStyle name="20% - Accent2 2 2 3 4" xfId="27790" xr:uid="{00000000-0005-0000-0000-0000A7010000}"/>
    <cellStyle name="20% - Accent2 2 2 4" xfId="10957" xr:uid="{00000000-0005-0000-0000-0000A8010000}"/>
    <cellStyle name="20% - Accent2 2 2 4 2" xfId="30877" xr:uid="{00000000-0005-0000-0000-0000A9010000}"/>
    <cellStyle name="20% - Accent2 2 2 5" xfId="17109" xr:uid="{00000000-0005-0000-0000-0000AA010000}"/>
    <cellStyle name="20% - Accent2 2 2 5 2" xfId="37029" xr:uid="{00000000-0005-0000-0000-0000AB010000}"/>
    <cellStyle name="20% - Accent2 2 2 6" xfId="4653" xr:uid="{00000000-0005-0000-0000-0000AC010000}"/>
    <cellStyle name="20% - Accent2 2 2 6 2" xfId="24724" xr:uid="{00000000-0005-0000-0000-0000AD010000}"/>
    <cellStyle name="20% - Accent2 2 2 7" xfId="23695" xr:uid="{00000000-0005-0000-0000-0000AE010000}"/>
    <cellStyle name="20% - Accent2 2 3" xfId="5492" xr:uid="{00000000-0005-0000-0000-0000AF010000}"/>
    <cellStyle name="20% - Accent2 2 3 2" xfId="8595" xr:uid="{00000000-0005-0000-0000-0000B0010000}"/>
    <cellStyle name="20% - Accent2 2 3 2 2" xfId="14788" xr:uid="{00000000-0005-0000-0000-0000B1010000}"/>
    <cellStyle name="20% - Accent2 2 3 2 2 2" xfId="34708" xr:uid="{00000000-0005-0000-0000-0000B2010000}"/>
    <cellStyle name="20% - Accent2 2 3 2 3" xfId="20940" xr:uid="{00000000-0005-0000-0000-0000B3010000}"/>
    <cellStyle name="20% - Accent2 2 3 2 3 2" xfId="40860" xr:uid="{00000000-0005-0000-0000-0000B4010000}"/>
    <cellStyle name="20% - Accent2 2 3 2 4" xfId="28555" xr:uid="{00000000-0005-0000-0000-0000B5010000}"/>
    <cellStyle name="20% - Accent2 2 3 3" xfId="11722" xr:uid="{00000000-0005-0000-0000-0000B6010000}"/>
    <cellStyle name="20% - Accent2 2 3 3 2" xfId="31642" xr:uid="{00000000-0005-0000-0000-0000B7010000}"/>
    <cellStyle name="20% - Accent2 2 3 4" xfId="17874" xr:uid="{00000000-0005-0000-0000-0000B8010000}"/>
    <cellStyle name="20% - Accent2 2 3 4 2" xfId="37794" xr:uid="{00000000-0005-0000-0000-0000B9010000}"/>
    <cellStyle name="20% - Accent2 2 3 5" xfId="25489" xr:uid="{00000000-0005-0000-0000-0000BA010000}"/>
    <cellStyle name="20% - Accent2 2 4" xfId="7060" xr:uid="{00000000-0005-0000-0000-0000BB010000}"/>
    <cellStyle name="20% - Accent2 2 4 2" xfId="13254" xr:uid="{00000000-0005-0000-0000-0000BC010000}"/>
    <cellStyle name="20% - Accent2 2 4 2 2" xfId="33174" xr:uid="{00000000-0005-0000-0000-0000BD010000}"/>
    <cellStyle name="20% - Accent2 2 4 3" xfId="19406" xr:uid="{00000000-0005-0000-0000-0000BE010000}"/>
    <cellStyle name="20% - Accent2 2 4 3 2" xfId="39326" xr:uid="{00000000-0005-0000-0000-0000BF010000}"/>
    <cellStyle name="20% - Accent2 2 4 4" xfId="27021" xr:uid="{00000000-0005-0000-0000-0000C0010000}"/>
    <cellStyle name="20% - Accent2 2 5" xfId="10188" xr:uid="{00000000-0005-0000-0000-0000C1010000}"/>
    <cellStyle name="20% - Accent2 2 5 2" xfId="30108" xr:uid="{00000000-0005-0000-0000-0000C2010000}"/>
    <cellStyle name="20% - Accent2 2 6" xfId="16340" xr:uid="{00000000-0005-0000-0000-0000C3010000}"/>
    <cellStyle name="20% - Accent2 2 6 2" xfId="36260" xr:uid="{00000000-0005-0000-0000-0000C4010000}"/>
    <cellStyle name="20% - Accent2 2 7" xfId="1213" xr:uid="{00000000-0005-0000-0000-0000C5010000}"/>
    <cellStyle name="20% - Accent2 2 7 2" xfId="23955" xr:uid="{00000000-0005-0000-0000-0000C6010000}"/>
    <cellStyle name="20% - Accent2 2 8" xfId="22778" xr:uid="{00000000-0005-0000-0000-0000C7010000}"/>
    <cellStyle name="20% - Accent2 2 8 2" xfId="42689" xr:uid="{00000000-0005-0000-0000-0000C8010000}"/>
    <cellStyle name="20% - Accent2 2 9" xfId="23081" xr:uid="{00000000-0005-0000-0000-0000C9010000}"/>
    <cellStyle name="20% - Accent2 2 9 2" xfId="42992" xr:uid="{00000000-0005-0000-0000-0000CA010000}"/>
    <cellStyle name="20% - Accent2 3" xfId="400" xr:uid="{00000000-0005-0000-0000-0000CB010000}"/>
    <cellStyle name="20% - Accent2 3 10" xfId="23408" xr:uid="{00000000-0005-0000-0000-0000CC010000}"/>
    <cellStyle name="20% - Accent2 3 2" xfId="829" xr:uid="{00000000-0005-0000-0000-0000CD010000}"/>
    <cellStyle name="20% - Accent2 3 2 2" xfId="6279" xr:uid="{00000000-0005-0000-0000-0000CE010000}"/>
    <cellStyle name="20% - Accent2 3 2 2 2" xfId="9365" xr:uid="{00000000-0005-0000-0000-0000CF010000}"/>
    <cellStyle name="20% - Accent2 3 2 2 2 2" xfId="15558" xr:uid="{00000000-0005-0000-0000-0000D0010000}"/>
    <cellStyle name="20% - Accent2 3 2 2 2 2 2" xfId="35478" xr:uid="{00000000-0005-0000-0000-0000D1010000}"/>
    <cellStyle name="20% - Accent2 3 2 2 2 3" xfId="21710" xr:uid="{00000000-0005-0000-0000-0000D2010000}"/>
    <cellStyle name="20% - Accent2 3 2 2 2 3 2" xfId="41630" xr:uid="{00000000-0005-0000-0000-0000D3010000}"/>
    <cellStyle name="20% - Accent2 3 2 2 2 4" xfId="29325" xr:uid="{00000000-0005-0000-0000-0000D4010000}"/>
    <cellStyle name="20% - Accent2 3 2 2 3" xfId="12492" xr:uid="{00000000-0005-0000-0000-0000D5010000}"/>
    <cellStyle name="20% - Accent2 3 2 2 3 2" xfId="32412" xr:uid="{00000000-0005-0000-0000-0000D6010000}"/>
    <cellStyle name="20% - Accent2 3 2 2 4" xfId="18644" xr:uid="{00000000-0005-0000-0000-0000D7010000}"/>
    <cellStyle name="20% - Accent2 3 2 2 4 2" xfId="38564" xr:uid="{00000000-0005-0000-0000-0000D8010000}"/>
    <cellStyle name="20% - Accent2 3 2 2 5" xfId="26259" xr:uid="{00000000-0005-0000-0000-0000D9010000}"/>
    <cellStyle name="20% - Accent2 3 2 3" xfId="7830" xr:uid="{00000000-0005-0000-0000-0000DA010000}"/>
    <cellStyle name="20% - Accent2 3 2 3 2" xfId="14024" xr:uid="{00000000-0005-0000-0000-0000DB010000}"/>
    <cellStyle name="20% - Accent2 3 2 3 2 2" xfId="33944" xr:uid="{00000000-0005-0000-0000-0000DC010000}"/>
    <cellStyle name="20% - Accent2 3 2 3 3" xfId="20176" xr:uid="{00000000-0005-0000-0000-0000DD010000}"/>
    <cellStyle name="20% - Accent2 3 2 3 3 2" xfId="40096" xr:uid="{00000000-0005-0000-0000-0000DE010000}"/>
    <cellStyle name="20% - Accent2 3 2 3 4" xfId="27791" xr:uid="{00000000-0005-0000-0000-0000DF010000}"/>
    <cellStyle name="20% - Accent2 3 2 4" xfId="10958" xr:uid="{00000000-0005-0000-0000-0000E0010000}"/>
    <cellStyle name="20% - Accent2 3 2 4 2" xfId="30878" xr:uid="{00000000-0005-0000-0000-0000E1010000}"/>
    <cellStyle name="20% - Accent2 3 2 5" xfId="17110" xr:uid="{00000000-0005-0000-0000-0000E2010000}"/>
    <cellStyle name="20% - Accent2 3 2 5 2" xfId="37030" xr:uid="{00000000-0005-0000-0000-0000E3010000}"/>
    <cellStyle name="20% - Accent2 3 2 6" xfId="4654" xr:uid="{00000000-0005-0000-0000-0000E4010000}"/>
    <cellStyle name="20% - Accent2 3 2 6 2" xfId="24725" xr:uid="{00000000-0005-0000-0000-0000E5010000}"/>
    <cellStyle name="20% - Accent2 3 2 7" xfId="23711" xr:uid="{00000000-0005-0000-0000-0000E6010000}"/>
    <cellStyle name="20% - Accent2 3 3" xfId="5493" xr:uid="{00000000-0005-0000-0000-0000E7010000}"/>
    <cellStyle name="20% - Accent2 3 3 2" xfId="8596" xr:uid="{00000000-0005-0000-0000-0000E8010000}"/>
    <cellStyle name="20% - Accent2 3 3 2 2" xfId="14789" xr:uid="{00000000-0005-0000-0000-0000E9010000}"/>
    <cellStyle name="20% - Accent2 3 3 2 2 2" xfId="34709" xr:uid="{00000000-0005-0000-0000-0000EA010000}"/>
    <cellStyle name="20% - Accent2 3 3 2 3" xfId="20941" xr:uid="{00000000-0005-0000-0000-0000EB010000}"/>
    <cellStyle name="20% - Accent2 3 3 2 3 2" xfId="40861" xr:uid="{00000000-0005-0000-0000-0000EC010000}"/>
    <cellStyle name="20% - Accent2 3 3 2 4" xfId="28556" xr:uid="{00000000-0005-0000-0000-0000ED010000}"/>
    <cellStyle name="20% - Accent2 3 3 3" xfId="11723" xr:uid="{00000000-0005-0000-0000-0000EE010000}"/>
    <cellStyle name="20% - Accent2 3 3 3 2" xfId="31643" xr:uid="{00000000-0005-0000-0000-0000EF010000}"/>
    <cellStyle name="20% - Accent2 3 3 4" xfId="17875" xr:uid="{00000000-0005-0000-0000-0000F0010000}"/>
    <cellStyle name="20% - Accent2 3 3 4 2" xfId="37795" xr:uid="{00000000-0005-0000-0000-0000F1010000}"/>
    <cellStyle name="20% - Accent2 3 3 5" xfId="25490" xr:uid="{00000000-0005-0000-0000-0000F2010000}"/>
    <cellStyle name="20% - Accent2 3 4" xfId="7061" xr:uid="{00000000-0005-0000-0000-0000F3010000}"/>
    <cellStyle name="20% - Accent2 3 4 2" xfId="13255" xr:uid="{00000000-0005-0000-0000-0000F4010000}"/>
    <cellStyle name="20% - Accent2 3 4 2 2" xfId="33175" xr:uid="{00000000-0005-0000-0000-0000F5010000}"/>
    <cellStyle name="20% - Accent2 3 4 3" xfId="19407" xr:uid="{00000000-0005-0000-0000-0000F6010000}"/>
    <cellStyle name="20% - Accent2 3 4 3 2" xfId="39327" xr:uid="{00000000-0005-0000-0000-0000F7010000}"/>
    <cellStyle name="20% - Accent2 3 4 4" xfId="27022" xr:uid="{00000000-0005-0000-0000-0000F8010000}"/>
    <cellStyle name="20% - Accent2 3 5" xfId="10189" xr:uid="{00000000-0005-0000-0000-0000F9010000}"/>
    <cellStyle name="20% - Accent2 3 5 2" xfId="30109" xr:uid="{00000000-0005-0000-0000-0000FA010000}"/>
    <cellStyle name="20% - Accent2 3 6" xfId="16341" xr:uid="{00000000-0005-0000-0000-0000FB010000}"/>
    <cellStyle name="20% - Accent2 3 6 2" xfId="36261" xr:uid="{00000000-0005-0000-0000-0000FC010000}"/>
    <cellStyle name="20% - Accent2 3 7" xfId="1214" xr:uid="{00000000-0005-0000-0000-0000FD010000}"/>
    <cellStyle name="20% - Accent2 3 7 2" xfId="23956" xr:uid="{00000000-0005-0000-0000-0000FE010000}"/>
    <cellStyle name="20% - Accent2 3 8" xfId="22794" xr:uid="{00000000-0005-0000-0000-0000FF010000}"/>
    <cellStyle name="20% - Accent2 3 8 2" xfId="42705" xr:uid="{00000000-0005-0000-0000-000000020000}"/>
    <cellStyle name="20% - Accent2 3 9" xfId="23097" xr:uid="{00000000-0005-0000-0000-000001020000}"/>
    <cellStyle name="20% - Accent2 3 9 2" xfId="43008" xr:uid="{00000000-0005-0000-0000-000002020000}"/>
    <cellStyle name="20% - Accent2 4" xfId="428" xr:uid="{00000000-0005-0000-0000-000003020000}"/>
    <cellStyle name="20% - Accent2 4 10" xfId="23424" xr:uid="{00000000-0005-0000-0000-000004020000}"/>
    <cellStyle name="20% - Accent2 4 2" xfId="845" xr:uid="{00000000-0005-0000-0000-000005020000}"/>
    <cellStyle name="20% - Accent2 4 2 2" xfId="6280" xr:uid="{00000000-0005-0000-0000-000006020000}"/>
    <cellStyle name="20% - Accent2 4 2 2 2" xfId="9366" xr:uid="{00000000-0005-0000-0000-000007020000}"/>
    <cellStyle name="20% - Accent2 4 2 2 2 2" xfId="15559" xr:uid="{00000000-0005-0000-0000-000008020000}"/>
    <cellStyle name="20% - Accent2 4 2 2 2 2 2" xfId="35479" xr:uid="{00000000-0005-0000-0000-000009020000}"/>
    <cellStyle name="20% - Accent2 4 2 2 2 3" xfId="21711" xr:uid="{00000000-0005-0000-0000-00000A020000}"/>
    <cellStyle name="20% - Accent2 4 2 2 2 3 2" xfId="41631" xr:uid="{00000000-0005-0000-0000-00000B020000}"/>
    <cellStyle name="20% - Accent2 4 2 2 2 4" xfId="29326" xr:uid="{00000000-0005-0000-0000-00000C020000}"/>
    <cellStyle name="20% - Accent2 4 2 2 3" xfId="12493" xr:uid="{00000000-0005-0000-0000-00000D020000}"/>
    <cellStyle name="20% - Accent2 4 2 2 3 2" xfId="32413" xr:uid="{00000000-0005-0000-0000-00000E020000}"/>
    <cellStyle name="20% - Accent2 4 2 2 4" xfId="18645" xr:uid="{00000000-0005-0000-0000-00000F020000}"/>
    <cellStyle name="20% - Accent2 4 2 2 4 2" xfId="38565" xr:uid="{00000000-0005-0000-0000-000010020000}"/>
    <cellStyle name="20% - Accent2 4 2 2 5" xfId="26260" xr:uid="{00000000-0005-0000-0000-000011020000}"/>
    <cellStyle name="20% - Accent2 4 2 3" xfId="7831" xr:uid="{00000000-0005-0000-0000-000012020000}"/>
    <cellStyle name="20% - Accent2 4 2 3 2" xfId="14025" xr:uid="{00000000-0005-0000-0000-000013020000}"/>
    <cellStyle name="20% - Accent2 4 2 3 2 2" xfId="33945" xr:uid="{00000000-0005-0000-0000-000014020000}"/>
    <cellStyle name="20% - Accent2 4 2 3 3" xfId="20177" xr:uid="{00000000-0005-0000-0000-000015020000}"/>
    <cellStyle name="20% - Accent2 4 2 3 3 2" xfId="40097" xr:uid="{00000000-0005-0000-0000-000016020000}"/>
    <cellStyle name="20% - Accent2 4 2 3 4" xfId="27792" xr:uid="{00000000-0005-0000-0000-000017020000}"/>
    <cellStyle name="20% - Accent2 4 2 4" xfId="10959" xr:uid="{00000000-0005-0000-0000-000018020000}"/>
    <cellStyle name="20% - Accent2 4 2 4 2" xfId="30879" xr:uid="{00000000-0005-0000-0000-000019020000}"/>
    <cellStyle name="20% - Accent2 4 2 5" xfId="17111" xr:uid="{00000000-0005-0000-0000-00001A020000}"/>
    <cellStyle name="20% - Accent2 4 2 5 2" xfId="37031" xr:uid="{00000000-0005-0000-0000-00001B020000}"/>
    <cellStyle name="20% - Accent2 4 2 6" xfId="4655" xr:uid="{00000000-0005-0000-0000-00001C020000}"/>
    <cellStyle name="20% - Accent2 4 2 6 2" xfId="24726" xr:uid="{00000000-0005-0000-0000-00001D020000}"/>
    <cellStyle name="20% - Accent2 4 2 7" xfId="23727" xr:uid="{00000000-0005-0000-0000-00001E020000}"/>
    <cellStyle name="20% - Accent2 4 3" xfId="5494" xr:uid="{00000000-0005-0000-0000-00001F020000}"/>
    <cellStyle name="20% - Accent2 4 3 2" xfId="8597" xr:uid="{00000000-0005-0000-0000-000020020000}"/>
    <cellStyle name="20% - Accent2 4 3 2 2" xfId="14790" xr:uid="{00000000-0005-0000-0000-000021020000}"/>
    <cellStyle name="20% - Accent2 4 3 2 2 2" xfId="34710" xr:uid="{00000000-0005-0000-0000-000022020000}"/>
    <cellStyle name="20% - Accent2 4 3 2 3" xfId="20942" xr:uid="{00000000-0005-0000-0000-000023020000}"/>
    <cellStyle name="20% - Accent2 4 3 2 3 2" xfId="40862" xr:uid="{00000000-0005-0000-0000-000024020000}"/>
    <cellStyle name="20% - Accent2 4 3 2 4" xfId="28557" xr:uid="{00000000-0005-0000-0000-000025020000}"/>
    <cellStyle name="20% - Accent2 4 3 3" xfId="11724" xr:uid="{00000000-0005-0000-0000-000026020000}"/>
    <cellStyle name="20% - Accent2 4 3 3 2" xfId="31644" xr:uid="{00000000-0005-0000-0000-000027020000}"/>
    <cellStyle name="20% - Accent2 4 3 4" xfId="17876" xr:uid="{00000000-0005-0000-0000-000028020000}"/>
    <cellStyle name="20% - Accent2 4 3 4 2" xfId="37796" xr:uid="{00000000-0005-0000-0000-000029020000}"/>
    <cellStyle name="20% - Accent2 4 3 5" xfId="25491" xr:uid="{00000000-0005-0000-0000-00002A020000}"/>
    <cellStyle name="20% - Accent2 4 4" xfId="7062" xr:uid="{00000000-0005-0000-0000-00002B020000}"/>
    <cellStyle name="20% - Accent2 4 4 2" xfId="13256" xr:uid="{00000000-0005-0000-0000-00002C020000}"/>
    <cellStyle name="20% - Accent2 4 4 2 2" xfId="33176" xr:uid="{00000000-0005-0000-0000-00002D020000}"/>
    <cellStyle name="20% - Accent2 4 4 3" xfId="19408" xr:uid="{00000000-0005-0000-0000-00002E020000}"/>
    <cellStyle name="20% - Accent2 4 4 3 2" xfId="39328" xr:uid="{00000000-0005-0000-0000-00002F020000}"/>
    <cellStyle name="20% - Accent2 4 4 4" xfId="27023" xr:uid="{00000000-0005-0000-0000-000030020000}"/>
    <cellStyle name="20% - Accent2 4 5" xfId="10190" xr:uid="{00000000-0005-0000-0000-000031020000}"/>
    <cellStyle name="20% - Accent2 4 5 2" xfId="30110" xr:uid="{00000000-0005-0000-0000-000032020000}"/>
    <cellStyle name="20% - Accent2 4 6" xfId="16342" xr:uid="{00000000-0005-0000-0000-000033020000}"/>
    <cellStyle name="20% - Accent2 4 6 2" xfId="36262" xr:uid="{00000000-0005-0000-0000-000034020000}"/>
    <cellStyle name="20% - Accent2 4 7" xfId="1215" xr:uid="{00000000-0005-0000-0000-000035020000}"/>
    <cellStyle name="20% - Accent2 4 7 2" xfId="23957" xr:uid="{00000000-0005-0000-0000-000036020000}"/>
    <cellStyle name="20% - Accent2 4 8" xfId="22810" xr:uid="{00000000-0005-0000-0000-000037020000}"/>
    <cellStyle name="20% - Accent2 4 8 2" xfId="42721" xr:uid="{00000000-0005-0000-0000-000038020000}"/>
    <cellStyle name="20% - Accent2 4 9" xfId="23113" xr:uid="{00000000-0005-0000-0000-000039020000}"/>
    <cellStyle name="20% - Accent2 4 9 2" xfId="43024" xr:uid="{00000000-0005-0000-0000-00003A020000}"/>
    <cellStyle name="20% - Accent2 5" xfId="455" xr:uid="{00000000-0005-0000-0000-00003B020000}"/>
    <cellStyle name="20% - Accent2 5 10" xfId="23129" xr:uid="{00000000-0005-0000-0000-00003C020000}"/>
    <cellStyle name="20% - Accent2 5 10 2" xfId="43040" xr:uid="{00000000-0005-0000-0000-00003D020000}"/>
    <cellStyle name="20% - Accent2 5 11" xfId="23440" xr:uid="{00000000-0005-0000-0000-00003E020000}"/>
    <cellStyle name="20% - Accent2 5 2" xfId="861" xr:uid="{00000000-0005-0000-0000-00003F020000}"/>
    <cellStyle name="20% - Accent2 5 2 2" xfId="6281" xr:uid="{00000000-0005-0000-0000-000040020000}"/>
    <cellStyle name="20% - Accent2 5 2 2 2" xfId="9367" xr:uid="{00000000-0005-0000-0000-000041020000}"/>
    <cellStyle name="20% - Accent2 5 2 2 2 2" xfId="15560" xr:uid="{00000000-0005-0000-0000-000042020000}"/>
    <cellStyle name="20% - Accent2 5 2 2 2 2 2" xfId="35480" xr:uid="{00000000-0005-0000-0000-000043020000}"/>
    <cellStyle name="20% - Accent2 5 2 2 2 3" xfId="21712" xr:uid="{00000000-0005-0000-0000-000044020000}"/>
    <cellStyle name="20% - Accent2 5 2 2 2 3 2" xfId="41632" xr:uid="{00000000-0005-0000-0000-000045020000}"/>
    <cellStyle name="20% - Accent2 5 2 2 2 4" xfId="29327" xr:uid="{00000000-0005-0000-0000-000046020000}"/>
    <cellStyle name="20% - Accent2 5 2 2 3" xfId="12494" xr:uid="{00000000-0005-0000-0000-000047020000}"/>
    <cellStyle name="20% - Accent2 5 2 2 3 2" xfId="32414" xr:uid="{00000000-0005-0000-0000-000048020000}"/>
    <cellStyle name="20% - Accent2 5 2 2 4" xfId="18646" xr:uid="{00000000-0005-0000-0000-000049020000}"/>
    <cellStyle name="20% - Accent2 5 2 2 4 2" xfId="38566" xr:uid="{00000000-0005-0000-0000-00004A020000}"/>
    <cellStyle name="20% - Accent2 5 2 2 5" xfId="26261" xr:uid="{00000000-0005-0000-0000-00004B020000}"/>
    <cellStyle name="20% - Accent2 5 2 3" xfId="7832" xr:uid="{00000000-0005-0000-0000-00004C020000}"/>
    <cellStyle name="20% - Accent2 5 2 3 2" xfId="14026" xr:uid="{00000000-0005-0000-0000-00004D020000}"/>
    <cellStyle name="20% - Accent2 5 2 3 2 2" xfId="33946" xr:uid="{00000000-0005-0000-0000-00004E020000}"/>
    <cellStyle name="20% - Accent2 5 2 3 3" xfId="20178" xr:uid="{00000000-0005-0000-0000-00004F020000}"/>
    <cellStyle name="20% - Accent2 5 2 3 3 2" xfId="40098" xr:uid="{00000000-0005-0000-0000-000050020000}"/>
    <cellStyle name="20% - Accent2 5 2 3 4" xfId="27793" xr:uid="{00000000-0005-0000-0000-000051020000}"/>
    <cellStyle name="20% - Accent2 5 2 4" xfId="10960" xr:uid="{00000000-0005-0000-0000-000052020000}"/>
    <cellStyle name="20% - Accent2 5 2 4 2" xfId="30880" xr:uid="{00000000-0005-0000-0000-000053020000}"/>
    <cellStyle name="20% - Accent2 5 2 5" xfId="17112" xr:uid="{00000000-0005-0000-0000-000054020000}"/>
    <cellStyle name="20% - Accent2 5 2 5 2" xfId="37032" xr:uid="{00000000-0005-0000-0000-000055020000}"/>
    <cellStyle name="20% - Accent2 5 2 6" xfId="4656" xr:uid="{00000000-0005-0000-0000-000056020000}"/>
    <cellStyle name="20% - Accent2 5 2 6 2" xfId="24727" xr:uid="{00000000-0005-0000-0000-000057020000}"/>
    <cellStyle name="20% - Accent2 5 2 7" xfId="23743" xr:uid="{00000000-0005-0000-0000-000058020000}"/>
    <cellStyle name="20% - Accent2 5 3" xfId="5495" xr:uid="{00000000-0005-0000-0000-000059020000}"/>
    <cellStyle name="20% - Accent2 5 3 2" xfId="8598" xr:uid="{00000000-0005-0000-0000-00005A020000}"/>
    <cellStyle name="20% - Accent2 5 3 2 2" xfId="14791" xr:uid="{00000000-0005-0000-0000-00005B020000}"/>
    <cellStyle name="20% - Accent2 5 3 2 2 2" xfId="34711" xr:uid="{00000000-0005-0000-0000-00005C020000}"/>
    <cellStyle name="20% - Accent2 5 3 2 3" xfId="20943" xr:uid="{00000000-0005-0000-0000-00005D020000}"/>
    <cellStyle name="20% - Accent2 5 3 2 3 2" xfId="40863" xr:uid="{00000000-0005-0000-0000-00005E020000}"/>
    <cellStyle name="20% - Accent2 5 3 2 4" xfId="28558" xr:uid="{00000000-0005-0000-0000-00005F020000}"/>
    <cellStyle name="20% - Accent2 5 3 3" xfId="11725" xr:uid="{00000000-0005-0000-0000-000060020000}"/>
    <cellStyle name="20% - Accent2 5 3 3 2" xfId="31645" xr:uid="{00000000-0005-0000-0000-000061020000}"/>
    <cellStyle name="20% - Accent2 5 3 4" xfId="17877" xr:uid="{00000000-0005-0000-0000-000062020000}"/>
    <cellStyle name="20% - Accent2 5 3 4 2" xfId="37797" xr:uid="{00000000-0005-0000-0000-000063020000}"/>
    <cellStyle name="20% - Accent2 5 3 5" xfId="25492" xr:uid="{00000000-0005-0000-0000-000064020000}"/>
    <cellStyle name="20% - Accent2 5 4" xfId="7063" xr:uid="{00000000-0005-0000-0000-000065020000}"/>
    <cellStyle name="20% - Accent2 5 4 2" xfId="13257" xr:uid="{00000000-0005-0000-0000-000066020000}"/>
    <cellStyle name="20% - Accent2 5 4 2 2" xfId="33177" xr:uid="{00000000-0005-0000-0000-000067020000}"/>
    <cellStyle name="20% - Accent2 5 4 3" xfId="19409" xr:uid="{00000000-0005-0000-0000-000068020000}"/>
    <cellStyle name="20% - Accent2 5 4 3 2" xfId="39329" xr:uid="{00000000-0005-0000-0000-000069020000}"/>
    <cellStyle name="20% - Accent2 5 4 4" xfId="27024" xr:uid="{00000000-0005-0000-0000-00006A020000}"/>
    <cellStyle name="20% - Accent2 5 5" xfId="10191" xr:uid="{00000000-0005-0000-0000-00006B020000}"/>
    <cellStyle name="20% - Accent2 5 5 2" xfId="30111" xr:uid="{00000000-0005-0000-0000-00006C020000}"/>
    <cellStyle name="20% - Accent2 5 6" xfId="16343" xr:uid="{00000000-0005-0000-0000-00006D020000}"/>
    <cellStyle name="20% - Accent2 5 6 2" xfId="36263" xr:uid="{00000000-0005-0000-0000-00006E020000}"/>
    <cellStyle name="20% - Accent2 5 7" xfId="1216" xr:uid="{00000000-0005-0000-0000-00006F020000}"/>
    <cellStyle name="20% - Accent2 5 7 2" xfId="23958" xr:uid="{00000000-0005-0000-0000-000070020000}"/>
    <cellStyle name="20% - Accent2 5 8" xfId="22570" xr:uid="{00000000-0005-0000-0000-000071020000}"/>
    <cellStyle name="20% - Accent2 5 8 2" xfId="42481" xr:uid="{00000000-0005-0000-0000-000072020000}"/>
    <cellStyle name="20% - Accent2 5 9" xfId="22826" xr:uid="{00000000-0005-0000-0000-000073020000}"/>
    <cellStyle name="20% - Accent2 5 9 2" xfId="42737" xr:uid="{00000000-0005-0000-0000-000074020000}"/>
    <cellStyle name="20% - Accent2 6" xfId="482" xr:uid="{00000000-0005-0000-0000-000075020000}"/>
    <cellStyle name="20% - Accent2 6 2" xfId="877" xr:uid="{00000000-0005-0000-0000-000076020000}"/>
    <cellStyle name="20% - Accent2 6 2 2" xfId="23759" xr:uid="{00000000-0005-0000-0000-000077020000}"/>
    <cellStyle name="20% - Accent2 6 3" xfId="1217" xr:uid="{00000000-0005-0000-0000-000078020000}"/>
    <cellStyle name="20% - Accent2 6 4" xfId="22662" xr:uid="{00000000-0005-0000-0000-000079020000}"/>
    <cellStyle name="20% - Accent2 6 4 2" xfId="42573" xr:uid="{00000000-0005-0000-0000-00007A020000}"/>
    <cellStyle name="20% - Accent2 6 5" xfId="22842" xr:uid="{00000000-0005-0000-0000-00007B020000}"/>
    <cellStyle name="20% - Accent2 6 5 2" xfId="42753" xr:uid="{00000000-0005-0000-0000-00007C020000}"/>
    <cellStyle name="20% - Accent2 6 6" xfId="23145" xr:uid="{00000000-0005-0000-0000-00007D020000}"/>
    <cellStyle name="20% - Accent2 6 6 2" xfId="43056" xr:uid="{00000000-0005-0000-0000-00007E020000}"/>
    <cellStyle name="20% - Accent2 6 7" xfId="23456" xr:uid="{00000000-0005-0000-0000-00007F020000}"/>
    <cellStyle name="20% - Accent2 7" xfId="506" xr:uid="{00000000-0005-0000-0000-000080020000}"/>
    <cellStyle name="20% - Accent2 7 2" xfId="893" xr:uid="{00000000-0005-0000-0000-000081020000}"/>
    <cellStyle name="20% - Accent2 7 2 2" xfId="23775" xr:uid="{00000000-0005-0000-0000-000082020000}"/>
    <cellStyle name="20% - Accent2 7 3" xfId="22659" xr:uid="{00000000-0005-0000-0000-000083020000}"/>
    <cellStyle name="20% - Accent2 7 3 2" xfId="42570" xr:uid="{00000000-0005-0000-0000-000084020000}"/>
    <cellStyle name="20% - Accent2 7 4" xfId="22858" xr:uid="{00000000-0005-0000-0000-000085020000}"/>
    <cellStyle name="20% - Accent2 7 4 2" xfId="42769" xr:uid="{00000000-0005-0000-0000-000086020000}"/>
    <cellStyle name="20% - Accent2 7 5" xfId="23161" xr:uid="{00000000-0005-0000-0000-000087020000}"/>
    <cellStyle name="20% - Accent2 7 5 2" xfId="43072" xr:uid="{00000000-0005-0000-0000-000088020000}"/>
    <cellStyle name="20% - Accent2 7 6" xfId="23472" xr:uid="{00000000-0005-0000-0000-000089020000}"/>
    <cellStyle name="20% - Accent2 8" xfId="530" xr:uid="{00000000-0005-0000-0000-00008A020000}"/>
    <cellStyle name="20% - Accent2 8 2" xfId="909" xr:uid="{00000000-0005-0000-0000-00008B020000}"/>
    <cellStyle name="20% - Accent2 8 2 2" xfId="23791" xr:uid="{00000000-0005-0000-0000-00008C020000}"/>
    <cellStyle name="20% - Accent2 8 3" xfId="22604" xr:uid="{00000000-0005-0000-0000-00008D020000}"/>
    <cellStyle name="20% - Accent2 8 3 2" xfId="42515" xr:uid="{00000000-0005-0000-0000-00008E020000}"/>
    <cellStyle name="20% - Accent2 8 4" xfId="22874" xr:uid="{00000000-0005-0000-0000-00008F020000}"/>
    <cellStyle name="20% - Accent2 8 4 2" xfId="42785" xr:uid="{00000000-0005-0000-0000-000090020000}"/>
    <cellStyle name="20% - Accent2 8 5" xfId="23177" xr:uid="{00000000-0005-0000-0000-000091020000}"/>
    <cellStyle name="20% - Accent2 8 5 2" xfId="43088" xr:uid="{00000000-0005-0000-0000-000092020000}"/>
    <cellStyle name="20% - Accent2 8 6" xfId="23488" xr:uid="{00000000-0005-0000-0000-000093020000}"/>
    <cellStyle name="20% - Accent2 9" xfId="569" xr:uid="{00000000-0005-0000-0000-000094020000}"/>
    <cellStyle name="20% - Accent2 9 2" xfId="925" xr:uid="{00000000-0005-0000-0000-000095020000}"/>
    <cellStyle name="20% - Accent2 9 2 2" xfId="23807" xr:uid="{00000000-0005-0000-0000-000096020000}"/>
    <cellStyle name="20% - Accent2 9 3" xfId="22559" xr:uid="{00000000-0005-0000-0000-000097020000}"/>
    <cellStyle name="20% - Accent2 9 3 2" xfId="42470" xr:uid="{00000000-0005-0000-0000-000098020000}"/>
    <cellStyle name="20% - Accent2 9 4" xfId="22890" xr:uid="{00000000-0005-0000-0000-000099020000}"/>
    <cellStyle name="20% - Accent2 9 4 2" xfId="42801" xr:uid="{00000000-0005-0000-0000-00009A020000}"/>
    <cellStyle name="20% - Accent2 9 5" xfId="23193" xr:uid="{00000000-0005-0000-0000-00009B020000}"/>
    <cellStyle name="20% - Accent2 9 5 2" xfId="43104" xr:uid="{00000000-0005-0000-0000-00009C020000}"/>
    <cellStyle name="20% - Accent2 9 6" xfId="23504" xr:uid="{00000000-0005-0000-0000-00009D020000}"/>
    <cellStyle name="20% - Accent3" xfId="70" builtinId="38" customBuiltin="1"/>
    <cellStyle name="20% - Accent3 10" xfId="601" xr:uid="{00000000-0005-0000-0000-00009F020000}"/>
    <cellStyle name="20% - Accent3 10 2" xfId="943" xr:uid="{00000000-0005-0000-0000-0000A0020000}"/>
    <cellStyle name="20% - Accent3 10 2 2" xfId="23825" xr:uid="{00000000-0005-0000-0000-0000A1020000}"/>
    <cellStyle name="20% - Accent3 10 3" xfId="22584" xr:uid="{00000000-0005-0000-0000-0000A2020000}"/>
    <cellStyle name="20% - Accent3 10 3 2" xfId="42495" xr:uid="{00000000-0005-0000-0000-0000A3020000}"/>
    <cellStyle name="20% - Accent3 10 4" xfId="22908" xr:uid="{00000000-0005-0000-0000-0000A4020000}"/>
    <cellStyle name="20% - Accent3 10 4 2" xfId="42819" xr:uid="{00000000-0005-0000-0000-0000A5020000}"/>
    <cellStyle name="20% - Accent3 10 5" xfId="23211" xr:uid="{00000000-0005-0000-0000-0000A6020000}"/>
    <cellStyle name="20% - Accent3 10 5 2" xfId="43122" xr:uid="{00000000-0005-0000-0000-0000A7020000}"/>
    <cellStyle name="20% - Accent3 10 6" xfId="23522" xr:uid="{00000000-0005-0000-0000-0000A8020000}"/>
    <cellStyle name="20% - Accent3 11" xfId="628" xr:uid="{00000000-0005-0000-0000-0000A9020000}"/>
    <cellStyle name="20% - Accent3 11 2" xfId="959" xr:uid="{00000000-0005-0000-0000-0000AA020000}"/>
    <cellStyle name="20% - Accent3 11 2 2" xfId="23841" xr:uid="{00000000-0005-0000-0000-0000AB020000}"/>
    <cellStyle name="20% - Accent3 11 3" xfId="22660" xr:uid="{00000000-0005-0000-0000-0000AC020000}"/>
    <cellStyle name="20% - Accent3 11 3 2" xfId="42571" xr:uid="{00000000-0005-0000-0000-0000AD020000}"/>
    <cellStyle name="20% - Accent3 11 4" xfId="22924" xr:uid="{00000000-0005-0000-0000-0000AE020000}"/>
    <cellStyle name="20% - Accent3 11 4 2" xfId="42835" xr:uid="{00000000-0005-0000-0000-0000AF020000}"/>
    <cellStyle name="20% - Accent3 11 5" xfId="23227" xr:uid="{00000000-0005-0000-0000-0000B0020000}"/>
    <cellStyle name="20% - Accent3 11 5 2" xfId="43138" xr:uid="{00000000-0005-0000-0000-0000B1020000}"/>
    <cellStyle name="20% - Accent3 11 6" xfId="23538" xr:uid="{00000000-0005-0000-0000-0000B2020000}"/>
    <cellStyle name="20% - Accent3 12" xfId="654" xr:uid="{00000000-0005-0000-0000-0000B3020000}"/>
    <cellStyle name="20% - Accent3 12 2" xfId="975" xr:uid="{00000000-0005-0000-0000-0000B4020000}"/>
    <cellStyle name="20% - Accent3 12 2 2" xfId="23857" xr:uid="{00000000-0005-0000-0000-0000B5020000}"/>
    <cellStyle name="20% - Accent3 12 3" xfId="22676" xr:uid="{00000000-0005-0000-0000-0000B6020000}"/>
    <cellStyle name="20% - Accent3 12 3 2" xfId="42587" xr:uid="{00000000-0005-0000-0000-0000B7020000}"/>
    <cellStyle name="20% - Accent3 12 4" xfId="22940" xr:uid="{00000000-0005-0000-0000-0000B8020000}"/>
    <cellStyle name="20% - Accent3 12 4 2" xfId="42851" xr:uid="{00000000-0005-0000-0000-0000B9020000}"/>
    <cellStyle name="20% - Accent3 12 5" xfId="23243" xr:uid="{00000000-0005-0000-0000-0000BA020000}"/>
    <cellStyle name="20% - Accent3 12 5 2" xfId="43154" xr:uid="{00000000-0005-0000-0000-0000BB020000}"/>
    <cellStyle name="20% - Accent3 12 6" xfId="23554" xr:uid="{00000000-0005-0000-0000-0000BC020000}"/>
    <cellStyle name="20% - Accent3 13" xfId="678" xr:uid="{00000000-0005-0000-0000-0000BD020000}"/>
    <cellStyle name="20% - Accent3 13 2" xfId="991" xr:uid="{00000000-0005-0000-0000-0000BE020000}"/>
    <cellStyle name="20% - Accent3 13 2 2" xfId="23873" xr:uid="{00000000-0005-0000-0000-0000BF020000}"/>
    <cellStyle name="20% - Accent3 13 3" xfId="22636" xr:uid="{00000000-0005-0000-0000-0000C0020000}"/>
    <cellStyle name="20% - Accent3 13 3 2" xfId="42547" xr:uid="{00000000-0005-0000-0000-0000C1020000}"/>
    <cellStyle name="20% - Accent3 13 4" xfId="22956" xr:uid="{00000000-0005-0000-0000-0000C2020000}"/>
    <cellStyle name="20% - Accent3 13 4 2" xfId="42867" xr:uid="{00000000-0005-0000-0000-0000C3020000}"/>
    <cellStyle name="20% - Accent3 13 5" xfId="23259" xr:uid="{00000000-0005-0000-0000-0000C4020000}"/>
    <cellStyle name="20% - Accent3 13 5 2" xfId="43170" xr:uid="{00000000-0005-0000-0000-0000C5020000}"/>
    <cellStyle name="20% - Accent3 13 6" xfId="23570" xr:uid="{00000000-0005-0000-0000-0000C6020000}"/>
    <cellStyle name="20% - Accent3 14" xfId="699" xr:uid="{00000000-0005-0000-0000-0000C7020000}"/>
    <cellStyle name="20% - Accent3 14 2" xfId="1007" xr:uid="{00000000-0005-0000-0000-0000C8020000}"/>
    <cellStyle name="20% - Accent3 14 2 2" xfId="23889" xr:uid="{00000000-0005-0000-0000-0000C9020000}"/>
    <cellStyle name="20% - Accent3 14 3" xfId="22512" xr:uid="{00000000-0005-0000-0000-0000CA020000}"/>
    <cellStyle name="20% - Accent3 14 3 2" xfId="42423" xr:uid="{00000000-0005-0000-0000-0000CB020000}"/>
    <cellStyle name="20% - Accent3 14 4" xfId="22972" xr:uid="{00000000-0005-0000-0000-0000CC020000}"/>
    <cellStyle name="20% - Accent3 14 4 2" xfId="42883" xr:uid="{00000000-0005-0000-0000-0000CD020000}"/>
    <cellStyle name="20% - Accent3 14 5" xfId="23275" xr:uid="{00000000-0005-0000-0000-0000CE020000}"/>
    <cellStyle name="20% - Accent3 14 5 2" xfId="43186" xr:uid="{00000000-0005-0000-0000-0000CF020000}"/>
    <cellStyle name="20% - Accent3 14 6" xfId="23586" xr:uid="{00000000-0005-0000-0000-0000D0020000}"/>
    <cellStyle name="20% - Accent3 15" xfId="715" xr:uid="{00000000-0005-0000-0000-0000D1020000}"/>
    <cellStyle name="20% - Accent3 15 2" xfId="1023" xr:uid="{00000000-0005-0000-0000-0000D2020000}"/>
    <cellStyle name="20% - Accent3 15 2 2" xfId="23905" xr:uid="{00000000-0005-0000-0000-0000D3020000}"/>
    <cellStyle name="20% - Accent3 15 3" xfId="22679" xr:uid="{00000000-0005-0000-0000-0000D4020000}"/>
    <cellStyle name="20% - Accent3 15 3 2" xfId="42590" xr:uid="{00000000-0005-0000-0000-0000D5020000}"/>
    <cellStyle name="20% - Accent3 15 4" xfId="22988" xr:uid="{00000000-0005-0000-0000-0000D6020000}"/>
    <cellStyle name="20% - Accent3 15 4 2" xfId="42899" xr:uid="{00000000-0005-0000-0000-0000D7020000}"/>
    <cellStyle name="20% - Accent3 15 5" xfId="23291" xr:uid="{00000000-0005-0000-0000-0000D8020000}"/>
    <cellStyle name="20% - Accent3 15 5 2" xfId="43202" xr:uid="{00000000-0005-0000-0000-0000D9020000}"/>
    <cellStyle name="20% - Accent3 15 6" xfId="23602" xr:uid="{00000000-0005-0000-0000-0000DA020000}"/>
    <cellStyle name="20% - Accent3 16" xfId="739" xr:uid="{00000000-0005-0000-0000-0000DB020000}"/>
    <cellStyle name="20% - Accent3 16 2" xfId="23621" xr:uid="{00000000-0005-0000-0000-0000DC020000}"/>
    <cellStyle name="20% - Accent3 17" xfId="22704" xr:uid="{00000000-0005-0000-0000-0000DD020000}"/>
    <cellStyle name="20% - Accent3 17 2" xfId="42615" xr:uid="{00000000-0005-0000-0000-0000DE020000}"/>
    <cellStyle name="20% - Accent3 18" xfId="23007" xr:uid="{00000000-0005-0000-0000-0000DF020000}"/>
    <cellStyle name="20% - Accent3 18 2" xfId="42918" xr:uid="{00000000-0005-0000-0000-0000E0020000}"/>
    <cellStyle name="20% - Accent3 19" xfId="23311" xr:uid="{00000000-0005-0000-0000-0000E1020000}"/>
    <cellStyle name="20% - Accent3 2" xfId="374" xr:uid="{00000000-0005-0000-0000-0000E2020000}"/>
    <cellStyle name="20% - Accent3 2 10" xfId="23394" xr:uid="{00000000-0005-0000-0000-0000E3020000}"/>
    <cellStyle name="20% - Accent3 2 2" xfId="815" xr:uid="{00000000-0005-0000-0000-0000E4020000}"/>
    <cellStyle name="20% - Accent3 2 2 2" xfId="6282" xr:uid="{00000000-0005-0000-0000-0000E5020000}"/>
    <cellStyle name="20% - Accent3 2 2 2 2" xfId="9368" xr:uid="{00000000-0005-0000-0000-0000E6020000}"/>
    <cellStyle name="20% - Accent3 2 2 2 2 2" xfId="15561" xr:uid="{00000000-0005-0000-0000-0000E7020000}"/>
    <cellStyle name="20% - Accent3 2 2 2 2 2 2" xfId="35481" xr:uid="{00000000-0005-0000-0000-0000E8020000}"/>
    <cellStyle name="20% - Accent3 2 2 2 2 3" xfId="21713" xr:uid="{00000000-0005-0000-0000-0000E9020000}"/>
    <cellStyle name="20% - Accent3 2 2 2 2 3 2" xfId="41633" xr:uid="{00000000-0005-0000-0000-0000EA020000}"/>
    <cellStyle name="20% - Accent3 2 2 2 2 4" xfId="29328" xr:uid="{00000000-0005-0000-0000-0000EB020000}"/>
    <cellStyle name="20% - Accent3 2 2 2 3" xfId="12495" xr:uid="{00000000-0005-0000-0000-0000EC020000}"/>
    <cellStyle name="20% - Accent3 2 2 2 3 2" xfId="32415" xr:uid="{00000000-0005-0000-0000-0000ED020000}"/>
    <cellStyle name="20% - Accent3 2 2 2 4" xfId="18647" xr:uid="{00000000-0005-0000-0000-0000EE020000}"/>
    <cellStyle name="20% - Accent3 2 2 2 4 2" xfId="38567" xr:uid="{00000000-0005-0000-0000-0000EF020000}"/>
    <cellStyle name="20% - Accent3 2 2 2 5" xfId="26262" xr:uid="{00000000-0005-0000-0000-0000F0020000}"/>
    <cellStyle name="20% - Accent3 2 2 3" xfId="7833" xr:uid="{00000000-0005-0000-0000-0000F1020000}"/>
    <cellStyle name="20% - Accent3 2 2 3 2" xfId="14027" xr:uid="{00000000-0005-0000-0000-0000F2020000}"/>
    <cellStyle name="20% - Accent3 2 2 3 2 2" xfId="33947" xr:uid="{00000000-0005-0000-0000-0000F3020000}"/>
    <cellStyle name="20% - Accent3 2 2 3 3" xfId="20179" xr:uid="{00000000-0005-0000-0000-0000F4020000}"/>
    <cellStyle name="20% - Accent3 2 2 3 3 2" xfId="40099" xr:uid="{00000000-0005-0000-0000-0000F5020000}"/>
    <cellStyle name="20% - Accent3 2 2 3 4" xfId="27794" xr:uid="{00000000-0005-0000-0000-0000F6020000}"/>
    <cellStyle name="20% - Accent3 2 2 4" xfId="10961" xr:uid="{00000000-0005-0000-0000-0000F7020000}"/>
    <cellStyle name="20% - Accent3 2 2 4 2" xfId="30881" xr:uid="{00000000-0005-0000-0000-0000F8020000}"/>
    <cellStyle name="20% - Accent3 2 2 5" xfId="17113" xr:uid="{00000000-0005-0000-0000-0000F9020000}"/>
    <cellStyle name="20% - Accent3 2 2 5 2" xfId="37033" xr:uid="{00000000-0005-0000-0000-0000FA020000}"/>
    <cellStyle name="20% - Accent3 2 2 6" xfId="4657" xr:uid="{00000000-0005-0000-0000-0000FB020000}"/>
    <cellStyle name="20% - Accent3 2 2 6 2" xfId="24728" xr:uid="{00000000-0005-0000-0000-0000FC020000}"/>
    <cellStyle name="20% - Accent3 2 2 7" xfId="23697" xr:uid="{00000000-0005-0000-0000-0000FD020000}"/>
    <cellStyle name="20% - Accent3 2 3" xfId="5496" xr:uid="{00000000-0005-0000-0000-0000FE020000}"/>
    <cellStyle name="20% - Accent3 2 3 2" xfId="8599" xr:uid="{00000000-0005-0000-0000-0000FF020000}"/>
    <cellStyle name="20% - Accent3 2 3 2 2" xfId="14792" xr:uid="{00000000-0005-0000-0000-000000030000}"/>
    <cellStyle name="20% - Accent3 2 3 2 2 2" xfId="34712" xr:uid="{00000000-0005-0000-0000-000001030000}"/>
    <cellStyle name="20% - Accent3 2 3 2 3" xfId="20944" xr:uid="{00000000-0005-0000-0000-000002030000}"/>
    <cellStyle name="20% - Accent3 2 3 2 3 2" xfId="40864" xr:uid="{00000000-0005-0000-0000-000003030000}"/>
    <cellStyle name="20% - Accent3 2 3 2 4" xfId="28559" xr:uid="{00000000-0005-0000-0000-000004030000}"/>
    <cellStyle name="20% - Accent3 2 3 3" xfId="11726" xr:uid="{00000000-0005-0000-0000-000005030000}"/>
    <cellStyle name="20% - Accent3 2 3 3 2" xfId="31646" xr:uid="{00000000-0005-0000-0000-000006030000}"/>
    <cellStyle name="20% - Accent3 2 3 4" xfId="17878" xr:uid="{00000000-0005-0000-0000-000007030000}"/>
    <cellStyle name="20% - Accent3 2 3 4 2" xfId="37798" xr:uid="{00000000-0005-0000-0000-000008030000}"/>
    <cellStyle name="20% - Accent3 2 3 5" xfId="25493" xr:uid="{00000000-0005-0000-0000-000009030000}"/>
    <cellStyle name="20% - Accent3 2 4" xfId="7064" xr:uid="{00000000-0005-0000-0000-00000A030000}"/>
    <cellStyle name="20% - Accent3 2 4 2" xfId="13258" xr:uid="{00000000-0005-0000-0000-00000B030000}"/>
    <cellStyle name="20% - Accent3 2 4 2 2" xfId="33178" xr:uid="{00000000-0005-0000-0000-00000C030000}"/>
    <cellStyle name="20% - Accent3 2 4 3" xfId="19410" xr:uid="{00000000-0005-0000-0000-00000D030000}"/>
    <cellStyle name="20% - Accent3 2 4 3 2" xfId="39330" xr:uid="{00000000-0005-0000-0000-00000E030000}"/>
    <cellStyle name="20% - Accent3 2 4 4" xfId="27025" xr:uid="{00000000-0005-0000-0000-00000F030000}"/>
    <cellStyle name="20% - Accent3 2 5" xfId="10192" xr:uid="{00000000-0005-0000-0000-000010030000}"/>
    <cellStyle name="20% - Accent3 2 5 2" xfId="30112" xr:uid="{00000000-0005-0000-0000-000011030000}"/>
    <cellStyle name="20% - Accent3 2 6" xfId="16344" xr:uid="{00000000-0005-0000-0000-000012030000}"/>
    <cellStyle name="20% - Accent3 2 6 2" xfId="36264" xr:uid="{00000000-0005-0000-0000-000013030000}"/>
    <cellStyle name="20% - Accent3 2 7" xfId="1218" xr:uid="{00000000-0005-0000-0000-000014030000}"/>
    <cellStyle name="20% - Accent3 2 7 2" xfId="23959" xr:uid="{00000000-0005-0000-0000-000015030000}"/>
    <cellStyle name="20% - Accent3 2 8" xfId="22780" xr:uid="{00000000-0005-0000-0000-000016030000}"/>
    <cellStyle name="20% - Accent3 2 8 2" xfId="42691" xr:uid="{00000000-0005-0000-0000-000017030000}"/>
    <cellStyle name="20% - Accent3 2 9" xfId="23083" xr:uid="{00000000-0005-0000-0000-000018030000}"/>
    <cellStyle name="20% - Accent3 2 9 2" xfId="42994" xr:uid="{00000000-0005-0000-0000-000019030000}"/>
    <cellStyle name="20% - Accent3 3" xfId="404" xr:uid="{00000000-0005-0000-0000-00001A030000}"/>
    <cellStyle name="20% - Accent3 3 10" xfId="23410" xr:uid="{00000000-0005-0000-0000-00001B030000}"/>
    <cellStyle name="20% - Accent3 3 2" xfId="831" xr:uid="{00000000-0005-0000-0000-00001C030000}"/>
    <cellStyle name="20% - Accent3 3 2 2" xfId="6283" xr:uid="{00000000-0005-0000-0000-00001D030000}"/>
    <cellStyle name="20% - Accent3 3 2 2 2" xfId="9369" xr:uid="{00000000-0005-0000-0000-00001E030000}"/>
    <cellStyle name="20% - Accent3 3 2 2 2 2" xfId="15562" xr:uid="{00000000-0005-0000-0000-00001F030000}"/>
    <cellStyle name="20% - Accent3 3 2 2 2 2 2" xfId="35482" xr:uid="{00000000-0005-0000-0000-000020030000}"/>
    <cellStyle name="20% - Accent3 3 2 2 2 3" xfId="21714" xr:uid="{00000000-0005-0000-0000-000021030000}"/>
    <cellStyle name="20% - Accent3 3 2 2 2 3 2" xfId="41634" xr:uid="{00000000-0005-0000-0000-000022030000}"/>
    <cellStyle name="20% - Accent3 3 2 2 2 4" xfId="29329" xr:uid="{00000000-0005-0000-0000-000023030000}"/>
    <cellStyle name="20% - Accent3 3 2 2 3" xfId="12496" xr:uid="{00000000-0005-0000-0000-000024030000}"/>
    <cellStyle name="20% - Accent3 3 2 2 3 2" xfId="32416" xr:uid="{00000000-0005-0000-0000-000025030000}"/>
    <cellStyle name="20% - Accent3 3 2 2 4" xfId="18648" xr:uid="{00000000-0005-0000-0000-000026030000}"/>
    <cellStyle name="20% - Accent3 3 2 2 4 2" xfId="38568" xr:uid="{00000000-0005-0000-0000-000027030000}"/>
    <cellStyle name="20% - Accent3 3 2 2 5" xfId="26263" xr:uid="{00000000-0005-0000-0000-000028030000}"/>
    <cellStyle name="20% - Accent3 3 2 3" xfId="7834" xr:uid="{00000000-0005-0000-0000-000029030000}"/>
    <cellStyle name="20% - Accent3 3 2 3 2" xfId="14028" xr:uid="{00000000-0005-0000-0000-00002A030000}"/>
    <cellStyle name="20% - Accent3 3 2 3 2 2" xfId="33948" xr:uid="{00000000-0005-0000-0000-00002B030000}"/>
    <cellStyle name="20% - Accent3 3 2 3 3" xfId="20180" xr:uid="{00000000-0005-0000-0000-00002C030000}"/>
    <cellStyle name="20% - Accent3 3 2 3 3 2" xfId="40100" xr:uid="{00000000-0005-0000-0000-00002D030000}"/>
    <cellStyle name="20% - Accent3 3 2 3 4" xfId="27795" xr:uid="{00000000-0005-0000-0000-00002E030000}"/>
    <cellStyle name="20% - Accent3 3 2 4" xfId="10962" xr:uid="{00000000-0005-0000-0000-00002F030000}"/>
    <cellStyle name="20% - Accent3 3 2 4 2" xfId="30882" xr:uid="{00000000-0005-0000-0000-000030030000}"/>
    <cellStyle name="20% - Accent3 3 2 5" xfId="17114" xr:uid="{00000000-0005-0000-0000-000031030000}"/>
    <cellStyle name="20% - Accent3 3 2 5 2" xfId="37034" xr:uid="{00000000-0005-0000-0000-000032030000}"/>
    <cellStyle name="20% - Accent3 3 2 6" xfId="4658" xr:uid="{00000000-0005-0000-0000-000033030000}"/>
    <cellStyle name="20% - Accent3 3 2 6 2" xfId="24729" xr:uid="{00000000-0005-0000-0000-000034030000}"/>
    <cellStyle name="20% - Accent3 3 2 7" xfId="23713" xr:uid="{00000000-0005-0000-0000-000035030000}"/>
    <cellStyle name="20% - Accent3 3 3" xfId="5497" xr:uid="{00000000-0005-0000-0000-000036030000}"/>
    <cellStyle name="20% - Accent3 3 3 2" xfId="8600" xr:uid="{00000000-0005-0000-0000-000037030000}"/>
    <cellStyle name="20% - Accent3 3 3 2 2" xfId="14793" xr:uid="{00000000-0005-0000-0000-000038030000}"/>
    <cellStyle name="20% - Accent3 3 3 2 2 2" xfId="34713" xr:uid="{00000000-0005-0000-0000-000039030000}"/>
    <cellStyle name="20% - Accent3 3 3 2 3" xfId="20945" xr:uid="{00000000-0005-0000-0000-00003A030000}"/>
    <cellStyle name="20% - Accent3 3 3 2 3 2" xfId="40865" xr:uid="{00000000-0005-0000-0000-00003B030000}"/>
    <cellStyle name="20% - Accent3 3 3 2 4" xfId="28560" xr:uid="{00000000-0005-0000-0000-00003C030000}"/>
    <cellStyle name="20% - Accent3 3 3 3" xfId="11727" xr:uid="{00000000-0005-0000-0000-00003D030000}"/>
    <cellStyle name="20% - Accent3 3 3 3 2" xfId="31647" xr:uid="{00000000-0005-0000-0000-00003E030000}"/>
    <cellStyle name="20% - Accent3 3 3 4" xfId="17879" xr:uid="{00000000-0005-0000-0000-00003F030000}"/>
    <cellStyle name="20% - Accent3 3 3 4 2" xfId="37799" xr:uid="{00000000-0005-0000-0000-000040030000}"/>
    <cellStyle name="20% - Accent3 3 3 5" xfId="25494" xr:uid="{00000000-0005-0000-0000-000041030000}"/>
    <cellStyle name="20% - Accent3 3 4" xfId="7065" xr:uid="{00000000-0005-0000-0000-000042030000}"/>
    <cellStyle name="20% - Accent3 3 4 2" xfId="13259" xr:uid="{00000000-0005-0000-0000-000043030000}"/>
    <cellStyle name="20% - Accent3 3 4 2 2" xfId="33179" xr:uid="{00000000-0005-0000-0000-000044030000}"/>
    <cellStyle name="20% - Accent3 3 4 3" xfId="19411" xr:uid="{00000000-0005-0000-0000-000045030000}"/>
    <cellStyle name="20% - Accent3 3 4 3 2" xfId="39331" xr:uid="{00000000-0005-0000-0000-000046030000}"/>
    <cellStyle name="20% - Accent3 3 4 4" xfId="27026" xr:uid="{00000000-0005-0000-0000-000047030000}"/>
    <cellStyle name="20% - Accent3 3 5" xfId="10193" xr:uid="{00000000-0005-0000-0000-000048030000}"/>
    <cellStyle name="20% - Accent3 3 5 2" xfId="30113" xr:uid="{00000000-0005-0000-0000-000049030000}"/>
    <cellStyle name="20% - Accent3 3 6" xfId="16345" xr:uid="{00000000-0005-0000-0000-00004A030000}"/>
    <cellStyle name="20% - Accent3 3 6 2" xfId="36265" xr:uid="{00000000-0005-0000-0000-00004B030000}"/>
    <cellStyle name="20% - Accent3 3 7" xfId="1219" xr:uid="{00000000-0005-0000-0000-00004C030000}"/>
    <cellStyle name="20% - Accent3 3 7 2" xfId="23960" xr:uid="{00000000-0005-0000-0000-00004D030000}"/>
    <cellStyle name="20% - Accent3 3 8" xfId="22796" xr:uid="{00000000-0005-0000-0000-00004E030000}"/>
    <cellStyle name="20% - Accent3 3 8 2" xfId="42707" xr:uid="{00000000-0005-0000-0000-00004F030000}"/>
    <cellStyle name="20% - Accent3 3 9" xfId="23099" xr:uid="{00000000-0005-0000-0000-000050030000}"/>
    <cellStyle name="20% - Accent3 3 9 2" xfId="43010" xr:uid="{00000000-0005-0000-0000-000051030000}"/>
    <cellStyle name="20% - Accent3 4" xfId="431" xr:uid="{00000000-0005-0000-0000-000052030000}"/>
    <cellStyle name="20% - Accent3 4 10" xfId="23426" xr:uid="{00000000-0005-0000-0000-000053030000}"/>
    <cellStyle name="20% - Accent3 4 2" xfId="847" xr:uid="{00000000-0005-0000-0000-000054030000}"/>
    <cellStyle name="20% - Accent3 4 2 2" xfId="6284" xr:uid="{00000000-0005-0000-0000-000055030000}"/>
    <cellStyle name="20% - Accent3 4 2 2 2" xfId="9370" xr:uid="{00000000-0005-0000-0000-000056030000}"/>
    <cellStyle name="20% - Accent3 4 2 2 2 2" xfId="15563" xr:uid="{00000000-0005-0000-0000-000057030000}"/>
    <cellStyle name="20% - Accent3 4 2 2 2 2 2" xfId="35483" xr:uid="{00000000-0005-0000-0000-000058030000}"/>
    <cellStyle name="20% - Accent3 4 2 2 2 3" xfId="21715" xr:uid="{00000000-0005-0000-0000-000059030000}"/>
    <cellStyle name="20% - Accent3 4 2 2 2 3 2" xfId="41635" xr:uid="{00000000-0005-0000-0000-00005A030000}"/>
    <cellStyle name="20% - Accent3 4 2 2 2 4" xfId="29330" xr:uid="{00000000-0005-0000-0000-00005B030000}"/>
    <cellStyle name="20% - Accent3 4 2 2 3" xfId="12497" xr:uid="{00000000-0005-0000-0000-00005C030000}"/>
    <cellStyle name="20% - Accent3 4 2 2 3 2" xfId="32417" xr:uid="{00000000-0005-0000-0000-00005D030000}"/>
    <cellStyle name="20% - Accent3 4 2 2 4" xfId="18649" xr:uid="{00000000-0005-0000-0000-00005E030000}"/>
    <cellStyle name="20% - Accent3 4 2 2 4 2" xfId="38569" xr:uid="{00000000-0005-0000-0000-00005F030000}"/>
    <cellStyle name="20% - Accent3 4 2 2 5" xfId="26264" xr:uid="{00000000-0005-0000-0000-000060030000}"/>
    <cellStyle name="20% - Accent3 4 2 3" xfId="7835" xr:uid="{00000000-0005-0000-0000-000061030000}"/>
    <cellStyle name="20% - Accent3 4 2 3 2" xfId="14029" xr:uid="{00000000-0005-0000-0000-000062030000}"/>
    <cellStyle name="20% - Accent3 4 2 3 2 2" xfId="33949" xr:uid="{00000000-0005-0000-0000-000063030000}"/>
    <cellStyle name="20% - Accent3 4 2 3 3" xfId="20181" xr:uid="{00000000-0005-0000-0000-000064030000}"/>
    <cellStyle name="20% - Accent3 4 2 3 3 2" xfId="40101" xr:uid="{00000000-0005-0000-0000-000065030000}"/>
    <cellStyle name="20% - Accent3 4 2 3 4" xfId="27796" xr:uid="{00000000-0005-0000-0000-000066030000}"/>
    <cellStyle name="20% - Accent3 4 2 4" xfId="10963" xr:uid="{00000000-0005-0000-0000-000067030000}"/>
    <cellStyle name="20% - Accent3 4 2 4 2" xfId="30883" xr:uid="{00000000-0005-0000-0000-000068030000}"/>
    <cellStyle name="20% - Accent3 4 2 5" xfId="17115" xr:uid="{00000000-0005-0000-0000-000069030000}"/>
    <cellStyle name="20% - Accent3 4 2 5 2" xfId="37035" xr:uid="{00000000-0005-0000-0000-00006A030000}"/>
    <cellStyle name="20% - Accent3 4 2 6" xfId="4659" xr:uid="{00000000-0005-0000-0000-00006B030000}"/>
    <cellStyle name="20% - Accent3 4 2 6 2" xfId="24730" xr:uid="{00000000-0005-0000-0000-00006C030000}"/>
    <cellStyle name="20% - Accent3 4 2 7" xfId="23729" xr:uid="{00000000-0005-0000-0000-00006D030000}"/>
    <cellStyle name="20% - Accent3 4 3" xfId="5498" xr:uid="{00000000-0005-0000-0000-00006E030000}"/>
    <cellStyle name="20% - Accent3 4 3 2" xfId="8601" xr:uid="{00000000-0005-0000-0000-00006F030000}"/>
    <cellStyle name="20% - Accent3 4 3 2 2" xfId="14794" xr:uid="{00000000-0005-0000-0000-000070030000}"/>
    <cellStyle name="20% - Accent3 4 3 2 2 2" xfId="34714" xr:uid="{00000000-0005-0000-0000-000071030000}"/>
    <cellStyle name="20% - Accent3 4 3 2 3" xfId="20946" xr:uid="{00000000-0005-0000-0000-000072030000}"/>
    <cellStyle name="20% - Accent3 4 3 2 3 2" xfId="40866" xr:uid="{00000000-0005-0000-0000-000073030000}"/>
    <cellStyle name="20% - Accent3 4 3 2 4" xfId="28561" xr:uid="{00000000-0005-0000-0000-000074030000}"/>
    <cellStyle name="20% - Accent3 4 3 3" xfId="11728" xr:uid="{00000000-0005-0000-0000-000075030000}"/>
    <cellStyle name="20% - Accent3 4 3 3 2" xfId="31648" xr:uid="{00000000-0005-0000-0000-000076030000}"/>
    <cellStyle name="20% - Accent3 4 3 4" xfId="17880" xr:uid="{00000000-0005-0000-0000-000077030000}"/>
    <cellStyle name="20% - Accent3 4 3 4 2" xfId="37800" xr:uid="{00000000-0005-0000-0000-000078030000}"/>
    <cellStyle name="20% - Accent3 4 3 5" xfId="25495" xr:uid="{00000000-0005-0000-0000-000079030000}"/>
    <cellStyle name="20% - Accent3 4 4" xfId="7066" xr:uid="{00000000-0005-0000-0000-00007A030000}"/>
    <cellStyle name="20% - Accent3 4 4 2" xfId="13260" xr:uid="{00000000-0005-0000-0000-00007B030000}"/>
    <cellStyle name="20% - Accent3 4 4 2 2" xfId="33180" xr:uid="{00000000-0005-0000-0000-00007C030000}"/>
    <cellStyle name="20% - Accent3 4 4 3" xfId="19412" xr:uid="{00000000-0005-0000-0000-00007D030000}"/>
    <cellStyle name="20% - Accent3 4 4 3 2" xfId="39332" xr:uid="{00000000-0005-0000-0000-00007E030000}"/>
    <cellStyle name="20% - Accent3 4 4 4" xfId="27027" xr:uid="{00000000-0005-0000-0000-00007F030000}"/>
    <cellStyle name="20% - Accent3 4 5" xfId="10194" xr:uid="{00000000-0005-0000-0000-000080030000}"/>
    <cellStyle name="20% - Accent3 4 5 2" xfId="30114" xr:uid="{00000000-0005-0000-0000-000081030000}"/>
    <cellStyle name="20% - Accent3 4 6" xfId="16346" xr:uid="{00000000-0005-0000-0000-000082030000}"/>
    <cellStyle name="20% - Accent3 4 6 2" xfId="36266" xr:uid="{00000000-0005-0000-0000-000083030000}"/>
    <cellStyle name="20% - Accent3 4 7" xfId="1220" xr:uid="{00000000-0005-0000-0000-000084030000}"/>
    <cellStyle name="20% - Accent3 4 7 2" xfId="23961" xr:uid="{00000000-0005-0000-0000-000085030000}"/>
    <cellStyle name="20% - Accent3 4 8" xfId="22812" xr:uid="{00000000-0005-0000-0000-000086030000}"/>
    <cellStyle name="20% - Accent3 4 8 2" xfId="42723" xr:uid="{00000000-0005-0000-0000-000087030000}"/>
    <cellStyle name="20% - Accent3 4 9" xfId="23115" xr:uid="{00000000-0005-0000-0000-000088030000}"/>
    <cellStyle name="20% - Accent3 4 9 2" xfId="43026" xr:uid="{00000000-0005-0000-0000-000089030000}"/>
    <cellStyle name="20% - Accent3 5" xfId="459" xr:uid="{00000000-0005-0000-0000-00008A030000}"/>
    <cellStyle name="20% - Accent3 5 10" xfId="23131" xr:uid="{00000000-0005-0000-0000-00008B030000}"/>
    <cellStyle name="20% - Accent3 5 10 2" xfId="43042" xr:uid="{00000000-0005-0000-0000-00008C030000}"/>
    <cellStyle name="20% - Accent3 5 11" xfId="23442" xr:uid="{00000000-0005-0000-0000-00008D030000}"/>
    <cellStyle name="20% - Accent3 5 2" xfId="863" xr:uid="{00000000-0005-0000-0000-00008E030000}"/>
    <cellStyle name="20% - Accent3 5 2 2" xfId="6285" xr:uid="{00000000-0005-0000-0000-00008F030000}"/>
    <cellStyle name="20% - Accent3 5 2 2 2" xfId="9371" xr:uid="{00000000-0005-0000-0000-000090030000}"/>
    <cellStyle name="20% - Accent3 5 2 2 2 2" xfId="15564" xr:uid="{00000000-0005-0000-0000-000091030000}"/>
    <cellStyle name="20% - Accent3 5 2 2 2 2 2" xfId="35484" xr:uid="{00000000-0005-0000-0000-000092030000}"/>
    <cellStyle name="20% - Accent3 5 2 2 2 3" xfId="21716" xr:uid="{00000000-0005-0000-0000-000093030000}"/>
    <cellStyle name="20% - Accent3 5 2 2 2 3 2" xfId="41636" xr:uid="{00000000-0005-0000-0000-000094030000}"/>
    <cellStyle name="20% - Accent3 5 2 2 2 4" xfId="29331" xr:uid="{00000000-0005-0000-0000-000095030000}"/>
    <cellStyle name="20% - Accent3 5 2 2 3" xfId="12498" xr:uid="{00000000-0005-0000-0000-000096030000}"/>
    <cellStyle name="20% - Accent3 5 2 2 3 2" xfId="32418" xr:uid="{00000000-0005-0000-0000-000097030000}"/>
    <cellStyle name="20% - Accent3 5 2 2 4" xfId="18650" xr:uid="{00000000-0005-0000-0000-000098030000}"/>
    <cellStyle name="20% - Accent3 5 2 2 4 2" xfId="38570" xr:uid="{00000000-0005-0000-0000-000099030000}"/>
    <cellStyle name="20% - Accent3 5 2 2 5" xfId="26265" xr:uid="{00000000-0005-0000-0000-00009A030000}"/>
    <cellStyle name="20% - Accent3 5 2 3" xfId="7836" xr:uid="{00000000-0005-0000-0000-00009B030000}"/>
    <cellStyle name="20% - Accent3 5 2 3 2" xfId="14030" xr:uid="{00000000-0005-0000-0000-00009C030000}"/>
    <cellStyle name="20% - Accent3 5 2 3 2 2" xfId="33950" xr:uid="{00000000-0005-0000-0000-00009D030000}"/>
    <cellStyle name="20% - Accent3 5 2 3 3" xfId="20182" xr:uid="{00000000-0005-0000-0000-00009E030000}"/>
    <cellStyle name="20% - Accent3 5 2 3 3 2" xfId="40102" xr:uid="{00000000-0005-0000-0000-00009F030000}"/>
    <cellStyle name="20% - Accent3 5 2 3 4" xfId="27797" xr:uid="{00000000-0005-0000-0000-0000A0030000}"/>
    <cellStyle name="20% - Accent3 5 2 4" xfId="10964" xr:uid="{00000000-0005-0000-0000-0000A1030000}"/>
    <cellStyle name="20% - Accent3 5 2 4 2" xfId="30884" xr:uid="{00000000-0005-0000-0000-0000A2030000}"/>
    <cellStyle name="20% - Accent3 5 2 5" xfId="17116" xr:uid="{00000000-0005-0000-0000-0000A3030000}"/>
    <cellStyle name="20% - Accent3 5 2 5 2" xfId="37036" xr:uid="{00000000-0005-0000-0000-0000A4030000}"/>
    <cellStyle name="20% - Accent3 5 2 6" xfId="4660" xr:uid="{00000000-0005-0000-0000-0000A5030000}"/>
    <cellStyle name="20% - Accent3 5 2 6 2" xfId="24731" xr:uid="{00000000-0005-0000-0000-0000A6030000}"/>
    <cellStyle name="20% - Accent3 5 2 7" xfId="23745" xr:uid="{00000000-0005-0000-0000-0000A7030000}"/>
    <cellStyle name="20% - Accent3 5 3" xfId="5499" xr:uid="{00000000-0005-0000-0000-0000A8030000}"/>
    <cellStyle name="20% - Accent3 5 3 2" xfId="8602" xr:uid="{00000000-0005-0000-0000-0000A9030000}"/>
    <cellStyle name="20% - Accent3 5 3 2 2" xfId="14795" xr:uid="{00000000-0005-0000-0000-0000AA030000}"/>
    <cellStyle name="20% - Accent3 5 3 2 2 2" xfId="34715" xr:uid="{00000000-0005-0000-0000-0000AB030000}"/>
    <cellStyle name="20% - Accent3 5 3 2 3" xfId="20947" xr:uid="{00000000-0005-0000-0000-0000AC030000}"/>
    <cellStyle name="20% - Accent3 5 3 2 3 2" xfId="40867" xr:uid="{00000000-0005-0000-0000-0000AD030000}"/>
    <cellStyle name="20% - Accent3 5 3 2 4" xfId="28562" xr:uid="{00000000-0005-0000-0000-0000AE030000}"/>
    <cellStyle name="20% - Accent3 5 3 3" xfId="11729" xr:uid="{00000000-0005-0000-0000-0000AF030000}"/>
    <cellStyle name="20% - Accent3 5 3 3 2" xfId="31649" xr:uid="{00000000-0005-0000-0000-0000B0030000}"/>
    <cellStyle name="20% - Accent3 5 3 4" xfId="17881" xr:uid="{00000000-0005-0000-0000-0000B1030000}"/>
    <cellStyle name="20% - Accent3 5 3 4 2" xfId="37801" xr:uid="{00000000-0005-0000-0000-0000B2030000}"/>
    <cellStyle name="20% - Accent3 5 3 5" xfId="25496" xr:uid="{00000000-0005-0000-0000-0000B3030000}"/>
    <cellStyle name="20% - Accent3 5 4" xfId="7067" xr:uid="{00000000-0005-0000-0000-0000B4030000}"/>
    <cellStyle name="20% - Accent3 5 4 2" xfId="13261" xr:uid="{00000000-0005-0000-0000-0000B5030000}"/>
    <cellStyle name="20% - Accent3 5 4 2 2" xfId="33181" xr:uid="{00000000-0005-0000-0000-0000B6030000}"/>
    <cellStyle name="20% - Accent3 5 4 3" xfId="19413" xr:uid="{00000000-0005-0000-0000-0000B7030000}"/>
    <cellStyle name="20% - Accent3 5 4 3 2" xfId="39333" xr:uid="{00000000-0005-0000-0000-0000B8030000}"/>
    <cellStyle name="20% - Accent3 5 4 4" xfId="27028" xr:uid="{00000000-0005-0000-0000-0000B9030000}"/>
    <cellStyle name="20% - Accent3 5 5" xfId="10195" xr:uid="{00000000-0005-0000-0000-0000BA030000}"/>
    <cellStyle name="20% - Accent3 5 5 2" xfId="30115" xr:uid="{00000000-0005-0000-0000-0000BB030000}"/>
    <cellStyle name="20% - Accent3 5 6" xfId="16347" xr:uid="{00000000-0005-0000-0000-0000BC030000}"/>
    <cellStyle name="20% - Accent3 5 6 2" xfId="36267" xr:uid="{00000000-0005-0000-0000-0000BD030000}"/>
    <cellStyle name="20% - Accent3 5 7" xfId="1221" xr:uid="{00000000-0005-0000-0000-0000BE030000}"/>
    <cellStyle name="20% - Accent3 5 7 2" xfId="23962" xr:uid="{00000000-0005-0000-0000-0000BF030000}"/>
    <cellStyle name="20% - Accent3 5 8" xfId="22567" xr:uid="{00000000-0005-0000-0000-0000C0030000}"/>
    <cellStyle name="20% - Accent3 5 8 2" xfId="42478" xr:uid="{00000000-0005-0000-0000-0000C1030000}"/>
    <cellStyle name="20% - Accent3 5 9" xfId="22828" xr:uid="{00000000-0005-0000-0000-0000C2030000}"/>
    <cellStyle name="20% - Accent3 5 9 2" xfId="42739" xr:uid="{00000000-0005-0000-0000-0000C3030000}"/>
    <cellStyle name="20% - Accent3 6" xfId="485" xr:uid="{00000000-0005-0000-0000-0000C4030000}"/>
    <cellStyle name="20% - Accent3 6 2" xfId="879" xr:uid="{00000000-0005-0000-0000-0000C5030000}"/>
    <cellStyle name="20% - Accent3 6 2 2" xfId="23761" xr:uid="{00000000-0005-0000-0000-0000C6030000}"/>
    <cellStyle name="20% - Accent3 6 3" xfId="1222" xr:uid="{00000000-0005-0000-0000-0000C7030000}"/>
    <cellStyle name="20% - Accent3 6 4" xfId="22520" xr:uid="{00000000-0005-0000-0000-0000C8030000}"/>
    <cellStyle name="20% - Accent3 6 4 2" xfId="42431" xr:uid="{00000000-0005-0000-0000-0000C9030000}"/>
    <cellStyle name="20% - Accent3 6 5" xfId="22844" xr:uid="{00000000-0005-0000-0000-0000CA030000}"/>
    <cellStyle name="20% - Accent3 6 5 2" xfId="42755" xr:uid="{00000000-0005-0000-0000-0000CB030000}"/>
    <cellStyle name="20% - Accent3 6 6" xfId="23147" xr:uid="{00000000-0005-0000-0000-0000CC030000}"/>
    <cellStyle name="20% - Accent3 6 6 2" xfId="43058" xr:uid="{00000000-0005-0000-0000-0000CD030000}"/>
    <cellStyle name="20% - Accent3 6 7" xfId="23458" xr:uid="{00000000-0005-0000-0000-0000CE030000}"/>
    <cellStyle name="20% - Accent3 7" xfId="509" xr:uid="{00000000-0005-0000-0000-0000CF030000}"/>
    <cellStyle name="20% - Accent3 7 2" xfId="895" xr:uid="{00000000-0005-0000-0000-0000D0030000}"/>
    <cellStyle name="20% - Accent3 7 2 2" xfId="23777" xr:uid="{00000000-0005-0000-0000-0000D1030000}"/>
    <cellStyle name="20% - Accent3 7 3" xfId="22687" xr:uid="{00000000-0005-0000-0000-0000D2030000}"/>
    <cellStyle name="20% - Accent3 7 3 2" xfId="42598" xr:uid="{00000000-0005-0000-0000-0000D3030000}"/>
    <cellStyle name="20% - Accent3 7 4" xfId="22860" xr:uid="{00000000-0005-0000-0000-0000D4030000}"/>
    <cellStyle name="20% - Accent3 7 4 2" xfId="42771" xr:uid="{00000000-0005-0000-0000-0000D5030000}"/>
    <cellStyle name="20% - Accent3 7 5" xfId="23163" xr:uid="{00000000-0005-0000-0000-0000D6030000}"/>
    <cellStyle name="20% - Accent3 7 5 2" xfId="43074" xr:uid="{00000000-0005-0000-0000-0000D7030000}"/>
    <cellStyle name="20% - Accent3 7 6" xfId="23474" xr:uid="{00000000-0005-0000-0000-0000D8030000}"/>
    <cellStyle name="20% - Accent3 8" xfId="534" xr:uid="{00000000-0005-0000-0000-0000D9030000}"/>
    <cellStyle name="20% - Accent3 8 2" xfId="911" xr:uid="{00000000-0005-0000-0000-0000DA030000}"/>
    <cellStyle name="20% - Accent3 8 2 2" xfId="23793" xr:uid="{00000000-0005-0000-0000-0000DB030000}"/>
    <cellStyle name="20% - Accent3 8 3" xfId="22673" xr:uid="{00000000-0005-0000-0000-0000DC030000}"/>
    <cellStyle name="20% - Accent3 8 3 2" xfId="42584" xr:uid="{00000000-0005-0000-0000-0000DD030000}"/>
    <cellStyle name="20% - Accent3 8 4" xfId="22876" xr:uid="{00000000-0005-0000-0000-0000DE030000}"/>
    <cellStyle name="20% - Accent3 8 4 2" xfId="42787" xr:uid="{00000000-0005-0000-0000-0000DF030000}"/>
    <cellStyle name="20% - Accent3 8 5" xfId="23179" xr:uid="{00000000-0005-0000-0000-0000E0030000}"/>
    <cellStyle name="20% - Accent3 8 5 2" xfId="43090" xr:uid="{00000000-0005-0000-0000-0000E1030000}"/>
    <cellStyle name="20% - Accent3 8 6" xfId="23490" xr:uid="{00000000-0005-0000-0000-0000E2030000}"/>
    <cellStyle name="20% - Accent3 9" xfId="573" xr:uid="{00000000-0005-0000-0000-0000E3030000}"/>
    <cellStyle name="20% - Accent3 9 2" xfId="927" xr:uid="{00000000-0005-0000-0000-0000E4030000}"/>
    <cellStyle name="20% - Accent3 9 2 2" xfId="23809" xr:uid="{00000000-0005-0000-0000-0000E5030000}"/>
    <cellStyle name="20% - Accent3 9 3" xfId="22581" xr:uid="{00000000-0005-0000-0000-0000E6030000}"/>
    <cellStyle name="20% - Accent3 9 3 2" xfId="42492" xr:uid="{00000000-0005-0000-0000-0000E7030000}"/>
    <cellStyle name="20% - Accent3 9 4" xfId="22892" xr:uid="{00000000-0005-0000-0000-0000E8030000}"/>
    <cellStyle name="20% - Accent3 9 4 2" xfId="42803" xr:uid="{00000000-0005-0000-0000-0000E9030000}"/>
    <cellStyle name="20% - Accent3 9 5" xfId="23195" xr:uid="{00000000-0005-0000-0000-0000EA030000}"/>
    <cellStyle name="20% - Accent3 9 5 2" xfId="43106" xr:uid="{00000000-0005-0000-0000-0000EB030000}"/>
    <cellStyle name="20% - Accent3 9 6" xfId="23506" xr:uid="{00000000-0005-0000-0000-0000EC030000}"/>
    <cellStyle name="20% - Accent4" xfId="74" builtinId="42" customBuiltin="1"/>
    <cellStyle name="20% - Accent4 10" xfId="605" xr:uid="{00000000-0005-0000-0000-0000EE030000}"/>
    <cellStyle name="20% - Accent4 10 2" xfId="945" xr:uid="{00000000-0005-0000-0000-0000EF030000}"/>
    <cellStyle name="20% - Accent4 10 2 2" xfId="23827" xr:uid="{00000000-0005-0000-0000-0000F0030000}"/>
    <cellStyle name="20% - Accent4 10 3" xfId="22671" xr:uid="{00000000-0005-0000-0000-0000F1030000}"/>
    <cellStyle name="20% - Accent4 10 3 2" xfId="42582" xr:uid="{00000000-0005-0000-0000-0000F2030000}"/>
    <cellStyle name="20% - Accent4 10 4" xfId="22910" xr:uid="{00000000-0005-0000-0000-0000F3030000}"/>
    <cellStyle name="20% - Accent4 10 4 2" xfId="42821" xr:uid="{00000000-0005-0000-0000-0000F4030000}"/>
    <cellStyle name="20% - Accent4 10 5" xfId="23213" xr:uid="{00000000-0005-0000-0000-0000F5030000}"/>
    <cellStyle name="20% - Accent4 10 5 2" xfId="43124" xr:uid="{00000000-0005-0000-0000-0000F6030000}"/>
    <cellStyle name="20% - Accent4 10 6" xfId="23524" xr:uid="{00000000-0005-0000-0000-0000F7030000}"/>
    <cellStyle name="20% - Accent4 11" xfId="632" xr:uid="{00000000-0005-0000-0000-0000F8030000}"/>
    <cellStyle name="20% - Accent4 11 2" xfId="961" xr:uid="{00000000-0005-0000-0000-0000F9030000}"/>
    <cellStyle name="20% - Accent4 11 2 2" xfId="23843" xr:uid="{00000000-0005-0000-0000-0000FA030000}"/>
    <cellStyle name="20% - Accent4 11 3" xfId="22573" xr:uid="{00000000-0005-0000-0000-0000FB030000}"/>
    <cellStyle name="20% - Accent4 11 3 2" xfId="42484" xr:uid="{00000000-0005-0000-0000-0000FC030000}"/>
    <cellStyle name="20% - Accent4 11 4" xfId="22926" xr:uid="{00000000-0005-0000-0000-0000FD030000}"/>
    <cellStyle name="20% - Accent4 11 4 2" xfId="42837" xr:uid="{00000000-0005-0000-0000-0000FE030000}"/>
    <cellStyle name="20% - Accent4 11 5" xfId="23229" xr:uid="{00000000-0005-0000-0000-0000FF030000}"/>
    <cellStyle name="20% - Accent4 11 5 2" xfId="43140" xr:uid="{00000000-0005-0000-0000-000000040000}"/>
    <cellStyle name="20% - Accent4 11 6" xfId="23540" xr:uid="{00000000-0005-0000-0000-000001040000}"/>
    <cellStyle name="20% - Accent4 12" xfId="658" xr:uid="{00000000-0005-0000-0000-000002040000}"/>
    <cellStyle name="20% - Accent4 12 2" xfId="977" xr:uid="{00000000-0005-0000-0000-000003040000}"/>
    <cellStyle name="20% - Accent4 12 2 2" xfId="23859" xr:uid="{00000000-0005-0000-0000-000004040000}"/>
    <cellStyle name="20% - Accent4 12 3" xfId="22680" xr:uid="{00000000-0005-0000-0000-000005040000}"/>
    <cellStyle name="20% - Accent4 12 3 2" xfId="42591" xr:uid="{00000000-0005-0000-0000-000006040000}"/>
    <cellStyle name="20% - Accent4 12 4" xfId="22942" xr:uid="{00000000-0005-0000-0000-000007040000}"/>
    <cellStyle name="20% - Accent4 12 4 2" xfId="42853" xr:uid="{00000000-0005-0000-0000-000008040000}"/>
    <cellStyle name="20% - Accent4 12 5" xfId="23245" xr:uid="{00000000-0005-0000-0000-000009040000}"/>
    <cellStyle name="20% - Accent4 12 5 2" xfId="43156" xr:uid="{00000000-0005-0000-0000-00000A040000}"/>
    <cellStyle name="20% - Accent4 12 6" xfId="23556" xr:uid="{00000000-0005-0000-0000-00000B040000}"/>
    <cellStyle name="20% - Accent4 13" xfId="682" xr:uid="{00000000-0005-0000-0000-00000C040000}"/>
    <cellStyle name="20% - Accent4 13 2" xfId="993" xr:uid="{00000000-0005-0000-0000-00000D040000}"/>
    <cellStyle name="20% - Accent4 13 2 2" xfId="23875" xr:uid="{00000000-0005-0000-0000-00000E040000}"/>
    <cellStyle name="20% - Accent4 13 3" xfId="22537" xr:uid="{00000000-0005-0000-0000-00000F040000}"/>
    <cellStyle name="20% - Accent4 13 3 2" xfId="42448" xr:uid="{00000000-0005-0000-0000-000010040000}"/>
    <cellStyle name="20% - Accent4 13 4" xfId="22958" xr:uid="{00000000-0005-0000-0000-000011040000}"/>
    <cellStyle name="20% - Accent4 13 4 2" xfId="42869" xr:uid="{00000000-0005-0000-0000-000012040000}"/>
    <cellStyle name="20% - Accent4 13 5" xfId="23261" xr:uid="{00000000-0005-0000-0000-000013040000}"/>
    <cellStyle name="20% - Accent4 13 5 2" xfId="43172" xr:uid="{00000000-0005-0000-0000-000014040000}"/>
    <cellStyle name="20% - Accent4 13 6" xfId="23572" xr:uid="{00000000-0005-0000-0000-000015040000}"/>
    <cellStyle name="20% - Accent4 14" xfId="701" xr:uid="{00000000-0005-0000-0000-000016040000}"/>
    <cellStyle name="20% - Accent4 14 2" xfId="1009" xr:uid="{00000000-0005-0000-0000-000017040000}"/>
    <cellStyle name="20% - Accent4 14 2 2" xfId="23891" xr:uid="{00000000-0005-0000-0000-000018040000}"/>
    <cellStyle name="20% - Accent4 14 3" xfId="22658" xr:uid="{00000000-0005-0000-0000-000019040000}"/>
    <cellStyle name="20% - Accent4 14 3 2" xfId="42569" xr:uid="{00000000-0005-0000-0000-00001A040000}"/>
    <cellStyle name="20% - Accent4 14 4" xfId="22974" xr:uid="{00000000-0005-0000-0000-00001B040000}"/>
    <cellStyle name="20% - Accent4 14 4 2" xfId="42885" xr:uid="{00000000-0005-0000-0000-00001C040000}"/>
    <cellStyle name="20% - Accent4 14 5" xfId="23277" xr:uid="{00000000-0005-0000-0000-00001D040000}"/>
    <cellStyle name="20% - Accent4 14 5 2" xfId="43188" xr:uid="{00000000-0005-0000-0000-00001E040000}"/>
    <cellStyle name="20% - Accent4 14 6" xfId="23588" xr:uid="{00000000-0005-0000-0000-00001F040000}"/>
    <cellStyle name="20% - Accent4 15" xfId="717" xr:uid="{00000000-0005-0000-0000-000020040000}"/>
    <cellStyle name="20% - Accent4 15 2" xfId="1025" xr:uid="{00000000-0005-0000-0000-000021040000}"/>
    <cellStyle name="20% - Accent4 15 2 2" xfId="23907" xr:uid="{00000000-0005-0000-0000-000022040000}"/>
    <cellStyle name="20% - Accent4 15 3" xfId="22550" xr:uid="{00000000-0005-0000-0000-000023040000}"/>
    <cellStyle name="20% - Accent4 15 3 2" xfId="42461" xr:uid="{00000000-0005-0000-0000-000024040000}"/>
    <cellStyle name="20% - Accent4 15 4" xfId="22990" xr:uid="{00000000-0005-0000-0000-000025040000}"/>
    <cellStyle name="20% - Accent4 15 4 2" xfId="42901" xr:uid="{00000000-0005-0000-0000-000026040000}"/>
    <cellStyle name="20% - Accent4 15 5" xfId="23293" xr:uid="{00000000-0005-0000-0000-000027040000}"/>
    <cellStyle name="20% - Accent4 15 5 2" xfId="43204" xr:uid="{00000000-0005-0000-0000-000028040000}"/>
    <cellStyle name="20% - Accent4 15 6" xfId="23604" xr:uid="{00000000-0005-0000-0000-000029040000}"/>
    <cellStyle name="20% - Accent4 16" xfId="741" xr:uid="{00000000-0005-0000-0000-00002A040000}"/>
    <cellStyle name="20% - Accent4 16 2" xfId="23623" xr:uid="{00000000-0005-0000-0000-00002B040000}"/>
    <cellStyle name="20% - Accent4 17" xfId="22706" xr:uid="{00000000-0005-0000-0000-00002C040000}"/>
    <cellStyle name="20% - Accent4 17 2" xfId="42617" xr:uid="{00000000-0005-0000-0000-00002D040000}"/>
    <cellStyle name="20% - Accent4 18" xfId="23009" xr:uid="{00000000-0005-0000-0000-00002E040000}"/>
    <cellStyle name="20% - Accent4 18 2" xfId="42920" xr:uid="{00000000-0005-0000-0000-00002F040000}"/>
    <cellStyle name="20% - Accent4 19" xfId="23313" xr:uid="{00000000-0005-0000-0000-000030040000}"/>
    <cellStyle name="20% - Accent4 2" xfId="378" xr:uid="{00000000-0005-0000-0000-000031040000}"/>
    <cellStyle name="20% - Accent4 2 10" xfId="23396" xr:uid="{00000000-0005-0000-0000-000032040000}"/>
    <cellStyle name="20% - Accent4 2 2" xfId="817" xr:uid="{00000000-0005-0000-0000-000033040000}"/>
    <cellStyle name="20% - Accent4 2 2 2" xfId="6286" xr:uid="{00000000-0005-0000-0000-000034040000}"/>
    <cellStyle name="20% - Accent4 2 2 2 2" xfId="9372" xr:uid="{00000000-0005-0000-0000-000035040000}"/>
    <cellStyle name="20% - Accent4 2 2 2 2 2" xfId="15565" xr:uid="{00000000-0005-0000-0000-000036040000}"/>
    <cellStyle name="20% - Accent4 2 2 2 2 2 2" xfId="35485" xr:uid="{00000000-0005-0000-0000-000037040000}"/>
    <cellStyle name="20% - Accent4 2 2 2 2 3" xfId="21717" xr:uid="{00000000-0005-0000-0000-000038040000}"/>
    <cellStyle name="20% - Accent4 2 2 2 2 3 2" xfId="41637" xr:uid="{00000000-0005-0000-0000-000039040000}"/>
    <cellStyle name="20% - Accent4 2 2 2 2 4" xfId="29332" xr:uid="{00000000-0005-0000-0000-00003A040000}"/>
    <cellStyle name="20% - Accent4 2 2 2 3" xfId="12499" xr:uid="{00000000-0005-0000-0000-00003B040000}"/>
    <cellStyle name="20% - Accent4 2 2 2 3 2" xfId="32419" xr:uid="{00000000-0005-0000-0000-00003C040000}"/>
    <cellStyle name="20% - Accent4 2 2 2 4" xfId="18651" xr:uid="{00000000-0005-0000-0000-00003D040000}"/>
    <cellStyle name="20% - Accent4 2 2 2 4 2" xfId="38571" xr:uid="{00000000-0005-0000-0000-00003E040000}"/>
    <cellStyle name="20% - Accent4 2 2 2 5" xfId="26266" xr:uid="{00000000-0005-0000-0000-00003F040000}"/>
    <cellStyle name="20% - Accent4 2 2 3" xfId="7837" xr:uid="{00000000-0005-0000-0000-000040040000}"/>
    <cellStyle name="20% - Accent4 2 2 3 2" xfId="14031" xr:uid="{00000000-0005-0000-0000-000041040000}"/>
    <cellStyle name="20% - Accent4 2 2 3 2 2" xfId="33951" xr:uid="{00000000-0005-0000-0000-000042040000}"/>
    <cellStyle name="20% - Accent4 2 2 3 3" xfId="20183" xr:uid="{00000000-0005-0000-0000-000043040000}"/>
    <cellStyle name="20% - Accent4 2 2 3 3 2" xfId="40103" xr:uid="{00000000-0005-0000-0000-000044040000}"/>
    <cellStyle name="20% - Accent4 2 2 3 4" xfId="27798" xr:uid="{00000000-0005-0000-0000-000045040000}"/>
    <cellStyle name="20% - Accent4 2 2 4" xfId="10965" xr:uid="{00000000-0005-0000-0000-000046040000}"/>
    <cellStyle name="20% - Accent4 2 2 4 2" xfId="30885" xr:uid="{00000000-0005-0000-0000-000047040000}"/>
    <cellStyle name="20% - Accent4 2 2 5" xfId="17117" xr:uid="{00000000-0005-0000-0000-000048040000}"/>
    <cellStyle name="20% - Accent4 2 2 5 2" xfId="37037" xr:uid="{00000000-0005-0000-0000-000049040000}"/>
    <cellStyle name="20% - Accent4 2 2 6" xfId="4661" xr:uid="{00000000-0005-0000-0000-00004A040000}"/>
    <cellStyle name="20% - Accent4 2 2 6 2" xfId="24732" xr:uid="{00000000-0005-0000-0000-00004B040000}"/>
    <cellStyle name="20% - Accent4 2 2 7" xfId="23699" xr:uid="{00000000-0005-0000-0000-00004C040000}"/>
    <cellStyle name="20% - Accent4 2 3" xfId="5500" xr:uid="{00000000-0005-0000-0000-00004D040000}"/>
    <cellStyle name="20% - Accent4 2 3 2" xfId="8603" xr:uid="{00000000-0005-0000-0000-00004E040000}"/>
    <cellStyle name="20% - Accent4 2 3 2 2" xfId="14796" xr:uid="{00000000-0005-0000-0000-00004F040000}"/>
    <cellStyle name="20% - Accent4 2 3 2 2 2" xfId="34716" xr:uid="{00000000-0005-0000-0000-000050040000}"/>
    <cellStyle name="20% - Accent4 2 3 2 3" xfId="20948" xr:uid="{00000000-0005-0000-0000-000051040000}"/>
    <cellStyle name="20% - Accent4 2 3 2 3 2" xfId="40868" xr:uid="{00000000-0005-0000-0000-000052040000}"/>
    <cellStyle name="20% - Accent4 2 3 2 4" xfId="28563" xr:uid="{00000000-0005-0000-0000-000053040000}"/>
    <cellStyle name="20% - Accent4 2 3 3" xfId="11730" xr:uid="{00000000-0005-0000-0000-000054040000}"/>
    <cellStyle name="20% - Accent4 2 3 3 2" xfId="31650" xr:uid="{00000000-0005-0000-0000-000055040000}"/>
    <cellStyle name="20% - Accent4 2 3 4" xfId="17882" xr:uid="{00000000-0005-0000-0000-000056040000}"/>
    <cellStyle name="20% - Accent4 2 3 4 2" xfId="37802" xr:uid="{00000000-0005-0000-0000-000057040000}"/>
    <cellStyle name="20% - Accent4 2 3 5" xfId="25497" xr:uid="{00000000-0005-0000-0000-000058040000}"/>
    <cellStyle name="20% - Accent4 2 4" xfId="7068" xr:uid="{00000000-0005-0000-0000-000059040000}"/>
    <cellStyle name="20% - Accent4 2 4 2" xfId="13262" xr:uid="{00000000-0005-0000-0000-00005A040000}"/>
    <cellStyle name="20% - Accent4 2 4 2 2" xfId="33182" xr:uid="{00000000-0005-0000-0000-00005B040000}"/>
    <cellStyle name="20% - Accent4 2 4 3" xfId="19414" xr:uid="{00000000-0005-0000-0000-00005C040000}"/>
    <cellStyle name="20% - Accent4 2 4 3 2" xfId="39334" xr:uid="{00000000-0005-0000-0000-00005D040000}"/>
    <cellStyle name="20% - Accent4 2 4 4" xfId="27029" xr:uid="{00000000-0005-0000-0000-00005E040000}"/>
    <cellStyle name="20% - Accent4 2 5" xfId="10196" xr:uid="{00000000-0005-0000-0000-00005F040000}"/>
    <cellStyle name="20% - Accent4 2 5 2" xfId="30116" xr:uid="{00000000-0005-0000-0000-000060040000}"/>
    <cellStyle name="20% - Accent4 2 6" xfId="16348" xr:uid="{00000000-0005-0000-0000-000061040000}"/>
    <cellStyle name="20% - Accent4 2 6 2" xfId="36268" xr:uid="{00000000-0005-0000-0000-000062040000}"/>
    <cellStyle name="20% - Accent4 2 7" xfId="1223" xr:uid="{00000000-0005-0000-0000-000063040000}"/>
    <cellStyle name="20% - Accent4 2 7 2" xfId="23963" xr:uid="{00000000-0005-0000-0000-000064040000}"/>
    <cellStyle name="20% - Accent4 2 8" xfId="22782" xr:uid="{00000000-0005-0000-0000-000065040000}"/>
    <cellStyle name="20% - Accent4 2 8 2" xfId="42693" xr:uid="{00000000-0005-0000-0000-000066040000}"/>
    <cellStyle name="20% - Accent4 2 9" xfId="23085" xr:uid="{00000000-0005-0000-0000-000067040000}"/>
    <cellStyle name="20% - Accent4 2 9 2" xfId="42996" xr:uid="{00000000-0005-0000-0000-000068040000}"/>
    <cellStyle name="20% - Accent4 3" xfId="408" xr:uid="{00000000-0005-0000-0000-000069040000}"/>
    <cellStyle name="20% - Accent4 3 10" xfId="23412" xr:uid="{00000000-0005-0000-0000-00006A040000}"/>
    <cellStyle name="20% - Accent4 3 2" xfId="833" xr:uid="{00000000-0005-0000-0000-00006B040000}"/>
    <cellStyle name="20% - Accent4 3 2 2" xfId="6287" xr:uid="{00000000-0005-0000-0000-00006C040000}"/>
    <cellStyle name="20% - Accent4 3 2 2 2" xfId="9373" xr:uid="{00000000-0005-0000-0000-00006D040000}"/>
    <cellStyle name="20% - Accent4 3 2 2 2 2" xfId="15566" xr:uid="{00000000-0005-0000-0000-00006E040000}"/>
    <cellStyle name="20% - Accent4 3 2 2 2 2 2" xfId="35486" xr:uid="{00000000-0005-0000-0000-00006F040000}"/>
    <cellStyle name="20% - Accent4 3 2 2 2 3" xfId="21718" xr:uid="{00000000-0005-0000-0000-000070040000}"/>
    <cellStyle name="20% - Accent4 3 2 2 2 3 2" xfId="41638" xr:uid="{00000000-0005-0000-0000-000071040000}"/>
    <cellStyle name="20% - Accent4 3 2 2 2 4" xfId="29333" xr:uid="{00000000-0005-0000-0000-000072040000}"/>
    <cellStyle name="20% - Accent4 3 2 2 3" xfId="12500" xr:uid="{00000000-0005-0000-0000-000073040000}"/>
    <cellStyle name="20% - Accent4 3 2 2 3 2" xfId="32420" xr:uid="{00000000-0005-0000-0000-000074040000}"/>
    <cellStyle name="20% - Accent4 3 2 2 4" xfId="18652" xr:uid="{00000000-0005-0000-0000-000075040000}"/>
    <cellStyle name="20% - Accent4 3 2 2 4 2" xfId="38572" xr:uid="{00000000-0005-0000-0000-000076040000}"/>
    <cellStyle name="20% - Accent4 3 2 2 5" xfId="26267" xr:uid="{00000000-0005-0000-0000-000077040000}"/>
    <cellStyle name="20% - Accent4 3 2 3" xfId="7838" xr:uid="{00000000-0005-0000-0000-000078040000}"/>
    <cellStyle name="20% - Accent4 3 2 3 2" xfId="14032" xr:uid="{00000000-0005-0000-0000-000079040000}"/>
    <cellStyle name="20% - Accent4 3 2 3 2 2" xfId="33952" xr:uid="{00000000-0005-0000-0000-00007A040000}"/>
    <cellStyle name="20% - Accent4 3 2 3 3" xfId="20184" xr:uid="{00000000-0005-0000-0000-00007B040000}"/>
    <cellStyle name="20% - Accent4 3 2 3 3 2" xfId="40104" xr:uid="{00000000-0005-0000-0000-00007C040000}"/>
    <cellStyle name="20% - Accent4 3 2 3 4" xfId="27799" xr:uid="{00000000-0005-0000-0000-00007D040000}"/>
    <cellStyle name="20% - Accent4 3 2 4" xfId="10966" xr:uid="{00000000-0005-0000-0000-00007E040000}"/>
    <cellStyle name="20% - Accent4 3 2 4 2" xfId="30886" xr:uid="{00000000-0005-0000-0000-00007F040000}"/>
    <cellStyle name="20% - Accent4 3 2 5" xfId="17118" xr:uid="{00000000-0005-0000-0000-000080040000}"/>
    <cellStyle name="20% - Accent4 3 2 5 2" xfId="37038" xr:uid="{00000000-0005-0000-0000-000081040000}"/>
    <cellStyle name="20% - Accent4 3 2 6" xfId="4662" xr:uid="{00000000-0005-0000-0000-000082040000}"/>
    <cellStyle name="20% - Accent4 3 2 6 2" xfId="24733" xr:uid="{00000000-0005-0000-0000-000083040000}"/>
    <cellStyle name="20% - Accent4 3 2 7" xfId="23715" xr:uid="{00000000-0005-0000-0000-000084040000}"/>
    <cellStyle name="20% - Accent4 3 3" xfId="5501" xr:uid="{00000000-0005-0000-0000-000085040000}"/>
    <cellStyle name="20% - Accent4 3 3 2" xfId="8604" xr:uid="{00000000-0005-0000-0000-000086040000}"/>
    <cellStyle name="20% - Accent4 3 3 2 2" xfId="14797" xr:uid="{00000000-0005-0000-0000-000087040000}"/>
    <cellStyle name="20% - Accent4 3 3 2 2 2" xfId="34717" xr:uid="{00000000-0005-0000-0000-000088040000}"/>
    <cellStyle name="20% - Accent4 3 3 2 3" xfId="20949" xr:uid="{00000000-0005-0000-0000-000089040000}"/>
    <cellStyle name="20% - Accent4 3 3 2 3 2" xfId="40869" xr:uid="{00000000-0005-0000-0000-00008A040000}"/>
    <cellStyle name="20% - Accent4 3 3 2 4" xfId="28564" xr:uid="{00000000-0005-0000-0000-00008B040000}"/>
    <cellStyle name="20% - Accent4 3 3 3" xfId="11731" xr:uid="{00000000-0005-0000-0000-00008C040000}"/>
    <cellStyle name="20% - Accent4 3 3 3 2" xfId="31651" xr:uid="{00000000-0005-0000-0000-00008D040000}"/>
    <cellStyle name="20% - Accent4 3 3 4" xfId="17883" xr:uid="{00000000-0005-0000-0000-00008E040000}"/>
    <cellStyle name="20% - Accent4 3 3 4 2" xfId="37803" xr:uid="{00000000-0005-0000-0000-00008F040000}"/>
    <cellStyle name="20% - Accent4 3 3 5" xfId="25498" xr:uid="{00000000-0005-0000-0000-000090040000}"/>
    <cellStyle name="20% - Accent4 3 4" xfId="7069" xr:uid="{00000000-0005-0000-0000-000091040000}"/>
    <cellStyle name="20% - Accent4 3 4 2" xfId="13263" xr:uid="{00000000-0005-0000-0000-000092040000}"/>
    <cellStyle name="20% - Accent4 3 4 2 2" xfId="33183" xr:uid="{00000000-0005-0000-0000-000093040000}"/>
    <cellStyle name="20% - Accent4 3 4 3" xfId="19415" xr:uid="{00000000-0005-0000-0000-000094040000}"/>
    <cellStyle name="20% - Accent4 3 4 3 2" xfId="39335" xr:uid="{00000000-0005-0000-0000-000095040000}"/>
    <cellStyle name="20% - Accent4 3 4 4" xfId="27030" xr:uid="{00000000-0005-0000-0000-000096040000}"/>
    <cellStyle name="20% - Accent4 3 5" xfId="10197" xr:uid="{00000000-0005-0000-0000-000097040000}"/>
    <cellStyle name="20% - Accent4 3 5 2" xfId="30117" xr:uid="{00000000-0005-0000-0000-000098040000}"/>
    <cellStyle name="20% - Accent4 3 6" xfId="16349" xr:uid="{00000000-0005-0000-0000-000099040000}"/>
    <cellStyle name="20% - Accent4 3 6 2" xfId="36269" xr:uid="{00000000-0005-0000-0000-00009A040000}"/>
    <cellStyle name="20% - Accent4 3 7" xfId="1224" xr:uid="{00000000-0005-0000-0000-00009B040000}"/>
    <cellStyle name="20% - Accent4 3 7 2" xfId="23964" xr:uid="{00000000-0005-0000-0000-00009C040000}"/>
    <cellStyle name="20% - Accent4 3 8" xfId="22798" xr:uid="{00000000-0005-0000-0000-00009D040000}"/>
    <cellStyle name="20% - Accent4 3 8 2" xfId="42709" xr:uid="{00000000-0005-0000-0000-00009E040000}"/>
    <cellStyle name="20% - Accent4 3 9" xfId="23101" xr:uid="{00000000-0005-0000-0000-00009F040000}"/>
    <cellStyle name="20% - Accent4 3 9 2" xfId="43012" xr:uid="{00000000-0005-0000-0000-0000A0040000}"/>
    <cellStyle name="20% - Accent4 4" xfId="435" xr:uid="{00000000-0005-0000-0000-0000A1040000}"/>
    <cellStyle name="20% - Accent4 4 10" xfId="23428" xr:uid="{00000000-0005-0000-0000-0000A2040000}"/>
    <cellStyle name="20% - Accent4 4 2" xfId="849" xr:uid="{00000000-0005-0000-0000-0000A3040000}"/>
    <cellStyle name="20% - Accent4 4 2 2" xfId="6288" xr:uid="{00000000-0005-0000-0000-0000A4040000}"/>
    <cellStyle name="20% - Accent4 4 2 2 2" xfId="9374" xr:uid="{00000000-0005-0000-0000-0000A5040000}"/>
    <cellStyle name="20% - Accent4 4 2 2 2 2" xfId="15567" xr:uid="{00000000-0005-0000-0000-0000A6040000}"/>
    <cellStyle name="20% - Accent4 4 2 2 2 2 2" xfId="35487" xr:uid="{00000000-0005-0000-0000-0000A7040000}"/>
    <cellStyle name="20% - Accent4 4 2 2 2 3" xfId="21719" xr:uid="{00000000-0005-0000-0000-0000A8040000}"/>
    <cellStyle name="20% - Accent4 4 2 2 2 3 2" xfId="41639" xr:uid="{00000000-0005-0000-0000-0000A9040000}"/>
    <cellStyle name="20% - Accent4 4 2 2 2 4" xfId="29334" xr:uid="{00000000-0005-0000-0000-0000AA040000}"/>
    <cellStyle name="20% - Accent4 4 2 2 3" xfId="12501" xr:uid="{00000000-0005-0000-0000-0000AB040000}"/>
    <cellStyle name="20% - Accent4 4 2 2 3 2" xfId="32421" xr:uid="{00000000-0005-0000-0000-0000AC040000}"/>
    <cellStyle name="20% - Accent4 4 2 2 4" xfId="18653" xr:uid="{00000000-0005-0000-0000-0000AD040000}"/>
    <cellStyle name="20% - Accent4 4 2 2 4 2" xfId="38573" xr:uid="{00000000-0005-0000-0000-0000AE040000}"/>
    <cellStyle name="20% - Accent4 4 2 2 5" xfId="26268" xr:uid="{00000000-0005-0000-0000-0000AF040000}"/>
    <cellStyle name="20% - Accent4 4 2 3" xfId="7839" xr:uid="{00000000-0005-0000-0000-0000B0040000}"/>
    <cellStyle name="20% - Accent4 4 2 3 2" xfId="14033" xr:uid="{00000000-0005-0000-0000-0000B1040000}"/>
    <cellStyle name="20% - Accent4 4 2 3 2 2" xfId="33953" xr:uid="{00000000-0005-0000-0000-0000B2040000}"/>
    <cellStyle name="20% - Accent4 4 2 3 3" xfId="20185" xr:uid="{00000000-0005-0000-0000-0000B3040000}"/>
    <cellStyle name="20% - Accent4 4 2 3 3 2" xfId="40105" xr:uid="{00000000-0005-0000-0000-0000B4040000}"/>
    <cellStyle name="20% - Accent4 4 2 3 4" xfId="27800" xr:uid="{00000000-0005-0000-0000-0000B5040000}"/>
    <cellStyle name="20% - Accent4 4 2 4" xfId="10967" xr:uid="{00000000-0005-0000-0000-0000B6040000}"/>
    <cellStyle name="20% - Accent4 4 2 4 2" xfId="30887" xr:uid="{00000000-0005-0000-0000-0000B7040000}"/>
    <cellStyle name="20% - Accent4 4 2 5" xfId="17119" xr:uid="{00000000-0005-0000-0000-0000B8040000}"/>
    <cellStyle name="20% - Accent4 4 2 5 2" xfId="37039" xr:uid="{00000000-0005-0000-0000-0000B9040000}"/>
    <cellStyle name="20% - Accent4 4 2 6" xfId="4663" xr:uid="{00000000-0005-0000-0000-0000BA040000}"/>
    <cellStyle name="20% - Accent4 4 2 6 2" xfId="24734" xr:uid="{00000000-0005-0000-0000-0000BB040000}"/>
    <cellStyle name="20% - Accent4 4 2 7" xfId="23731" xr:uid="{00000000-0005-0000-0000-0000BC040000}"/>
    <cellStyle name="20% - Accent4 4 3" xfId="5502" xr:uid="{00000000-0005-0000-0000-0000BD040000}"/>
    <cellStyle name="20% - Accent4 4 3 2" xfId="8605" xr:uid="{00000000-0005-0000-0000-0000BE040000}"/>
    <cellStyle name="20% - Accent4 4 3 2 2" xfId="14798" xr:uid="{00000000-0005-0000-0000-0000BF040000}"/>
    <cellStyle name="20% - Accent4 4 3 2 2 2" xfId="34718" xr:uid="{00000000-0005-0000-0000-0000C0040000}"/>
    <cellStyle name="20% - Accent4 4 3 2 3" xfId="20950" xr:uid="{00000000-0005-0000-0000-0000C1040000}"/>
    <cellStyle name="20% - Accent4 4 3 2 3 2" xfId="40870" xr:uid="{00000000-0005-0000-0000-0000C2040000}"/>
    <cellStyle name="20% - Accent4 4 3 2 4" xfId="28565" xr:uid="{00000000-0005-0000-0000-0000C3040000}"/>
    <cellStyle name="20% - Accent4 4 3 3" xfId="11732" xr:uid="{00000000-0005-0000-0000-0000C4040000}"/>
    <cellStyle name="20% - Accent4 4 3 3 2" xfId="31652" xr:uid="{00000000-0005-0000-0000-0000C5040000}"/>
    <cellStyle name="20% - Accent4 4 3 4" xfId="17884" xr:uid="{00000000-0005-0000-0000-0000C6040000}"/>
    <cellStyle name="20% - Accent4 4 3 4 2" xfId="37804" xr:uid="{00000000-0005-0000-0000-0000C7040000}"/>
    <cellStyle name="20% - Accent4 4 3 5" xfId="25499" xr:uid="{00000000-0005-0000-0000-0000C8040000}"/>
    <cellStyle name="20% - Accent4 4 4" xfId="7070" xr:uid="{00000000-0005-0000-0000-0000C9040000}"/>
    <cellStyle name="20% - Accent4 4 4 2" xfId="13264" xr:uid="{00000000-0005-0000-0000-0000CA040000}"/>
    <cellStyle name="20% - Accent4 4 4 2 2" xfId="33184" xr:uid="{00000000-0005-0000-0000-0000CB040000}"/>
    <cellStyle name="20% - Accent4 4 4 3" xfId="19416" xr:uid="{00000000-0005-0000-0000-0000CC040000}"/>
    <cellStyle name="20% - Accent4 4 4 3 2" xfId="39336" xr:uid="{00000000-0005-0000-0000-0000CD040000}"/>
    <cellStyle name="20% - Accent4 4 4 4" xfId="27031" xr:uid="{00000000-0005-0000-0000-0000CE040000}"/>
    <cellStyle name="20% - Accent4 4 5" xfId="10198" xr:uid="{00000000-0005-0000-0000-0000CF040000}"/>
    <cellStyle name="20% - Accent4 4 5 2" xfId="30118" xr:uid="{00000000-0005-0000-0000-0000D0040000}"/>
    <cellStyle name="20% - Accent4 4 6" xfId="16350" xr:uid="{00000000-0005-0000-0000-0000D1040000}"/>
    <cellStyle name="20% - Accent4 4 6 2" xfId="36270" xr:uid="{00000000-0005-0000-0000-0000D2040000}"/>
    <cellStyle name="20% - Accent4 4 7" xfId="1225" xr:uid="{00000000-0005-0000-0000-0000D3040000}"/>
    <cellStyle name="20% - Accent4 4 7 2" xfId="23965" xr:uid="{00000000-0005-0000-0000-0000D4040000}"/>
    <cellStyle name="20% - Accent4 4 8" xfId="22814" xr:uid="{00000000-0005-0000-0000-0000D5040000}"/>
    <cellStyle name="20% - Accent4 4 8 2" xfId="42725" xr:uid="{00000000-0005-0000-0000-0000D6040000}"/>
    <cellStyle name="20% - Accent4 4 9" xfId="23117" xr:uid="{00000000-0005-0000-0000-0000D7040000}"/>
    <cellStyle name="20% - Accent4 4 9 2" xfId="43028" xr:uid="{00000000-0005-0000-0000-0000D8040000}"/>
    <cellStyle name="20% - Accent4 5" xfId="463" xr:uid="{00000000-0005-0000-0000-0000D9040000}"/>
    <cellStyle name="20% - Accent4 5 10" xfId="23133" xr:uid="{00000000-0005-0000-0000-0000DA040000}"/>
    <cellStyle name="20% - Accent4 5 10 2" xfId="43044" xr:uid="{00000000-0005-0000-0000-0000DB040000}"/>
    <cellStyle name="20% - Accent4 5 11" xfId="23444" xr:uid="{00000000-0005-0000-0000-0000DC040000}"/>
    <cellStyle name="20% - Accent4 5 2" xfId="865" xr:uid="{00000000-0005-0000-0000-0000DD040000}"/>
    <cellStyle name="20% - Accent4 5 2 2" xfId="6289" xr:uid="{00000000-0005-0000-0000-0000DE040000}"/>
    <cellStyle name="20% - Accent4 5 2 2 2" xfId="9375" xr:uid="{00000000-0005-0000-0000-0000DF040000}"/>
    <cellStyle name="20% - Accent4 5 2 2 2 2" xfId="15568" xr:uid="{00000000-0005-0000-0000-0000E0040000}"/>
    <cellStyle name="20% - Accent4 5 2 2 2 2 2" xfId="35488" xr:uid="{00000000-0005-0000-0000-0000E1040000}"/>
    <cellStyle name="20% - Accent4 5 2 2 2 3" xfId="21720" xr:uid="{00000000-0005-0000-0000-0000E2040000}"/>
    <cellStyle name="20% - Accent4 5 2 2 2 3 2" xfId="41640" xr:uid="{00000000-0005-0000-0000-0000E3040000}"/>
    <cellStyle name="20% - Accent4 5 2 2 2 4" xfId="29335" xr:uid="{00000000-0005-0000-0000-0000E4040000}"/>
    <cellStyle name="20% - Accent4 5 2 2 3" xfId="12502" xr:uid="{00000000-0005-0000-0000-0000E5040000}"/>
    <cellStyle name="20% - Accent4 5 2 2 3 2" xfId="32422" xr:uid="{00000000-0005-0000-0000-0000E6040000}"/>
    <cellStyle name="20% - Accent4 5 2 2 4" xfId="18654" xr:uid="{00000000-0005-0000-0000-0000E7040000}"/>
    <cellStyle name="20% - Accent4 5 2 2 4 2" xfId="38574" xr:uid="{00000000-0005-0000-0000-0000E8040000}"/>
    <cellStyle name="20% - Accent4 5 2 2 5" xfId="26269" xr:uid="{00000000-0005-0000-0000-0000E9040000}"/>
    <cellStyle name="20% - Accent4 5 2 3" xfId="7840" xr:uid="{00000000-0005-0000-0000-0000EA040000}"/>
    <cellStyle name="20% - Accent4 5 2 3 2" xfId="14034" xr:uid="{00000000-0005-0000-0000-0000EB040000}"/>
    <cellStyle name="20% - Accent4 5 2 3 2 2" xfId="33954" xr:uid="{00000000-0005-0000-0000-0000EC040000}"/>
    <cellStyle name="20% - Accent4 5 2 3 3" xfId="20186" xr:uid="{00000000-0005-0000-0000-0000ED040000}"/>
    <cellStyle name="20% - Accent4 5 2 3 3 2" xfId="40106" xr:uid="{00000000-0005-0000-0000-0000EE040000}"/>
    <cellStyle name="20% - Accent4 5 2 3 4" xfId="27801" xr:uid="{00000000-0005-0000-0000-0000EF040000}"/>
    <cellStyle name="20% - Accent4 5 2 4" xfId="10968" xr:uid="{00000000-0005-0000-0000-0000F0040000}"/>
    <cellStyle name="20% - Accent4 5 2 4 2" xfId="30888" xr:uid="{00000000-0005-0000-0000-0000F1040000}"/>
    <cellStyle name="20% - Accent4 5 2 5" xfId="17120" xr:uid="{00000000-0005-0000-0000-0000F2040000}"/>
    <cellStyle name="20% - Accent4 5 2 5 2" xfId="37040" xr:uid="{00000000-0005-0000-0000-0000F3040000}"/>
    <cellStyle name="20% - Accent4 5 2 6" xfId="4664" xr:uid="{00000000-0005-0000-0000-0000F4040000}"/>
    <cellStyle name="20% - Accent4 5 2 6 2" xfId="24735" xr:uid="{00000000-0005-0000-0000-0000F5040000}"/>
    <cellStyle name="20% - Accent4 5 2 7" xfId="23747" xr:uid="{00000000-0005-0000-0000-0000F6040000}"/>
    <cellStyle name="20% - Accent4 5 3" xfId="5503" xr:uid="{00000000-0005-0000-0000-0000F7040000}"/>
    <cellStyle name="20% - Accent4 5 3 2" xfId="8606" xr:uid="{00000000-0005-0000-0000-0000F8040000}"/>
    <cellStyle name="20% - Accent4 5 3 2 2" xfId="14799" xr:uid="{00000000-0005-0000-0000-0000F9040000}"/>
    <cellStyle name="20% - Accent4 5 3 2 2 2" xfId="34719" xr:uid="{00000000-0005-0000-0000-0000FA040000}"/>
    <cellStyle name="20% - Accent4 5 3 2 3" xfId="20951" xr:uid="{00000000-0005-0000-0000-0000FB040000}"/>
    <cellStyle name="20% - Accent4 5 3 2 3 2" xfId="40871" xr:uid="{00000000-0005-0000-0000-0000FC040000}"/>
    <cellStyle name="20% - Accent4 5 3 2 4" xfId="28566" xr:uid="{00000000-0005-0000-0000-0000FD040000}"/>
    <cellStyle name="20% - Accent4 5 3 3" xfId="11733" xr:uid="{00000000-0005-0000-0000-0000FE040000}"/>
    <cellStyle name="20% - Accent4 5 3 3 2" xfId="31653" xr:uid="{00000000-0005-0000-0000-0000FF040000}"/>
    <cellStyle name="20% - Accent4 5 3 4" xfId="17885" xr:uid="{00000000-0005-0000-0000-000000050000}"/>
    <cellStyle name="20% - Accent4 5 3 4 2" xfId="37805" xr:uid="{00000000-0005-0000-0000-000001050000}"/>
    <cellStyle name="20% - Accent4 5 3 5" xfId="25500" xr:uid="{00000000-0005-0000-0000-000002050000}"/>
    <cellStyle name="20% - Accent4 5 4" xfId="7071" xr:uid="{00000000-0005-0000-0000-000003050000}"/>
    <cellStyle name="20% - Accent4 5 4 2" xfId="13265" xr:uid="{00000000-0005-0000-0000-000004050000}"/>
    <cellStyle name="20% - Accent4 5 4 2 2" xfId="33185" xr:uid="{00000000-0005-0000-0000-000005050000}"/>
    <cellStyle name="20% - Accent4 5 4 3" xfId="19417" xr:uid="{00000000-0005-0000-0000-000006050000}"/>
    <cellStyle name="20% - Accent4 5 4 3 2" xfId="39337" xr:uid="{00000000-0005-0000-0000-000007050000}"/>
    <cellStyle name="20% - Accent4 5 4 4" xfId="27032" xr:uid="{00000000-0005-0000-0000-000008050000}"/>
    <cellStyle name="20% - Accent4 5 5" xfId="10199" xr:uid="{00000000-0005-0000-0000-000009050000}"/>
    <cellStyle name="20% - Accent4 5 5 2" xfId="30119" xr:uid="{00000000-0005-0000-0000-00000A050000}"/>
    <cellStyle name="20% - Accent4 5 6" xfId="16351" xr:uid="{00000000-0005-0000-0000-00000B050000}"/>
    <cellStyle name="20% - Accent4 5 6 2" xfId="36271" xr:uid="{00000000-0005-0000-0000-00000C050000}"/>
    <cellStyle name="20% - Accent4 5 7" xfId="1226" xr:uid="{00000000-0005-0000-0000-00000D050000}"/>
    <cellStyle name="20% - Accent4 5 7 2" xfId="23966" xr:uid="{00000000-0005-0000-0000-00000E050000}"/>
    <cellStyle name="20% - Accent4 5 8" xfId="22491" xr:uid="{00000000-0005-0000-0000-00000F050000}"/>
    <cellStyle name="20% - Accent4 5 8 2" xfId="42402" xr:uid="{00000000-0005-0000-0000-000010050000}"/>
    <cellStyle name="20% - Accent4 5 9" xfId="22830" xr:uid="{00000000-0005-0000-0000-000011050000}"/>
    <cellStyle name="20% - Accent4 5 9 2" xfId="42741" xr:uid="{00000000-0005-0000-0000-000012050000}"/>
    <cellStyle name="20% - Accent4 6" xfId="488" xr:uid="{00000000-0005-0000-0000-000013050000}"/>
    <cellStyle name="20% - Accent4 6 2" xfId="881" xr:uid="{00000000-0005-0000-0000-000014050000}"/>
    <cellStyle name="20% - Accent4 6 2 2" xfId="23763" xr:uid="{00000000-0005-0000-0000-000015050000}"/>
    <cellStyle name="20% - Accent4 6 3" xfId="1227" xr:uid="{00000000-0005-0000-0000-000016050000}"/>
    <cellStyle name="20% - Accent4 6 4" xfId="22654" xr:uid="{00000000-0005-0000-0000-000017050000}"/>
    <cellStyle name="20% - Accent4 6 4 2" xfId="42565" xr:uid="{00000000-0005-0000-0000-000018050000}"/>
    <cellStyle name="20% - Accent4 6 5" xfId="22846" xr:uid="{00000000-0005-0000-0000-000019050000}"/>
    <cellStyle name="20% - Accent4 6 5 2" xfId="42757" xr:uid="{00000000-0005-0000-0000-00001A050000}"/>
    <cellStyle name="20% - Accent4 6 6" xfId="23149" xr:uid="{00000000-0005-0000-0000-00001B050000}"/>
    <cellStyle name="20% - Accent4 6 6 2" xfId="43060" xr:uid="{00000000-0005-0000-0000-00001C050000}"/>
    <cellStyle name="20% - Accent4 6 7" xfId="23460" xr:uid="{00000000-0005-0000-0000-00001D050000}"/>
    <cellStyle name="20% - Accent4 7" xfId="513" xr:uid="{00000000-0005-0000-0000-00001E050000}"/>
    <cellStyle name="20% - Accent4 7 2" xfId="897" xr:uid="{00000000-0005-0000-0000-00001F050000}"/>
    <cellStyle name="20% - Accent4 7 2 2" xfId="23779" xr:uid="{00000000-0005-0000-0000-000020050000}"/>
    <cellStyle name="20% - Accent4 7 3" xfId="22669" xr:uid="{00000000-0005-0000-0000-000021050000}"/>
    <cellStyle name="20% - Accent4 7 3 2" xfId="42580" xr:uid="{00000000-0005-0000-0000-000022050000}"/>
    <cellStyle name="20% - Accent4 7 4" xfId="22862" xr:uid="{00000000-0005-0000-0000-000023050000}"/>
    <cellStyle name="20% - Accent4 7 4 2" xfId="42773" xr:uid="{00000000-0005-0000-0000-000024050000}"/>
    <cellStyle name="20% - Accent4 7 5" xfId="23165" xr:uid="{00000000-0005-0000-0000-000025050000}"/>
    <cellStyle name="20% - Accent4 7 5 2" xfId="43076" xr:uid="{00000000-0005-0000-0000-000026050000}"/>
    <cellStyle name="20% - Accent4 7 6" xfId="23476" xr:uid="{00000000-0005-0000-0000-000027050000}"/>
    <cellStyle name="20% - Accent4 8" xfId="538" xr:uid="{00000000-0005-0000-0000-000028050000}"/>
    <cellStyle name="20% - Accent4 8 2" xfId="913" xr:uid="{00000000-0005-0000-0000-000029050000}"/>
    <cellStyle name="20% - Accent4 8 2 2" xfId="23795" xr:uid="{00000000-0005-0000-0000-00002A050000}"/>
    <cellStyle name="20% - Accent4 8 3" xfId="22693" xr:uid="{00000000-0005-0000-0000-00002B050000}"/>
    <cellStyle name="20% - Accent4 8 3 2" xfId="42604" xr:uid="{00000000-0005-0000-0000-00002C050000}"/>
    <cellStyle name="20% - Accent4 8 4" xfId="22878" xr:uid="{00000000-0005-0000-0000-00002D050000}"/>
    <cellStyle name="20% - Accent4 8 4 2" xfId="42789" xr:uid="{00000000-0005-0000-0000-00002E050000}"/>
    <cellStyle name="20% - Accent4 8 5" xfId="23181" xr:uid="{00000000-0005-0000-0000-00002F050000}"/>
    <cellStyle name="20% - Accent4 8 5 2" xfId="43092" xr:uid="{00000000-0005-0000-0000-000030050000}"/>
    <cellStyle name="20% - Accent4 8 6" xfId="23492" xr:uid="{00000000-0005-0000-0000-000031050000}"/>
    <cellStyle name="20% - Accent4 9" xfId="577" xr:uid="{00000000-0005-0000-0000-000032050000}"/>
    <cellStyle name="20% - Accent4 9 2" xfId="929" xr:uid="{00000000-0005-0000-0000-000033050000}"/>
    <cellStyle name="20% - Accent4 9 2 2" xfId="23811" xr:uid="{00000000-0005-0000-0000-000034050000}"/>
    <cellStyle name="20% - Accent4 9 3" xfId="22528" xr:uid="{00000000-0005-0000-0000-000035050000}"/>
    <cellStyle name="20% - Accent4 9 3 2" xfId="42439" xr:uid="{00000000-0005-0000-0000-000036050000}"/>
    <cellStyle name="20% - Accent4 9 4" xfId="22894" xr:uid="{00000000-0005-0000-0000-000037050000}"/>
    <cellStyle name="20% - Accent4 9 4 2" xfId="42805" xr:uid="{00000000-0005-0000-0000-000038050000}"/>
    <cellStyle name="20% - Accent4 9 5" xfId="23197" xr:uid="{00000000-0005-0000-0000-000039050000}"/>
    <cellStyle name="20% - Accent4 9 5 2" xfId="43108" xr:uid="{00000000-0005-0000-0000-00003A050000}"/>
    <cellStyle name="20% - Accent4 9 6" xfId="23508" xr:uid="{00000000-0005-0000-0000-00003B050000}"/>
    <cellStyle name="20% - Accent5" xfId="78" builtinId="46" customBuiltin="1"/>
    <cellStyle name="20% - Accent5 10" xfId="609" xr:uid="{00000000-0005-0000-0000-00003D050000}"/>
    <cellStyle name="20% - Accent5 10 2" xfId="947" xr:uid="{00000000-0005-0000-0000-00003E050000}"/>
    <cellStyle name="20% - Accent5 10 2 2" xfId="23829" xr:uid="{00000000-0005-0000-0000-00003F050000}"/>
    <cellStyle name="20% - Accent5 10 3" xfId="22641" xr:uid="{00000000-0005-0000-0000-000040050000}"/>
    <cellStyle name="20% - Accent5 10 3 2" xfId="42552" xr:uid="{00000000-0005-0000-0000-000041050000}"/>
    <cellStyle name="20% - Accent5 10 4" xfId="22912" xr:uid="{00000000-0005-0000-0000-000042050000}"/>
    <cellStyle name="20% - Accent5 10 4 2" xfId="42823" xr:uid="{00000000-0005-0000-0000-000043050000}"/>
    <cellStyle name="20% - Accent5 10 5" xfId="23215" xr:uid="{00000000-0005-0000-0000-000044050000}"/>
    <cellStyle name="20% - Accent5 10 5 2" xfId="43126" xr:uid="{00000000-0005-0000-0000-000045050000}"/>
    <cellStyle name="20% - Accent5 10 6" xfId="23526" xr:uid="{00000000-0005-0000-0000-000046050000}"/>
    <cellStyle name="20% - Accent5 11" xfId="635" xr:uid="{00000000-0005-0000-0000-000047050000}"/>
    <cellStyle name="20% - Accent5 11 2" xfId="963" xr:uid="{00000000-0005-0000-0000-000048050000}"/>
    <cellStyle name="20% - Accent5 11 2 2" xfId="23845" xr:uid="{00000000-0005-0000-0000-000049050000}"/>
    <cellStyle name="20% - Accent5 11 3" xfId="22606" xr:uid="{00000000-0005-0000-0000-00004A050000}"/>
    <cellStyle name="20% - Accent5 11 3 2" xfId="42517" xr:uid="{00000000-0005-0000-0000-00004B050000}"/>
    <cellStyle name="20% - Accent5 11 4" xfId="22928" xr:uid="{00000000-0005-0000-0000-00004C050000}"/>
    <cellStyle name="20% - Accent5 11 4 2" xfId="42839" xr:uid="{00000000-0005-0000-0000-00004D050000}"/>
    <cellStyle name="20% - Accent5 11 5" xfId="23231" xr:uid="{00000000-0005-0000-0000-00004E050000}"/>
    <cellStyle name="20% - Accent5 11 5 2" xfId="43142" xr:uid="{00000000-0005-0000-0000-00004F050000}"/>
    <cellStyle name="20% - Accent5 11 6" xfId="23542" xr:uid="{00000000-0005-0000-0000-000050050000}"/>
    <cellStyle name="20% - Accent5 12" xfId="661" xr:uid="{00000000-0005-0000-0000-000051050000}"/>
    <cellStyle name="20% - Accent5 12 2" xfId="979" xr:uid="{00000000-0005-0000-0000-000052050000}"/>
    <cellStyle name="20% - Accent5 12 2 2" xfId="23861" xr:uid="{00000000-0005-0000-0000-000053050000}"/>
    <cellStyle name="20% - Accent5 12 3" xfId="22566" xr:uid="{00000000-0005-0000-0000-000054050000}"/>
    <cellStyle name="20% - Accent5 12 3 2" xfId="42477" xr:uid="{00000000-0005-0000-0000-000055050000}"/>
    <cellStyle name="20% - Accent5 12 4" xfId="22944" xr:uid="{00000000-0005-0000-0000-000056050000}"/>
    <cellStyle name="20% - Accent5 12 4 2" xfId="42855" xr:uid="{00000000-0005-0000-0000-000057050000}"/>
    <cellStyle name="20% - Accent5 12 5" xfId="23247" xr:uid="{00000000-0005-0000-0000-000058050000}"/>
    <cellStyle name="20% - Accent5 12 5 2" xfId="43158" xr:uid="{00000000-0005-0000-0000-000059050000}"/>
    <cellStyle name="20% - Accent5 12 6" xfId="23558" xr:uid="{00000000-0005-0000-0000-00005A050000}"/>
    <cellStyle name="20% - Accent5 13" xfId="685" xr:uid="{00000000-0005-0000-0000-00005B050000}"/>
    <cellStyle name="20% - Accent5 13 2" xfId="995" xr:uid="{00000000-0005-0000-0000-00005C050000}"/>
    <cellStyle name="20% - Accent5 13 2 2" xfId="23877" xr:uid="{00000000-0005-0000-0000-00005D050000}"/>
    <cellStyle name="20% - Accent5 13 3" xfId="22544" xr:uid="{00000000-0005-0000-0000-00005E050000}"/>
    <cellStyle name="20% - Accent5 13 3 2" xfId="42455" xr:uid="{00000000-0005-0000-0000-00005F050000}"/>
    <cellStyle name="20% - Accent5 13 4" xfId="22960" xr:uid="{00000000-0005-0000-0000-000060050000}"/>
    <cellStyle name="20% - Accent5 13 4 2" xfId="42871" xr:uid="{00000000-0005-0000-0000-000061050000}"/>
    <cellStyle name="20% - Accent5 13 5" xfId="23263" xr:uid="{00000000-0005-0000-0000-000062050000}"/>
    <cellStyle name="20% - Accent5 13 5 2" xfId="43174" xr:uid="{00000000-0005-0000-0000-000063050000}"/>
    <cellStyle name="20% - Accent5 13 6" xfId="23574" xr:uid="{00000000-0005-0000-0000-000064050000}"/>
    <cellStyle name="20% - Accent5 14" xfId="703" xr:uid="{00000000-0005-0000-0000-000065050000}"/>
    <cellStyle name="20% - Accent5 14 2" xfId="1011" xr:uid="{00000000-0005-0000-0000-000066050000}"/>
    <cellStyle name="20% - Accent5 14 2 2" xfId="23893" xr:uid="{00000000-0005-0000-0000-000067050000}"/>
    <cellStyle name="20% - Accent5 14 3" xfId="22597" xr:uid="{00000000-0005-0000-0000-000068050000}"/>
    <cellStyle name="20% - Accent5 14 3 2" xfId="42508" xr:uid="{00000000-0005-0000-0000-000069050000}"/>
    <cellStyle name="20% - Accent5 14 4" xfId="22976" xr:uid="{00000000-0005-0000-0000-00006A050000}"/>
    <cellStyle name="20% - Accent5 14 4 2" xfId="42887" xr:uid="{00000000-0005-0000-0000-00006B050000}"/>
    <cellStyle name="20% - Accent5 14 5" xfId="23279" xr:uid="{00000000-0005-0000-0000-00006C050000}"/>
    <cellStyle name="20% - Accent5 14 5 2" xfId="43190" xr:uid="{00000000-0005-0000-0000-00006D050000}"/>
    <cellStyle name="20% - Accent5 14 6" xfId="23590" xr:uid="{00000000-0005-0000-0000-00006E050000}"/>
    <cellStyle name="20% - Accent5 15" xfId="719" xr:uid="{00000000-0005-0000-0000-00006F050000}"/>
    <cellStyle name="20% - Accent5 15 2" xfId="1027" xr:uid="{00000000-0005-0000-0000-000070050000}"/>
    <cellStyle name="20% - Accent5 15 2 2" xfId="23909" xr:uid="{00000000-0005-0000-0000-000071050000}"/>
    <cellStyle name="20% - Accent5 15 3" xfId="22560" xr:uid="{00000000-0005-0000-0000-000072050000}"/>
    <cellStyle name="20% - Accent5 15 3 2" xfId="42471" xr:uid="{00000000-0005-0000-0000-000073050000}"/>
    <cellStyle name="20% - Accent5 15 4" xfId="22992" xr:uid="{00000000-0005-0000-0000-000074050000}"/>
    <cellStyle name="20% - Accent5 15 4 2" xfId="42903" xr:uid="{00000000-0005-0000-0000-000075050000}"/>
    <cellStyle name="20% - Accent5 15 5" xfId="23295" xr:uid="{00000000-0005-0000-0000-000076050000}"/>
    <cellStyle name="20% - Accent5 15 5 2" xfId="43206" xr:uid="{00000000-0005-0000-0000-000077050000}"/>
    <cellStyle name="20% - Accent5 15 6" xfId="23606" xr:uid="{00000000-0005-0000-0000-000078050000}"/>
    <cellStyle name="20% - Accent5 16" xfId="743" xr:uid="{00000000-0005-0000-0000-000079050000}"/>
    <cellStyle name="20% - Accent5 16 2" xfId="23625" xr:uid="{00000000-0005-0000-0000-00007A050000}"/>
    <cellStyle name="20% - Accent5 17" xfId="22708" xr:uid="{00000000-0005-0000-0000-00007B050000}"/>
    <cellStyle name="20% - Accent5 17 2" xfId="42619" xr:uid="{00000000-0005-0000-0000-00007C050000}"/>
    <cellStyle name="20% - Accent5 18" xfId="23011" xr:uid="{00000000-0005-0000-0000-00007D050000}"/>
    <cellStyle name="20% - Accent5 18 2" xfId="42922" xr:uid="{00000000-0005-0000-0000-00007E050000}"/>
    <cellStyle name="20% - Accent5 19" xfId="23315" xr:uid="{00000000-0005-0000-0000-00007F050000}"/>
    <cellStyle name="20% - Accent5 2" xfId="382" xr:uid="{00000000-0005-0000-0000-000080050000}"/>
    <cellStyle name="20% - Accent5 2 10" xfId="23398" xr:uid="{00000000-0005-0000-0000-000081050000}"/>
    <cellStyle name="20% - Accent5 2 2" xfId="819" xr:uid="{00000000-0005-0000-0000-000082050000}"/>
    <cellStyle name="20% - Accent5 2 2 2" xfId="6290" xr:uid="{00000000-0005-0000-0000-000083050000}"/>
    <cellStyle name="20% - Accent5 2 2 2 2" xfId="9376" xr:uid="{00000000-0005-0000-0000-000084050000}"/>
    <cellStyle name="20% - Accent5 2 2 2 2 2" xfId="15569" xr:uid="{00000000-0005-0000-0000-000085050000}"/>
    <cellStyle name="20% - Accent5 2 2 2 2 2 2" xfId="35489" xr:uid="{00000000-0005-0000-0000-000086050000}"/>
    <cellStyle name="20% - Accent5 2 2 2 2 3" xfId="21721" xr:uid="{00000000-0005-0000-0000-000087050000}"/>
    <cellStyle name="20% - Accent5 2 2 2 2 3 2" xfId="41641" xr:uid="{00000000-0005-0000-0000-000088050000}"/>
    <cellStyle name="20% - Accent5 2 2 2 2 4" xfId="29336" xr:uid="{00000000-0005-0000-0000-000089050000}"/>
    <cellStyle name="20% - Accent5 2 2 2 3" xfId="12503" xr:uid="{00000000-0005-0000-0000-00008A050000}"/>
    <cellStyle name="20% - Accent5 2 2 2 3 2" xfId="32423" xr:uid="{00000000-0005-0000-0000-00008B050000}"/>
    <cellStyle name="20% - Accent5 2 2 2 4" xfId="18655" xr:uid="{00000000-0005-0000-0000-00008C050000}"/>
    <cellStyle name="20% - Accent5 2 2 2 4 2" xfId="38575" xr:uid="{00000000-0005-0000-0000-00008D050000}"/>
    <cellStyle name="20% - Accent5 2 2 2 5" xfId="26270" xr:uid="{00000000-0005-0000-0000-00008E050000}"/>
    <cellStyle name="20% - Accent5 2 2 3" xfId="7841" xr:uid="{00000000-0005-0000-0000-00008F050000}"/>
    <cellStyle name="20% - Accent5 2 2 3 2" xfId="14035" xr:uid="{00000000-0005-0000-0000-000090050000}"/>
    <cellStyle name="20% - Accent5 2 2 3 2 2" xfId="33955" xr:uid="{00000000-0005-0000-0000-000091050000}"/>
    <cellStyle name="20% - Accent5 2 2 3 3" xfId="20187" xr:uid="{00000000-0005-0000-0000-000092050000}"/>
    <cellStyle name="20% - Accent5 2 2 3 3 2" xfId="40107" xr:uid="{00000000-0005-0000-0000-000093050000}"/>
    <cellStyle name="20% - Accent5 2 2 3 4" xfId="27802" xr:uid="{00000000-0005-0000-0000-000094050000}"/>
    <cellStyle name="20% - Accent5 2 2 4" xfId="10969" xr:uid="{00000000-0005-0000-0000-000095050000}"/>
    <cellStyle name="20% - Accent5 2 2 4 2" xfId="30889" xr:uid="{00000000-0005-0000-0000-000096050000}"/>
    <cellStyle name="20% - Accent5 2 2 5" xfId="17121" xr:uid="{00000000-0005-0000-0000-000097050000}"/>
    <cellStyle name="20% - Accent5 2 2 5 2" xfId="37041" xr:uid="{00000000-0005-0000-0000-000098050000}"/>
    <cellStyle name="20% - Accent5 2 2 6" xfId="4665" xr:uid="{00000000-0005-0000-0000-000099050000}"/>
    <cellStyle name="20% - Accent5 2 2 6 2" xfId="24736" xr:uid="{00000000-0005-0000-0000-00009A050000}"/>
    <cellStyle name="20% - Accent5 2 2 7" xfId="23701" xr:uid="{00000000-0005-0000-0000-00009B050000}"/>
    <cellStyle name="20% - Accent5 2 3" xfId="5504" xr:uid="{00000000-0005-0000-0000-00009C050000}"/>
    <cellStyle name="20% - Accent5 2 3 2" xfId="8607" xr:uid="{00000000-0005-0000-0000-00009D050000}"/>
    <cellStyle name="20% - Accent5 2 3 2 2" xfId="14800" xr:uid="{00000000-0005-0000-0000-00009E050000}"/>
    <cellStyle name="20% - Accent5 2 3 2 2 2" xfId="34720" xr:uid="{00000000-0005-0000-0000-00009F050000}"/>
    <cellStyle name="20% - Accent5 2 3 2 3" xfId="20952" xr:uid="{00000000-0005-0000-0000-0000A0050000}"/>
    <cellStyle name="20% - Accent5 2 3 2 3 2" xfId="40872" xr:uid="{00000000-0005-0000-0000-0000A1050000}"/>
    <cellStyle name="20% - Accent5 2 3 2 4" xfId="28567" xr:uid="{00000000-0005-0000-0000-0000A2050000}"/>
    <cellStyle name="20% - Accent5 2 3 3" xfId="11734" xr:uid="{00000000-0005-0000-0000-0000A3050000}"/>
    <cellStyle name="20% - Accent5 2 3 3 2" xfId="31654" xr:uid="{00000000-0005-0000-0000-0000A4050000}"/>
    <cellStyle name="20% - Accent5 2 3 4" xfId="17886" xr:uid="{00000000-0005-0000-0000-0000A5050000}"/>
    <cellStyle name="20% - Accent5 2 3 4 2" xfId="37806" xr:uid="{00000000-0005-0000-0000-0000A6050000}"/>
    <cellStyle name="20% - Accent5 2 3 5" xfId="25501" xr:uid="{00000000-0005-0000-0000-0000A7050000}"/>
    <cellStyle name="20% - Accent5 2 4" xfId="7072" xr:uid="{00000000-0005-0000-0000-0000A8050000}"/>
    <cellStyle name="20% - Accent5 2 4 2" xfId="13266" xr:uid="{00000000-0005-0000-0000-0000A9050000}"/>
    <cellStyle name="20% - Accent5 2 4 2 2" xfId="33186" xr:uid="{00000000-0005-0000-0000-0000AA050000}"/>
    <cellStyle name="20% - Accent5 2 4 3" xfId="19418" xr:uid="{00000000-0005-0000-0000-0000AB050000}"/>
    <cellStyle name="20% - Accent5 2 4 3 2" xfId="39338" xr:uid="{00000000-0005-0000-0000-0000AC050000}"/>
    <cellStyle name="20% - Accent5 2 4 4" xfId="27033" xr:uid="{00000000-0005-0000-0000-0000AD050000}"/>
    <cellStyle name="20% - Accent5 2 5" xfId="10200" xr:uid="{00000000-0005-0000-0000-0000AE050000}"/>
    <cellStyle name="20% - Accent5 2 5 2" xfId="30120" xr:uid="{00000000-0005-0000-0000-0000AF050000}"/>
    <cellStyle name="20% - Accent5 2 6" xfId="16352" xr:uid="{00000000-0005-0000-0000-0000B0050000}"/>
    <cellStyle name="20% - Accent5 2 6 2" xfId="36272" xr:uid="{00000000-0005-0000-0000-0000B1050000}"/>
    <cellStyle name="20% - Accent5 2 7" xfId="1228" xr:uid="{00000000-0005-0000-0000-0000B2050000}"/>
    <cellStyle name="20% - Accent5 2 7 2" xfId="23967" xr:uid="{00000000-0005-0000-0000-0000B3050000}"/>
    <cellStyle name="20% - Accent5 2 8" xfId="22784" xr:uid="{00000000-0005-0000-0000-0000B4050000}"/>
    <cellStyle name="20% - Accent5 2 8 2" xfId="42695" xr:uid="{00000000-0005-0000-0000-0000B5050000}"/>
    <cellStyle name="20% - Accent5 2 9" xfId="23087" xr:uid="{00000000-0005-0000-0000-0000B6050000}"/>
    <cellStyle name="20% - Accent5 2 9 2" xfId="42998" xr:uid="{00000000-0005-0000-0000-0000B7050000}"/>
    <cellStyle name="20% - Accent5 3" xfId="412" xr:uid="{00000000-0005-0000-0000-0000B8050000}"/>
    <cellStyle name="20% - Accent5 3 10" xfId="23414" xr:uid="{00000000-0005-0000-0000-0000B9050000}"/>
    <cellStyle name="20% - Accent5 3 2" xfId="835" xr:uid="{00000000-0005-0000-0000-0000BA050000}"/>
    <cellStyle name="20% - Accent5 3 2 2" xfId="6291" xr:uid="{00000000-0005-0000-0000-0000BB050000}"/>
    <cellStyle name="20% - Accent5 3 2 2 2" xfId="9377" xr:uid="{00000000-0005-0000-0000-0000BC050000}"/>
    <cellStyle name="20% - Accent5 3 2 2 2 2" xfId="15570" xr:uid="{00000000-0005-0000-0000-0000BD050000}"/>
    <cellStyle name="20% - Accent5 3 2 2 2 2 2" xfId="35490" xr:uid="{00000000-0005-0000-0000-0000BE050000}"/>
    <cellStyle name="20% - Accent5 3 2 2 2 3" xfId="21722" xr:uid="{00000000-0005-0000-0000-0000BF050000}"/>
    <cellStyle name="20% - Accent5 3 2 2 2 3 2" xfId="41642" xr:uid="{00000000-0005-0000-0000-0000C0050000}"/>
    <cellStyle name="20% - Accent5 3 2 2 2 4" xfId="29337" xr:uid="{00000000-0005-0000-0000-0000C1050000}"/>
    <cellStyle name="20% - Accent5 3 2 2 3" xfId="12504" xr:uid="{00000000-0005-0000-0000-0000C2050000}"/>
    <cellStyle name="20% - Accent5 3 2 2 3 2" xfId="32424" xr:uid="{00000000-0005-0000-0000-0000C3050000}"/>
    <cellStyle name="20% - Accent5 3 2 2 4" xfId="18656" xr:uid="{00000000-0005-0000-0000-0000C4050000}"/>
    <cellStyle name="20% - Accent5 3 2 2 4 2" xfId="38576" xr:uid="{00000000-0005-0000-0000-0000C5050000}"/>
    <cellStyle name="20% - Accent5 3 2 2 5" xfId="26271" xr:uid="{00000000-0005-0000-0000-0000C6050000}"/>
    <cellStyle name="20% - Accent5 3 2 3" xfId="7842" xr:uid="{00000000-0005-0000-0000-0000C7050000}"/>
    <cellStyle name="20% - Accent5 3 2 3 2" xfId="14036" xr:uid="{00000000-0005-0000-0000-0000C8050000}"/>
    <cellStyle name="20% - Accent5 3 2 3 2 2" xfId="33956" xr:uid="{00000000-0005-0000-0000-0000C9050000}"/>
    <cellStyle name="20% - Accent5 3 2 3 3" xfId="20188" xr:uid="{00000000-0005-0000-0000-0000CA050000}"/>
    <cellStyle name="20% - Accent5 3 2 3 3 2" xfId="40108" xr:uid="{00000000-0005-0000-0000-0000CB050000}"/>
    <cellStyle name="20% - Accent5 3 2 3 4" xfId="27803" xr:uid="{00000000-0005-0000-0000-0000CC050000}"/>
    <cellStyle name="20% - Accent5 3 2 4" xfId="10970" xr:uid="{00000000-0005-0000-0000-0000CD050000}"/>
    <cellStyle name="20% - Accent5 3 2 4 2" xfId="30890" xr:uid="{00000000-0005-0000-0000-0000CE050000}"/>
    <cellStyle name="20% - Accent5 3 2 5" xfId="17122" xr:uid="{00000000-0005-0000-0000-0000CF050000}"/>
    <cellStyle name="20% - Accent5 3 2 5 2" xfId="37042" xr:uid="{00000000-0005-0000-0000-0000D0050000}"/>
    <cellStyle name="20% - Accent5 3 2 6" xfId="4666" xr:uid="{00000000-0005-0000-0000-0000D1050000}"/>
    <cellStyle name="20% - Accent5 3 2 6 2" xfId="24737" xr:uid="{00000000-0005-0000-0000-0000D2050000}"/>
    <cellStyle name="20% - Accent5 3 2 7" xfId="23717" xr:uid="{00000000-0005-0000-0000-0000D3050000}"/>
    <cellStyle name="20% - Accent5 3 3" xfId="5505" xr:uid="{00000000-0005-0000-0000-0000D4050000}"/>
    <cellStyle name="20% - Accent5 3 3 2" xfId="8608" xr:uid="{00000000-0005-0000-0000-0000D5050000}"/>
    <cellStyle name="20% - Accent5 3 3 2 2" xfId="14801" xr:uid="{00000000-0005-0000-0000-0000D6050000}"/>
    <cellStyle name="20% - Accent5 3 3 2 2 2" xfId="34721" xr:uid="{00000000-0005-0000-0000-0000D7050000}"/>
    <cellStyle name="20% - Accent5 3 3 2 3" xfId="20953" xr:uid="{00000000-0005-0000-0000-0000D8050000}"/>
    <cellStyle name="20% - Accent5 3 3 2 3 2" xfId="40873" xr:uid="{00000000-0005-0000-0000-0000D9050000}"/>
    <cellStyle name="20% - Accent5 3 3 2 4" xfId="28568" xr:uid="{00000000-0005-0000-0000-0000DA050000}"/>
    <cellStyle name="20% - Accent5 3 3 3" xfId="11735" xr:uid="{00000000-0005-0000-0000-0000DB050000}"/>
    <cellStyle name="20% - Accent5 3 3 3 2" xfId="31655" xr:uid="{00000000-0005-0000-0000-0000DC050000}"/>
    <cellStyle name="20% - Accent5 3 3 4" xfId="17887" xr:uid="{00000000-0005-0000-0000-0000DD050000}"/>
    <cellStyle name="20% - Accent5 3 3 4 2" xfId="37807" xr:uid="{00000000-0005-0000-0000-0000DE050000}"/>
    <cellStyle name="20% - Accent5 3 3 5" xfId="25502" xr:uid="{00000000-0005-0000-0000-0000DF050000}"/>
    <cellStyle name="20% - Accent5 3 4" xfId="7073" xr:uid="{00000000-0005-0000-0000-0000E0050000}"/>
    <cellStyle name="20% - Accent5 3 4 2" xfId="13267" xr:uid="{00000000-0005-0000-0000-0000E1050000}"/>
    <cellStyle name="20% - Accent5 3 4 2 2" xfId="33187" xr:uid="{00000000-0005-0000-0000-0000E2050000}"/>
    <cellStyle name="20% - Accent5 3 4 3" xfId="19419" xr:uid="{00000000-0005-0000-0000-0000E3050000}"/>
    <cellStyle name="20% - Accent5 3 4 3 2" xfId="39339" xr:uid="{00000000-0005-0000-0000-0000E4050000}"/>
    <cellStyle name="20% - Accent5 3 4 4" xfId="27034" xr:uid="{00000000-0005-0000-0000-0000E5050000}"/>
    <cellStyle name="20% - Accent5 3 5" xfId="10201" xr:uid="{00000000-0005-0000-0000-0000E6050000}"/>
    <cellStyle name="20% - Accent5 3 5 2" xfId="30121" xr:uid="{00000000-0005-0000-0000-0000E7050000}"/>
    <cellStyle name="20% - Accent5 3 6" xfId="16353" xr:uid="{00000000-0005-0000-0000-0000E8050000}"/>
    <cellStyle name="20% - Accent5 3 6 2" xfId="36273" xr:uid="{00000000-0005-0000-0000-0000E9050000}"/>
    <cellStyle name="20% - Accent5 3 7" xfId="1229" xr:uid="{00000000-0005-0000-0000-0000EA050000}"/>
    <cellStyle name="20% - Accent5 3 7 2" xfId="23968" xr:uid="{00000000-0005-0000-0000-0000EB050000}"/>
    <cellStyle name="20% - Accent5 3 8" xfId="22800" xr:uid="{00000000-0005-0000-0000-0000EC050000}"/>
    <cellStyle name="20% - Accent5 3 8 2" xfId="42711" xr:uid="{00000000-0005-0000-0000-0000ED050000}"/>
    <cellStyle name="20% - Accent5 3 9" xfId="23103" xr:uid="{00000000-0005-0000-0000-0000EE050000}"/>
    <cellStyle name="20% - Accent5 3 9 2" xfId="43014" xr:uid="{00000000-0005-0000-0000-0000EF050000}"/>
    <cellStyle name="20% - Accent5 4" xfId="439" xr:uid="{00000000-0005-0000-0000-0000F0050000}"/>
    <cellStyle name="20% - Accent5 4 10" xfId="23430" xr:uid="{00000000-0005-0000-0000-0000F1050000}"/>
    <cellStyle name="20% - Accent5 4 2" xfId="851" xr:uid="{00000000-0005-0000-0000-0000F2050000}"/>
    <cellStyle name="20% - Accent5 4 2 2" xfId="6292" xr:uid="{00000000-0005-0000-0000-0000F3050000}"/>
    <cellStyle name="20% - Accent5 4 2 2 2" xfId="9378" xr:uid="{00000000-0005-0000-0000-0000F4050000}"/>
    <cellStyle name="20% - Accent5 4 2 2 2 2" xfId="15571" xr:uid="{00000000-0005-0000-0000-0000F5050000}"/>
    <cellStyle name="20% - Accent5 4 2 2 2 2 2" xfId="35491" xr:uid="{00000000-0005-0000-0000-0000F6050000}"/>
    <cellStyle name="20% - Accent5 4 2 2 2 3" xfId="21723" xr:uid="{00000000-0005-0000-0000-0000F7050000}"/>
    <cellStyle name="20% - Accent5 4 2 2 2 3 2" xfId="41643" xr:uid="{00000000-0005-0000-0000-0000F8050000}"/>
    <cellStyle name="20% - Accent5 4 2 2 2 4" xfId="29338" xr:uid="{00000000-0005-0000-0000-0000F9050000}"/>
    <cellStyle name="20% - Accent5 4 2 2 3" xfId="12505" xr:uid="{00000000-0005-0000-0000-0000FA050000}"/>
    <cellStyle name="20% - Accent5 4 2 2 3 2" xfId="32425" xr:uid="{00000000-0005-0000-0000-0000FB050000}"/>
    <cellStyle name="20% - Accent5 4 2 2 4" xfId="18657" xr:uid="{00000000-0005-0000-0000-0000FC050000}"/>
    <cellStyle name="20% - Accent5 4 2 2 4 2" xfId="38577" xr:uid="{00000000-0005-0000-0000-0000FD050000}"/>
    <cellStyle name="20% - Accent5 4 2 2 5" xfId="26272" xr:uid="{00000000-0005-0000-0000-0000FE050000}"/>
    <cellStyle name="20% - Accent5 4 2 3" xfId="7843" xr:uid="{00000000-0005-0000-0000-0000FF050000}"/>
    <cellStyle name="20% - Accent5 4 2 3 2" xfId="14037" xr:uid="{00000000-0005-0000-0000-000000060000}"/>
    <cellStyle name="20% - Accent5 4 2 3 2 2" xfId="33957" xr:uid="{00000000-0005-0000-0000-000001060000}"/>
    <cellStyle name="20% - Accent5 4 2 3 3" xfId="20189" xr:uid="{00000000-0005-0000-0000-000002060000}"/>
    <cellStyle name="20% - Accent5 4 2 3 3 2" xfId="40109" xr:uid="{00000000-0005-0000-0000-000003060000}"/>
    <cellStyle name="20% - Accent5 4 2 3 4" xfId="27804" xr:uid="{00000000-0005-0000-0000-000004060000}"/>
    <cellStyle name="20% - Accent5 4 2 4" xfId="10971" xr:uid="{00000000-0005-0000-0000-000005060000}"/>
    <cellStyle name="20% - Accent5 4 2 4 2" xfId="30891" xr:uid="{00000000-0005-0000-0000-000006060000}"/>
    <cellStyle name="20% - Accent5 4 2 5" xfId="17123" xr:uid="{00000000-0005-0000-0000-000007060000}"/>
    <cellStyle name="20% - Accent5 4 2 5 2" xfId="37043" xr:uid="{00000000-0005-0000-0000-000008060000}"/>
    <cellStyle name="20% - Accent5 4 2 6" xfId="4667" xr:uid="{00000000-0005-0000-0000-000009060000}"/>
    <cellStyle name="20% - Accent5 4 2 6 2" xfId="24738" xr:uid="{00000000-0005-0000-0000-00000A060000}"/>
    <cellStyle name="20% - Accent5 4 2 7" xfId="23733" xr:uid="{00000000-0005-0000-0000-00000B060000}"/>
    <cellStyle name="20% - Accent5 4 3" xfId="5506" xr:uid="{00000000-0005-0000-0000-00000C060000}"/>
    <cellStyle name="20% - Accent5 4 3 2" xfId="8609" xr:uid="{00000000-0005-0000-0000-00000D060000}"/>
    <cellStyle name="20% - Accent5 4 3 2 2" xfId="14802" xr:uid="{00000000-0005-0000-0000-00000E060000}"/>
    <cellStyle name="20% - Accent5 4 3 2 2 2" xfId="34722" xr:uid="{00000000-0005-0000-0000-00000F060000}"/>
    <cellStyle name="20% - Accent5 4 3 2 3" xfId="20954" xr:uid="{00000000-0005-0000-0000-000010060000}"/>
    <cellStyle name="20% - Accent5 4 3 2 3 2" xfId="40874" xr:uid="{00000000-0005-0000-0000-000011060000}"/>
    <cellStyle name="20% - Accent5 4 3 2 4" xfId="28569" xr:uid="{00000000-0005-0000-0000-000012060000}"/>
    <cellStyle name="20% - Accent5 4 3 3" xfId="11736" xr:uid="{00000000-0005-0000-0000-000013060000}"/>
    <cellStyle name="20% - Accent5 4 3 3 2" xfId="31656" xr:uid="{00000000-0005-0000-0000-000014060000}"/>
    <cellStyle name="20% - Accent5 4 3 4" xfId="17888" xr:uid="{00000000-0005-0000-0000-000015060000}"/>
    <cellStyle name="20% - Accent5 4 3 4 2" xfId="37808" xr:uid="{00000000-0005-0000-0000-000016060000}"/>
    <cellStyle name="20% - Accent5 4 3 5" xfId="25503" xr:uid="{00000000-0005-0000-0000-000017060000}"/>
    <cellStyle name="20% - Accent5 4 4" xfId="7074" xr:uid="{00000000-0005-0000-0000-000018060000}"/>
    <cellStyle name="20% - Accent5 4 4 2" xfId="13268" xr:uid="{00000000-0005-0000-0000-000019060000}"/>
    <cellStyle name="20% - Accent5 4 4 2 2" xfId="33188" xr:uid="{00000000-0005-0000-0000-00001A060000}"/>
    <cellStyle name="20% - Accent5 4 4 3" xfId="19420" xr:uid="{00000000-0005-0000-0000-00001B060000}"/>
    <cellStyle name="20% - Accent5 4 4 3 2" xfId="39340" xr:uid="{00000000-0005-0000-0000-00001C060000}"/>
    <cellStyle name="20% - Accent5 4 4 4" xfId="27035" xr:uid="{00000000-0005-0000-0000-00001D060000}"/>
    <cellStyle name="20% - Accent5 4 5" xfId="10202" xr:uid="{00000000-0005-0000-0000-00001E060000}"/>
    <cellStyle name="20% - Accent5 4 5 2" xfId="30122" xr:uid="{00000000-0005-0000-0000-00001F060000}"/>
    <cellStyle name="20% - Accent5 4 6" xfId="16354" xr:uid="{00000000-0005-0000-0000-000020060000}"/>
    <cellStyle name="20% - Accent5 4 6 2" xfId="36274" xr:uid="{00000000-0005-0000-0000-000021060000}"/>
    <cellStyle name="20% - Accent5 4 7" xfId="1230" xr:uid="{00000000-0005-0000-0000-000022060000}"/>
    <cellStyle name="20% - Accent5 4 7 2" xfId="23969" xr:uid="{00000000-0005-0000-0000-000023060000}"/>
    <cellStyle name="20% - Accent5 4 8" xfId="22816" xr:uid="{00000000-0005-0000-0000-000024060000}"/>
    <cellStyle name="20% - Accent5 4 8 2" xfId="42727" xr:uid="{00000000-0005-0000-0000-000025060000}"/>
    <cellStyle name="20% - Accent5 4 9" xfId="23119" xr:uid="{00000000-0005-0000-0000-000026060000}"/>
    <cellStyle name="20% - Accent5 4 9 2" xfId="43030" xr:uid="{00000000-0005-0000-0000-000027060000}"/>
    <cellStyle name="20% - Accent5 5" xfId="466" xr:uid="{00000000-0005-0000-0000-000028060000}"/>
    <cellStyle name="20% - Accent5 5 2" xfId="867" xr:uid="{00000000-0005-0000-0000-000029060000}"/>
    <cellStyle name="20% - Accent5 5 2 2" xfId="23749" xr:uid="{00000000-0005-0000-0000-00002A060000}"/>
    <cellStyle name="20% - Accent5 5 3" xfId="1231" xr:uid="{00000000-0005-0000-0000-00002B060000}"/>
    <cellStyle name="20% - Accent5 5 4" xfId="22477" xr:uid="{00000000-0005-0000-0000-00002C060000}"/>
    <cellStyle name="20% - Accent5 5 4 2" xfId="42388" xr:uid="{00000000-0005-0000-0000-00002D060000}"/>
    <cellStyle name="20% - Accent5 5 5" xfId="22832" xr:uid="{00000000-0005-0000-0000-00002E060000}"/>
    <cellStyle name="20% - Accent5 5 5 2" xfId="42743" xr:uid="{00000000-0005-0000-0000-00002F060000}"/>
    <cellStyle name="20% - Accent5 5 6" xfId="23135" xr:uid="{00000000-0005-0000-0000-000030060000}"/>
    <cellStyle name="20% - Accent5 5 6 2" xfId="43046" xr:uid="{00000000-0005-0000-0000-000031060000}"/>
    <cellStyle name="20% - Accent5 5 7" xfId="23446" xr:uid="{00000000-0005-0000-0000-000032060000}"/>
    <cellStyle name="20% - Accent5 6" xfId="492" xr:uid="{00000000-0005-0000-0000-000033060000}"/>
    <cellStyle name="20% - Accent5 6 2" xfId="883" xr:uid="{00000000-0005-0000-0000-000034060000}"/>
    <cellStyle name="20% - Accent5 6 2 2" xfId="23765" xr:uid="{00000000-0005-0000-0000-000035060000}"/>
    <cellStyle name="20% - Accent5 6 3" xfId="22638" xr:uid="{00000000-0005-0000-0000-000036060000}"/>
    <cellStyle name="20% - Accent5 6 3 2" xfId="42549" xr:uid="{00000000-0005-0000-0000-000037060000}"/>
    <cellStyle name="20% - Accent5 6 4" xfId="22848" xr:uid="{00000000-0005-0000-0000-000038060000}"/>
    <cellStyle name="20% - Accent5 6 4 2" xfId="42759" xr:uid="{00000000-0005-0000-0000-000039060000}"/>
    <cellStyle name="20% - Accent5 6 5" xfId="23151" xr:uid="{00000000-0005-0000-0000-00003A060000}"/>
    <cellStyle name="20% - Accent5 6 5 2" xfId="43062" xr:uid="{00000000-0005-0000-0000-00003B060000}"/>
    <cellStyle name="20% - Accent5 6 6" xfId="23462" xr:uid="{00000000-0005-0000-0000-00003C060000}"/>
    <cellStyle name="20% - Accent5 7" xfId="516" xr:uid="{00000000-0005-0000-0000-00003D060000}"/>
    <cellStyle name="20% - Accent5 7 2" xfId="899" xr:uid="{00000000-0005-0000-0000-00003E060000}"/>
    <cellStyle name="20% - Accent5 7 2 2" xfId="23781" xr:uid="{00000000-0005-0000-0000-00003F060000}"/>
    <cellStyle name="20% - Accent5 7 3" xfId="22653" xr:uid="{00000000-0005-0000-0000-000040060000}"/>
    <cellStyle name="20% - Accent5 7 3 2" xfId="42564" xr:uid="{00000000-0005-0000-0000-000041060000}"/>
    <cellStyle name="20% - Accent5 7 4" xfId="22864" xr:uid="{00000000-0005-0000-0000-000042060000}"/>
    <cellStyle name="20% - Accent5 7 4 2" xfId="42775" xr:uid="{00000000-0005-0000-0000-000043060000}"/>
    <cellStyle name="20% - Accent5 7 5" xfId="23167" xr:uid="{00000000-0005-0000-0000-000044060000}"/>
    <cellStyle name="20% - Accent5 7 5 2" xfId="43078" xr:uid="{00000000-0005-0000-0000-000045060000}"/>
    <cellStyle name="20% - Accent5 7 6" xfId="23478" xr:uid="{00000000-0005-0000-0000-000046060000}"/>
    <cellStyle name="20% - Accent5 8" xfId="541" xr:uid="{00000000-0005-0000-0000-000047060000}"/>
    <cellStyle name="20% - Accent5 8 2" xfId="915" xr:uid="{00000000-0005-0000-0000-000048060000}"/>
    <cellStyle name="20% - Accent5 8 2 2" xfId="23797" xr:uid="{00000000-0005-0000-0000-000049060000}"/>
    <cellStyle name="20% - Accent5 8 3" xfId="22682" xr:uid="{00000000-0005-0000-0000-00004A060000}"/>
    <cellStyle name="20% - Accent5 8 3 2" xfId="42593" xr:uid="{00000000-0005-0000-0000-00004B060000}"/>
    <cellStyle name="20% - Accent5 8 4" xfId="22880" xr:uid="{00000000-0005-0000-0000-00004C060000}"/>
    <cellStyle name="20% - Accent5 8 4 2" xfId="42791" xr:uid="{00000000-0005-0000-0000-00004D060000}"/>
    <cellStyle name="20% - Accent5 8 5" xfId="23183" xr:uid="{00000000-0005-0000-0000-00004E060000}"/>
    <cellStyle name="20% - Accent5 8 5 2" xfId="43094" xr:uid="{00000000-0005-0000-0000-00004F060000}"/>
    <cellStyle name="20% - Accent5 8 6" xfId="23494" xr:uid="{00000000-0005-0000-0000-000050060000}"/>
    <cellStyle name="20% - Accent5 9" xfId="581" xr:uid="{00000000-0005-0000-0000-000051060000}"/>
    <cellStyle name="20% - Accent5 9 2" xfId="931" xr:uid="{00000000-0005-0000-0000-000052060000}"/>
    <cellStyle name="20% - Accent5 9 2 2" xfId="23813" xr:uid="{00000000-0005-0000-0000-000053060000}"/>
    <cellStyle name="20% - Accent5 9 3" xfId="22577" xr:uid="{00000000-0005-0000-0000-000054060000}"/>
    <cellStyle name="20% - Accent5 9 3 2" xfId="42488" xr:uid="{00000000-0005-0000-0000-000055060000}"/>
    <cellStyle name="20% - Accent5 9 4" xfId="22896" xr:uid="{00000000-0005-0000-0000-000056060000}"/>
    <cellStyle name="20% - Accent5 9 4 2" xfId="42807" xr:uid="{00000000-0005-0000-0000-000057060000}"/>
    <cellStyle name="20% - Accent5 9 5" xfId="23199" xr:uid="{00000000-0005-0000-0000-000058060000}"/>
    <cellStyle name="20% - Accent5 9 5 2" xfId="43110" xr:uid="{00000000-0005-0000-0000-000059060000}"/>
    <cellStyle name="20% - Accent5 9 6" xfId="23510" xr:uid="{00000000-0005-0000-0000-00005A060000}"/>
    <cellStyle name="20% - Accent6" xfId="82" builtinId="50" customBuiltin="1"/>
    <cellStyle name="20% - Accent6 10" xfId="613" xr:uid="{00000000-0005-0000-0000-00005C060000}"/>
    <cellStyle name="20% - Accent6 10 2" xfId="949" xr:uid="{00000000-0005-0000-0000-00005D060000}"/>
    <cellStyle name="20% - Accent6 10 2 2" xfId="23831" xr:uid="{00000000-0005-0000-0000-00005E060000}"/>
    <cellStyle name="20% - Accent6 10 3" xfId="22572" xr:uid="{00000000-0005-0000-0000-00005F060000}"/>
    <cellStyle name="20% - Accent6 10 3 2" xfId="42483" xr:uid="{00000000-0005-0000-0000-000060060000}"/>
    <cellStyle name="20% - Accent6 10 4" xfId="22914" xr:uid="{00000000-0005-0000-0000-000061060000}"/>
    <cellStyle name="20% - Accent6 10 4 2" xfId="42825" xr:uid="{00000000-0005-0000-0000-000062060000}"/>
    <cellStyle name="20% - Accent6 10 5" xfId="23217" xr:uid="{00000000-0005-0000-0000-000063060000}"/>
    <cellStyle name="20% - Accent6 10 5 2" xfId="43128" xr:uid="{00000000-0005-0000-0000-000064060000}"/>
    <cellStyle name="20% - Accent6 10 6" xfId="23528" xr:uid="{00000000-0005-0000-0000-000065060000}"/>
    <cellStyle name="20% - Accent6 11" xfId="639" xr:uid="{00000000-0005-0000-0000-000066060000}"/>
    <cellStyle name="20% - Accent6 11 2" xfId="965" xr:uid="{00000000-0005-0000-0000-000067060000}"/>
    <cellStyle name="20% - Accent6 11 2 2" xfId="23847" xr:uid="{00000000-0005-0000-0000-000068060000}"/>
    <cellStyle name="20% - Accent6 11 3" xfId="22547" xr:uid="{00000000-0005-0000-0000-000069060000}"/>
    <cellStyle name="20% - Accent6 11 3 2" xfId="42458" xr:uid="{00000000-0005-0000-0000-00006A060000}"/>
    <cellStyle name="20% - Accent6 11 4" xfId="22930" xr:uid="{00000000-0005-0000-0000-00006B060000}"/>
    <cellStyle name="20% - Accent6 11 4 2" xfId="42841" xr:uid="{00000000-0005-0000-0000-00006C060000}"/>
    <cellStyle name="20% - Accent6 11 5" xfId="23233" xr:uid="{00000000-0005-0000-0000-00006D060000}"/>
    <cellStyle name="20% - Accent6 11 5 2" xfId="43144" xr:uid="{00000000-0005-0000-0000-00006E060000}"/>
    <cellStyle name="20% - Accent6 11 6" xfId="23544" xr:uid="{00000000-0005-0000-0000-00006F060000}"/>
    <cellStyle name="20% - Accent6 12" xfId="664" xr:uid="{00000000-0005-0000-0000-000070060000}"/>
    <cellStyle name="20% - Accent6 12 2" xfId="981" xr:uid="{00000000-0005-0000-0000-000071060000}"/>
    <cellStyle name="20% - Accent6 12 2 2" xfId="23863" xr:uid="{00000000-0005-0000-0000-000072060000}"/>
    <cellStyle name="20% - Accent6 12 3" xfId="22569" xr:uid="{00000000-0005-0000-0000-000073060000}"/>
    <cellStyle name="20% - Accent6 12 3 2" xfId="42480" xr:uid="{00000000-0005-0000-0000-000074060000}"/>
    <cellStyle name="20% - Accent6 12 4" xfId="22946" xr:uid="{00000000-0005-0000-0000-000075060000}"/>
    <cellStyle name="20% - Accent6 12 4 2" xfId="42857" xr:uid="{00000000-0005-0000-0000-000076060000}"/>
    <cellStyle name="20% - Accent6 12 5" xfId="23249" xr:uid="{00000000-0005-0000-0000-000077060000}"/>
    <cellStyle name="20% - Accent6 12 5 2" xfId="43160" xr:uid="{00000000-0005-0000-0000-000078060000}"/>
    <cellStyle name="20% - Accent6 12 6" xfId="23560" xr:uid="{00000000-0005-0000-0000-000079060000}"/>
    <cellStyle name="20% - Accent6 13" xfId="688" xr:uid="{00000000-0005-0000-0000-00007A060000}"/>
    <cellStyle name="20% - Accent6 13 2" xfId="997" xr:uid="{00000000-0005-0000-0000-00007B060000}"/>
    <cellStyle name="20% - Accent6 13 2 2" xfId="23879" xr:uid="{00000000-0005-0000-0000-00007C060000}"/>
    <cellStyle name="20% - Accent6 13 3" xfId="22611" xr:uid="{00000000-0005-0000-0000-00007D060000}"/>
    <cellStyle name="20% - Accent6 13 3 2" xfId="42522" xr:uid="{00000000-0005-0000-0000-00007E060000}"/>
    <cellStyle name="20% - Accent6 13 4" xfId="22962" xr:uid="{00000000-0005-0000-0000-00007F060000}"/>
    <cellStyle name="20% - Accent6 13 4 2" xfId="42873" xr:uid="{00000000-0005-0000-0000-000080060000}"/>
    <cellStyle name="20% - Accent6 13 5" xfId="23265" xr:uid="{00000000-0005-0000-0000-000081060000}"/>
    <cellStyle name="20% - Accent6 13 5 2" xfId="43176" xr:uid="{00000000-0005-0000-0000-000082060000}"/>
    <cellStyle name="20% - Accent6 13 6" xfId="23576" xr:uid="{00000000-0005-0000-0000-000083060000}"/>
    <cellStyle name="20% - Accent6 14" xfId="705" xr:uid="{00000000-0005-0000-0000-000084060000}"/>
    <cellStyle name="20% - Accent6 14 2" xfId="1013" xr:uid="{00000000-0005-0000-0000-000085060000}"/>
    <cellStyle name="20% - Accent6 14 2 2" xfId="23895" xr:uid="{00000000-0005-0000-0000-000086060000}"/>
    <cellStyle name="20% - Accent6 14 3" xfId="22492" xr:uid="{00000000-0005-0000-0000-000087060000}"/>
    <cellStyle name="20% - Accent6 14 3 2" xfId="42403" xr:uid="{00000000-0005-0000-0000-000088060000}"/>
    <cellStyle name="20% - Accent6 14 4" xfId="22978" xr:uid="{00000000-0005-0000-0000-000089060000}"/>
    <cellStyle name="20% - Accent6 14 4 2" xfId="42889" xr:uid="{00000000-0005-0000-0000-00008A060000}"/>
    <cellStyle name="20% - Accent6 14 5" xfId="23281" xr:uid="{00000000-0005-0000-0000-00008B060000}"/>
    <cellStyle name="20% - Accent6 14 5 2" xfId="43192" xr:uid="{00000000-0005-0000-0000-00008C060000}"/>
    <cellStyle name="20% - Accent6 14 6" xfId="23592" xr:uid="{00000000-0005-0000-0000-00008D060000}"/>
    <cellStyle name="20% - Accent6 15" xfId="721" xr:uid="{00000000-0005-0000-0000-00008E060000}"/>
    <cellStyle name="20% - Accent6 15 2" xfId="1029" xr:uid="{00000000-0005-0000-0000-00008F060000}"/>
    <cellStyle name="20% - Accent6 15 2 2" xfId="23911" xr:uid="{00000000-0005-0000-0000-000090060000}"/>
    <cellStyle name="20% - Accent6 15 3" xfId="22472" xr:uid="{00000000-0005-0000-0000-000091060000}"/>
    <cellStyle name="20% - Accent6 15 3 2" xfId="42383" xr:uid="{00000000-0005-0000-0000-000092060000}"/>
    <cellStyle name="20% - Accent6 15 4" xfId="22994" xr:uid="{00000000-0005-0000-0000-000093060000}"/>
    <cellStyle name="20% - Accent6 15 4 2" xfId="42905" xr:uid="{00000000-0005-0000-0000-000094060000}"/>
    <cellStyle name="20% - Accent6 15 5" xfId="23297" xr:uid="{00000000-0005-0000-0000-000095060000}"/>
    <cellStyle name="20% - Accent6 15 5 2" xfId="43208" xr:uid="{00000000-0005-0000-0000-000096060000}"/>
    <cellStyle name="20% - Accent6 15 6" xfId="23608" xr:uid="{00000000-0005-0000-0000-000097060000}"/>
    <cellStyle name="20% - Accent6 16" xfId="745" xr:uid="{00000000-0005-0000-0000-000098060000}"/>
    <cellStyle name="20% - Accent6 16 2" xfId="23627" xr:uid="{00000000-0005-0000-0000-000099060000}"/>
    <cellStyle name="20% - Accent6 17" xfId="22710" xr:uid="{00000000-0005-0000-0000-00009A060000}"/>
    <cellStyle name="20% - Accent6 17 2" xfId="42621" xr:uid="{00000000-0005-0000-0000-00009B060000}"/>
    <cellStyle name="20% - Accent6 18" xfId="23013" xr:uid="{00000000-0005-0000-0000-00009C060000}"/>
    <cellStyle name="20% - Accent6 18 2" xfId="42924" xr:uid="{00000000-0005-0000-0000-00009D060000}"/>
    <cellStyle name="20% - Accent6 19" xfId="23317" xr:uid="{00000000-0005-0000-0000-00009E060000}"/>
    <cellStyle name="20% - Accent6 2" xfId="386" xr:uid="{00000000-0005-0000-0000-00009F060000}"/>
    <cellStyle name="20% - Accent6 2 10" xfId="23400" xr:uid="{00000000-0005-0000-0000-0000A0060000}"/>
    <cellStyle name="20% - Accent6 2 2" xfId="821" xr:uid="{00000000-0005-0000-0000-0000A1060000}"/>
    <cellStyle name="20% - Accent6 2 2 2" xfId="6293" xr:uid="{00000000-0005-0000-0000-0000A2060000}"/>
    <cellStyle name="20% - Accent6 2 2 2 2" xfId="9379" xr:uid="{00000000-0005-0000-0000-0000A3060000}"/>
    <cellStyle name="20% - Accent6 2 2 2 2 2" xfId="15572" xr:uid="{00000000-0005-0000-0000-0000A4060000}"/>
    <cellStyle name="20% - Accent6 2 2 2 2 2 2" xfId="35492" xr:uid="{00000000-0005-0000-0000-0000A5060000}"/>
    <cellStyle name="20% - Accent6 2 2 2 2 3" xfId="21724" xr:uid="{00000000-0005-0000-0000-0000A6060000}"/>
    <cellStyle name="20% - Accent6 2 2 2 2 3 2" xfId="41644" xr:uid="{00000000-0005-0000-0000-0000A7060000}"/>
    <cellStyle name="20% - Accent6 2 2 2 2 4" xfId="29339" xr:uid="{00000000-0005-0000-0000-0000A8060000}"/>
    <cellStyle name="20% - Accent6 2 2 2 3" xfId="12506" xr:uid="{00000000-0005-0000-0000-0000A9060000}"/>
    <cellStyle name="20% - Accent6 2 2 2 3 2" xfId="32426" xr:uid="{00000000-0005-0000-0000-0000AA060000}"/>
    <cellStyle name="20% - Accent6 2 2 2 4" xfId="18658" xr:uid="{00000000-0005-0000-0000-0000AB060000}"/>
    <cellStyle name="20% - Accent6 2 2 2 4 2" xfId="38578" xr:uid="{00000000-0005-0000-0000-0000AC060000}"/>
    <cellStyle name="20% - Accent6 2 2 2 5" xfId="26273" xr:uid="{00000000-0005-0000-0000-0000AD060000}"/>
    <cellStyle name="20% - Accent6 2 2 3" xfId="7844" xr:uid="{00000000-0005-0000-0000-0000AE060000}"/>
    <cellStyle name="20% - Accent6 2 2 3 2" xfId="14038" xr:uid="{00000000-0005-0000-0000-0000AF060000}"/>
    <cellStyle name="20% - Accent6 2 2 3 2 2" xfId="33958" xr:uid="{00000000-0005-0000-0000-0000B0060000}"/>
    <cellStyle name="20% - Accent6 2 2 3 3" xfId="20190" xr:uid="{00000000-0005-0000-0000-0000B1060000}"/>
    <cellStyle name="20% - Accent6 2 2 3 3 2" xfId="40110" xr:uid="{00000000-0005-0000-0000-0000B2060000}"/>
    <cellStyle name="20% - Accent6 2 2 3 4" xfId="27805" xr:uid="{00000000-0005-0000-0000-0000B3060000}"/>
    <cellStyle name="20% - Accent6 2 2 4" xfId="10972" xr:uid="{00000000-0005-0000-0000-0000B4060000}"/>
    <cellStyle name="20% - Accent6 2 2 4 2" xfId="30892" xr:uid="{00000000-0005-0000-0000-0000B5060000}"/>
    <cellStyle name="20% - Accent6 2 2 5" xfId="17124" xr:uid="{00000000-0005-0000-0000-0000B6060000}"/>
    <cellStyle name="20% - Accent6 2 2 5 2" xfId="37044" xr:uid="{00000000-0005-0000-0000-0000B7060000}"/>
    <cellStyle name="20% - Accent6 2 2 6" xfId="4668" xr:uid="{00000000-0005-0000-0000-0000B8060000}"/>
    <cellStyle name="20% - Accent6 2 2 6 2" xfId="24739" xr:uid="{00000000-0005-0000-0000-0000B9060000}"/>
    <cellStyle name="20% - Accent6 2 2 7" xfId="23703" xr:uid="{00000000-0005-0000-0000-0000BA060000}"/>
    <cellStyle name="20% - Accent6 2 3" xfId="5507" xr:uid="{00000000-0005-0000-0000-0000BB060000}"/>
    <cellStyle name="20% - Accent6 2 3 2" xfId="8610" xr:uid="{00000000-0005-0000-0000-0000BC060000}"/>
    <cellStyle name="20% - Accent6 2 3 2 2" xfId="14803" xr:uid="{00000000-0005-0000-0000-0000BD060000}"/>
    <cellStyle name="20% - Accent6 2 3 2 2 2" xfId="34723" xr:uid="{00000000-0005-0000-0000-0000BE060000}"/>
    <cellStyle name="20% - Accent6 2 3 2 3" xfId="20955" xr:uid="{00000000-0005-0000-0000-0000BF060000}"/>
    <cellStyle name="20% - Accent6 2 3 2 3 2" xfId="40875" xr:uid="{00000000-0005-0000-0000-0000C0060000}"/>
    <cellStyle name="20% - Accent6 2 3 2 4" xfId="28570" xr:uid="{00000000-0005-0000-0000-0000C1060000}"/>
    <cellStyle name="20% - Accent6 2 3 3" xfId="11737" xr:uid="{00000000-0005-0000-0000-0000C2060000}"/>
    <cellStyle name="20% - Accent6 2 3 3 2" xfId="31657" xr:uid="{00000000-0005-0000-0000-0000C3060000}"/>
    <cellStyle name="20% - Accent6 2 3 4" xfId="17889" xr:uid="{00000000-0005-0000-0000-0000C4060000}"/>
    <cellStyle name="20% - Accent6 2 3 4 2" xfId="37809" xr:uid="{00000000-0005-0000-0000-0000C5060000}"/>
    <cellStyle name="20% - Accent6 2 3 5" xfId="25504" xr:uid="{00000000-0005-0000-0000-0000C6060000}"/>
    <cellStyle name="20% - Accent6 2 4" xfId="7075" xr:uid="{00000000-0005-0000-0000-0000C7060000}"/>
    <cellStyle name="20% - Accent6 2 4 2" xfId="13269" xr:uid="{00000000-0005-0000-0000-0000C8060000}"/>
    <cellStyle name="20% - Accent6 2 4 2 2" xfId="33189" xr:uid="{00000000-0005-0000-0000-0000C9060000}"/>
    <cellStyle name="20% - Accent6 2 4 3" xfId="19421" xr:uid="{00000000-0005-0000-0000-0000CA060000}"/>
    <cellStyle name="20% - Accent6 2 4 3 2" xfId="39341" xr:uid="{00000000-0005-0000-0000-0000CB060000}"/>
    <cellStyle name="20% - Accent6 2 4 4" xfId="27036" xr:uid="{00000000-0005-0000-0000-0000CC060000}"/>
    <cellStyle name="20% - Accent6 2 5" xfId="10203" xr:uid="{00000000-0005-0000-0000-0000CD060000}"/>
    <cellStyle name="20% - Accent6 2 5 2" xfId="30123" xr:uid="{00000000-0005-0000-0000-0000CE060000}"/>
    <cellStyle name="20% - Accent6 2 6" xfId="16355" xr:uid="{00000000-0005-0000-0000-0000CF060000}"/>
    <cellStyle name="20% - Accent6 2 6 2" xfId="36275" xr:uid="{00000000-0005-0000-0000-0000D0060000}"/>
    <cellStyle name="20% - Accent6 2 7" xfId="1232" xr:uid="{00000000-0005-0000-0000-0000D1060000}"/>
    <cellStyle name="20% - Accent6 2 7 2" xfId="23970" xr:uid="{00000000-0005-0000-0000-0000D2060000}"/>
    <cellStyle name="20% - Accent6 2 8" xfId="22786" xr:uid="{00000000-0005-0000-0000-0000D3060000}"/>
    <cellStyle name="20% - Accent6 2 8 2" xfId="42697" xr:uid="{00000000-0005-0000-0000-0000D4060000}"/>
    <cellStyle name="20% - Accent6 2 9" xfId="23089" xr:uid="{00000000-0005-0000-0000-0000D5060000}"/>
    <cellStyle name="20% - Accent6 2 9 2" xfId="43000" xr:uid="{00000000-0005-0000-0000-0000D6060000}"/>
    <cellStyle name="20% - Accent6 3" xfId="416" xr:uid="{00000000-0005-0000-0000-0000D7060000}"/>
    <cellStyle name="20% - Accent6 3 10" xfId="23416" xr:uid="{00000000-0005-0000-0000-0000D8060000}"/>
    <cellStyle name="20% - Accent6 3 2" xfId="837" xr:uid="{00000000-0005-0000-0000-0000D9060000}"/>
    <cellStyle name="20% - Accent6 3 2 2" xfId="6294" xr:uid="{00000000-0005-0000-0000-0000DA060000}"/>
    <cellStyle name="20% - Accent6 3 2 2 2" xfId="9380" xr:uid="{00000000-0005-0000-0000-0000DB060000}"/>
    <cellStyle name="20% - Accent6 3 2 2 2 2" xfId="15573" xr:uid="{00000000-0005-0000-0000-0000DC060000}"/>
    <cellStyle name="20% - Accent6 3 2 2 2 2 2" xfId="35493" xr:uid="{00000000-0005-0000-0000-0000DD060000}"/>
    <cellStyle name="20% - Accent6 3 2 2 2 3" xfId="21725" xr:uid="{00000000-0005-0000-0000-0000DE060000}"/>
    <cellStyle name="20% - Accent6 3 2 2 2 3 2" xfId="41645" xr:uid="{00000000-0005-0000-0000-0000DF060000}"/>
    <cellStyle name="20% - Accent6 3 2 2 2 4" xfId="29340" xr:uid="{00000000-0005-0000-0000-0000E0060000}"/>
    <cellStyle name="20% - Accent6 3 2 2 3" xfId="12507" xr:uid="{00000000-0005-0000-0000-0000E1060000}"/>
    <cellStyle name="20% - Accent6 3 2 2 3 2" xfId="32427" xr:uid="{00000000-0005-0000-0000-0000E2060000}"/>
    <cellStyle name="20% - Accent6 3 2 2 4" xfId="18659" xr:uid="{00000000-0005-0000-0000-0000E3060000}"/>
    <cellStyle name="20% - Accent6 3 2 2 4 2" xfId="38579" xr:uid="{00000000-0005-0000-0000-0000E4060000}"/>
    <cellStyle name="20% - Accent6 3 2 2 5" xfId="26274" xr:uid="{00000000-0005-0000-0000-0000E5060000}"/>
    <cellStyle name="20% - Accent6 3 2 3" xfId="7845" xr:uid="{00000000-0005-0000-0000-0000E6060000}"/>
    <cellStyle name="20% - Accent6 3 2 3 2" xfId="14039" xr:uid="{00000000-0005-0000-0000-0000E7060000}"/>
    <cellStyle name="20% - Accent6 3 2 3 2 2" xfId="33959" xr:uid="{00000000-0005-0000-0000-0000E8060000}"/>
    <cellStyle name="20% - Accent6 3 2 3 3" xfId="20191" xr:uid="{00000000-0005-0000-0000-0000E9060000}"/>
    <cellStyle name="20% - Accent6 3 2 3 3 2" xfId="40111" xr:uid="{00000000-0005-0000-0000-0000EA060000}"/>
    <cellStyle name="20% - Accent6 3 2 3 4" xfId="27806" xr:uid="{00000000-0005-0000-0000-0000EB060000}"/>
    <cellStyle name="20% - Accent6 3 2 4" xfId="10973" xr:uid="{00000000-0005-0000-0000-0000EC060000}"/>
    <cellStyle name="20% - Accent6 3 2 4 2" xfId="30893" xr:uid="{00000000-0005-0000-0000-0000ED060000}"/>
    <cellStyle name="20% - Accent6 3 2 5" xfId="17125" xr:uid="{00000000-0005-0000-0000-0000EE060000}"/>
    <cellStyle name="20% - Accent6 3 2 5 2" xfId="37045" xr:uid="{00000000-0005-0000-0000-0000EF060000}"/>
    <cellStyle name="20% - Accent6 3 2 6" xfId="4669" xr:uid="{00000000-0005-0000-0000-0000F0060000}"/>
    <cellStyle name="20% - Accent6 3 2 6 2" xfId="24740" xr:uid="{00000000-0005-0000-0000-0000F1060000}"/>
    <cellStyle name="20% - Accent6 3 2 7" xfId="23719" xr:uid="{00000000-0005-0000-0000-0000F2060000}"/>
    <cellStyle name="20% - Accent6 3 3" xfId="5508" xr:uid="{00000000-0005-0000-0000-0000F3060000}"/>
    <cellStyle name="20% - Accent6 3 3 2" xfId="8611" xr:uid="{00000000-0005-0000-0000-0000F4060000}"/>
    <cellStyle name="20% - Accent6 3 3 2 2" xfId="14804" xr:uid="{00000000-0005-0000-0000-0000F5060000}"/>
    <cellStyle name="20% - Accent6 3 3 2 2 2" xfId="34724" xr:uid="{00000000-0005-0000-0000-0000F6060000}"/>
    <cellStyle name="20% - Accent6 3 3 2 3" xfId="20956" xr:uid="{00000000-0005-0000-0000-0000F7060000}"/>
    <cellStyle name="20% - Accent6 3 3 2 3 2" xfId="40876" xr:uid="{00000000-0005-0000-0000-0000F8060000}"/>
    <cellStyle name="20% - Accent6 3 3 2 4" xfId="28571" xr:uid="{00000000-0005-0000-0000-0000F9060000}"/>
    <cellStyle name="20% - Accent6 3 3 3" xfId="11738" xr:uid="{00000000-0005-0000-0000-0000FA060000}"/>
    <cellStyle name="20% - Accent6 3 3 3 2" xfId="31658" xr:uid="{00000000-0005-0000-0000-0000FB060000}"/>
    <cellStyle name="20% - Accent6 3 3 4" xfId="17890" xr:uid="{00000000-0005-0000-0000-0000FC060000}"/>
    <cellStyle name="20% - Accent6 3 3 4 2" xfId="37810" xr:uid="{00000000-0005-0000-0000-0000FD060000}"/>
    <cellStyle name="20% - Accent6 3 3 5" xfId="25505" xr:uid="{00000000-0005-0000-0000-0000FE060000}"/>
    <cellStyle name="20% - Accent6 3 4" xfId="7076" xr:uid="{00000000-0005-0000-0000-0000FF060000}"/>
    <cellStyle name="20% - Accent6 3 4 2" xfId="13270" xr:uid="{00000000-0005-0000-0000-000000070000}"/>
    <cellStyle name="20% - Accent6 3 4 2 2" xfId="33190" xr:uid="{00000000-0005-0000-0000-000001070000}"/>
    <cellStyle name="20% - Accent6 3 4 3" xfId="19422" xr:uid="{00000000-0005-0000-0000-000002070000}"/>
    <cellStyle name="20% - Accent6 3 4 3 2" xfId="39342" xr:uid="{00000000-0005-0000-0000-000003070000}"/>
    <cellStyle name="20% - Accent6 3 4 4" xfId="27037" xr:uid="{00000000-0005-0000-0000-000004070000}"/>
    <cellStyle name="20% - Accent6 3 5" xfId="10204" xr:uid="{00000000-0005-0000-0000-000005070000}"/>
    <cellStyle name="20% - Accent6 3 5 2" xfId="30124" xr:uid="{00000000-0005-0000-0000-000006070000}"/>
    <cellStyle name="20% - Accent6 3 6" xfId="16356" xr:uid="{00000000-0005-0000-0000-000007070000}"/>
    <cellStyle name="20% - Accent6 3 6 2" xfId="36276" xr:uid="{00000000-0005-0000-0000-000008070000}"/>
    <cellStyle name="20% - Accent6 3 7" xfId="1233" xr:uid="{00000000-0005-0000-0000-000009070000}"/>
    <cellStyle name="20% - Accent6 3 7 2" xfId="23971" xr:uid="{00000000-0005-0000-0000-00000A070000}"/>
    <cellStyle name="20% - Accent6 3 8" xfId="22802" xr:uid="{00000000-0005-0000-0000-00000B070000}"/>
    <cellStyle name="20% - Accent6 3 8 2" xfId="42713" xr:uid="{00000000-0005-0000-0000-00000C070000}"/>
    <cellStyle name="20% - Accent6 3 9" xfId="23105" xr:uid="{00000000-0005-0000-0000-00000D070000}"/>
    <cellStyle name="20% - Accent6 3 9 2" xfId="43016" xr:uid="{00000000-0005-0000-0000-00000E070000}"/>
    <cellStyle name="20% - Accent6 4" xfId="443" xr:uid="{00000000-0005-0000-0000-00000F070000}"/>
    <cellStyle name="20% - Accent6 4 10" xfId="23432" xr:uid="{00000000-0005-0000-0000-000010070000}"/>
    <cellStyle name="20% - Accent6 4 2" xfId="853" xr:uid="{00000000-0005-0000-0000-000011070000}"/>
    <cellStyle name="20% - Accent6 4 2 2" xfId="6295" xr:uid="{00000000-0005-0000-0000-000012070000}"/>
    <cellStyle name="20% - Accent6 4 2 2 2" xfId="9381" xr:uid="{00000000-0005-0000-0000-000013070000}"/>
    <cellStyle name="20% - Accent6 4 2 2 2 2" xfId="15574" xr:uid="{00000000-0005-0000-0000-000014070000}"/>
    <cellStyle name="20% - Accent6 4 2 2 2 2 2" xfId="35494" xr:uid="{00000000-0005-0000-0000-000015070000}"/>
    <cellStyle name="20% - Accent6 4 2 2 2 3" xfId="21726" xr:uid="{00000000-0005-0000-0000-000016070000}"/>
    <cellStyle name="20% - Accent6 4 2 2 2 3 2" xfId="41646" xr:uid="{00000000-0005-0000-0000-000017070000}"/>
    <cellStyle name="20% - Accent6 4 2 2 2 4" xfId="29341" xr:uid="{00000000-0005-0000-0000-000018070000}"/>
    <cellStyle name="20% - Accent6 4 2 2 3" xfId="12508" xr:uid="{00000000-0005-0000-0000-000019070000}"/>
    <cellStyle name="20% - Accent6 4 2 2 3 2" xfId="32428" xr:uid="{00000000-0005-0000-0000-00001A070000}"/>
    <cellStyle name="20% - Accent6 4 2 2 4" xfId="18660" xr:uid="{00000000-0005-0000-0000-00001B070000}"/>
    <cellStyle name="20% - Accent6 4 2 2 4 2" xfId="38580" xr:uid="{00000000-0005-0000-0000-00001C070000}"/>
    <cellStyle name="20% - Accent6 4 2 2 5" xfId="26275" xr:uid="{00000000-0005-0000-0000-00001D070000}"/>
    <cellStyle name="20% - Accent6 4 2 3" xfId="7846" xr:uid="{00000000-0005-0000-0000-00001E070000}"/>
    <cellStyle name="20% - Accent6 4 2 3 2" xfId="14040" xr:uid="{00000000-0005-0000-0000-00001F070000}"/>
    <cellStyle name="20% - Accent6 4 2 3 2 2" xfId="33960" xr:uid="{00000000-0005-0000-0000-000020070000}"/>
    <cellStyle name="20% - Accent6 4 2 3 3" xfId="20192" xr:uid="{00000000-0005-0000-0000-000021070000}"/>
    <cellStyle name="20% - Accent6 4 2 3 3 2" xfId="40112" xr:uid="{00000000-0005-0000-0000-000022070000}"/>
    <cellStyle name="20% - Accent6 4 2 3 4" xfId="27807" xr:uid="{00000000-0005-0000-0000-000023070000}"/>
    <cellStyle name="20% - Accent6 4 2 4" xfId="10974" xr:uid="{00000000-0005-0000-0000-000024070000}"/>
    <cellStyle name="20% - Accent6 4 2 4 2" xfId="30894" xr:uid="{00000000-0005-0000-0000-000025070000}"/>
    <cellStyle name="20% - Accent6 4 2 5" xfId="17126" xr:uid="{00000000-0005-0000-0000-000026070000}"/>
    <cellStyle name="20% - Accent6 4 2 5 2" xfId="37046" xr:uid="{00000000-0005-0000-0000-000027070000}"/>
    <cellStyle name="20% - Accent6 4 2 6" xfId="4670" xr:uid="{00000000-0005-0000-0000-000028070000}"/>
    <cellStyle name="20% - Accent6 4 2 6 2" xfId="24741" xr:uid="{00000000-0005-0000-0000-000029070000}"/>
    <cellStyle name="20% - Accent6 4 2 7" xfId="23735" xr:uid="{00000000-0005-0000-0000-00002A070000}"/>
    <cellStyle name="20% - Accent6 4 3" xfId="5509" xr:uid="{00000000-0005-0000-0000-00002B070000}"/>
    <cellStyle name="20% - Accent6 4 3 2" xfId="8612" xr:uid="{00000000-0005-0000-0000-00002C070000}"/>
    <cellStyle name="20% - Accent6 4 3 2 2" xfId="14805" xr:uid="{00000000-0005-0000-0000-00002D070000}"/>
    <cellStyle name="20% - Accent6 4 3 2 2 2" xfId="34725" xr:uid="{00000000-0005-0000-0000-00002E070000}"/>
    <cellStyle name="20% - Accent6 4 3 2 3" xfId="20957" xr:uid="{00000000-0005-0000-0000-00002F070000}"/>
    <cellStyle name="20% - Accent6 4 3 2 3 2" xfId="40877" xr:uid="{00000000-0005-0000-0000-000030070000}"/>
    <cellStyle name="20% - Accent6 4 3 2 4" xfId="28572" xr:uid="{00000000-0005-0000-0000-000031070000}"/>
    <cellStyle name="20% - Accent6 4 3 3" xfId="11739" xr:uid="{00000000-0005-0000-0000-000032070000}"/>
    <cellStyle name="20% - Accent6 4 3 3 2" xfId="31659" xr:uid="{00000000-0005-0000-0000-000033070000}"/>
    <cellStyle name="20% - Accent6 4 3 4" xfId="17891" xr:uid="{00000000-0005-0000-0000-000034070000}"/>
    <cellStyle name="20% - Accent6 4 3 4 2" xfId="37811" xr:uid="{00000000-0005-0000-0000-000035070000}"/>
    <cellStyle name="20% - Accent6 4 3 5" xfId="25506" xr:uid="{00000000-0005-0000-0000-000036070000}"/>
    <cellStyle name="20% - Accent6 4 4" xfId="7077" xr:uid="{00000000-0005-0000-0000-000037070000}"/>
    <cellStyle name="20% - Accent6 4 4 2" xfId="13271" xr:uid="{00000000-0005-0000-0000-000038070000}"/>
    <cellStyle name="20% - Accent6 4 4 2 2" xfId="33191" xr:uid="{00000000-0005-0000-0000-000039070000}"/>
    <cellStyle name="20% - Accent6 4 4 3" xfId="19423" xr:uid="{00000000-0005-0000-0000-00003A070000}"/>
    <cellStyle name="20% - Accent6 4 4 3 2" xfId="39343" xr:uid="{00000000-0005-0000-0000-00003B070000}"/>
    <cellStyle name="20% - Accent6 4 4 4" xfId="27038" xr:uid="{00000000-0005-0000-0000-00003C070000}"/>
    <cellStyle name="20% - Accent6 4 5" xfId="10205" xr:uid="{00000000-0005-0000-0000-00003D070000}"/>
    <cellStyle name="20% - Accent6 4 5 2" xfId="30125" xr:uid="{00000000-0005-0000-0000-00003E070000}"/>
    <cellStyle name="20% - Accent6 4 6" xfId="16357" xr:uid="{00000000-0005-0000-0000-00003F070000}"/>
    <cellStyle name="20% - Accent6 4 6 2" xfId="36277" xr:uid="{00000000-0005-0000-0000-000040070000}"/>
    <cellStyle name="20% - Accent6 4 7" xfId="1234" xr:uid="{00000000-0005-0000-0000-000041070000}"/>
    <cellStyle name="20% - Accent6 4 7 2" xfId="23972" xr:uid="{00000000-0005-0000-0000-000042070000}"/>
    <cellStyle name="20% - Accent6 4 8" xfId="22818" xr:uid="{00000000-0005-0000-0000-000043070000}"/>
    <cellStyle name="20% - Accent6 4 8 2" xfId="42729" xr:uid="{00000000-0005-0000-0000-000044070000}"/>
    <cellStyle name="20% - Accent6 4 9" xfId="23121" xr:uid="{00000000-0005-0000-0000-000045070000}"/>
    <cellStyle name="20% - Accent6 4 9 2" xfId="43032" xr:uid="{00000000-0005-0000-0000-000046070000}"/>
    <cellStyle name="20% - Accent6 5" xfId="469" xr:uid="{00000000-0005-0000-0000-000047070000}"/>
    <cellStyle name="20% - Accent6 5 2" xfId="869" xr:uid="{00000000-0005-0000-0000-000048070000}"/>
    <cellStyle name="20% - Accent6 5 2 2" xfId="23751" xr:uid="{00000000-0005-0000-0000-000049070000}"/>
    <cellStyle name="20% - Accent6 5 3" xfId="1235" xr:uid="{00000000-0005-0000-0000-00004A070000}"/>
    <cellStyle name="20% - Accent6 5 4" xfId="22471" xr:uid="{00000000-0005-0000-0000-00004B070000}"/>
    <cellStyle name="20% - Accent6 5 4 2" xfId="42382" xr:uid="{00000000-0005-0000-0000-00004C070000}"/>
    <cellStyle name="20% - Accent6 5 5" xfId="22834" xr:uid="{00000000-0005-0000-0000-00004D070000}"/>
    <cellStyle name="20% - Accent6 5 5 2" xfId="42745" xr:uid="{00000000-0005-0000-0000-00004E070000}"/>
    <cellStyle name="20% - Accent6 5 6" xfId="23137" xr:uid="{00000000-0005-0000-0000-00004F070000}"/>
    <cellStyle name="20% - Accent6 5 6 2" xfId="43048" xr:uid="{00000000-0005-0000-0000-000050070000}"/>
    <cellStyle name="20% - Accent6 5 7" xfId="23448" xr:uid="{00000000-0005-0000-0000-000051070000}"/>
    <cellStyle name="20% - Accent6 6" xfId="496" xr:uid="{00000000-0005-0000-0000-000052070000}"/>
    <cellStyle name="20% - Accent6 6 2" xfId="885" xr:uid="{00000000-0005-0000-0000-000053070000}"/>
    <cellStyle name="20% - Accent6 6 2 2" xfId="23767" xr:uid="{00000000-0005-0000-0000-000054070000}"/>
    <cellStyle name="20% - Accent6 6 3" xfId="22621" xr:uid="{00000000-0005-0000-0000-000055070000}"/>
    <cellStyle name="20% - Accent6 6 3 2" xfId="42532" xr:uid="{00000000-0005-0000-0000-000056070000}"/>
    <cellStyle name="20% - Accent6 6 4" xfId="22850" xr:uid="{00000000-0005-0000-0000-000057070000}"/>
    <cellStyle name="20% - Accent6 6 4 2" xfId="42761" xr:uid="{00000000-0005-0000-0000-000058070000}"/>
    <cellStyle name="20% - Accent6 6 5" xfId="23153" xr:uid="{00000000-0005-0000-0000-000059070000}"/>
    <cellStyle name="20% - Accent6 6 5 2" xfId="43064" xr:uid="{00000000-0005-0000-0000-00005A070000}"/>
    <cellStyle name="20% - Accent6 6 6" xfId="23464" xr:uid="{00000000-0005-0000-0000-00005B070000}"/>
    <cellStyle name="20% - Accent6 7" xfId="520" xr:uid="{00000000-0005-0000-0000-00005C070000}"/>
    <cellStyle name="20% - Accent6 7 2" xfId="901" xr:uid="{00000000-0005-0000-0000-00005D070000}"/>
    <cellStyle name="20% - Accent6 7 2 2" xfId="23783" xr:uid="{00000000-0005-0000-0000-00005E070000}"/>
    <cellStyle name="20% - Accent6 7 3" xfId="22546" xr:uid="{00000000-0005-0000-0000-00005F070000}"/>
    <cellStyle name="20% - Accent6 7 3 2" xfId="42457" xr:uid="{00000000-0005-0000-0000-000060070000}"/>
    <cellStyle name="20% - Accent6 7 4" xfId="22866" xr:uid="{00000000-0005-0000-0000-000061070000}"/>
    <cellStyle name="20% - Accent6 7 4 2" xfId="42777" xr:uid="{00000000-0005-0000-0000-000062070000}"/>
    <cellStyle name="20% - Accent6 7 5" xfId="23169" xr:uid="{00000000-0005-0000-0000-000063070000}"/>
    <cellStyle name="20% - Accent6 7 5 2" xfId="43080" xr:uid="{00000000-0005-0000-0000-000064070000}"/>
    <cellStyle name="20% - Accent6 7 6" xfId="23480" xr:uid="{00000000-0005-0000-0000-000065070000}"/>
    <cellStyle name="20% - Accent6 8" xfId="545" xr:uid="{00000000-0005-0000-0000-000066070000}"/>
    <cellStyle name="20% - Accent6 8 2" xfId="917" xr:uid="{00000000-0005-0000-0000-000067070000}"/>
    <cellStyle name="20% - Accent6 8 2 2" xfId="23799" xr:uid="{00000000-0005-0000-0000-000068070000}"/>
    <cellStyle name="20% - Accent6 8 3" xfId="22543" xr:uid="{00000000-0005-0000-0000-000069070000}"/>
    <cellStyle name="20% - Accent6 8 3 2" xfId="42454" xr:uid="{00000000-0005-0000-0000-00006A070000}"/>
    <cellStyle name="20% - Accent6 8 4" xfId="22882" xr:uid="{00000000-0005-0000-0000-00006B070000}"/>
    <cellStyle name="20% - Accent6 8 4 2" xfId="42793" xr:uid="{00000000-0005-0000-0000-00006C070000}"/>
    <cellStyle name="20% - Accent6 8 5" xfId="23185" xr:uid="{00000000-0005-0000-0000-00006D070000}"/>
    <cellStyle name="20% - Accent6 8 5 2" xfId="43096" xr:uid="{00000000-0005-0000-0000-00006E070000}"/>
    <cellStyle name="20% - Accent6 8 6" xfId="23496" xr:uid="{00000000-0005-0000-0000-00006F070000}"/>
    <cellStyle name="20% - Accent6 9" xfId="585" xr:uid="{00000000-0005-0000-0000-000070070000}"/>
    <cellStyle name="20% - Accent6 9 2" xfId="933" xr:uid="{00000000-0005-0000-0000-000071070000}"/>
    <cellStyle name="20% - Accent6 9 2 2" xfId="23815" xr:uid="{00000000-0005-0000-0000-000072070000}"/>
    <cellStyle name="20% - Accent6 9 3" xfId="22498" xr:uid="{00000000-0005-0000-0000-000073070000}"/>
    <cellStyle name="20% - Accent6 9 3 2" xfId="42409" xr:uid="{00000000-0005-0000-0000-000074070000}"/>
    <cellStyle name="20% - Accent6 9 4" xfId="22898" xr:uid="{00000000-0005-0000-0000-000075070000}"/>
    <cellStyle name="20% - Accent6 9 4 2" xfId="42809" xr:uid="{00000000-0005-0000-0000-000076070000}"/>
    <cellStyle name="20% - Accent6 9 5" xfId="23201" xr:uid="{00000000-0005-0000-0000-000077070000}"/>
    <cellStyle name="20% - Accent6 9 5 2" xfId="43112" xr:uid="{00000000-0005-0000-0000-000078070000}"/>
    <cellStyle name="20% - Accent6 9 6" xfId="23512" xr:uid="{00000000-0005-0000-0000-000079070000}"/>
    <cellStyle name="40% - Accent1" xfId="63" builtinId="31" customBuiltin="1"/>
    <cellStyle name="40% - Accent1 10" xfId="595" xr:uid="{00000000-0005-0000-0000-00007B070000}"/>
    <cellStyle name="40% - Accent1 10 2" xfId="940" xr:uid="{00000000-0005-0000-0000-00007C070000}"/>
    <cellStyle name="40% - Accent1 10 2 2" xfId="23822" xr:uid="{00000000-0005-0000-0000-00007D070000}"/>
    <cellStyle name="40% - Accent1 10 3" xfId="22508" xr:uid="{00000000-0005-0000-0000-00007E070000}"/>
    <cellStyle name="40% - Accent1 10 3 2" xfId="42419" xr:uid="{00000000-0005-0000-0000-00007F070000}"/>
    <cellStyle name="40% - Accent1 10 4" xfId="22905" xr:uid="{00000000-0005-0000-0000-000080070000}"/>
    <cellStyle name="40% - Accent1 10 4 2" xfId="42816" xr:uid="{00000000-0005-0000-0000-000081070000}"/>
    <cellStyle name="40% - Accent1 10 5" xfId="23208" xr:uid="{00000000-0005-0000-0000-000082070000}"/>
    <cellStyle name="40% - Accent1 10 5 2" xfId="43119" xr:uid="{00000000-0005-0000-0000-000083070000}"/>
    <cellStyle name="40% - Accent1 10 6" xfId="23519" xr:uid="{00000000-0005-0000-0000-000084070000}"/>
    <cellStyle name="40% - Accent1 11" xfId="623" xr:uid="{00000000-0005-0000-0000-000085070000}"/>
    <cellStyle name="40% - Accent1 11 2" xfId="956" xr:uid="{00000000-0005-0000-0000-000086070000}"/>
    <cellStyle name="40% - Accent1 11 2 2" xfId="23838" xr:uid="{00000000-0005-0000-0000-000087070000}"/>
    <cellStyle name="40% - Accent1 11 3" xfId="22690" xr:uid="{00000000-0005-0000-0000-000088070000}"/>
    <cellStyle name="40% - Accent1 11 3 2" xfId="42601" xr:uid="{00000000-0005-0000-0000-000089070000}"/>
    <cellStyle name="40% - Accent1 11 4" xfId="22921" xr:uid="{00000000-0005-0000-0000-00008A070000}"/>
    <cellStyle name="40% - Accent1 11 4 2" xfId="42832" xr:uid="{00000000-0005-0000-0000-00008B070000}"/>
    <cellStyle name="40% - Accent1 11 5" xfId="23224" xr:uid="{00000000-0005-0000-0000-00008C070000}"/>
    <cellStyle name="40% - Accent1 11 5 2" xfId="43135" xr:uid="{00000000-0005-0000-0000-00008D070000}"/>
    <cellStyle name="40% - Accent1 11 6" xfId="23535" xr:uid="{00000000-0005-0000-0000-00008E070000}"/>
    <cellStyle name="40% - Accent1 12" xfId="649" xr:uid="{00000000-0005-0000-0000-00008F070000}"/>
    <cellStyle name="40% - Accent1 12 2" xfId="972" xr:uid="{00000000-0005-0000-0000-000090070000}"/>
    <cellStyle name="40% - Accent1 12 2 2" xfId="23854" xr:uid="{00000000-0005-0000-0000-000091070000}"/>
    <cellStyle name="40% - Accent1 12 3" xfId="22639" xr:uid="{00000000-0005-0000-0000-000092070000}"/>
    <cellStyle name="40% - Accent1 12 3 2" xfId="42550" xr:uid="{00000000-0005-0000-0000-000093070000}"/>
    <cellStyle name="40% - Accent1 12 4" xfId="22937" xr:uid="{00000000-0005-0000-0000-000094070000}"/>
    <cellStyle name="40% - Accent1 12 4 2" xfId="42848" xr:uid="{00000000-0005-0000-0000-000095070000}"/>
    <cellStyle name="40% - Accent1 12 5" xfId="23240" xr:uid="{00000000-0005-0000-0000-000096070000}"/>
    <cellStyle name="40% - Accent1 12 5 2" xfId="43151" xr:uid="{00000000-0005-0000-0000-000097070000}"/>
    <cellStyle name="40% - Accent1 12 6" xfId="23551" xr:uid="{00000000-0005-0000-0000-000098070000}"/>
    <cellStyle name="40% - Accent1 13" xfId="674" xr:uid="{00000000-0005-0000-0000-000099070000}"/>
    <cellStyle name="40% - Accent1 13 2" xfId="988" xr:uid="{00000000-0005-0000-0000-00009A070000}"/>
    <cellStyle name="40% - Accent1 13 2 2" xfId="23870" xr:uid="{00000000-0005-0000-0000-00009B070000}"/>
    <cellStyle name="40% - Accent1 13 3" xfId="22595" xr:uid="{00000000-0005-0000-0000-00009C070000}"/>
    <cellStyle name="40% - Accent1 13 3 2" xfId="42506" xr:uid="{00000000-0005-0000-0000-00009D070000}"/>
    <cellStyle name="40% - Accent1 13 4" xfId="22953" xr:uid="{00000000-0005-0000-0000-00009E070000}"/>
    <cellStyle name="40% - Accent1 13 4 2" xfId="42864" xr:uid="{00000000-0005-0000-0000-00009F070000}"/>
    <cellStyle name="40% - Accent1 13 5" xfId="23256" xr:uid="{00000000-0005-0000-0000-0000A0070000}"/>
    <cellStyle name="40% - Accent1 13 5 2" xfId="43167" xr:uid="{00000000-0005-0000-0000-0000A1070000}"/>
    <cellStyle name="40% - Accent1 13 6" xfId="23567" xr:uid="{00000000-0005-0000-0000-0000A2070000}"/>
    <cellStyle name="40% - Accent1 14" xfId="696" xr:uid="{00000000-0005-0000-0000-0000A3070000}"/>
    <cellStyle name="40% - Accent1 14 2" xfId="1004" xr:uid="{00000000-0005-0000-0000-0000A4070000}"/>
    <cellStyle name="40% - Accent1 14 2 2" xfId="23886" xr:uid="{00000000-0005-0000-0000-0000A5070000}"/>
    <cellStyle name="40% - Accent1 14 3" xfId="22667" xr:uid="{00000000-0005-0000-0000-0000A6070000}"/>
    <cellStyle name="40% - Accent1 14 3 2" xfId="42578" xr:uid="{00000000-0005-0000-0000-0000A7070000}"/>
    <cellStyle name="40% - Accent1 14 4" xfId="22969" xr:uid="{00000000-0005-0000-0000-0000A8070000}"/>
    <cellStyle name="40% - Accent1 14 4 2" xfId="42880" xr:uid="{00000000-0005-0000-0000-0000A9070000}"/>
    <cellStyle name="40% - Accent1 14 5" xfId="23272" xr:uid="{00000000-0005-0000-0000-0000AA070000}"/>
    <cellStyle name="40% - Accent1 14 5 2" xfId="43183" xr:uid="{00000000-0005-0000-0000-0000AB070000}"/>
    <cellStyle name="40% - Accent1 14 6" xfId="23583" xr:uid="{00000000-0005-0000-0000-0000AC070000}"/>
    <cellStyle name="40% - Accent1 15" xfId="712" xr:uid="{00000000-0005-0000-0000-0000AD070000}"/>
    <cellStyle name="40% - Accent1 15 2" xfId="1020" xr:uid="{00000000-0005-0000-0000-0000AE070000}"/>
    <cellStyle name="40% - Accent1 15 2 2" xfId="23902" xr:uid="{00000000-0005-0000-0000-0000AF070000}"/>
    <cellStyle name="40% - Accent1 15 3" xfId="22558" xr:uid="{00000000-0005-0000-0000-0000B0070000}"/>
    <cellStyle name="40% - Accent1 15 3 2" xfId="42469" xr:uid="{00000000-0005-0000-0000-0000B1070000}"/>
    <cellStyle name="40% - Accent1 15 4" xfId="22985" xr:uid="{00000000-0005-0000-0000-0000B2070000}"/>
    <cellStyle name="40% - Accent1 15 4 2" xfId="42896" xr:uid="{00000000-0005-0000-0000-0000B3070000}"/>
    <cellStyle name="40% - Accent1 15 5" xfId="23288" xr:uid="{00000000-0005-0000-0000-0000B4070000}"/>
    <cellStyle name="40% - Accent1 15 5 2" xfId="43199" xr:uid="{00000000-0005-0000-0000-0000B5070000}"/>
    <cellStyle name="40% - Accent1 15 6" xfId="23599" xr:uid="{00000000-0005-0000-0000-0000B6070000}"/>
    <cellStyle name="40% - Accent1 16" xfId="736" xr:uid="{00000000-0005-0000-0000-0000B7070000}"/>
    <cellStyle name="40% - Accent1 16 2" xfId="23618" xr:uid="{00000000-0005-0000-0000-0000B8070000}"/>
    <cellStyle name="40% - Accent1 17" xfId="22701" xr:uid="{00000000-0005-0000-0000-0000B9070000}"/>
    <cellStyle name="40% - Accent1 17 2" xfId="42612" xr:uid="{00000000-0005-0000-0000-0000BA070000}"/>
    <cellStyle name="40% - Accent1 18" xfId="23004" xr:uid="{00000000-0005-0000-0000-0000BB070000}"/>
    <cellStyle name="40% - Accent1 18 2" xfId="42915" xr:uid="{00000000-0005-0000-0000-0000BC070000}"/>
    <cellStyle name="40% - Accent1 19" xfId="23308" xr:uid="{00000000-0005-0000-0000-0000BD070000}"/>
    <cellStyle name="40% - Accent1 2" xfId="367" xr:uid="{00000000-0005-0000-0000-0000BE070000}"/>
    <cellStyle name="40% - Accent1 2 10" xfId="23391" xr:uid="{00000000-0005-0000-0000-0000BF070000}"/>
    <cellStyle name="40% - Accent1 2 2" xfId="812" xr:uid="{00000000-0005-0000-0000-0000C0070000}"/>
    <cellStyle name="40% - Accent1 2 2 2" xfId="6296" xr:uid="{00000000-0005-0000-0000-0000C1070000}"/>
    <cellStyle name="40% - Accent1 2 2 2 2" xfId="9382" xr:uid="{00000000-0005-0000-0000-0000C2070000}"/>
    <cellStyle name="40% - Accent1 2 2 2 2 2" xfId="15575" xr:uid="{00000000-0005-0000-0000-0000C3070000}"/>
    <cellStyle name="40% - Accent1 2 2 2 2 2 2" xfId="35495" xr:uid="{00000000-0005-0000-0000-0000C4070000}"/>
    <cellStyle name="40% - Accent1 2 2 2 2 3" xfId="21727" xr:uid="{00000000-0005-0000-0000-0000C5070000}"/>
    <cellStyle name="40% - Accent1 2 2 2 2 3 2" xfId="41647" xr:uid="{00000000-0005-0000-0000-0000C6070000}"/>
    <cellStyle name="40% - Accent1 2 2 2 2 4" xfId="29342" xr:uid="{00000000-0005-0000-0000-0000C7070000}"/>
    <cellStyle name="40% - Accent1 2 2 2 3" xfId="12509" xr:uid="{00000000-0005-0000-0000-0000C8070000}"/>
    <cellStyle name="40% - Accent1 2 2 2 3 2" xfId="32429" xr:uid="{00000000-0005-0000-0000-0000C9070000}"/>
    <cellStyle name="40% - Accent1 2 2 2 4" xfId="18661" xr:uid="{00000000-0005-0000-0000-0000CA070000}"/>
    <cellStyle name="40% - Accent1 2 2 2 4 2" xfId="38581" xr:uid="{00000000-0005-0000-0000-0000CB070000}"/>
    <cellStyle name="40% - Accent1 2 2 2 5" xfId="26276" xr:uid="{00000000-0005-0000-0000-0000CC070000}"/>
    <cellStyle name="40% - Accent1 2 2 3" xfId="7847" xr:uid="{00000000-0005-0000-0000-0000CD070000}"/>
    <cellStyle name="40% - Accent1 2 2 3 2" xfId="14041" xr:uid="{00000000-0005-0000-0000-0000CE070000}"/>
    <cellStyle name="40% - Accent1 2 2 3 2 2" xfId="33961" xr:uid="{00000000-0005-0000-0000-0000CF070000}"/>
    <cellStyle name="40% - Accent1 2 2 3 3" xfId="20193" xr:uid="{00000000-0005-0000-0000-0000D0070000}"/>
    <cellStyle name="40% - Accent1 2 2 3 3 2" xfId="40113" xr:uid="{00000000-0005-0000-0000-0000D1070000}"/>
    <cellStyle name="40% - Accent1 2 2 3 4" xfId="27808" xr:uid="{00000000-0005-0000-0000-0000D2070000}"/>
    <cellStyle name="40% - Accent1 2 2 4" xfId="10975" xr:uid="{00000000-0005-0000-0000-0000D3070000}"/>
    <cellStyle name="40% - Accent1 2 2 4 2" xfId="30895" xr:uid="{00000000-0005-0000-0000-0000D4070000}"/>
    <cellStyle name="40% - Accent1 2 2 5" xfId="17127" xr:uid="{00000000-0005-0000-0000-0000D5070000}"/>
    <cellStyle name="40% - Accent1 2 2 5 2" xfId="37047" xr:uid="{00000000-0005-0000-0000-0000D6070000}"/>
    <cellStyle name="40% - Accent1 2 2 6" xfId="4671" xr:uid="{00000000-0005-0000-0000-0000D7070000}"/>
    <cellStyle name="40% - Accent1 2 2 6 2" xfId="24742" xr:uid="{00000000-0005-0000-0000-0000D8070000}"/>
    <cellStyle name="40% - Accent1 2 2 7" xfId="23694" xr:uid="{00000000-0005-0000-0000-0000D9070000}"/>
    <cellStyle name="40% - Accent1 2 3" xfId="5510" xr:uid="{00000000-0005-0000-0000-0000DA070000}"/>
    <cellStyle name="40% - Accent1 2 3 2" xfId="8613" xr:uid="{00000000-0005-0000-0000-0000DB070000}"/>
    <cellStyle name="40% - Accent1 2 3 2 2" xfId="14806" xr:uid="{00000000-0005-0000-0000-0000DC070000}"/>
    <cellStyle name="40% - Accent1 2 3 2 2 2" xfId="34726" xr:uid="{00000000-0005-0000-0000-0000DD070000}"/>
    <cellStyle name="40% - Accent1 2 3 2 3" xfId="20958" xr:uid="{00000000-0005-0000-0000-0000DE070000}"/>
    <cellStyle name="40% - Accent1 2 3 2 3 2" xfId="40878" xr:uid="{00000000-0005-0000-0000-0000DF070000}"/>
    <cellStyle name="40% - Accent1 2 3 2 4" xfId="28573" xr:uid="{00000000-0005-0000-0000-0000E0070000}"/>
    <cellStyle name="40% - Accent1 2 3 3" xfId="11740" xr:uid="{00000000-0005-0000-0000-0000E1070000}"/>
    <cellStyle name="40% - Accent1 2 3 3 2" xfId="31660" xr:uid="{00000000-0005-0000-0000-0000E2070000}"/>
    <cellStyle name="40% - Accent1 2 3 4" xfId="17892" xr:uid="{00000000-0005-0000-0000-0000E3070000}"/>
    <cellStyle name="40% - Accent1 2 3 4 2" xfId="37812" xr:uid="{00000000-0005-0000-0000-0000E4070000}"/>
    <cellStyle name="40% - Accent1 2 3 5" xfId="25507" xr:uid="{00000000-0005-0000-0000-0000E5070000}"/>
    <cellStyle name="40% - Accent1 2 4" xfId="7078" xr:uid="{00000000-0005-0000-0000-0000E6070000}"/>
    <cellStyle name="40% - Accent1 2 4 2" xfId="13272" xr:uid="{00000000-0005-0000-0000-0000E7070000}"/>
    <cellStyle name="40% - Accent1 2 4 2 2" xfId="33192" xr:uid="{00000000-0005-0000-0000-0000E8070000}"/>
    <cellStyle name="40% - Accent1 2 4 3" xfId="19424" xr:uid="{00000000-0005-0000-0000-0000E9070000}"/>
    <cellStyle name="40% - Accent1 2 4 3 2" xfId="39344" xr:uid="{00000000-0005-0000-0000-0000EA070000}"/>
    <cellStyle name="40% - Accent1 2 4 4" xfId="27039" xr:uid="{00000000-0005-0000-0000-0000EB070000}"/>
    <cellStyle name="40% - Accent1 2 5" xfId="10206" xr:uid="{00000000-0005-0000-0000-0000EC070000}"/>
    <cellStyle name="40% - Accent1 2 5 2" xfId="30126" xr:uid="{00000000-0005-0000-0000-0000ED070000}"/>
    <cellStyle name="40% - Accent1 2 6" xfId="16358" xr:uid="{00000000-0005-0000-0000-0000EE070000}"/>
    <cellStyle name="40% - Accent1 2 6 2" xfId="36278" xr:uid="{00000000-0005-0000-0000-0000EF070000}"/>
    <cellStyle name="40% - Accent1 2 7" xfId="1236" xr:uid="{00000000-0005-0000-0000-0000F0070000}"/>
    <cellStyle name="40% - Accent1 2 7 2" xfId="23973" xr:uid="{00000000-0005-0000-0000-0000F1070000}"/>
    <cellStyle name="40% - Accent1 2 8" xfId="22777" xr:uid="{00000000-0005-0000-0000-0000F2070000}"/>
    <cellStyle name="40% - Accent1 2 8 2" xfId="42688" xr:uid="{00000000-0005-0000-0000-0000F3070000}"/>
    <cellStyle name="40% - Accent1 2 9" xfId="23080" xr:uid="{00000000-0005-0000-0000-0000F4070000}"/>
    <cellStyle name="40% - Accent1 2 9 2" xfId="42991" xr:uid="{00000000-0005-0000-0000-0000F5070000}"/>
    <cellStyle name="40% - Accent1 3" xfId="398" xr:uid="{00000000-0005-0000-0000-0000F6070000}"/>
    <cellStyle name="40% - Accent1 3 10" xfId="23407" xr:uid="{00000000-0005-0000-0000-0000F7070000}"/>
    <cellStyle name="40% - Accent1 3 2" xfId="828" xr:uid="{00000000-0005-0000-0000-0000F8070000}"/>
    <cellStyle name="40% - Accent1 3 2 2" xfId="6297" xr:uid="{00000000-0005-0000-0000-0000F9070000}"/>
    <cellStyle name="40% - Accent1 3 2 2 2" xfId="9383" xr:uid="{00000000-0005-0000-0000-0000FA070000}"/>
    <cellStyle name="40% - Accent1 3 2 2 2 2" xfId="15576" xr:uid="{00000000-0005-0000-0000-0000FB070000}"/>
    <cellStyle name="40% - Accent1 3 2 2 2 2 2" xfId="35496" xr:uid="{00000000-0005-0000-0000-0000FC070000}"/>
    <cellStyle name="40% - Accent1 3 2 2 2 3" xfId="21728" xr:uid="{00000000-0005-0000-0000-0000FD070000}"/>
    <cellStyle name="40% - Accent1 3 2 2 2 3 2" xfId="41648" xr:uid="{00000000-0005-0000-0000-0000FE070000}"/>
    <cellStyle name="40% - Accent1 3 2 2 2 4" xfId="29343" xr:uid="{00000000-0005-0000-0000-0000FF070000}"/>
    <cellStyle name="40% - Accent1 3 2 2 3" xfId="12510" xr:uid="{00000000-0005-0000-0000-000000080000}"/>
    <cellStyle name="40% - Accent1 3 2 2 3 2" xfId="32430" xr:uid="{00000000-0005-0000-0000-000001080000}"/>
    <cellStyle name="40% - Accent1 3 2 2 4" xfId="18662" xr:uid="{00000000-0005-0000-0000-000002080000}"/>
    <cellStyle name="40% - Accent1 3 2 2 4 2" xfId="38582" xr:uid="{00000000-0005-0000-0000-000003080000}"/>
    <cellStyle name="40% - Accent1 3 2 2 5" xfId="26277" xr:uid="{00000000-0005-0000-0000-000004080000}"/>
    <cellStyle name="40% - Accent1 3 2 3" xfId="7848" xr:uid="{00000000-0005-0000-0000-000005080000}"/>
    <cellStyle name="40% - Accent1 3 2 3 2" xfId="14042" xr:uid="{00000000-0005-0000-0000-000006080000}"/>
    <cellStyle name="40% - Accent1 3 2 3 2 2" xfId="33962" xr:uid="{00000000-0005-0000-0000-000007080000}"/>
    <cellStyle name="40% - Accent1 3 2 3 3" xfId="20194" xr:uid="{00000000-0005-0000-0000-000008080000}"/>
    <cellStyle name="40% - Accent1 3 2 3 3 2" xfId="40114" xr:uid="{00000000-0005-0000-0000-000009080000}"/>
    <cellStyle name="40% - Accent1 3 2 3 4" xfId="27809" xr:uid="{00000000-0005-0000-0000-00000A080000}"/>
    <cellStyle name="40% - Accent1 3 2 4" xfId="10976" xr:uid="{00000000-0005-0000-0000-00000B080000}"/>
    <cellStyle name="40% - Accent1 3 2 4 2" xfId="30896" xr:uid="{00000000-0005-0000-0000-00000C080000}"/>
    <cellStyle name="40% - Accent1 3 2 5" xfId="17128" xr:uid="{00000000-0005-0000-0000-00000D080000}"/>
    <cellStyle name="40% - Accent1 3 2 5 2" xfId="37048" xr:uid="{00000000-0005-0000-0000-00000E080000}"/>
    <cellStyle name="40% - Accent1 3 2 6" xfId="4672" xr:uid="{00000000-0005-0000-0000-00000F080000}"/>
    <cellStyle name="40% - Accent1 3 2 6 2" xfId="24743" xr:uid="{00000000-0005-0000-0000-000010080000}"/>
    <cellStyle name="40% - Accent1 3 2 7" xfId="23710" xr:uid="{00000000-0005-0000-0000-000011080000}"/>
    <cellStyle name="40% - Accent1 3 3" xfId="5511" xr:uid="{00000000-0005-0000-0000-000012080000}"/>
    <cellStyle name="40% - Accent1 3 3 2" xfId="8614" xr:uid="{00000000-0005-0000-0000-000013080000}"/>
    <cellStyle name="40% - Accent1 3 3 2 2" xfId="14807" xr:uid="{00000000-0005-0000-0000-000014080000}"/>
    <cellStyle name="40% - Accent1 3 3 2 2 2" xfId="34727" xr:uid="{00000000-0005-0000-0000-000015080000}"/>
    <cellStyle name="40% - Accent1 3 3 2 3" xfId="20959" xr:uid="{00000000-0005-0000-0000-000016080000}"/>
    <cellStyle name="40% - Accent1 3 3 2 3 2" xfId="40879" xr:uid="{00000000-0005-0000-0000-000017080000}"/>
    <cellStyle name="40% - Accent1 3 3 2 4" xfId="28574" xr:uid="{00000000-0005-0000-0000-000018080000}"/>
    <cellStyle name="40% - Accent1 3 3 3" xfId="11741" xr:uid="{00000000-0005-0000-0000-000019080000}"/>
    <cellStyle name="40% - Accent1 3 3 3 2" xfId="31661" xr:uid="{00000000-0005-0000-0000-00001A080000}"/>
    <cellStyle name="40% - Accent1 3 3 4" xfId="17893" xr:uid="{00000000-0005-0000-0000-00001B080000}"/>
    <cellStyle name="40% - Accent1 3 3 4 2" xfId="37813" xr:uid="{00000000-0005-0000-0000-00001C080000}"/>
    <cellStyle name="40% - Accent1 3 3 5" xfId="25508" xr:uid="{00000000-0005-0000-0000-00001D080000}"/>
    <cellStyle name="40% - Accent1 3 4" xfId="7079" xr:uid="{00000000-0005-0000-0000-00001E080000}"/>
    <cellStyle name="40% - Accent1 3 4 2" xfId="13273" xr:uid="{00000000-0005-0000-0000-00001F080000}"/>
    <cellStyle name="40% - Accent1 3 4 2 2" xfId="33193" xr:uid="{00000000-0005-0000-0000-000020080000}"/>
    <cellStyle name="40% - Accent1 3 4 3" xfId="19425" xr:uid="{00000000-0005-0000-0000-000021080000}"/>
    <cellStyle name="40% - Accent1 3 4 3 2" xfId="39345" xr:uid="{00000000-0005-0000-0000-000022080000}"/>
    <cellStyle name="40% - Accent1 3 4 4" xfId="27040" xr:uid="{00000000-0005-0000-0000-000023080000}"/>
    <cellStyle name="40% - Accent1 3 5" xfId="10207" xr:uid="{00000000-0005-0000-0000-000024080000}"/>
    <cellStyle name="40% - Accent1 3 5 2" xfId="30127" xr:uid="{00000000-0005-0000-0000-000025080000}"/>
    <cellStyle name="40% - Accent1 3 6" xfId="16359" xr:uid="{00000000-0005-0000-0000-000026080000}"/>
    <cellStyle name="40% - Accent1 3 6 2" xfId="36279" xr:uid="{00000000-0005-0000-0000-000027080000}"/>
    <cellStyle name="40% - Accent1 3 7" xfId="1237" xr:uid="{00000000-0005-0000-0000-000028080000}"/>
    <cellStyle name="40% - Accent1 3 7 2" xfId="23974" xr:uid="{00000000-0005-0000-0000-000029080000}"/>
    <cellStyle name="40% - Accent1 3 8" xfId="22793" xr:uid="{00000000-0005-0000-0000-00002A080000}"/>
    <cellStyle name="40% - Accent1 3 8 2" xfId="42704" xr:uid="{00000000-0005-0000-0000-00002B080000}"/>
    <cellStyle name="40% - Accent1 3 9" xfId="23096" xr:uid="{00000000-0005-0000-0000-00002C080000}"/>
    <cellStyle name="40% - Accent1 3 9 2" xfId="43007" xr:uid="{00000000-0005-0000-0000-00002D080000}"/>
    <cellStyle name="40% - Accent1 4" xfId="426" xr:uid="{00000000-0005-0000-0000-00002E080000}"/>
    <cellStyle name="40% - Accent1 4 10" xfId="23423" xr:uid="{00000000-0005-0000-0000-00002F080000}"/>
    <cellStyle name="40% - Accent1 4 2" xfId="844" xr:uid="{00000000-0005-0000-0000-000030080000}"/>
    <cellStyle name="40% - Accent1 4 2 2" xfId="6298" xr:uid="{00000000-0005-0000-0000-000031080000}"/>
    <cellStyle name="40% - Accent1 4 2 2 2" xfId="9384" xr:uid="{00000000-0005-0000-0000-000032080000}"/>
    <cellStyle name="40% - Accent1 4 2 2 2 2" xfId="15577" xr:uid="{00000000-0005-0000-0000-000033080000}"/>
    <cellStyle name="40% - Accent1 4 2 2 2 2 2" xfId="35497" xr:uid="{00000000-0005-0000-0000-000034080000}"/>
    <cellStyle name="40% - Accent1 4 2 2 2 3" xfId="21729" xr:uid="{00000000-0005-0000-0000-000035080000}"/>
    <cellStyle name="40% - Accent1 4 2 2 2 3 2" xfId="41649" xr:uid="{00000000-0005-0000-0000-000036080000}"/>
    <cellStyle name="40% - Accent1 4 2 2 2 4" xfId="29344" xr:uid="{00000000-0005-0000-0000-000037080000}"/>
    <cellStyle name="40% - Accent1 4 2 2 3" xfId="12511" xr:uid="{00000000-0005-0000-0000-000038080000}"/>
    <cellStyle name="40% - Accent1 4 2 2 3 2" xfId="32431" xr:uid="{00000000-0005-0000-0000-000039080000}"/>
    <cellStyle name="40% - Accent1 4 2 2 4" xfId="18663" xr:uid="{00000000-0005-0000-0000-00003A080000}"/>
    <cellStyle name="40% - Accent1 4 2 2 4 2" xfId="38583" xr:uid="{00000000-0005-0000-0000-00003B080000}"/>
    <cellStyle name="40% - Accent1 4 2 2 5" xfId="26278" xr:uid="{00000000-0005-0000-0000-00003C080000}"/>
    <cellStyle name="40% - Accent1 4 2 3" xfId="7849" xr:uid="{00000000-0005-0000-0000-00003D080000}"/>
    <cellStyle name="40% - Accent1 4 2 3 2" xfId="14043" xr:uid="{00000000-0005-0000-0000-00003E080000}"/>
    <cellStyle name="40% - Accent1 4 2 3 2 2" xfId="33963" xr:uid="{00000000-0005-0000-0000-00003F080000}"/>
    <cellStyle name="40% - Accent1 4 2 3 3" xfId="20195" xr:uid="{00000000-0005-0000-0000-000040080000}"/>
    <cellStyle name="40% - Accent1 4 2 3 3 2" xfId="40115" xr:uid="{00000000-0005-0000-0000-000041080000}"/>
    <cellStyle name="40% - Accent1 4 2 3 4" xfId="27810" xr:uid="{00000000-0005-0000-0000-000042080000}"/>
    <cellStyle name="40% - Accent1 4 2 4" xfId="10977" xr:uid="{00000000-0005-0000-0000-000043080000}"/>
    <cellStyle name="40% - Accent1 4 2 4 2" xfId="30897" xr:uid="{00000000-0005-0000-0000-000044080000}"/>
    <cellStyle name="40% - Accent1 4 2 5" xfId="17129" xr:uid="{00000000-0005-0000-0000-000045080000}"/>
    <cellStyle name="40% - Accent1 4 2 5 2" xfId="37049" xr:uid="{00000000-0005-0000-0000-000046080000}"/>
    <cellStyle name="40% - Accent1 4 2 6" xfId="4673" xr:uid="{00000000-0005-0000-0000-000047080000}"/>
    <cellStyle name="40% - Accent1 4 2 6 2" xfId="24744" xr:uid="{00000000-0005-0000-0000-000048080000}"/>
    <cellStyle name="40% - Accent1 4 2 7" xfId="23726" xr:uid="{00000000-0005-0000-0000-000049080000}"/>
    <cellStyle name="40% - Accent1 4 3" xfId="5512" xr:uid="{00000000-0005-0000-0000-00004A080000}"/>
    <cellStyle name="40% - Accent1 4 3 2" xfId="8615" xr:uid="{00000000-0005-0000-0000-00004B080000}"/>
    <cellStyle name="40% - Accent1 4 3 2 2" xfId="14808" xr:uid="{00000000-0005-0000-0000-00004C080000}"/>
    <cellStyle name="40% - Accent1 4 3 2 2 2" xfId="34728" xr:uid="{00000000-0005-0000-0000-00004D080000}"/>
    <cellStyle name="40% - Accent1 4 3 2 3" xfId="20960" xr:uid="{00000000-0005-0000-0000-00004E080000}"/>
    <cellStyle name="40% - Accent1 4 3 2 3 2" xfId="40880" xr:uid="{00000000-0005-0000-0000-00004F080000}"/>
    <cellStyle name="40% - Accent1 4 3 2 4" xfId="28575" xr:uid="{00000000-0005-0000-0000-000050080000}"/>
    <cellStyle name="40% - Accent1 4 3 3" xfId="11742" xr:uid="{00000000-0005-0000-0000-000051080000}"/>
    <cellStyle name="40% - Accent1 4 3 3 2" xfId="31662" xr:uid="{00000000-0005-0000-0000-000052080000}"/>
    <cellStyle name="40% - Accent1 4 3 4" xfId="17894" xr:uid="{00000000-0005-0000-0000-000053080000}"/>
    <cellStyle name="40% - Accent1 4 3 4 2" xfId="37814" xr:uid="{00000000-0005-0000-0000-000054080000}"/>
    <cellStyle name="40% - Accent1 4 3 5" xfId="25509" xr:uid="{00000000-0005-0000-0000-000055080000}"/>
    <cellStyle name="40% - Accent1 4 4" xfId="7080" xr:uid="{00000000-0005-0000-0000-000056080000}"/>
    <cellStyle name="40% - Accent1 4 4 2" xfId="13274" xr:uid="{00000000-0005-0000-0000-000057080000}"/>
    <cellStyle name="40% - Accent1 4 4 2 2" xfId="33194" xr:uid="{00000000-0005-0000-0000-000058080000}"/>
    <cellStyle name="40% - Accent1 4 4 3" xfId="19426" xr:uid="{00000000-0005-0000-0000-000059080000}"/>
    <cellStyle name="40% - Accent1 4 4 3 2" xfId="39346" xr:uid="{00000000-0005-0000-0000-00005A080000}"/>
    <cellStyle name="40% - Accent1 4 4 4" xfId="27041" xr:uid="{00000000-0005-0000-0000-00005B080000}"/>
    <cellStyle name="40% - Accent1 4 5" xfId="10208" xr:uid="{00000000-0005-0000-0000-00005C080000}"/>
    <cellStyle name="40% - Accent1 4 5 2" xfId="30128" xr:uid="{00000000-0005-0000-0000-00005D080000}"/>
    <cellStyle name="40% - Accent1 4 6" xfId="16360" xr:uid="{00000000-0005-0000-0000-00005E080000}"/>
    <cellStyle name="40% - Accent1 4 6 2" xfId="36280" xr:uid="{00000000-0005-0000-0000-00005F080000}"/>
    <cellStyle name="40% - Accent1 4 7" xfId="1238" xr:uid="{00000000-0005-0000-0000-000060080000}"/>
    <cellStyle name="40% - Accent1 4 7 2" xfId="23975" xr:uid="{00000000-0005-0000-0000-000061080000}"/>
    <cellStyle name="40% - Accent1 4 8" xfId="22809" xr:uid="{00000000-0005-0000-0000-000062080000}"/>
    <cellStyle name="40% - Accent1 4 8 2" xfId="42720" xr:uid="{00000000-0005-0000-0000-000063080000}"/>
    <cellStyle name="40% - Accent1 4 9" xfId="23112" xr:uid="{00000000-0005-0000-0000-000064080000}"/>
    <cellStyle name="40% - Accent1 4 9 2" xfId="43023" xr:uid="{00000000-0005-0000-0000-000065080000}"/>
    <cellStyle name="40% - Accent1 5" xfId="453" xr:uid="{00000000-0005-0000-0000-000066080000}"/>
    <cellStyle name="40% - Accent1 5 10" xfId="23128" xr:uid="{00000000-0005-0000-0000-000067080000}"/>
    <cellStyle name="40% - Accent1 5 10 2" xfId="43039" xr:uid="{00000000-0005-0000-0000-000068080000}"/>
    <cellStyle name="40% - Accent1 5 11" xfId="23439" xr:uid="{00000000-0005-0000-0000-000069080000}"/>
    <cellStyle name="40% - Accent1 5 2" xfId="860" xr:uid="{00000000-0005-0000-0000-00006A080000}"/>
    <cellStyle name="40% - Accent1 5 2 2" xfId="6299" xr:uid="{00000000-0005-0000-0000-00006B080000}"/>
    <cellStyle name="40% - Accent1 5 2 2 2" xfId="9385" xr:uid="{00000000-0005-0000-0000-00006C080000}"/>
    <cellStyle name="40% - Accent1 5 2 2 2 2" xfId="15578" xr:uid="{00000000-0005-0000-0000-00006D080000}"/>
    <cellStyle name="40% - Accent1 5 2 2 2 2 2" xfId="35498" xr:uid="{00000000-0005-0000-0000-00006E080000}"/>
    <cellStyle name="40% - Accent1 5 2 2 2 3" xfId="21730" xr:uid="{00000000-0005-0000-0000-00006F080000}"/>
    <cellStyle name="40% - Accent1 5 2 2 2 3 2" xfId="41650" xr:uid="{00000000-0005-0000-0000-000070080000}"/>
    <cellStyle name="40% - Accent1 5 2 2 2 4" xfId="29345" xr:uid="{00000000-0005-0000-0000-000071080000}"/>
    <cellStyle name="40% - Accent1 5 2 2 3" xfId="12512" xr:uid="{00000000-0005-0000-0000-000072080000}"/>
    <cellStyle name="40% - Accent1 5 2 2 3 2" xfId="32432" xr:uid="{00000000-0005-0000-0000-000073080000}"/>
    <cellStyle name="40% - Accent1 5 2 2 4" xfId="18664" xr:uid="{00000000-0005-0000-0000-000074080000}"/>
    <cellStyle name="40% - Accent1 5 2 2 4 2" xfId="38584" xr:uid="{00000000-0005-0000-0000-000075080000}"/>
    <cellStyle name="40% - Accent1 5 2 2 5" xfId="26279" xr:uid="{00000000-0005-0000-0000-000076080000}"/>
    <cellStyle name="40% - Accent1 5 2 3" xfId="7850" xr:uid="{00000000-0005-0000-0000-000077080000}"/>
    <cellStyle name="40% - Accent1 5 2 3 2" xfId="14044" xr:uid="{00000000-0005-0000-0000-000078080000}"/>
    <cellStyle name="40% - Accent1 5 2 3 2 2" xfId="33964" xr:uid="{00000000-0005-0000-0000-000079080000}"/>
    <cellStyle name="40% - Accent1 5 2 3 3" xfId="20196" xr:uid="{00000000-0005-0000-0000-00007A080000}"/>
    <cellStyle name="40% - Accent1 5 2 3 3 2" xfId="40116" xr:uid="{00000000-0005-0000-0000-00007B080000}"/>
    <cellStyle name="40% - Accent1 5 2 3 4" xfId="27811" xr:uid="{00000000-0005-0000-0000-00007C080000}"/>
    <cellStyle name="40% - Accent1 5 2 4" xfId="10978" xr:uid="{00000000-0005-0000-0000-00007D080000}"/>
    <cellStyle name="40% - Accent1 5 2 4 2" xfId="30898" xr:uid="{00000000-0005-0000-0000-00007E080000}"/>
    <cellStyle name="40% - Accent1 5 2 5" xfId="17130" xr:uid="{00000000-0005-0000-0000-00007F080000}"/>
    <cellStyle name="40% - Accent1 5 2 5 2" xfId="37050" xr:uid="{00000000-0005-0000-0000-000080080000}"/>
    <cellStyle name="40% - Accent1 5 2 6" xfId="4674" xr:uid="{00000000-0005-0000-0000-000081080000}"/>
    <cellStyle name="40% - Accent1 5 2 6 2" xfId="24745" xr:uid="{00000000-0005-0000-0000-000082080000}"/>
    <cellStyle name="40% - Accent1 5 2 7" xfId="23742" xr:uid="{00000000-0005-0000-0000-000083080000}"/>
    <cellStyle name="40% - Accent1 5 3" xfId="5513" xr:uid="{00000000-0005-0000-0000-000084080000}"/>
    <cellStyle name="40% - Accent1 5 3 2" xfId="8616" xr:uid="{00000000-0005-0000-0000-000085080000}"/>
    <cellStyle name="40% - Accent1 5 3 2 2" xfId="14809" xr:uid="{00000000-0005-0000-0000-000086080000}"/>
    <cellStyle name="40% - Accent1 5 3 2 2 2" xfId="34729" xr:uid="{00000000-0005-0000-0000-000087080000}"/>
    <cellStyle name="40% - Accent1 5 3 2 3" xfId="20961" xr:uid="{00000000-0005-0000-0000-000088080000}"/>
    <cellStyle name="40% - Accent1 5 3 2 3 2" xfId="40881" xr:uid="{00000000-0005-0000-0000-000089080000}"/>
    <cellStyle name="40% - Accent1 5 3 2 4" xfId="28576" xr:uid="{00000000-0005-0000-0000-00008A080000}"/>
    <cellStyle name="40% - Accent1 5 3 3" xfId="11743" xr:uid="{00000000-0005-0000-0000-00008B080000}"/>
    <cellStyle name="40% - Accent1 5 3 3 2" xfId="31663" xr:uid="{00000000-0005-0000-0000-00008C080000}"/>
    <cellStyle name="40% - Accent1 5 3 4" xfId="17895" xr:uid="{00000000-0005-0000-0000-00008D080000}"/>
    <cellStyle name="40% - Accent1 5 3 4 2" xfId="37815" xr:uid="{00000000-0005-0000-0000-00008E080000}"/>
    <cellStyle name="40% - Accent1 5 3 5" xfId="25510" xr:uid="{00000000-0005-0000-0000-00008F080000}"/>
    <cellStyle name="40% - Accent1 5 4" xfId="7081" xr:uid="{00000000-0005-0000-0000-000090080000}"/>
    <cellStyle name="40% - Accent1 5 4 2" xfId="13275" xr:uid="{00000000-0005-0000-0000-000091080000}"/>
    <cellStyle name="40% - Accent1 5 4 2 2" xfId="33195" xr:uid="{00000000-0005-0000-0000-000092080000}"/>
    <cellStyle name="40% - Accent1 5 4 3" xfId="19427" xr:uid="{00000000-0005-0000-0000-000093080000}"/>
    <cellStyle name="40% - Accent1 5 4 3 2" xfId="39347" xr:uid="{00000000-0005-0000-0000-000094080000}"/>
    <cellStyle name="40% - Accent1 5 4 4" xfId="27042" xr:uid="{00000000-0005-0000-0000-000095080000}"/>
    <cellStyle name="40% - Accent1 5 5" xfId="10209" xr:uid="{00000000-0005-0000-0000-000096080000}"/>
    <cellStyle name="40% - Accent1 5 5 2" xfId="30129" xr:uid="{00000000-0005-0000-0000-000097080000}"/>
    <cellStyle name="40% - Accent1 5 6" xfId="16361" xr:uid="{00000000-0005-0000-0000-000098080000}"/>
    <cellStyle name="40% - Accent1 5 6 2" xfId="36281" xr:uid="{00000000-0005-0000-0000-000099080000}"/>
    <cellStyle name="40% - Accent1 5 7" xfId="1239" xr:uid="{00000000-0005-0000-0000-00009A080000}"/>
    <cellStyle name="40% - Accent1 5 7 2" xfId="23976" xr:uid="{00000000-0005-0000-0000-00009B080000}"/>
    <cellStyle name="40% - Accent1 5 8" xfId="22475" xr:uid="{00000000-0005-0000-0000-00009C080000}"/>
    <cellStyle name="40% - Accent1 5 8 2" xfId="42386" xr:uid="{00000000-0005-0000-0000-00009D080000}"/>
    <cellStyle name="40% - Accent1 5 9" xfId="22825" xr:uid="{00000000-0005-0000-0000-00009E080000}"/>
    <cellStyle name="40% - Accent1 5 9 2" xfId="42736" xr:uid="{00000000-0005-0000-0000-00009F080000}"/>
    <cellStyle name="40% - Accent1 6" xfId="480" xr:uid="{00000000-0005-0000-0000-0000A0080000}"/>
    <cellStyle name="40% - Accent1 6 2" xfId="876" xr:uid="{00000000-0005-0000-0000-0000A1080000}"/>
    <cellStyle name="40% - Accent1 6 2 2" xfId="23758" xr:uid="{00000000-0005-0000-0000-0000A2080000}"/>
    <cellStyle name="40% - Accent1 6 3" xfId="1240" xr:uid="{00000000-0005-0000-0000-0000A3080000}"/>
    <cellStyle name="40% - Accent1 6 4" xfId="22493" xr:uid="{00000000-0005-0000-0000-0000A4080000}"/>
    <cellStyle name="40% - Accent1 6 4 2" xfId="42404" xr:uid="{00000000-0005-0000-0000-0000A5080000}"/>
    <cellStyle name="40% - Accent1 6 5" xfId="22841" xr:uid="{00000000-0005-0000-0000-0000A6080000}"/>
    <cellStyle name="40% - Accent1 6 5 2" xfId="42752" xr:uid="{00000000-0005-0000-0000-0000A7080000}"/>
    <cellStyle name="40% - Accent1 6 6" xfId="23144" xr:uid="{00000000-0005-0000-0000-0000A8080000}"/>
    <cellStyle name="40% - Accent1 6 6 2" xfId="43055" xr:uid="{00000000-0005-0000-0000-0000A9080000}"/>
    <cellStyle name="40% - Accent1 6 7" xfId="23455" xr:uid="{00000000-0005-0000-0000-0000AA080000}"/>
    <cellStyle name="40% - Accent1 7" xfId="504" xr:uid="{00000000-0005-0000-0000-0000AB080000}"/>
    <cellStyle name="40% - Accent1 7 2" xfId="892" xr:uid="{00000000-0005-0000-0000-0000AC080000}"/>
    <cellStyle name="40% - Accent1 7 2 2" xfId="23774" xr:uid="{00000000-0005-0000-0000-0000AD080000}"/>
    <cellStyle name="40% - Accent1 7 3" xfId="22585" xr:uid="{00000000-0005-0000-0000-0000AE080000}"/>
    <cellStyle name="40% - Accent1 7 3 2" xfId="42496" xr:uid="{00000000-0005-0000-0000-0000AF080000}"/>
    <cellStyle name="40% - Accent1 7 4" xfId="22857" xr:uid="{00000000-0005-0000-0000-0000B0080000}"/>
    <cellStyle name="40% - Accent1 7 4 2" xfId="42768" xr:uid="{00000000-0005-0000-0000-0000B1080000}"/>
    <cellStyle name="40% - Accent1 7 5" xfId="23160" xr:uid="{00000000-0005-0000-0000-0000B2080000}"/>
    <cellStyle name="40% - Accent1 7 5 2" xfId="43071" xr:uid="{00000000-0005-0000-0000-0000B3080000}"/>
    <cellStyle name="40% - Accent1 7 6" xfId="23471" xr:uid="{00000000-0005-0000-0000-0000B4080000}"/>
    <cellStyle name="40% - Accent1 8" xfId="528" xr:uid="{00000000-0005-0000-0000-0000B5080000}"/>
    <cellStyle name="40% - Accent1 8 2" xfId="908" xr:uid="{00000000-0005-0000-0000-0000B6080000}"/>
    <cellStyle name="40% - Accent1 8 2 2" xfId="23790" xr:uid="{00000000-0005-0000-0000-0000B7080000}"/>
    <cellStyle name="40% - Accent1 8 3" xfId="22600" xr:uid="{00000000-0005-0000-0000-0000B8080000}"/>
    <cellStyle name="40% - Accent1 8 3 2" xfId="42511" xr:uid="{00000000-0005-0000-0000-0000B9080000}"/>
    <cellStyle name="40% - Accent1 8 4" xfId="22873" xr:uid="{00000000-0005-0000-0000-0000BA080000}"/>
    <cellStyle name="40% - Accent1 8 4 2" xfId="42784" xr:uid="{00000000-0005-0000-0000-0000BB080000}"/>
    <cellStyle name="40% - Accent1 8 5" xfId="23176" xr:uid="{00000000-0005-0000-0000-0000BC080000}"/>
    <cellStyle name="40% - Accent1 8 5 2" xfId="43087" xr:uid="{00000000-0005-0000-0000-0000BD080000}"/>
    <cellStyle name="40% - Accent1 8 6" xfId="23487" xr:uid="{00000000-0005-0000-0000-0000BE080000}"/>
    <cellStyle name="40% - Accent1 9" xfId="566" xr:uid="{00000000-0005-0000-0000-0000BF080000}"/>
    <cellStyle name="40% - Accent1 9 2" xfId="924" xr:uid="{00000000-0005-0000-0000-0000C0080000}"/>
    <cellStyle name="40% - Accent1 9 2 2" xfId="23806" xr:uid="{00000000-0005-0000-0000-0000C1080000}"/>
    <cellStyle name="40% - Accent1 9 3" xfId="22487" xr:uid="{00000000-0005-0000-0000-0000C2080000}"/>
    <cellStyle name="40% - Accent1 9 3 2" xfId="42398" xr:uid="{00000000-0005-0000-0000-0000C3080000}"/>
    <cellStyle name="40% - Accent1 9 4" xfId="22889" xr:uid="{00000000-0005-0000-0000-0000C4080000}"/>
    <cellStyle name="40% - Accent1 9 4 2" xfId="42800" xr:uid="{00000000-0005-0000-0000-0000C5080000}"/>
    <cellStyle name="40% - Accent1 9 5" xfId="23192" xr:uid="{00000000-0005-0000-0000-0000C6080000}"/>
    <cellStyle name="40% - Accent1 9 5 2" xfId="43103" xr:uid="{00000000-0005-0000-0000-0000C7080000}"/>
    <cellStyle name="40% - Accent1 9 6" xfId="23503" xr:uid="{00000000-0005-0000-0000-0000C8080000}"/>
    <cellStyle name="40% - Accent2" xfId="67" builtinId="35" customBuiltin="1"/>
    <cellStyle name="40% - Accent2 10" xfId="598" xr:uid="{00000000-0005-0000-0000-0000CA080000}"/>
    <cellStyle name="40% - Accent2 10 2" xfId="942" xr:uid="{00000000-0005-0000-0000-0000CB080000}"/>
    <cellStyle name="40% - Accent2 10 2 2" xfId="23824" xr:uid="{00000000-0005-0000-0000-0000CC080000}"/>
    <cellStyle name="40% - Accent2 10 3" xfId="22683" xr:uid="{00000000-0005-0000-0000-0000CD080000}"/>
    <cellStyle name="40% - Accent2 10 3 2" xfId="42594" xr:uid="{00000000-0005-0000-0000-0000CE080000}"/>
    <cellStyle name="40% - Accent2 10 4" xfId="22907" xr:uid="{00000000-0005-0000-0000-0000CF080000}"/>
    <cellStyle name="40% - Accent2 10 4 2" xfId="42818" xr:uid="{00000000-0005-0000-0000-0000D0080000}"/>
    <cellStyle name="40% - Accent2 10 5" xfId="23210" xr:uid="{00000000-0005-0000-0000-0000D1080000}"/>
    <cellStyle name="40% - Accent2 10 5 2" xfId="43121" xr:uid="{00000000-0005-0000-0000-0000D2080000}"/>
    <cellStyle name="40% - Accent2 10 6" xfId="23521" xr:uid="{00000000-0005-0000-0000-0000D3080000}"/>
    <cellStyle name="40% - Accent2 11" xfId="626" xr:uid="{00000000-0005-0000-0000-0000D4080000}"/>
    <cellStyle name="40% - Accent2 11 2" xfId="958" xr:uid="{00000000-0005-0000-0000-0000D5080000}"/>
    <cellStyle name="40% - Accent2 11 2 2" xfId="23840" xr:uid="{00000000-0005-0000-0000-0000D6080000}"/>
    <cellStyle name="40% - Accent2 11 3" xfId="1099" xr:uid="{00000000-0005-0000-0000-0000D7080000}"/>
    <cellStyle name="40% - Accent2 11 3 2" xfId="23924" xr:uid="{00000000-0005-0000-0000-0000D8080000}"/>
    <cellStyle name="40% - Accent2 11 4" xfId="22923" xr:uid="{00000000-0005-0000-0000-0000D9080000}"/>
    <cellStyle name="40% - Accent2 11 4 2" xfId="42834" xr:uid="{00000000-0005-0000-0000-0000DA080000}"/>
    <cellStyle name="40% - Accent2 11 5" xfId="23226" xr:uid="{00000000-0005-0000-0000-0000DB080000}"/>
    <cellStyle name="40% - Accent2 11 5 2" xfId="43137" xr:uid="{00000000-0005-0000-0000-0000DC080000}"/>
    <cellStyle name="40% - Accent2 11 6" xfId="23537" xr:uid="{00000000-0005-0000-0000-0000DD080000}"/>
    <cellStyle name="40% - Accent2 12" xfId="652" xr:uid="{00000000-0005-0000-0000-0000DE080000}"/>
    <cellStyle name="40% - Accent2 12 2" xfId="974" xr:uid="{00000000-0005-0000-0000-0000DF080000}"/>
    <cellStyle name="40% - Accent2 12 2 2" xfId="23856" xr:uid="{00000000-0005-0000-0000-0000E0080000}"/>
    <cellStyle name="40% - Accent2 12 3" xfId="22503" xr:uid="{00000000-0005-0000-0000-0000E1080000}"/>
    <cellStyle name="40% - Accent2 12 3 2" xfId="42414" xr:uid="{00000000-0005-0000-0000-0000E2080000}"/>
    <cellStyle name="40% - Accent2 12 4" xfId="22939" xr:uid="{00000000-0005-0000-0000-0000E3080000}"/>
    <cellStyle name="40% - Accent2 12 4 2" xfId="42850" xr:uid="{00000000-0005-0000-0000-0000E4080000}"/>
    <cellStyle name="40% - Accent2 12 5" xfId="23242" xr:uid="{00000000-0005-0000-0000-0000E5080000}"/>
    <cellStyle name="40% - Accent2 12 5 2" xfId="43153" xr:uid="{00000000-0005-0000-0000-0000E6080000}"/>
    <cellStyle name="40% - Accent2 12 6" xfId="23553" xr:uid="{00000000-0005-0000-0000-0000E7080000}"/>
    <cellStyle name="40% - Accent2 13" xfId="676" xr:uid="{00000000-0005-0000-0000-0000E8080000}"/>
    <cellStyle name="40% - Accent2 13 2" xfId="990" xr:uid="{00000000-0005-0000-0000-0000E9080000}"/>
    <cellStyle name="40% - Accent2 13 2 2" xfId="23872" xr:uid="{00000000-0005-0000-0000-0000EA080000}"/>
    <cellStyle name="40% - Accent2 13 3" xfId="22484" xr:uid="{00000000-0005-0000-0000-0000EB080000}"/>
    <cellStyle name="40% - Accent2 13 3 2" xfId="42395" xr:uid="{00000000-0005-0000-0000-0000EC080000}"/>
    <cellStyle name="40% - Accent2 13 4" xfId="22955" xr:uid="{00000000-0005-0000-0000-0000ED080000}"/>
    <cellStyle name="40% - Accent2 13 4 2" xfId="42866" xr:uid="{00000000-0005-0000-0000-0000EE080000}"/>
    <cellStyle name="40% - Accent2 13 5" xfId="23258" xr:uid="{00000000-0005-0000-0000-0000EF080000}"/>
    <cellStyle name="40% - Accent2 13 5 2" xfId="43169" xr:uid="{00000000-0005-0000-0000-0000F0080000}"/>
    <cellStyle name="40% - Accent2 13 6" xfId="23569" xr:uid="{00000000-0005-0000-0000-0000F1080000}"/>
    <cellStyle name="40% - Accent2 14" xfId="698" xr:uid="{00000000-0005-0000-0000-0000F2080000}"/>
    <cellStyle name="40% - Accent2 14 2" xfId="1006" xr:uid="{00000000-0005-0000-0000-0000F3080000}"/>
    <cellStyle name="40% - Accent2 14 2 2" xfId="23888" xr:uid="{00000000-0005-0000-0000-0000F4080000}"/>
    <cellStyle name="40% - Accent2 14 3" xfId="22631" xr:uid="{00000000-0005-0000-0000-0000F5080000}"/>
    <cellStyle name="40% - Accent2 14 3 2" xfId="42542" xr:uid="{00000000-0005-0000-0000-0000F6080000}"/>
    <cellStyle name="40% - Accent2 14 4" xfId="22971" xr:uid="{00000000-0005-0000-0000-0000F7080000}"/>
    <cellStyle name="40% - Accent2 14 4 2" xfId="42882" xr:uid="{00000000-0005-0000-0000-0000F8080000}"/>
    <cellStyle name="40% - Accent2 14 5" xfId="23274" xr:uid="{00000000-0005-0000-0000-0000F9080000}"/>
    <cellStyle name="40% - Accent2 14 5 2" xfId="43185" xr:uid="{00000000-0005-0000-0000-0000FA080000}"/>
    <cellStyle name="40% - Accent2 14 6" xfId="23585" xr:uid="{00000000-0005-0000-0000-0000FB080000}"/>
    <cellStyle name="40% - Accent2 15" xfId="714" xr:uid="{00000000-0005-0000-0000-0000FC080000}"/>
    <cellStyle name="40% - Accent2 15 2" xfId="1022" xr:uid="{00000000-0005-0000-0000-0000FD080000}"/>
    <cellStyle name="40% - Accent2 15 2 2" xfId="23904" xr:uid="{00000000-0005-0000-0000-0000FE080000}"/>
    <cellStyle name="40% - Accent2 15 3" xfId="22613" xr:uid="{00000000-0005-0000-0000-0000FF080000}"/>
    <cellStyle name="40% - Accent2 15 3 2" xfId="42524" xr:uid="{00000000-0005-0000-0000-000000090000}"/>
    <cellStyle name="40% - Accent2 15 4" xfId="22987" xr:uid="{00000000-0005-0000-0000-000001090000}"/>
    <cellStyle name="40% - Accent2 15 4 2" xfId="42898" xr:uid="{00000000-0005-0000-0000-000002090000}"/>
    <cellStyle name="40% - Accent2 15 5" xfId="23290" xr:uid="{00000000-0005-0000-0000-000003090000}"/>
    <cellStyle name="40% - Accent2 15 5 2" xfId="43201" xr:uid="{00000000-0005-0000-0000-000004090000}"/>
    <cellStyle name="40% - Accent2 15 6" xfId="23601" xr:uid="{00000000-0005-0000-0000-000005090000}"/>
    <cellStyle name="40% - Accent2 16" xfId="738" xr:uid="{00000000-0005-0000-0000-000006090000}"/>
    <cellStyle name="40% - Accent2 16 2" xfId="23620" xr:uid="{00000000-0005-0000-0000-000007090000}"/>
    <cellStyle name="40% - Accent2 17" xfId="22703" xr:uid="{00000000-0005-0000-0000-000008090000}"/>
    <cellStyle name="40% - Accent2 17 2" xfId="42614" xr:uid="{00000000-0005-0000-0000-000009090000}"/>
    <cellStyle name="40% - Accent2 18" xfId="23006" xr:uid="{00000000-0005-0000-0000-00000A090000}"/>
    <cellStyle name="40% - Accent2 18 2" xfId="42917" xr:uid="{00000000-0005-0000-0000-00000B090000}"/>
    <cellStyle name="40% - Accent2 19" xfId="23310" xr:uid="{00000000-0005-0000-0000-00000C090000}"/>
    <cellStyle name="40% - Accent2 2" xfId="371" xr:uid="{00000000-0005-0000-0000-00000D090000}"/>
    <cellStyle name="40% - Accent2 2 10" xfId="23393" xr:uid="{00000000-0005-0000-0000-00000E090000}"/>
    <cellStyle name="40% - Accent2 2 2" xfId="814" xr:uid="{00000000-0005-0000-0000-00000F090000}"/>
    <cellStyle name="40% - Accent2 2 2 2" xfId="6300" xr:uid="{00000000-0005-0000-0000-000010090000}"/>
    <cellStyle name="40% - Accent2 2 2 2 2" xfId="9386" xr:uid="{00000000-0005-0000-0000-000011090000}"/>
    <cellStyle name="40% - Accent2 2 2 2 2 2" xfId="15579" xr:uid="{00000000-0005-0000-0000-000012090000}"/>
    <cellStyle name="40% - Accent2 2 2 2 2 2 2" xfId="35499" xr:uid="{00000000-0005-0000-0000-000013090000}"/>
    <cellStyle name="40% - Accent2 2 2 2 2 3" xfId="21731" xr:uid="{00000000-0005-0000-0000-000014090000}"/>
    <cellStyle name="40% - Accent2 2 2 2 2 3 2" xfId="41651" xr:uid="{00000000-0005-0000-0000-000015090000}"/>
    <cellStyle name="40% - Accent2 2 2 2 2 4" xfId="29346" xr:uid="{00000000-0005-0000-0000-000016090000}"/>
    <cellStyle name="40% - Accent2 2 2 2 3" xfId="12513" xr:uid="{00000000-0005-0000-0000-000017090000}"/>
    <cellStyle name="40% - Accent2 2 2 2 3 2" xfId="32433" xr:uid="{00000000-0005-0000-0000-000018090000}"/>
    <cellStyle name="40% - Accent2 2 2 2 4" xfId="18665" xr:uid="{00000000-0005-0000-0000-000019090000}"/>
    <cellStyle name="40% - Accent2 2 2 2 4 2" xfId="38585" xr:uid="{00000000-0005-0000-0000-00001A090000}"/>
    <cellStyle name="40% - Accent2 2 2 2 5" xfId="26280" xr:uid="{00000000-0005-0000-0000-00001B090000}"/>
    <cellStyle name="40% - Accent2 2 2 3" xfId="7851" xr:uid="{00000000-0005-0000-0000-00001C090000}"/>
    <cellStyle name="40% - Accent2 2 2 3 2" xfId="14045" xr:uid="{00000000-0005-0000-0000-00001D090000}"/>
    <cellStyle name="40% - Accent2 2 2 3 2 2" xfId="33965" xr:uid="{00000000-0005-0000-0000-00001E090000}"/>
    <cellStyle name="40% - Accent2 2 2 3 3" xfId="20197" xr:uid="{00000000-0005-0000-0000-00001F090000}"/>
    <cellStyle name="40% - Accent2 2 2 3 3 2" xfId="40117" xr:uid="{00000000-0005-0000-0000-000020090000}"/>
    <cellStyle name="40% - Accent2 2 2 3 4" xfId="27812" xr:uid="{00000000-0005-0000-0000-000021090000}"/>
    <cellStyle name="40% - Accent2 2 2 4" xfId="10979" xr:uid="{00000000-0005-0000-0000-000022090000}"/>
    <cellStyle name="40% - Accent2 2 2 4 2" xfId="30899" xr:uid="{00000000-0005-0000-0000-000023090000}"/>
    <cellStyle name="40% - Accent2 2 2 5" xfId="17131" xr:uid="{00000000-0005-0000-0000-000024090000}"/>
    <cellStyle name="40% - Accent2 2 2 5 2" xfId="37051" xr:uid="{00000000-0005-0000-0000-000025090000}"/>
    <cellStyle name="40% - Accent2 2 2 6" xfId="4675" xr:uid="{00000000-0005-0000-0000-000026090000}"/>
    <cellStyle name="40% - Accent2 2 2 6 2" xfId="24746" xr:uid="{00000000-0005-0000-0000-000027090000}"/>
    <cellStyle name="40% - Accent2 2 2 7" xfId="23696" xr:uid="{00000000-0005-0000-0000-000028090000}"/>
    <cellStyle name="40% - Accent2 2 3" xfId="5514" xr:uid="{00000000-0005-0000-0000-000029090000}"/>
    <cellStyle name="40% - Accent2 2 3 2" xfId="8617" xr:uid="{00000000-0005-0000-0000-00002A090000}"/>
    <cellStyle name="40% - Accent2 2 3 2 2" xfId="14810" xr:uid="{00000000-0005-0000-0000-00002B090000}"/>
    <cellStyle name="40% - Accent2 2 3 2 2 2" xfId="34730" xr:uid="{00000000-0005-0000-0000-00002C090000}"/>
    <cellStyle name="40% - Accent2 2 3 2 3" xfId="20962" xr:uid="{00000000-0005-0000-0000-00002D090000}"/>
    <cellStyle name="40% - Accent2 2 3 2 3 2" xfId="40882" xr:uid="{00000000-0005-0000-0000-00002E090000}"/>
    <cellStyle name="40% - Accent2 2 3 2 4" xfId="28577" xr:uid="{00000000-0005-0000-0000-00002F090000}"/>
    <cellStyle name="40% - Accent2 2 3 3" xfId="11744" xr:uid="{00000000-0005-0000-0000-000030090000}"/>
    <cellStyle name="40% - Accent2 2 3 3 2" xfId="31664" xr:uid="{00000000-0005-0000-0000-000031090000}"/>
    <cellStyle name="40% - Accent2 2 3 4" xfId="17896" xr:uid="{00000000-0005-0000-0000-000032090000}"/>
    <cellStyle name="40% - Accent2 2 3 4 2" xfId="37816" xr:uid="{00000000-0005-0000-0000-000033090000}"/>
    <cellStyle name="40% - Accent2 2 3 5" xfId="25511" xr:uid="{00000000-0005-0000-0000-000034090000}"/>
    <cellStyle name="40% - Accent2 2 4" xfId="7082" xr:uid="{00000000-0005-0000-0000-000035090000}"/>
    <cellStyle name="40% - Accent2 2 4 2" xfId="13276" xr:uid="{00000000-0005-0000-0000-000036090000}"/>
    <cellStyle name="40% - Accent2 2 4 2 2" xfId="33196" xr:uid="{00000000-0005-0000-0000-000037090000}"/>
    <cellStyle name="40% - Accent2 2 4 3" xfId="19428" xr:uid="{00000000-0005-0000-0000-000038090000}"/>
    <cellStyle name="40% - Accent2 2 4 3 2" xfId="39348" xr:uid="{00000000-0005-0000-0000-000039090000}"/>
    <cellStyle name="40% - Accent2 2 4 4" xfId="27043" xr:uid="{00000000-0005-0000-0000-00003A090000}"/>
    <cellStyle name="40% - Accent2 2 5" xfId="10210" xr:uid="{00000000-0005-0000-0000-00003B090000}"/>
    <cellStyle name="40% - Accent2 2 5 2" xfId="30130" xr:uid="{00000000-0005-0000-0000-00003C090000}"/>
    <cellStyle name="40% - Accent2 2 6" xfId="16362" xr:uid="{00000000-0005-0000-0000-00003D090000}"/>
    <cellStyle name="40% - Accent2 2 6 2" xfId="36282" xr:uid="{00000000-0005-0000-0000-00003E090000}"/>
    <cellStyle name="40% - Accent2 2 7" xfId="1241" xr:uid="{00000000-0005-0000-0000-00003F090000}"/>
    <cellStyle name="40% - Accent2 2 7 2" xfId="23977" xr:uid="{00000000-0005-0000-0000-000040090000}"/>
    <cellStyle name="40% - Accent2 2 8" xfId="22779" xr:uid="{00000000-0005-0000-0000-000041090000}"/>
    <cellStyle name="40% - Accent2 2 8 2" xfId="42690" xr:uid="{00000000-0005-0000-0000-000042090000}"/>
    <cellStyle name="40% - Accent2 2 9" xfId="23082" xr:uid="{00000000-0005-0000-0000-000043090000}"/>
    <cellStyle name="40% - Accent2 2 9 2" xfId="42993" xr:uid="{00000000-0005-0000-0000-000044090000}"/>
    <cellStyle name="40% - Accent2 3" xfId="401" xr:uid="{00000000-0005-0000-0000-000045090000}"/>
    <cellStyle name="40% - Accent2 3 10" xfId="23409" xr:uid="{00000000-0005-0000-0000-000046090000}"/>
    <cellStyle name="40% - Accent2 3 2" xfId="830" xr:uid="{00000000-0005-0000-0000-000047090000}"/>
    <cellStyle name="40% - Accent2 3 2 2" xfId="6301" xr:uid="{00000000-0005-0000-0000-000048090000}"/>
    <cellStyle name="40% - Accent2 3 2 2 2" xfId="9387" xr:uid="{00000000-0005-0000-0000-000049090000}"/>
    <cellStyle name="40% - Accent2 3 2 2 2 2" xfId="15580" xr:uid="{00000000-0005-0000-0000-00004A090000}"/>
    <cellStyle name="40% - Accent2 3 2 2 2 2 2" xfId="35500" xr:uid="{00000000-0005-0000-0000-00004B090000}"/>
    <cellStyle name="40% - Accent2 3 2 2 2 3" xfId="21732" xr:uid="{00000000-0005-0000-0000-00004C090000}"/>
    <cellStyle name="40% - Accent2 3 2 2 2 3 2" xfId="41652" xr:uid="{00000000-0005-0000-0000-00004D090000}"/>
    <cellStyle name="40% - Accent2 3 2 2 2 4" xfId="29347" xr:uid="{00000000-0005-0000-0000-00004E090000}"/>
    <cellStyle name="40% - Accent2 3 2 2 3" xfId="12514" xr:uid="{00000000-0005-0000-0000-00004F090000}"/>
    <cellStyle name="40% - Accent2 3 2 2 3 2" xfId="32434" xr:uid="{00000000-0005-0000-0000-000050090000}"/>
    <cellStyle name="40% - Accent2 3 2 2 4" xfId="18666" xr:uid="{00000000-0005-0000-0000-000051090000}"/>
    <cellStyle name="40% - Accent2 3 2 2 4 2" xfId="38586" xr:uid="{00000000-0005-0000-0000-000052090000}"/>
    <cellStyle name="40% - Accent2 3 2 2 5" xfId="26281" xr:uid="{00000000-0005-0000-0000-000053090000}"/>
    <cellStyle name="40% - Accent2 3 2 3" xfId="7852" xr:uid="{00000000-0005-0000-0000-000054090000}"/>
    <cellStyle name="40% - Accent2 3 2 3 2" xfId="14046" xr:uid="{00000000-0005-0000-0000-000055090000}"/>
    <cellStyle name="40% - Accent2 3 2 3 2 2" xfId="33966" xr:uid="{00000000-0005-0000-0000-000056090000}"/>
    <cellStyle name="40% - Accent2 3 2 3 3" xfId="20198" xr:uid="{00000000-0005-0000-0000-000057090000}"/>
    <cellStyle name="40% - Accent2 3 2 3 3 2" xfId="40118" xr:uid="{00000000-0005-0000-0000-000058090000}"/>
    <cellStyle name="40% - Accent2 3 2 3 4" xfId="27813" xr:uid="{00000000-0005-0000-0000-000059090000}"/>
    <cellStyle name="40% - Accent2 3 2 4" xfId="10980" xr:uid="{00000000-0005-0000-0000-00005A090000}"/>
    <cellStyle name="40% - Accent2 3 2 4 2" xfId="30900" xr:uid="{00000000-0005-0000-0000-00005B090000}"/>
    <cellStyle name="40% - Accent2 3 2 5" xfId="17132" xr:uid="{00000000-0005-0000-0000-00005C090000}"/>
    <cellStyle name="40% - Accent2 3 2 5 2" xfId="37052" xr:uid="{00000000-0005-0000-0000-00005D090000}"/>
    <cellStyle name="40% - Accent2 3 2 6" xfId="4676" xr:uid="{00000000-0005-0000-0000-00005E090000}"/>
    <cellStyle name="40% - Accent2 3 2 6 2" xfId="24747" xr:uid="{00000000-0005-0000-0000-00005F090000}"/>
    <cellStyle name="40% - Accent2 3 2 7" xfId="23712" xr:uid="{00000000-0005-0000-0000-000060090000}"/>
    <cellStyle name="40% - Accent2 3 3" xfId="5515" xr:uid="{00000000-0005-0000-0000-000061090000}"/>
    <cellStyle name="40% - Accent2 3 3 2" xfId="8618" xr:uid="{00000000-0005-0000-0000-000062090000}"/>
    <cellStyle name="40% - Accent2 3 3 2 2" xfId="14811" xr:uid="{00000000-0005-0000-0000-000063090000}"/>
    <cellStyle name="40% - Accent2 3 3 2 2 2" xfId="34731" xr:uid="{00000000-0005-0000-0000-000064090000}"/>
    <cellStyle name="40% - Accent2 3 3 2 3" xfId="20963" xr:uid="{00000000-0005-0000-0000-000065090000}"/>
    <cellStyle name="40% - Accent2 3 3 2 3 2" xfId="40883" xr:uid="{00000000-0005-0000-0000-000066090000}"/>
    <cellStyle name="40% - Accent2 3 3 2 4" xfId="28578" xr:uid="{00000000-0005-0000-0000-000067090000}"/>
    <cellStyle name="40% - Accent2 3 3 3" xfId="11745" xr:uid="{00000000-0005-0000-0000-000068090000}"/>
    <cellStyle name="40% - Accent2 3 3 3 2" xfId="31665" xr:uid="{00000000-0005-0000-0000-000069090000}"/>
    <cellStyle name="40% - Accent2 3 3 4" xfId="17897" xr:uid="{00000000-0005-0000-0000-00006A090000}"/>
    <cellStyle name="40% - Accent2 3 3 4 2" xfId="37817" xr:uid="{00000000-0005-0000-0000-00006B090000}"/>
    <cellStyle name="40% - Accent2 3 3 5" xfId="25512" xr:uid="{00000000-0005-0000-0000-00006C090000}"/>
    <cellStyle name="40% - Accent2 3 4" xfId="7083" xr:uid="{00000000-0005-0000-0000-00006D090000}"/>
    <cellStyle name="40% - Accent2 3 4 2" xfId="13277" xr:uid="{00000000-0005-0000-0000-00006E090000}"/>
    <cellStyle name="40% - Accent2 3 4 2 2" xfId="33197" xr:uid="{00000000-0005-0000-0000-00006F090000}"/>
    <cellStyle name="40% - Accent2 3 4 3" xfId="19429" xr:uid="{00000000-0005-0000-0000-000070090000}"/>
    <cellStyle name="40% - Accent2 3 4 3 2" xfId="39349" xr:uid="{00000000-0005-0000-0000-000071090000}"/>
    <cellStyle name="40% - Accent2 3 4 4" xfId="27044" xr:uid="{00000000-0005-0000-0000-000072090000}"/>
    <cellStyle name="40% - Accent2 3 5" xfId="10211" xr:uid="{00000000-0005-0000-0000-000073090000}"/>
    <cellStyle name="40% - Accent2 3 5 2" xfId="30131" xr:uid="{00000000-0005-0000-0000-000074090000}"/>
    <cellStyle name="40% - Accent2 3 6" xfId="16363" xr:uid="{00000000-0005-0000-0000-000075090000}"/>
    <cellStyle name="40% - Accent2 3 6 2" xfId="36283" xr:uid="{00000000-0005-0000-0000-000076090000}"/>
    <cellStyle name="40% - Accent2 3 7" xfId="1242" xr:uid="{00000000-0005-0000-0000-000077090000}"/>
    <cellStyle name="40% - Accent2 3 7 2" xfId="23978" xr:uid="{00000000-0005-0000-0000-000078090000}"/>
    <cellStyle name="40% - Accent2 3 8" xfId="22795" xr:uid="{00000000-0005-0000-0000-000079090000}"/>
    <cellStyle name="40% - Accent2 3 8 2" xfId="42706" xr:uid="{00000000-0005-0000-0000-00007A090000}"/>
    <cellStyle name="40% - Accent2 3 9" xfId="23098" xr:uid="{00000000-0005-0000-0000-00007B090000}"/>
    <cellStyle name="40% - Accent2 3 9 2" xfId="43009" xr:uid="{00000000-0005-0000-0000-00007C090000}"/>
    <cellStyle name="40% - Accent2 4" xfId="429" xr:uid="{00000000-0005-0000-0000-00007D090000}"/>
    <cellStyle name="40% - Accent2 4 10" xfId="23425" xr:uid="{00000000-0005-0000-0000-00007E090000}"/>
    <cellStyle name="40% - Accent2 4 2" xfId="846" xr:uid="{00000000-0005-0000-0000-00007F090000}"/>
    <cellStyle name="40% - Accent2 4 2 2" xfId="6302" xr:uid="{00000000-0005-0000-0000-000080090000}"/>
    <cellStyle name="40% - Accent2 4 2 2 2" xfId="9388" xr:uid="{00000000-0005-0000-0000-000081090000}"/>
    <cellStyle name="40% - Accent2 4 2 2 2 2" xfId="15581" xr:uid="{00000000-0005-0000-0000-000082090000}"/>
    <cellStyle name="40% - Accent2 4 2 2 2 2 2" xfId="35501" xr:uid="{00000000-0005-0000-0000-000083090000}"/>
    <cellStyle name="40% - Accent2 4 2 2 2 3" xfId="21733" xr:uid="{00000000-0005-0000-0000-000084090000}"/>
    <cellStyle name="40% - Accent2 4 2 2 2 3 2" xfId="41653" xr:uid="{00000000-0005-0000-0000-000085090000}"/>
    <cellStyle name="40% - Accent2 4 2 2 2 4" xfId="29348" xr:uid="{00000000-0005-0000-0000-000086090000}"/>
    <cellStyle name="40% - Accent2 4 2 2 3" xfId="12515" xr:uid="{00000000-0005-0000-0000-000087090000}"/>
    <cellStyle name="40% - Accent2 4 2 2 3 2" xfId="32435" xr:uid="{00000000-0005-0000-0000-000088090000}"/>
    <cellStyle name="40% - Accent2 4 2 2 4" xfId="18667" xr:uid="{00000000-0005-0000-0000-000089090000}"/>
    <cellStyle name="40% - Accent2 4 2 2 4 2" xfId="38587" xr:uid="{00000000-0005-0000-0000-00008A090000}"/>
    <cellStyle name="40% - Accent2 4 2 2 5" xfId="26282" xr:uid="{00000000-0005-0000-0000-00008B090000}"/>
    <cellStyle name="40% - Accent2 4 2 3" xfId="7853" xr:uid="{00000000-0005-0000-0000-00008C090000}"/>
    <cellStyle name="40% - Accent2 4 2 3 2" xfId="14047" xr:uid="{00000000-0005-0000-0000-00008D090000}"/>
    <cellStyle name="40% - Accent2 4 2 3 2 2" xfId="33967" xr:uid="{00000000-0005-0000-0000-00008E090000}"/>
    <cellStyle name="40% - Accent2 4 2 3 3" xfId="20199" xr:uid="{00000000-0005-0000-0000-00008F090000}"/>
    <cellStyle name="40% - Accent2 4 2 3 3 2" xfId="40119" xr:uid="{00000000-0005-0000-0000-000090090000}"/>
    <cellStyle name="40% - Accent2 4 2 3 4" xfId="27814" xr:uid="{00000000-0005-0000-0000-000091090000}"/>
    <cellStyle name="40% - Accent2 4 2 4" xfId="10981" xr:uid="{00000000-0005-0000-0000-000092090000}"/>
    <cellStyle name="40% - Accent2 4 2 4 2" xfId="30901" xr:uid="{00000000-0005-0000-0000-000093090000}"/>
    <cellStyle name="40% - Accent2 4 2 5" xfId="17133" xr:uid="{00000000-0005-0000-0000-000094090000}"/>
    <cellStyle name="40% - Accent2 4 2 5 2" xfId="37053" xr:uid="{00000000-0005-0000-0000-000095090000}"/>
    <cellStyle name="40% - Accent2 4 2 6" xfId="4677" xr:uid="{00000000-0005-0000-0000-000096090000}"/>
    <cellStyle name="40% - Accent2 4 2 6 2" xfId="24748" xr:uid="{00000000-0005-0000-0000-000097090000}"/>
    <cellStyle name="40% - Accent2 4 2 7" xfId="23728" xr:uid="{00000000-0005-0000-0000-000098090000}"/>
    <cellStyle name="40% - Accent2 4 3" xfId="5516" xr:uid="{00000000-0005-0000-0000-000099090000}"/>
    <cellStyle name="40% - Accent2 4 3 2" xfId="8619" xr:uid="{00000000-0005-0000-0000-00009A090000}"/>
    <cellStyle name="40% - Accent2 4 3 2 2" xfId="14812" xr:uid="{00000000-0005-0000-0000-00009B090000}"/>
    <cellStyle name="40% - Accent2 4 3 2 2 2" xfId="34732" xr:uid="{00000000-0005-0000-0000-00009C090000}"/>
    <cellStyle name="40% - Accent2 4 3 2 3" xfId="20964" xr:uid="{00000000-0005-0000-0000-00009D090000}"/>
    <cellStyle name="40% - Accent2 4 3 2 3 2" xfId="40884" xr:uid="{00000000-0005-0000-0000-00009E090000}"/>
    <cellStyle name="40% - Accent2 4 3 2 4" xfId="28579" xr:uid="{00000000-0005-0000-0000-00009F090000}"/>
    <cellStyle name="40% - Accent2 4 3 3" xfId="11746" xr:uid="{00000000-0005-0000-0000-0000A0090000}"/>
    <cellStyle name="40% - Accent2 4 3 3 2" xfId="31666" xr:uid="{00000000-0005-0000-0000-0000A1090000}"/>
    <cellStyle name="40% - Accent2 4 3 4" xfId="17898" xr:uid="{00000000-0005-0000-0000-0000A2090000}"/>
    <cellStyle name="40% - Accent2 4 3 4 2" xfId="37818" xr:uid="{00000000-0005-0000-0000-0000A3090000}"/>
    <cellStyle name="40% - Accent2 4 3 5" xfId="25513" xr:uid="{00000000-0005-0000-0000-0000A4090000}"/>
    <cellStyle name="40% - Accent2 4 4" xfId="7084" xr:uid="{00000000-0005-0000-0000-0000A5090000}"/>
    <cellStyle name="40% - Accent2 4 4 2" xfId="13278" xr:uid="{00000000-0005-0000-0000-0000A6090000}"/>
    <cellStyle name="40% - Accent2 4 4 2 2" xfId="33198" xr:uid="{00000000-0005-0000-0000-0000A7090000}"/>
    <cellStyle name="40% - Accent2 4 4 3" xfId="19430" xr:uid="{00000000-0005-0000-0000-0000A8090000}"/>
    <cellStyle name="40% - Accent2 4 4 3 2" xfId="39350" xr:uid="{00000000-0005-0000-0000-0000A9090000}"/>
    <cellStyle name="40% - Accent2 4 4 4" xfId="27045" xr:uid="{00000000-0005-0000-0000-0000AA090000}"/>
    <cellStyle name="40% - Accent2 4 5" xfId="10212" xr:uid="{00000000-0005-0000-0000-0000AB090000}"/>
    <cellStyle name="40% - Accent2 4 5 2" xfId="30132" xr:uid="{00000000-0005-0000-0000-0000AC090000}"/>
    <cellStyle name="40% - Accent2 4 6" xfId="16364" xr:uid="{00000000-0005-0000-0000-0000AD090000}"/>
    <cellStyle name="40% - Accent2 4 6 2" xfId="36284" xr:uid="{00000000-0005-0000-0000-0000AE090000}"/>
    <cellStyle name="40% - Accent2 4 7" xfId="1243" xr:uid="{00000000-0005-0000-0000-0000AF090000}"/>
    <cellStyle name="40% - Accent2 4 7 2" xfId="23979" xr:uid="{00000000-0005-0000-0000-0000B0090000}"/>
    <cellStyle name="40% - Accent2 4 8" xfId="22811" xr:uid="{00000000-0005-0000-0000-0000B1090000}"/>
    <cellStyle name="40% - Accent2 4 8 2" xfId="42722" xr:uid="{00000000-0005-0000-0000-0000B2090000}"/>
    <cellStyle name="40% - Accent2 4 9" xfId="23114" xr:uid="{00000000-0005-0000-0000-0000B3090000}"/>
    <cellStyle name="40% - Accent2 4 9 2" xfId="43025" xr:uid="{00000000-0005-0000-0000-0000B4090000}"/>
    <cellStyle name="40% - Accent2 5" xfId="456" xr:uid="{00000000-0005-0000-0000-0000B5090000}"/>
    <cellStyle name="40% - Accent2 5 2" xfId="862" xr:uid="{00000000-0005-0000-0000-0000B6090000}"/>
    <cellStyle name="40% - Accent2 5 2 2" xfId="23744" xr:uid="{00000000-0005-0000-0000-0000B7090000}"/>
    <cellStyle name="40% - Accent2 5 3" xfId="1244" xr:uid="{00000000-0005-0000-0000-0000B8090000}"/>
    <cellStyle name="40% - Accent2 5 4" xfId="22563" xr:uid="{00000000-0005-0000-0000-0000B9090000}"/>
    <cellStyle name="40% - Accent2 5 4 2" xfId="42474" xr:uid="{00000000-0005-0000-0000-0000BA090000}"/>
    <cellStyle name="40% - Accent2 5 5" xfId="22827" xr:uid="{00000000-0005-0000-0000-0000BB090000}"/>
    <cellStyle name="40% - Accent2 5 5 2" xfId="42738" xr:uid="{00000000-0005-0000-0000-0000BC090000}"/>
    <cellStyle name="40% - Accent2 5 6" xfId="23130" xr:uid="{00000000-0005-0000-0000-0000BD090000}"/>
    <cellStyle name="40% - Accent2 5 6 2" xfId="43041" xr:uid="{00000000-0005-0000-0000-0000BE090000}"/>
    <cellStyle name="40% - Accent2 5 7" xfId="23441" xr:uid="{00000000-0005-0000-0000-0000BF090000}"/>
    <cellStyle name="40% - Accent2 6" xfId="483" xr:uid="{00000000-0005-0000-0000-0000C0090000}"/>
    <cellStyle name="40% - Accent2 6 2" xfId="878" xr:uid="{00000000-0005-0000-0000-0000C1090000}"/>
    <cellStyle name="40% - Accent2 6 2 2" xfId="23760" xr:uid="{00000000-0005-0000-0000-0000C2090000}"/>
    <cellStyle name="40% - Accent2 6 3" xfId="22599" xr:uid="{00000000-0005-0000-0000-0000C3090000}"/>
    <cellStyle name="40% - Accent2 6 3 2" xfId="42510" xr:uid="{00000000-0005-0000-0000-0000C4090000}"/>
    <cellStyle name="40% - Accent2 6 4" xfId="22843" xr:uid="{00000000-0005-0000-0000-0000C5090000}"/>
    <cellStyle name="40% - Accent2 6 4 2" xfId="42754" xr:uid="{00000000-0005-0000-0000-0000C6090000}"/>
    <cellStyle name="40% - Accent2 6 5" xfId="23146" xr:uid="{00000000-0005-0000-0000-0000C7090000}"/>
    <cellStyle name="40% - Accent2 6 5 2" xfId="43057" xr:uid="{00000000-0005-0000-0000-0000C8090000}"/>
    <cellStyle name="40% - Accent2 6 6" xfId="23457" xr:uid="{00000000-0005-0000-0000-0000C9090000}"/>
    <cellStyle name="40% - Accent2 7" xfId="507" xr:uid="{00000000-0005-0000-0000-0000CA090000}"/>
    <cellStyle name="40% - Accent2 7 2" xfId="894" xr:uid="{00000000-0005-0000-0000-0000CB090000}"/>
    <cellStyle name="40% - Accent2 7 2 2" xfId="23776" xr:uid="{00000000-0005-0000-0000-0000CC090000}"/>
    <cellStyle name="40% - Accent2 7 3" xfId="22603" xr:uid="{00000000-0005-0000-0000-0000CD090000}"/>
    <cellStyle name="40% - Accent2 7 3 2" xfId="42514" xr:uid="{00000000-0005-0000-0000-0000CE090000}"/>
    <cellStyle name="40% - Accent2 7 4" xfId="22859" xr:uid="{00000000-0005-0000-0000-0000CF090000}"/>
    <cellStyle name="40% - Accent2 7 4 2" xfId="42770" xr:uid="{00000000-0005-0000-0000-0000D0090000}"/>
    <cellStyle name="40% - Accent2 7 5" xfId="23162" xr:uid="{00000000-0005-0000-0000-0000D1090000}"/>
    <cellStyle name="40% - Accent2 7 5 2" xfId="43073" xr:uid="{00000000-0005-0000-0000-0000D2090000}"/>
    <cellStyle name="40% - Accent2 7 6" xfId="23473" xr:uid="{00000000-0005-0000-0000-0000D3090000}"/>
    <cellStyle name="40% - Accent2 8" xfId="531" xr:uid="{00000000-0005-0000-0000-0000D4090000}"/>
    <cellStyle name="40% - Accent2 8 2" xfId="910" xr:uid="{00000000-0005-0000-0000-0000D5090000}"/>
    <cellStyle name="40% - Accent2 8 2 2" xfId="23792" xr:uid="{00000000-0005-0000-0000-0000D6090000}"/>
    <cellStyle name="40% - Accent2 8 3" xfId="22665" xr:uid="{00000000-0005-0000-0000-0000D7090000}"/>
    <cellStyle name="40% - Accent2 8 3 2" xfId="42576" xr:uid="{00000000-0005-0000-0000-0000D8090000}"/>
    <cellStyle name="40% - Accent2 8 4" xfId="22875" xr:uid="{00000000-0005-0000-0000-0000D9090000}"/>
    <cellStyle name="40% - Accent2 8 4 2" xfId="42786" xr:uid="{00000000-0005-0000-0000-0000DA090000}"/>
    <cellStyle name="40% - Accent2 8 5" xfId="23178" xr:uid="{00000000-0005-0000-0000-0000DB090000}"/>
    <cellStyle name="40% - Accent2 8 5 2" xfId="43089" xr:uid="{00000000-0005-0000-0000-0000DC090000}"/>
    <cellStyle name="40% - Accent2 8 6" xfId="23489" xr:uid="{00000000-0005-0000-0000-0000DD090000}"/>
    <cellStyle name="40% - Accent2 9" xfId="570" xr:uid="{00000000-0005-0000-0000-0000DE090000}"/>
    <cellStyle name="40% - Accent2 9 2" xfId="926" xr:uid="{00000000-0005-0000-0000-0000DF090000}"/>
    <cellStyle name="40% - Accent2 9 2 2" xfId="23808" xr:uid="{00000000-0005-0000-0000-0000E0090000}"/>
    <cellStyle name="40% - Accent2 9 3" xfId="22500" xr:uid="{00000000-0005-0000-0000-0000E1090000}"/>
    <cellStyle name="40% - Accent2 9 3 2" xfId="42411" xr:uid="{00000000-0005-0000-0000-0000E2090000}"/>
    <cellStyle name="40% - Accent2 9 4" xfId="22891" xr:uid="{00000000-0005-0000-0000-0000E3090000}"/>
    <cellStyle name="40% - Accent2 9 4 2" xfId="42802" xr:uid="{00000000-0005-0000-0000-0000E4090000}"/>
    <cellStyle name="40% - Accent2 9 5" xfId="23194" xr:uid="{00000000-0005-0000-0000-0000E5090000}"/>
    <cellStyle name="40% - Accent2 9 5 2" xfId="43105" xr:uid="{00000000-0005-0000-0000-0000E6090000}"/>
    <cellStyle name="40% - Accent2 9 6" xfId="23505" xr:uid="{00000000-0005-0000-0000-0000E7090000}"/>
    <cellStyle name="40% - Accent3" xfId="71" builtinId="39" customBuiltin="1"/>
    <cellStyle name="40% - Accent3 10" xfId="602" xr:uid="{00000000-0005-0000-0000-0000E9090000}"/>
    <cellStyle name="40% - Accent3 10 2" xfId="944" xr:uid="{00000000-0005-0000-0000-0000EA090000}"/>
    <cellStyle name="40% - Accent3 10 2 2" xfId="23826" xr:uid="{00000000-0005-0000-0000-0000EB090000}"/>
    <cellStyle name="40% - Accent3 10 3" xfId="22507" xr:uid="{00000000-0005-0000-0000-0000EC090000}"/>
    <cellStyle name="40% - Accent3 10 3 2" xfId="42418" xr:uid="{00000000-0005-0000-0000-0000ED090000}"/>
    <cellStyle name="40% - Accent3 10 4" xfId="22909" xr:uid="{00000000-0005-0000-0000-0000EE090000}"/>
    <cellStyle name="40% - Accent3 10 4 2" xfId="42820" xr:uid="{00000000-0005-0000-0000-0000EF090000}"/>
    <cellStyle name="40% - Accent3 10 5" xfId="23212" xr:uid="{00000000-0005-0000-0000-0000F0090000}"/>
    <cellStyle name="40% - Accent3 10 5 2" xfId="43123" xr:uid="{00000000-0005-0000-0000-0000F1090000}"/>
    <cellStyle name="40% - Accent3 10 6" xfId="23523" xr:uid="{00000000-0005-0000-0000-0000F2090000}"/>
    <cellStyle name="40% - Accent3 11" xfId="629" xr:uid="{00000000-0005-0000-0000-0000F3090000}"/>
    <cellStyle name="40% - Accent3 11 2" xfId="960" xr:uid="{00000000-0005-0000-0000-0000F4090000}"/>
    <cellStyle name="40% - Accent3 11 2 2" xfId="23842" xr:uid="{00000000-0005-0000-0000-0000F5090000}"/>
    <cellStyle name="40% - Accent3 11 3" xfId="22605" xr:uid="{00000000-0005-0000-0000-0000F6090000}"/>
    <cellStyle name="40% - Accent3 11 3 2" xfId="42516" xr:uid="{00000000-0005-0000-0000-0000F7090000}"/>
    <cellStyle name="40% - Accent3 11 4" xfId="22925" xr:uid="{00000000-0005-0000-0000-0000F8090000}"/>
    <cellStyle name="40% - Accent3 11 4 2" xfId="42836" xr:uid="{00000000-0005-0000-0000-0000F9090000}"/>
    <cellStyle name="40% - Accent3 11 5" xfId="23228" xr:uid="{00000000-0005-0000-0000-0000FA090000}"/>
    <cellStyle name="40% - Accent3 11 5 2" xfId="43139" xr:uid="{00000000-0005-0000-0000-0000FB090000}"/>
    <cellStyle name="40% - Accent3 11 6" xfId="23539" xr:uid="{00000000-0005-0000-0000-0000FC090000}"/>
    <cellStyle name="40% - Accent3 12" xfId="655" xr:uid="{00000000-0005-0000-0000-0000FD090000}"/>
    <cellStyle name="40% - Accent3 12 2" xfId="976" xr:uid="{00000000-0005-0000-0000-0000FE090000}"/>
    <cellStyle name="40% - Accent3 12 2 2" xfId="23858" xr:uid="{00000000-0005-0000-0000-0000FF090000}"/>
    <cellStyle name="40% - Accent3 12 3" xfId="22593" xr:uid="{00000000-0005-0000-0000-0000000A0000}"/>
    <cellStyle name="40% - Accent3 12 3 2" xfId="42504" xr:uid="{00000000-0005-0000-0000-0000010A0000}"/>
    <cellStyle name="40% - Accent3 12 4" xfId="22941" xr:uid="{00000000-0005-0000-0000-0000020A0000}"/>
    <cellStyle name="40% - Accent3 12 4 2" xfId="42852" xr:uid="{00000000-0005-0000-0000-0000030A0000}"/>
    <cellStyle name="40% - Accent3 12 5" xfId="23244" xr:uid="{00000000-0005-0000-0000-0000040A0000}"/>
    <cellStyle name="40% - Accent3 12 5 2" xfId="43155" xr:uid="{00000000-0005-0000-0000-0000050A0000}"/>
    <cellStyle name="40% - Accent3 12 6" xfId="23555" xr:uid="{00000000-0005-0000-0000-0000060A0000}"/>
    <cellStyle name="40% - Accent3 13" xfId="679" xr:uid="{00000000-0005-0000-0000-0000070A0000}"/>
    <cellStyle name="40% - Accent3 13 2" xfId="992" xr:uid="{00000000-0005-0000-0000-0000080A0000}"/>
    <cellStyle name="40% - Accent3 13 2 2" xfId="23874" xr:uid="{00000000-0005-0000-0000-0000090A0000}"/>
    <cellStyle name="40% - Accent3 13 3" xfId="22668" xr:uid="{00000000-0005-0000-0000-00000A0A0000}"/>
    <cellStyle name="40% - Accent3 13 3 2" xfId="42579" xr:uid="{00000000-0005-0000-0000-00000B0A0000}"/>
    <cellStyle name="40% - Accent3 13 4" xfId="22957" xr:uid="{00000000-0005-0000-0000-00000C0A0000}"/>
    <cellStyle name="40% - Accent3 13 4 2" xfId="42868" xr:uid="{00000000-0005-0000-0000-00000D0A0000}"/>
    <cellStyle name="40% - Accent3 13 5" xfId="23260" xr:uid="{00000000-0005-0000-0000-00000E0A0000}"/>
    <cellStyle name="40% - Accent3 13 5 2" xfId="43171" xr:uid="{00000000-0005-0000-0000-00000F0A0000}"/>
    <cellStyle name="40% - Accent3 13 6" xfId="23571" xr:uid="{00000000-0005-0000-0000-0000100A0000}"/>
    <cellStyle name="40% - Accent3 14" xfId="700" xr:uid="{00000000-0005-0000-0000-0000110A0000}"/>
    <cellStyle name="40% - Accent3 14 2" xfId="1008" xr:uid="{00000000-0005-0000-0000-0000120A0000}"/>
    <cellStyle name="40% - Accent3 14 2 2" xfId="23890" xr:uid="{00000000-0005-0000-0000-0000130A0000}"/>
    <cellStyle name="40% - Accent3 14 3" xfId="22539" xr:uid="{00000000-0005-0000-0000-0000140A0000}"/>
    <cellStyle name="40% - Accent3 14 3 2" xfId="42450" xr:uid="{00000000-0005-0000-0000-0000150A0000}"/>
    <cellStyle name="40% - Accent3 14 4" xfId="22973" xr:uid="{00000000-0005-0000-0000-0000160A0000}"/>
    <cellStyle name="40% - Accent3 14 4 2" xfId="42884" xr:uid="{00000000-0005-0000-0000-0000170A0000}"/>
    <cellStyle name="40% - Accent3 14 5" xfId="23276" xr:uid="{00000000-0005-0000-0000-0000180A0000}"/>
    <cellStyle name="40% - Accent3 14 5 2" xfId="43187" xr:uid="{00000000-0005-0000-0000-0000190A0000}"/>
    <cellStyle name="40% - Accent3 14 6" xfId="23587" xr:uid="{00000000-0005-0000-0000-00001A0A0000}"/>
    <cellStyle name="40% - Accent3 15" xfId="716" xr:uid="{00000000-0005-0000-0000-00001B0A0000}"/>
    <cellStyle name="40% - Accent3 15 2" xfId="1024" xr:uid="{00000000-0005-0000-0000-00001C0A0000}"/>
    <cellStyle name="40% - Accent3 15 2 2" xfId="23906" xr:uid="{00000000-0005-0000-0000-00001D0A0000}"/>
    <cellStyle name="40% - Accent3 15 3" xfId="22549" xr:uid="{00000000-0005-0000-0000-00001E0A0000}"/>
    <cellStyle name="40% - Accent3 15 3 2" xfId="42460" xr:uid="{00000000-0005-0000-0000-00001F0A0000}"/>
    <cellStyle name="40% - Accent3 15 4" xfId="22989" xr:uid="{00000000-0005-0000-0000-0000200A0000}"/>
    <cellStyle name="40% - Accent3 15 4 2" xfId="42900" xr:uid="{00000000-0005-0000-0000-0000210A0000}"/>
    <cellStyle name="40% - Accent3 15 5" xfId="23292" xr:uid="{00000000-0005-0000-0000-0000220A0000}"/>
    <cellStyle name="40% - Accent3 15 5 2" xfId="43203" xr:uid="{00000000-0005-0000-0000-0000230A0000}"/>
    <cellStyle name="40% - Accent3 15 6" xfId="23603" xr:uid="{00000000-0005-0000-0000-0000240A0000}"/>
    <cellStyle name="40% - Accent3 16" xfId="740" xr:uid="{00000000-0005-0000-0000-0000250A0000}"/>
    <cellStyle name="40% - Accent3 16 2" xfId="23622" xr:uid="{00000000-0005-0000-0000-0000260A0000}"/>
    <cellStyle name="40% - Accent3 17" xfId="22705" xr:uid="{00000000-0005-0000-0000-0000270A0000}"/>
    <cellStyle name="40% - Accent3 17 2" xfId="42616" xr:uid="{00000000-0005-0000-0000-0000280A0000}"/>
    <cellStyle name="40% - Accent3 18" xfId="23008" xr:uid="{00000000-0005-0000-0000-0000290A0000}"/>
    <cellStyle name="40% - Accent3 18 2" xfId="42919" xr:uid="{00000000-0005-0000-0000-00002A0A0000}"/>
    <cellStyle name="40% - Accent3 19" xfId="23312" xr:uid="{00000000-0005-0000-0000-00002B0A0000}"/>
    <cellStyle name="40% - Accent3 2" xfId="375" xr:uid="{00000000-0005-0000-0000-00002C0A0000}"/>
    <cellStyle name="40% - Accent3 2 10" xfId="23395" xr:uid="{00000000-0005-0000-0000-00002D0A0000}"/>
    <cellStyle name="40% - Accent3 2 2" xfId="816" xr:uid="{00000000-0005-0000-0000-00002E0A0000}"/>
    <cellStyle name="40% - Accent3 2 2 2" xfId="6303" xr:uid="{00000000-0005-0000-0000-00002F0A0000}"/>
    <cellStyle name="40% - Accent3 2 2 2 2" xfId="9389" xr:uid="{00000000-0005-0000-0000-0000300A0000}"/>
    <cellStyle name="40% - Accent3 2 2 2 2 2" xfId="15582" xr:uid="{00000000-0005-0000-0000-0000310A0000}"/>
    <cellStyle name="40% - Accent3 2 2 2 2 2 2" xfId="35502" xr:uid="{00000000-0005-0000-0000-0000320A0000}"/>
    <cellStyle name="40% - Accent3 2 2 2 2 3" xfId="21734" xr:uid="{00000000-0005-0000-0000-0000330A0000}"/>
    <cellStyle name="40% - Accent3 2 2 2 2 3 2" xfId="41654" xr:uid="{00000000-0005-0000-0000-0000340A0000}"/>
    <cellStyle name="40% - Accent3 2 2 2 2 4" xfId="29349" xr:uid="{00000000-0005-0000-0000-0000350A0000}"/>
    <cellStyle name="40% - Accent3 2 2 2 3" xfId="12516" xr:uid="{00000000-0005-0000-0000-0000360A0000}"/>
    <cellStyle name="40% - Accent3 2 2 2 3 2" xfId="32436" xr:uid="{00000000-0005-0000-0000-0000370A0000}"/>
    <cellStyle name="40% - Accent3 2 2 2 4" xfId="18668" xr:uid="{00000000-0005-0000-0000-0000380A0000}"/>
    <cellStyle name="40% - Accent3 2 2 2 4 2" xfId="38588" xr:uid="{00000000-0005-0000-0000-0000390A0000}"/>
    <cellStyle name="40% - Accent3 2 2 2 5" xfId="26283" xr:uid="{00000000-0005-0000-0000-00003A0A0000}"/>
    <cellStyle name="40% - Accent3 2 2 3" xfId="7854" xr:uid="{00000000-0005-0000-0000-00003B0A0000}"/>
    <cellStyle name="40% - Accent3 2 2 3 2" xfId="14048" xr:uid="{00000000-0005-0000-0000-00003C0A0000}"/>
    <cellStyle name="40% - Accent3 2 2 3 2 2" xfId="33968" xr:uid="{00000000-0005-0000-0000-00003D0A0000}"/>
    <cellStyle name="40% - Accent3 2 2 3 3" xfId="20200" xr:uid="{00000000-0005-0000-0000-00003E0A0000}"/>
    <cellStyle name="40% - Accent3 2 2 3 3 2" xfId="40120" xr:uid="{00000000-0005-0000-0000-00003F0A0000}"/>
    <cellStyle name="40% - Accent3 2 2 3 4" xfId="27815" xr:uid="{00000000-0005-0000-0000-0000400A0000}"/>
    <cellStyle name="40% - Accent3 2 2 4" xfId="10982" xr:uid="{00000000-0005-0000-0000-0000410A0000}"/>
    <cellStyle name="40% - Accent3 2 2 4 2" xfId="30902" xr:uid="{00000000-0005-0000-0000-0000420A0000}"/>
    <cellStyle name="40% - Accent3 2 2 5" xfId="17134" xr:uid="{00000000-0005-0000-0000-0000430A0000}"/>
    <cellStyle name="40% - Accent3 2 2 5 2" xfId="37054" xr:uid="{00000000-0005-0000-0000-0000440A0000}"/>
    <cellStyle name="40% - Accent3 2 2 6" xfId="4678" xr:uid="{00000000-0005-0000-0000-0000450A0000}"/>
    <cellStyle name="40% - Accent3 2 2 6 2" xfId="24749" xr:uid="{00000000-0005-0000-0000-0000460A0000}"/>
    <cellStyle name="40% - Accent3 2 2 7" xfId="23698" xr:uid="{00000000-0005-0000-0000-0000470A0000}"/>
    <cellStyle name="40% - Accent3 2 3" xfId="5517" xr:uid="{00000000-0005-0000-0000-0000480A0000}"/>
    <cellStyle name="40% - Accent3 2 3 2" xfId="8620" xr:uid="{00000000-0005-0000-0000-0000490A0000}"/>
    <cellStyle name="40% - Accent3 2 3 2 2" xfId="14813" xr:uid="{00000000-0005-0000-0000-00004A0A0000}"/>
    <cellStyle name="40% - Accent3 2 3 2 2 2" xfId="34733" xr:uid="{00000000-0005-0000-0000-00004B0A0000}"/>
    <cellStyle name="40% - Accent3 2 3 2 3" xfId="20965" xr:uid="{00000000-0005-0000-0000-00004C0A0000}"/>
    <cellStyle name="40% - Accent3 2 3 2 3 2" xfId="40885" xr:uid="{00000000-0005-0000-0000-00004D0A0000}"/>
    <cellStyle name="40% - Accent3 2 3 2 4" xfId="28580" xr:uid="{00000000-0005-0000-0000-00004E0A0000}"/>
    <cellStyle name="40% - Accent3 2 3 3" xfId="11747" xr:uid="{00000000-0005-0000-0000-00004F0A0000}"/>
    <cellStyle name="40% - Accent3 2 3 3 2" xfId="31667" xr:uid="{00000000-0005-0000-0000-0000500A0000}"/>
    <cellStyle name="40% - Accent3 2 3 4" xfId="17899" xr:uid="{00000000-0005-0000-0000-0000510A0000}"/>
    <cellStyle name="40% - Accent3 2 3 4 2" xfId="37819" xr:uid="{00000000-0005-0000-0000-0000520A0000}"/>
    <cellStyle name="40% - Accent3 2 3 5" xfId="25514" xr:uid="{00000000-0005-0000-0000-0000530A0000}"/>
    <cellStyle name="40% - Accent3 2 4" xfId="7085" xr:uid="{00000000-0005-0000-0000-0000540A0000}"/>
    <cellStyle name="40% - Accent3 2 4 2" xfId="13279" xr:uid="{00000000-0005-0000-0000-0000550A0000}"/>
    <cellStyle name="40% - Accent3 2 4 2 2" xfId="33199" xr:uid="{00000000-0005-0000-0000-0000560A0000}"/>
    <cellStyle name="40% - Accent3 2 4 3" xfId="19431" xr:uid="{00000000-0005-0000-0000-0000570A0000}"/>
    <cellStyle name="40% - Accent3 2 4 3 2" xfId="39351" xr:uid="{00000000-0005-0000-0000-0000580A0000}"/>
    <cellStyle name="40% - Accent3 2 4 4" xfId="27046" xr:uid="{00000000-0005-0000-0000-0000590A0000}"/>
    <cellStyle name="40% - Accent3 2 5" xfId="10213" xr:uid="{00000000-0005-0000-0000-00005A0A0000}"/>
    <cellStyle name="40% - Accent3 2 5 2" xfId="30133" xr:uid="{00000000-0005-0000-0000-00005B0A0000}"/>
    <cellStyle name="40% - Accent3 2 6" xfId="16365" xr:uid="{00000000-0005-0000-0000-00005C0A0000}"/>
    <cellStyle name="40% - Accent3 2 6 2" xfId="36285" xr:uid="{00000000-0005-0000-0000-00005D0A0000}"/>
    <cellStyle name="40% - Accent3 2 7" xfId="1245" xr:uid="{00000000-0005-0000-0000-00005E0A0000}"/>
    <cellStyle name="40% - Accent3 2 7 2" xfId="23980" xr:uid="{00000000-0005-0000-0000-00005F0A0000}"/>
    <cellStyle name="40% - Accent3 2 8" xfId="22781" xr:uid="{00000000-0005-0000-0000-0000600A0000}"/>
    <cellStyle name="40% - Accent3 2 8 2" xfId="42692" xr:uid="{00000000-0005-0000-0000-0000610A0000}"/>
    <cellStyle name="40% - Accent3 2 9" xfId="23084" xr:uid="{00000000-0005-0000-0000-0000620A0000}"/>
    <cellStyle name="40% - Accent3 2 9 2" xfId="42995" xr:uid="{00000000-0005-0000-0000-0000630A0000}"/>
    <cellStyle name="40% - Accent3 3" xfId="405" xr:uid="{00000000-0005-0000-0000-0000640A0000}"/>
    <cellStyle name="40% - Accent3 3 10" xfId="23411" xr:uid="{00000000-0005-0000-0000-0000650A0000}"/>
    <cellStyle name="40% - Accent3 3 2" xfId="832" xr:uid="{00000000-0005-0000-0000-0000660A0000}"/>
    <cellStyle name="40% - Accent3 3 2 2" xfId="6304" xr:uid="{00000000-0005-0000-0000-0000670A0000}"/>
    <cellStyle name="40% - Accent3 3 2 2 2" xfId="9390" xr:uid="{00000000-0005-0000-0000-0000680A0000}"/>
    <cellStyle name="40% - Accent3 3 2 2 2 2" xfId="15583" xr:uid="{00000000-0005-0000-0000-0000690A0000}"/>
    <cellStyle name="40% - Accent3 3 2 2 2 2 2" xfId="35503" xr:uid="{00000000-0005-0000-0000-00006A0A0000}"/>
    <cellStyle name="40% - Accent3 3 2 2 2 3" xfId="21735" xr:uid="{00000000-0005-0000-0000-00006B0A0000}"/>
    <cellStyle name="40% - Accent3 3 2 2 2 3 2" xfId="41655" xr:uid="{00000000-0005-0000-0000-00006C0A0000}"/>
    <cellStyle name="40% - Accent3 3 2 2 2 4" xfId="29350" xr:uid="{00000000-0005-0000-0000-00006D0A0000}"/>
    <cellStyle name="40% - Accent3 3 2 2 3" xfId="12517" xr:uid="{00000000-0005-0000-0000-00006E0A0000}"/>
    <cellStyle name="40% - Accent3 3 2 2 3 2" xfId="32437" xr:uid="{00000000-0005-0000-0000-00006F0A0000}"/>
    <cellStyle name="40% - Accent3 3 2 2 4" xfId="18669" xr:uid="{00000000-0005-0000-0000-0000700A0000}"/>
    <cellStyle name="40% - Accent3 3 2 2 4 2" xfId="38589" xr:uid="{00000000-0005-0000-0000-0000710A0000}"/>
    <cellStyle name="40% - Accent3 3 2 2 5" xfId="26284" xr:uid="{00000000-0005-0000-0000-0000720A0000}"/>
    <cellStyle name="40% - Accent3 3 2 3" xfId="7855" xr:uid="{00000000-0005-0000-0000-0000730A0000}"/>
    <cellStyle name="40% - Accent3 3 2 3 2" xfId="14049" xr:uid="{00000000-0005-0000-0000-0000740A0000}"/>
    <cellStyle name="40% - Accent3 3 2 3 2 2" xfId="33969" xr:uid="{00000000-0005-0000-0000-0000750A0000}"/>
    <cellStyle name="40% - Accent3 3 2 3 3" xfId="20201" xr:uid="{00000000-0005-0000-0000-0000760A0000}"/>
    <cellStyle name="40% - Accent3 3 2 3 3 2" xfId="40121" xr:uid="{00000000-0005-0000-0000-0000770A0000}"/>
    <cellStyle name="40% - Accent3 3 2 3 4" xfId="27816" xr:uid="{00000000-0005-0000-0000-0000780A0000}"/>
    <cellStyle name="40% - Accent3 3 2 4" xfId="10983" xr:uid="{00000000-0005-0000-0000-0000790A0000}"/>
    <cellStyle name="40% - Accent3 3 2 4 2" xfId="30903" xr:uid="{00000000-0005-0000-0000-00007A0A0000}"/>
    <cellStyle name="40% - Accent3 3 2 5" xfId="17135" xr:uid="{00000000-0005-0000-0000-00007B0A0000}"/>
    <cellStyle name="40% - Accent3 3 2 5 2" xfId="37055" xr:uid="{00000000-0005-0000-0000-00007C0A0000}"/>
    <cellStyle name="40% - Accent3 3 2 6" xfId="4679" xr:uid="{00000000-0005-0000-0000-00007D0A0000}"/>
    <cellStyle name="40% - Accent3 3 2 6 2" xfId="24750" xr:uid="{00000000-0005-0000-0000-00007E0A0000}"/>
    <cellStyle name="40% - Accent3 3 2 7" xfId="23714" xr:uid="{00000000-0005-0000-0000-00007F0A0000}"/>
    <cellStyle name="40% - Accent3 3 3" xfId="5518" xr:uid="{00000000-0005-0000-0000-0000800A0000}"/>
    <cellStyle name="40% - Accent3 3 3 2" xfId="8621" xr:uid="{00000000-0005-0000-0000-0000810A0000}"/>
    <cellStyle name="40% - Accent3 3 3 2 2" xfId="14814" xr:uid="{00000000-0005-0000-0000-0000820A0000}"/>
    <cellStyle name="40% - Accent3 3 3 2 2 2" xfId="34734" xr:uid="{00000000-0005-0000-0000-0000830A0000}"/>
    <cellStyle name="40% - Accent3 3 3 2 3" xfId="20966" xr:uid="{00000000-0005-0000-0000-0000840A0000}"/>
    <cellStyle name="40% - Accent3 3 3 2 3 2" xfId="40886" xr:uid="{00000000-0005-0000-0000-0000850A0000}"/>
    <cellStyle name="40% - Accent3 3 3 2 4" xfId="28581" xr:uid="{00000000-0005-0000-0000-0000860A0000}"/>
    <cellStyle name="40% - Accent3 3 3 3" xfId="11748" xr:uid="{00000000-0005-0000-0000-0000870A0000}"/>
    <cellStyle name="40% - Accent3 3 3 3 2" xfId="31668" xr:uid="{00000000-0005-0000-0000-0000880A0000}"/>
    <cellStyle name="40% - Accent3 3 3 4" xfId="17900" xr:uid="{00000000-0005-0000-0000-0000890A0000}"/>
    <cellStyle name="40% - Accent3 3 3 4 2" xfId="37820" xr:uid="{00000000-0005-0000-0000-00008A0A0000}"/>
    <cellStyle name="40% - Accent3 3 3 5" xfId="25515" xr:uid="{00000000-0005-0000-0000-00008B0A0000}"/>
    <cellStyle name="40% - Accent3 3 4" xfId="7086" xr:uid="{00000000-0005-0000-0000-00008C0A0000}"/>
    <cellStyle name="40% - Accent3 3 4 2" xfId="13280" xr:uid="{00000000-0005-0000-0000-00008D0A0000}"/>
    <cellStyle name="40% - Accent3 3 4 2 2" xfId="33200" xr:uid="{00000000-0005-0000-0000-00008E0A0000}"/>
    <cellStyle name="40% - Accent3 3 4 3" xfId="19432" xr:uid="{00000000-0005-0000-0000-00008F0A0000}"/>
    <cellStyle name="40% - Accent3 3 4 3 2" xfId="39352" xr:uid="{00000000-0005-0000-0000-0000900A0000}"/>
    <cellStyle name="40% - Accent3 3 4 4" xfId="27047" xr:uid="{00000000-0005-0000-0000-0000910A0000}"/>
    <cellStyle name="40% - Accent3 3 5" xfId="10214" xr:uid="{00000000-0005-0000-0000-0000920A0000}"/>
    <cellStyle name="40% - Accent3 3 5 2" xfId="30134" xr:uid="{00000000-0005-0000-0000-0000930A0000}"/>
    <cellStyle name="40% - Accent3 3 6" xfId="16366" xr:uid="{00000000-0005-0000-0000-0000940A0000}"/>
    <cellStyle name="40% - Accent3 3 6 2" xfId="36286" xr:uid="{00000000-0005-0000-0000-0000950A0000}"/>
    <cellStyle name="40% - Accent3 3 7" xfId="1246" xr:uid="{00000000-0005-0000-0000-0000960A0000}"/>
    <cellStyle name="40% - Accent3 3 7 2" xfId="23981" xr:uid="{00000000-0005-0000-0000-0000970A0000}"/>
    <cellStyle name="40% - Accent3 3 8" xfId="22797" xr:uid="{00000000-0005-0000-0000-0000980A0000}"/>
    <cellStyle name="40% - Accent3 3 8 2" xfId="42708" xr:uid="{00000000-0005-0000-0000-0000990A0000}"/>
    <cellStyle name="40% - Accent3 3 9" xfId="23100" xr:uid="{00000000-0005-0000-0000-00009A0A0000}"/>
    <cellStyle name="40% - Accent3 3 9 2" xfId="43011" xr:uid="{00000000-0005-0000-0000-00009B0A0000}"/>
    <cellStyle name="40% - Accent3 4" xfId="432" xr:uid="{00000000-0005-0000-0000-00009C0A0000}"/>
    <cellStyle name="40% - Accent3 4 10" xfId="23427" xr:uid="{00000000-0005-0000-0000-00009D0A0000}"/>
    <cellStyle name="40% - Accent3 4 2" xfId="848" xr:uid="{00000000-0005-0000-0000-00009E0A0000}"/>
    <cellStyle name="40% - Accent3 4 2 2" xfId="6305" xr:uid="{00000000-0005-0000-0000-00009F0A0000}"/>
    <cellStyle name="40% - Accent3 4 2 2 2" xfId="9391" xr:uid="{00000000-0005-0000-0000-0000A00A0000}"/>
    <cellStyle name="40% - Accent3 4 2 2 2 2" xfId="15584" xr:uid="{00000000-0005-0000-0000-0000A10A0000}"/>
    <cellStyle name="40% - Accent3 4 2 2 2 2 2" xfId="35504" xr:uid="{00000000-0005-0000-0000-0000A20A0000}"/>
    <cellStyle name="40% - Accent3 4 2 2 2 3" xfId="21736" xr:uid="{00000000-0005-0000-0000-0000A30A0000}"/>
    <cellStyle name="40% - Accent3 4 2 2 2 3 2" xfId="41656" xr:uid="{00000000-0005-0000-0000-0000A40A0000}"/>
    <cellStyle name="40% - Accent3 4 2 2 2 4" xfId="29351" xr:uid="{00000000-0005-0000-0000-0000A50A0000}"/>
    <cellStyle name="40% - Accent3 4 2 2 3" xfId="12518" xr:uid="{00000000-0005-0000-0000-0000A60A0000}"/>
    <cellStyle name="40% - Accent3 4 2 2 3 2" xfId="32438" xr:uid="{00000000-0005-0000-0000-0000A70A0000}"/>
    <cellStyle name="40% - Accent3 4 2 2 4" xfId="18670" xr:uid="{00000000-0005-0000-0000-0000A80A0000}"/>
    <cellStyle name="40% - Accent3 4 2 2 4 2" xfId="38590" xr:uid="{00000000-0005-0000-0000-0000A90A0000}"/>
    <cellStyle name="40% - Accent3 4 2 2 5" xfId="26285" xr:uid="{00000000-0005-0000-0000-0000AA0A0000}"/>
    <cellStyle name="40% - Accent3 4 2 3" xfId="7856" xr:uid="{00000000-0005-0000-0000-0000AB0A0000}"/>
    <cellStyle name="40% - Accent3 4 2 3 2" xfId="14050" xr:uid="{00000000-0005-0000-0000-0000AC0A0000}"/>
    <cellStyle name="40% - Accent3 4 2 3 2 2" xfId="33970" xr:uid="{00000000-0005-0000-0000-0000AD0A0000}"/>
    <cellStyle name="40% - Accent3 4 2 3 3" xfId="20202" xr:uid="{00000000-0005-0000-0000-0000AE0A0000}"/>
    <cellStyle name="40% - Accent3 4 2 3 3 2" xfId="40122" xr:uid="{00000000-0005-0000-0000-0000AF0A0000}"/>
    <cellStyle name="40% - Accent3 4 2 3 4" xfId="27817" xr:uid="{00000000-0005-0000-0000-0000B00A0000}"/>
    <cellStyle name="40% - Accent3 4 2 4" xfId="10984" xr:uid="{00000000-0005-0000-0000-0000B10A0000}"/>
    <cellStyle name="40% - Accent3 4 2 4 2" xfId="30904" xr:uid="{00000000-0005-0000-0000-0000B20A0000}"/>
    <cellStyle name="40% - Accent3 4 2 5" xfId="17136" xr:uid="{00000000-0005-0000-0000-0000B30A0000}"/>
    <cellStyle name="40% - Accent3 4 2 5 2" xfId="37056" xr:uid="{00000000-0005-0000-0000-0000B40A0000}"/>
    <cellStyle name="40% - Accent3 4 2 6" xfId="4680" xr:uid="{00000000-0005-0000-0000-0000B50A0000}"/>
    <cellStyle name="40% - Accent3 4 2 6 2" xfId="24751" xr:uid="{00000000-0005-0000-0000-0000B60A0000}"/>
    <cellStyle name="40% - Accent3 4 2 7" xfId="23730" xr:uid="{00000000-0005-0000-0000-0000B70A0000}"/>
    <cellStyle name="40% - Accent3 4 3" xfId="5519" xr:uid="{00000000-0005-0000-0000-0000B80A0000}"/>
    <cellStyle name="40% - Accent3 4 3 2" xfId="8622" xr:uid="{00000000-0005-0000-0000-0000B90A0000}"/>
    <cellStyle name="40% - Accent3 4 3 2 2" xfId="14815" xr:uid="{00000000-0005-0000-0000-0000BA0A0000}"/>
    <cellStyle name="40% - Accent3 4 3 2 2 2" xfId="34735" xr:uid="{00000000-0005-0000-0000-0000BB0A0000}"/>
    <cellStyle name="40% - Accent3 4 3 2 3" xfId="20967" xr:uid="{00000000-0005-0000-0000-0000BC0A0000}"/>
    <cellStyle name="40% - Accent3 4 3 2 3 2" xfId="40887" xr:uid="{00000000-0005-0000-0000-0000BD0A0000}"/>
    <cellStyle name="40% - Accent3 4 3 2 4" xfId="28582" xr:uid="{00000000-0005-0000-0000-0000BE0A0000}"/>
    <cellStyle name="40% - Accent3 4 3 3" xfId="11749" xr:uid="{00000000-0005-0000-0000-0000BF0A0000}"/>
    <cellStyle name="40% - Accent3 4 3 3 2" xfId="31669" xr:uid="{00000000-0005-0000-0000-0000C00A0000}"/>
    <cellStyle name="40% - Accent3 4 3 4" xfId="17901" xr:uid="{00000000-0005-0000-0000-0000C10A0000}"/>
    <cellStyle name="40% - Accent3 4 3 4 2" xfId="37821" xr:uid="{00000000-0005-0000-0000-0000C20A0000}"/>
    <cellStyle name="40% - Accent3 4 3 5" xfId="25516" xr:uid="{00000000-0005-0000-0000-0000C30A0000}"/>
    <cellStyle name="40% - Accent3 4 4" xfId="7087" xr:uid="{00000000-0005-0000-0000-0000C40A0000}"/>
    <cellStyle name="40% - Accent3 4 4 2" xfId="13281" xr:uid="{00000000-0005-0000-0000-0000C50A0000}"/>
    <cellStyle name="40% - Accent3 4 4 2 2" xfId="33201" xr:uid="{00000000-0005-0000-0000-0000C60A0000}"/>
    <cellStyle name="40% - Accent3 4 4 3" xfId="19433" xr:uid="{00000000-0005-0000-0000-0000C70A0000}"/>
    <cellStyle name="40% - Accent3 4 4 3 2" xfId="39353" xr:uid="{00000000-0005-0000-0000-0000C80A0000}"/>
    <cellStyle name="40% - Accent3 4 4 4" xfId="27048" xr:uid="{00000000-0005-0000-0000-0000C90A0000}"/>
    <cellStyle name="40% - Accent3 4 5" xfId="10215" xr:uid="{00000000-0005-0000-0000-0000CA0A0000}"/>
    <cellStyle name="40% - Accent3 4 5 2" xfId="30135" xr:uid="{00000000-0005-0000-0000-0000CB0A0000}"/>
    <cellStyle name="40% - Accent3 4 6" xfId="16367" xr:uid="{00000000-0005-0000-0000-0000CC0A0000}"/>
    <cellStyle name="40% - Accent3 4 6 2" xfId="36287" xr:uid="{00000000-0005-0000-0000-0000CD0A0000}"/>
    <cellStyle name="40% - Accent3 4 7" xfId="1247" xr:uid="{00000000-0005-0000-0000-0000CE0A0000}"/>
    <cellStyle name="40% - Accent3 4 7 2" xfId="23982" xr:uid="{00000000-0005-0000-0000-0000CF0A0000}"/>
    <cellStyle name="40% - Accent3 4 8" xfId="22813" xr:uid="{00000000-0005-0000-0000-0000D00A0000}"/>
    <cellStyle name="40% - Accent3 4 8 2" xfId="42724" xr:uid="{00000000-0005-0000-0000-0000D10A0000}"/>
    <cellStyle name="40% - Accent3 4 9" xfId="23116" xr:uid="{00000000-0005-0000-0000-0000D20A0000}"/>
    <cellStyle name="40% - Accent3 4 9 2" xfId="43027" xr:uid="{00000000-0005-0000-0000-0000D30A0000}"/>
    <cellStyle name="40% - Accent3 5" xfId="460" xr:uid="{00000000-0005-0000-0000-0000D40A0000}"/>
    <cellStyle name="40% - Accent3 5 10" xfId="23132" xr:uid="{00000000-0005-0000-0000-0000D50A0000}"/>
    <cellStyle name="40% - Accent3 5 10 2" xfId="43043" xr:uid="{00000000-0005-0000-0000-0000D60A0000}"/>
    <cellStyle name="40% - Accent3 5 11" xfId="23443" xr:uid="{00000000-0005-0000-0000-0000D70A0000}"/>
    <cellStyle name="40% - Accent3 5 2" xfId="864" xr:uid="{00000000-0005-0000-0000-0000D80A0000}"/>
    <cellStyle name="40% - Accent3 5 2 2" xfId="6306" xr:uid="{00000000-0005-0000-0000-0000D90A0000}"/>
    <cellStyle name="40% - Accent3 5 2 2 2" xfId="9392" xr:uid="{00000000-0005-0000-0000-0000DA0A0000}"/>
    <cellStyle name="40% - Accent3 5 2 2 2 2" xfId="15585" xr:uid="{00000000-0005-0000-0000-0000DB0A0000}"/>
    <cellStyle name="40% - Accent3 5 2 2 2 2 2" xfId="35505" xr:uid="{00000000-0005-0000-0000-0000DC0A0000}"/>
    <cellStyle name="40% - Accent3 5 2 2 2 3" xfId="21737" xr:uid="{00000000-0005-0000-0000-0000DD0A0000}"/>
    <cellStyle name="40% - Accent3 5 2 2 2 3 2" xfId="41657" xr:uid="{00000000-0005-0000-0000-0000DE0A0000}"/>
    <cellStyle name="40% - Accent3 5 2 2 2 4" xfId="29352" xr:uid="{00000000-0005-0000-0000-0000DF0A0000}"/>
    <cellStyle name="40% - Accent3 5 2 2 3" xfId="12519" xr:uid="{00000000-0005-0000-0000-0000E00A0000}"/>
    <cellStyle name="40% - Accent3 5 2 2 3 2" xfId="32439" xr:uid="{00000000-0005-0000-0000-0000E10A0000}"/>
    <cellStyle name="40% - Accent3 5 2 2 4" xfId="18671" xr:uid="{00000000-0005-0000-0000-0000E20A0000}"/>
    <cellStyle name="40% - Accent3 5 2 2 4 2" xfId="38591" xr:uid="{00000000-0005-0000-0000-0000E30A0000}"/>
    <cellStyle name="40% - Accent3 5 2 2 5" xfId="26286" xr:uid="{00000000-0005-0000-0000-0000E40A0000}"/>
    <cellStyle name="40% - Accent3 5 2 3" xfId="7857" xr:uid="{00000000-0005-0000-0000-0000E50A0000}"/>
    <cellStyle name="40% - Accent3 5 2 3 2" xfId="14051" xr:uid="{00000000-0005-0000-0000-0000E60A0000}"/>
    <cellStyle name="40% - Accent3 5 2 3 2 2" xfId="33971" xr:uid="{00000000-0005-0000-0000-0000E70A0000}"/>
    <cellStyle name="40% - Accent3 5 2 3 3" xfId="20203" xr:uid="{00000000-0005-0000-0000-0000E80A0000}"/>
    <cellStyle name="40% - Accent3 5 2 3 3 2" xfId="40123" xr:uid="{00000000-0005-0000-0000-0000E90A0000}"/>
    <cellStyle name="40% - Accent3 5 2 3 4" xfId="27818" xr:uid="{00000000-0005-0000-0000-0000EA0A0000}"/>
    <cellStyle name="40% - Accent3 5 2 4" xfId="10985" xr:uid="{00000000-0005-0000-0000-0000EB0A0000}"/>
    <cellStyle name="40% - Accent3 5 2 4 2" xfId="30905" xr:uid="{00000000-0005-0000-0000-0000EC0A0000}"/>
    <cellStyle name="40% - Accent3 5 2 5" xfId="17137" xr:uid="{00000000-0005-0000-0000-0000ED0A0000}"/>
    <cellStyle name="40% - Accent3 5 2 5 2" xfId="37057" xr:uid="{00000000-0005-0000-0000-0000EE0A0000}"/>
    <cellStyle name="40% - Accent3 5 2 6" xfId="4681" xr:uid="{00000000-0005-0000-0000-0000EF0A0000}"/>
    <cellStyle name="40% - Accent3 5 2 6 2" xfId="24752" xr:uid="{00000000-0005-0000-0000-0000F00A0000}"/>
    <cellStyle name="40% - Accent3 5 2 7" xfId="23746" xr:uid="{00000000-0005-0000-0000-0000F10A0000}"/>
    <cellStyle name="40% - Accent3 5 3" xfId="5520" xr:uid="{00000000-0005-0000-0000-0000F20A0000}"/>
    <cellStyle name="40% - Accent3 5 3 2" xfId="8623" xr:uid="{00000000-0005-0000-0000-0000F30A0000}"/>
    <cellStyle name="40% - Accent3 5 3 2 2" xfId="14816" xr:uid="{00000000-0005-0000-0000-0000F40A0000}"/>
    <cellStyle name="40% - Accent3 5 3 2 2 2" xfId="34736" xr:uid="{00000000-0005-0000-0000-0000F50A0000}"/>
    <cellStyle name="40% - Accent3 5 3 2 3" xfId="20968" xr:uid="{00000000-0005-0000-0000-0000F60A0000}"/>
    <cellStyle name="40% - Accent3 5 3 2 3 2" xfId="40888" xr:uid="{00000000-0005-0000-0000-0000F70A0000}"/>
    <cellStyle name="40% - Accent3 5 3 2 4" xfId="28583" xr:uid="{00000000-0005-0000-0000-0000F80A0000}"/>
    <cellStyle name="40% - Accent3 5 3 3" xfId="11750" xr:uid="{00000000-0005-0000-0000-0000F90A0000}"/>
    <cellStyle name="40% - Accent3 5 3 3 2" xfId="31670" xr:uid="{00000000-0005-0000-0000-0000FA0A0000}"/>
    <cellStyle name="40% - Accent3 5 3 4" xfId="17902" xr:uid="{00000000-0005-0000-0000-0000FB0A0000}"/>
    <cellStyle name="40% - Accent3 5 3 4 2" xfId="37822" xr:uid="{00000000-0005-0000-0000-0000FC0A0000}"/>
    <cellStyle name="40% - Accent3 5 3 5" xfId="25517" xr:uid="{00000000-0005-0000-0000-0000FD0A0000}"/>
    <cellStyle name="40% - Accent3 5 4" xfId="7088" xr:uid="{00000000-0005-0000-0000-0000FE0A0000}"/>
    <cellStyle name="40% - Accent3 5 4 2" xfId="13282" xr:uid="{00000000-0005-0000-0000-0000FF0A0000}"/>
    <cellStyle name="40% - Accent3 5 4 2 2" xfId="33202" xr:uid="{00000000-0005-0000-0000-0000000B0000}"/>
    <cellStyle name="40% - Accent3 5 4 3" xfId="19434" xr:uid="{00000000-0005-0000-0000-0000010B0000}"/>
    <cellStyle name="40% - Accent3 5 4 3 2" xfId="39354" xr:uid="{00000000-0005-0000-0000-0000020B0000}"/>
    <cellStyle name="40% - Accent3 5 4 4" xfId="27049" xr:uid="{00000000-0005-0000-0000-0000030B0000}"/>
    <cellStyle name="40% - Accent3 5 5" xfId="10216" xr:uid="{00000000-0005-0000-0000-0000040B0000}"/>
    <cellStyle name="40% - Accent3 5 5 2" xfId="30136" xr:uid="{00000000-0005-0000-0000-0000050B0000}"/>
    <cellStyle name="40% - Accent3 5 6" xfId="16368" xr:uid="{00000000-0005-0000-0000-0000060B0000}"/>
    <cellStyle name="40% - Accent3 5 6 2" xfId="36288" xr:uid="{00000000-0005-0000-0000-0000070B0000}"/>
    <cellStyle name="40% - Accent3 5 7" xfId="1248" xr:uid="{00000000-0005-0000-0000-0000080B0000}"/>
    <cellStyle name="40% - Accent3 5 7 2" xfId="23983" xr:uid="{00000000-0005-0000-0000-0000090B0000}"/>
    <cellStyle name="40% - Accent3 5 8" xfId="22511" xr:uid="{00000000-0005-0000-0000-00000A0B0000}"/>
    <cellStyle name="40% - Accent3 5 8 2" xfId="42422" xr:uid="{00000000-0005-0000-0000-00000B0B0000}"/>
    <cellStyle name="40% - Accent3 5 9" xfId="22829" xr:uid="{00000000-0005-0000-0000-00000C0B0000}"/>
    <cellStyle name="40% - Accent3 5 9 2" xfId="42740" xr:uid="{00000000-0005-0000-0000-00000D0B0000}"/>
    <cellStyle name="40% - Accent3 6" xfId="486" xr:uid="{00000000-0005-0000-0000-00000E0B0000}"/>
    <cellStyle name="40% - Accent3 6 2" xfId="880" xr:uid="{00000000-0005-0000-0000-00000F0B0000}"/>
    <cellStyle name="40% - Accent3 6 2 2" xfId="23762" xr:uid="{00000000-0005-0000-0000-0000100B0000}"/>
    <cellStyle name="40% - Accent3 6 3" xfId="1249" xr:uid="{00000000-0005-0000-0000-0000110B0000}"/>
    <cellStyle name="40% - Accent3 6 4" xfId="22686" xr:uid="{00000000-0005-0000-0000-0000120B0000}"/>
    <cellStyle name="40% - Accent3 6 4 2" xfId="42597" xr:uid="{00000000-0005-0000-0000-0000130B0000}"/>
    <cellStyle name="40% - Accent3 6 5" xfId="22845" xr:uid="{00000000-0005-0000-0000-0000140B0000}"/>
    <cellStyle name="40% - Accent3 6 5 2" xfId="42756" xr:uid="{00000000-0005-0000-0000-0000150B0000}"/>
    <cellStyle name="40% - Accent3 6 6" xfId="23148" xr:uid="{00000000-0005-0000-0000-0000160B0000}"/>
    <cellStyle name="40% - Accent3 6 6 2" xfId="43059" xr:uid="{00000000-0005-0000-0000-0000170B0000}"/>
    <cellStyle name="40% - Accent3 6 7" xfId="23459" xr:uid="{00000000-0005-0000-0000-0000180B0000}"/>
    <cellStyle name="40% - Accent3 7" xfId="510" xr:uid="{00000000-0005-0000-0000-0000190B0000}"/>
    <cellStyle name="40% - Accent3 7 2" xfId="896" xr:uid="{00000000-0005-0000-0000-00001A0B0000}"/>
    <cellStyle name="40% - Accent3 7 2 2" xfId="23778" xr:uid="{00000000-0005-0000-0000-00001B0B0000}"/>
    <cellStyle name="40% - Accent3 7 3" xfId="22480" xr:uid="{00000000-0005-0000-0000-00001C0B0000}"/>
    <cellStyle name="40% - Accent3 7 3 2" xfId="42391" xr:uid="{00000000-0005-0000-0000-00001D0B0000}"/>
    <cellStyle name="40% - Accent3 7 4" xfId="22861" xr:uid="{00000000-0005-0000-0000-00001E0B0000}"/>
    <cellStyle name="40% - Accent3 7 4 2" xfId="42772" xr:uid="{00000000-0005-0000-0000-00001F0B0000}"/>
    <cellStyle name="40% - Accent3 7 5" xfId="23164" xr:uid="{00000000-0005-0000-0000-0000200B0000}"/>
    <cellStyle name="40% - Accent3 7 5 2" xfId="43075" xr:uid="{00000000-0005-0000-0000-0000210B0000}"/>
    <cellStyle name="40% - Accent3 7 6" xfId="23475" xr:uid="{00000000-0005-0000-0000-0000220B0000}"/>
    <cellStyle name="40% - Accent3 8" xfId="535" xr:uid="{00000000-0005-0000-0000-0000230B0000}"/>
    <cellStyle name="40% - Accent3 8 2" xfId="912" xr:uid="{00000000-0005-0000-0000-0000240B0000}"/>
    <cellStyle name="40% - Accent3 8 2 2" xfId="23794" xr:uid="{00000000-0005-0000-0000-0000250B0000}"/>
    <cellStyle name="40% - Accent3 8 3" xfId="22602" xr:uid="{00000000-0005-0000-0000-0000260B0000}"/>
    <cellStyle name="40% - Accent3 8 3 2" xfId="42513" xr:uid="{00000000-0005-0000-0000-0000270B0000}"/>
    <cellStyle name="40% - Accent3 8 4" xfId="22877" xr:uid="{00000000-0005-0000-0000-0000280B0000}"/>
    <cellStyle name="40% - Accent3 8 4 2" xfId="42788" xr:uid="{00000000-0005-0000-0000-0000290B0000}"/>
    <cellStyle name="40% - Accent3 8 5" xfId="23180" xr:uid="{00000000-0005-0000-0000-00002A0B0000}"/>
    <cellStyle name="40% - Accent3 8 5 2" xfId="43091" xr:uid="{00000000-0005-0000-0000-00002B0B0000}"/>
    <cellStyle name="40% - Accent3 8 6" xfId="23491" xr:uid="{00000000-0005-0000-0000-00002C0B0000}"/>
    <cellStyle name="40% - Accent3 9" xfId="574" xr:uid="{00000000-0005-0000-0000-00002D0B0000}"/>
    <cellStyle name="40% - Accent3 9 2" xfId="928" xr:uid="{00000000-0005-0000-0000-00002E0B0000}"/>
    <cellStyle name="40% - Accent3 9 2 2" xfId="23810" xr:uid="{00000000-0005-0000-0000-00002F0B0000}"/>
    <cellStyle name="40% - Accent3 9 3" xfId="22598" xr:uid="{00000000-0005-0000-0000-0000300B0000}"/>
    <cellStyle name="40% - Accent3 9 3 2" xfId="42509" xr:uid="{00000000-0005-0000-0000-0000310B0000}"/>
    <cellStyle name="40% - Accent3 9 4" xfId="22893" xr:uid="{00000000-0005-0000-0000-0000320B0000}"/>
    <cellStyle name="40% - Accent3 9 4 2" xfId="42804" xr:uid="{00000000-0005-0000-0000-0000330B0000}"/>
    <cellStyle name="40% - Accent3 9 5" xfId="23196" xr:uid="{00000000-0005-0000-0000-0000340B0000}"/>
    <cellStyle name="40% - Accent3 9 5 2" xfId="43107" xr:uid="{00000000-0005-0000-0000-0000350B0000}"/>
    <cellStyle name="40% - Accent3 9 6" xfId="23507" xr:uid="{00000000-0005-0000-0000-0000360B0000}"/>
    <cellStyle name="40% - Accent4" xfId="75" builtinId="43" customBuiltin="1"/>
    <cellStyle name="40% - Accent4 10" xfId="606" xr:uid="{00000000-0005-0000-0000-0000380B0000}"/>
    <cellStyle name="40% - Accent4 10 2" xfId="946" xr:uid="{00000000-0005-0000-0000-0000390B0000}"/>
    <cellStyle name="40% - Accent4 10 2 2" xfId="23828" xr:uid="{00000000-0005-0000-0000-00003A0B0000}"/>
    <cellStyle name="40% - Accent4 10 3" xfId="22530" xr:uid="{00000000-0005-0000-0000-00003B0B0000}"/>
    <cellStyle name="40% - Accent4 10 3 2" xfId="42441" xr:uid="{00000000-0005-0000-0000-00003C0B0000}"/>
    <cellStyle name="40% - Accent4 10 4" xfId="22911" xr:uid="{00000000-0005-0000-0000-00003D0B0000}"/>
    <cellStyle name="40% - Accent4 10 4 2" xfId="42822" xr:uid="{00000000-0005-0000-0000-00003E0B0000}"/>
    <cellStyle name="40% - Accent4 10 5" xfId="23214" xr:uid="{00000000-0005-0000-0000-00003F0B0000}"/>
    <cellStyle name="40% - Accent4 10 5 2" xfId="43125" xr:uid="{00000000-0005-0000-0000-0000400B0000}"/>
    <cellStyle name="40% - Accent4 10 6" xfId="23525" xr:uid="{00000000-0005-0000-0000-0000410B0000}"/>
    <cellStyle name="40% - Accent4 11" xfId="633" xr:uid="{00000000-0005-0000-0000-0000420B0000}"/>
    <cellStyle name="40% - Accent4 11 2" xfId="962" xr:uid="{00000000-0005-0000-0000-0000430B0000}"/>
    <cellStyle name="40% - Accent4 11 2 2" xfId="23844" xr:uid="{00000000-0005-0000-0000-0000440B0000}"/>
    <cellStyle name="40% - Accent4 11 3" xfId="22483" xr:uid="{00000000-0005-0000-0000-0000450B0000}"/>
    <cellStyle name="40% - Accent4 11 3 2" xfId="42394" xr:uid="{00000000-0005-0000-0000-0000460B0000}"/>
    <cellStyle name="40% - Accent4 11 4" xfId="22927" xr:uid="{00000000-0005-0000-0000-0000470B0000}"/>
    <cellStyle name="40% - Accent4 11 4 2" xfId="42838" xr:uid="{00000000-0005-0000-0000-0000480B0000}"/>
    <cellStyle name="40% - Accent4 11 5" xfId="23230" xr:uid="{00000000-0005-0000-0000-0000490B0000}"/>
    <cellStyle name="40% - Accent4 11 5 2" xfId="43141" xr:uid="{00000000-0005-0000-0000-00004A0B0000}"/>
    <cellStyle name="40% - Accent4 11 6" xfId="23541" xr:uid="{00000000-0005-0000-0000-00004B0B0000}"/>
    <cellStyle name="40% - Accent4 12" xfId="659" xr:uid="{00000000-0005-0000-0000-00004C0B0000}"/>
    <cellStyle name="40% - Accent4 12 2" xfId="978" xr:uid="{00000000-0005-0000-0000-00004D0B0000}"/>
    <cellStyle name="40% - Accent4 12 2 2" xfId="23860" xr:uid="{00000000-0005-0000-0000-00004E0B0000}"/>
    <cellStyle name="40% - Accent4 12 3" xfId="22542" xr:uid="{00000000-0005-0000-0000-00004F0B0000}"/>
    <cellStyle name="40% - Accent4 12 3 2" xfId="42453" xr:uid="{00000000-0005-0000-0000-0000500B0000}"/>
    <cellStyle name="40% - Accent4 12 4" xfId="22943" xr:uid="{00000000-0005-0000-0000-0000510B0000}"/>
    <cellStyle name="40% - Accent4 12 4 2" xfId="42854" xr:uid="{00000000-0005-0000-0000-0000520B0000}"/>
    <cellStyle name="40% - Accent4 12 5" xfId="23246" xr:uid="{00000000-0005-0000-0000-0000530B0000}"/>
    <cellStyle name="40% - Accent4 12 5 2" xfId="43157" xr:uid="{00000000-0005-0000-0000-0000540B0000}"/>
    <cellStyle name="40% - Accent4 12 6" xfId="23557" xr:uid="{00000000-0005-0000-0000-0000550B0000}"/>
    <cellStyle name="40% - Accent4 13" xfId="683" xr:uid="{00000000-0005-0000-0000-0000560B0000}"/>
    <cellStyle name="40% - Accent4 13 2" xfId="994" xr:uid="{00000000-0005-0000-0000-0000570B0000}"/>
    <cellStyle name="40% - Accent4 13 2 2" xfId="23876" xr:uid="{00000000-0005-0000-0000-0000580B0000}"/>
    <cellStyle name="40% - Accent4 13 3" xfId="22564" xr:uid="{00000000-0005-0000-0000-0000590B0000}"/>
    <cellStyle name="40% - Accent4 13 3 2" xfId="42475" xr:uid="{00000000-0005-0000-0000-00005A0B0000}"/>
    <cellStyle name="40% - Accent4 13 4" xfId="22959" xr:uid="{00000000-0005-0000-0000-00005B0B0000}"/>
    <cellStyle name="40% - Accent4 13 4 2" xfId="42870" xr:uid="{00000000-0005-0000-0000-00005C0B0000}"/>
    <cellStyle name="40% - Accent4 13 5" xfId="23262" xr:uid="{00000000-0005-0000-0000-00005D0B0000}"/>
    <cellStyle name="40% - Accent4 13 5 2" xfId="43173" xr:uid="{00000000-0005-0000-0000-00005E0B0000}"/>
    <cellStyle name="40% - Accent4 13 6" xfId="23573" xr:uid="{00000000-0005-0000-0000-00005F0B0000}"/>
    <cellStyle name="40% - Accent4 14" xfId="702" xr:uid="{00000000-0005-0000-0000-0000600B0000}"/>
    <cellStyle name="40% - Accent4 14 2" xfId="1010" xr:uid="{00000000-0005-0000-0000-0000610B0000}"/>
    <cellStyle name="40% - Accent4 14 2 2" xfId="23892" xr:uid="{00000000-0005-0000-0000-0000620B0000}"/>
    <cellStyle name="40% - Accent4 14 3" xfId="22652" xr:uid="{00000000-0005-0000-0000-0000630B0000}"/>
    <cellStyle name="40% - Accent4 14 3 2" xfId="42563" xr:uid="{00000000-0005-0000-0000-0000640B0000}"/>
    <cellStyle name="40% - Accent4 14 4" xfId="22975" xr:uid="{00000000-0005-0000-0000-0000650B0000}"/>
    <cellStyle name="40% - Accent4 14 4 2" xfId="42886" xr:uid="{00000000-0005-0000-0000-0000660B0000}"/>
    <cellStyle name="40% - Accent4 14 5" xfId="23278" xr:uid="{00000000-0005-0000-0000-0000670B0000}"/>
    <cellStyle name="40% - Accent4 14 5 2" xfId="43189" xr:uid="{00000000-0005-0000-0000-0000680B0000}"/>
    <cellStyle name="40% - Accent4 14 6" xfId="23589" xr:uid="{00000000-0005-0000-0000-0000690B0000}"/>
    <cellStyle name="40% - Accent4 15" xfId="718" xr:uid="{00000000-0005-0000-0000-00006A0B0000}"/>
    <cellStyle name="40% - Accent4 15 2" xfId="1026" xr:uid="{00000000-0005-0000-0000-00006B0B0000}"/>
    <cellStyle name="40% - Accent4 15 2 2" xfId="23908" xr:uid="{00000000-0005-0000-0000-00006C0B0000}"/>
    <cellStyle name="40% - Accent4 15 3" xfId="22524" xr:uid="{00000000-0005-0000-0000-00006D0B0000}"/>
    <cellStyle name="40% - Accent4 15 3 2" xfId="42435" xr:uid="{00000000-0005-0000-0000-00006E0B0000}"/>
    <cellStyle name="40% - Accent4 15 4" xfId="22991" xr:uid="{00000000-0005-0000-0000-00006F0B0000}"/>
    <cellStyle name="40% - Accent4 15 4 2" xfId="42902" xr:uid="{00000000-0005-0000-0000-0000700B0000}"/>
    <cellStyle name="40% - Accent4 15 5" xfId="23294" xr:uid="{00000000-0005-0000-0000-0000710B0000}"/>
    <cellStyle name="40% - Accent4 15 5 2" xfId="43205" xr:uid="{00000000-0005-0000-0000-0000720B0000}"/>
    <cellStyle name="40% - Accent4 15 6" xfId="23605" xr:uid="{00000000-0005-0000-0000-0000730B0000}"/>
    <cellStyle name="40% - Accent4 16" xfId="742" xr:uid="{00000000-0005-0000-0000-0000740B0000}"/>
    <cellStyle name="40% - Accent4 16 2" xfId="23624" xr:uid="{00000000-0005-0000-0000-0000750B0000}"/>
    <cellStyle name="40% - Accent4 17" xfId="22707" xr:uid="{00000000-0005-0000-0000-0000760B0000}"/>
    <cellStyle name="40% - Accent4 17 2" xfId="42618" xr:uid="{00000000-0005-0000-0000-0000770B0000}"/>
    <cellStyle name="40% - Accent4 18" xfId="23010" xr:uid="{00000000-0005-0000-0000-0000780B0000}"/>
    <cellStyle name="40% - Accent4 18 2" xfId="42921" xr:uid="{00000000-0005-0000-0000-0000790B0000}"/>
    <cellStyle name="40% - Accent4 19" xfId="23314" xr:uid="{00000000-0005-0000-0000-00007A0B0000}"/>
    <cellStyle name="40% - Accent4 2" xfId="379" xr:uid="{00000000-0005-0000-0000-00007B0B0000}"/>
    <cellStyle name="40% - Accent4 2 10" xfId="23397" xr:uid="{00000000-0005-0000-0000-00007C0B0000}"/>
    <cellStyle name="40% - Accent4 2 2" xfId="818" xr:uid="{00000000-0005-0000-0000-00007D0B0000}"/>
    <cellStyle name="40% - Accent4 2 2 2" xfId="6307" xr:uid="{00000000-0005-0000-0000-00007E0B0000}"/>
    <cellStyle name="40% - Accent4 2 2 2 2" xfId="9393" xr:uid="{00000000-0005-0000-0000-00007F0B0000}"/>
    <cellStyle name="40% - Accent4 2 2 2 2 2" xfId="15586" xr:uid="{00000000-0005-0000-0000-0000800B0000}"/>
    <cellStyle name="40% - Accent4 2 2 2 2 2 2" xfId="35506" xr:uid="{00000000-0005-0000-0000-0000810B0000}"/>
    <cellStyle name="40% - Accent4 2 2 2 2 3" xfId="21738" xr:uid="{00000000-0005-0000-0000-0000820B0000}"/>
    <cellStyle name="40% - Accent4 2 2 2 2 3 2" xfId="41658" xr:uid="{00000000-0005-0000-0000-0000830B0000}"/>
    <cellStyle name="40% - Accent4 2 2 2 2 4" xfId="29353" xr:uid="{00000000-0005-0000-0000-0000840B0000}"/>
    <cellStyle name="40% - Accent4 2 2 2 3" xfId="12520" xr:uid="{00000000-0005-0000-0000-0000850B0000}"/>
    <cellStyle name="40% - Accent4 2 2 2 3 2" xfId="32440" xr:uid="{00000000-0005-0000-0000-0000860B0000}"/>
    <cellStyle name="40% - Accent4 2 2 2 4" xfId="18672" xr:uid="{00000000-0005-0000-0000-0000870B0000}"/>
    <cellStyle name="40% - Accent4 2 2 2 4 2" xfId="38592" xr:uid="{00000000-0005-0000-0000-0000880B0000}"/>
    <cellStyle name="40% - Accent4 2 2 2 5" xfId="26287" xr:uid="{00000000-0005-0000-0000-0000890B0000}"/>
    <cellStyle name="40% - Accent4 2 2 3" xfId="7858" xr:uid="{00000000-0005-0000-0000-00008A0B0000}"/>
    <cellStyle name="40% - Accent4 2 2 3 2" xfId="14052" xr:uid="{00000000-0005-0000-0000-00008B0B0000}"/>
    <cellStyle name="40% - Accent4 2 2 3 2 2" xfId="33972" xr:uid="{00000000-0005-0000-0000-00008C0B0000}"/>
    <cellStyle name="40% - Accent4 2 2 3 3" xfId="20204" xr:uid="{00000000-0005-0000-0000-00008D0B0000}"/>
    <cellStyle name="40% - Accent4 2 2 3 3 2" xfId="40124" xr:uid="{00000000-0005-0000-0000-00008E0B0000}"/>
    <cellStyle name="40% - Accent4 2 2 3 4" xfId="27819" xr:uid="{00000000-0005-0000-0000-00008F0B0000}"/>
    <cellStyle name="40% - Accent4 2 2 4" xfId="10986" xr:uid="{00000000-0005-0000-0000-0000900B0000}"/>
    <cellStyle name="40% - Accent4 2 2 4 2" xfId="30906" xr:uid="{00000000-0005-0000-0000-0000910B0000}"/>
    <cellStyle name="40% - Accent4 2 2 5" xfId="17138" xr:uid="{00000000-0005-0000-0000-0000920B0000}"/>
    <cellStyle name="40% - Accent4 2 2 5 2" xfId="37058" xr:uid="{00000000-0005-0000-0000-0000930B0000}"/>
    <cellStyle name="40% - Accent4 2 2 6" xfId="4682" xr:uid="{00000000-0005-0000-0000-0000940B0000}"/>
    <cellStyle name="40% - Accent4 2 2 6 2" xfId="24753" xr:uid="{00000000-0005-0000-0000-0000950B0000}"/>
    <cellStyle name="40% - Accent4 2 2 7" xfId="23700" xr:uid="{00000000-0005-0000-0000-0000960B0000}"/>
    <cellStyle name="40% - Accent4 2 3" xfId="5521" xr:uid="{00000000-0005-0000-0000-0000970B0000}"/>
    <cellStyle name="40% - Accent4 2 3 2" xfId="8624" xr:uid="{00000000-0005-0000-0000-0000980B0000}"/>
    <cellStyle name="40% - Accent4 2 3 2 2" xfId="14817" xr:uid="{00000000-0005-0000-0000-0000990B0000}"/>
    <cellStyle name="40% - Accent4 2 3 2 2 2" xfId="34737" xr:uid="{00000000-0005-0000-0000-00009A0B0000}"/>
    <cellStyle name="40% - Accent4 2 3 2 3" xfId="20969" xr:uid="{00000000-0005-0000-0000-00009B0B0000}"/>
    <cellStyle name="40% - Accent4 2 3 2 3 2" xfId="40889" xr:uid="{00000000-0005-0000-0000-00009C0B0000}"/>
    <cellStyle name="40% - Accent4 2 3 2 4" xfId="28584" xr:uid="{00000000-0005-0000-0000-00009D0B0000}"/>
    <cellStyle name="40% - Accent4 2 3 3" xfId="11751" xr:uid="{00000000-0005-0000-0000-00009E0B0000}"/>
    <cellStyle name="40% - Accent4 2 3 3 2" xfId="31671" xr:uid="{00000000-0005-0000-0000-00009F0B0000}"/>
    <cellStyle name="40% - Accent4 2 3 4" xfId="17903" xr:uid="{00000000-0005-0000-0000-0000A00B0000}"/>
    <cellStyle name="40% - Accent4 2 3 4 2" xfId="37823" xr:uid="{00000000-0005-0000-0000-0000A10B0000}"/>
    <cellStyle name="40% - Accent4 2 3 5" xfId="25518" xr:uid="{00000000-0005-0000-0000-0000A20B0000}"/>
    <cellStyle name="40% - Accent4 2 4" xfId="7089" xr:uid="{00000000-0005-0000-0000-0000A30B0000}"/>
    <cellStyle name="40% - Accent4 2 4 2" xfId="13283" xr:uid="{00000000-0005-0000-0000-0000A40B0000}"/>
    <cellStyle name="40% - Accent4 2 4 2 2" xfId="33203" xr:uid="{00000000-0005-0000-0000-0000A50B0000}"/>
    <cellStyle name="40% - Accent4 2 4 3" xfId="19435" xr:uid="{00000000-0005-0000-0000-0000A60B0000}"/>
    <cellStyle name="40% - Accent4 2 4 3 2" xfId="39355" xr:uid="{00000000-0005-0000-0000-0000A70B0000}"/>
    <cellStyle name="40% - Accent4 2 4 4" xfId="27050" xr:uid="{00000000-0005-0000-0000-0000A80B0000}"/>
    <cellStyle name="40% - Accent4 2 5" xfId="10217" xr:uid="{00000000-0005-0000-0000-0000A90B0000}"/>
    <cellStyle name="40% - Accent4 2 5 2" xfId="30137" xr:uid="{00000000-0005-0000-0000-0000AA0B0000}"/>
    <cellStyle name="40% - Accent4 2 6" xfId="16369" xr:uid="{00000000-0005-0000-0000-0000AB0B0000}"/>
    <cellStyle name="40% - Accent4 2 6 2" xfId="36289" xr:uid="{00000000-0005-0000-0000-0000AC0B0000}"/>
    <cellStyle name="40% - Accent4 2 7" xfId="1250" xr:uid="{00000000-0005-0000-0000-0000AD0B0000}"/>
    <cellStyle name="40% - Accent4 2 7 2" xfId="23984" xr:uid="{00000000-0005-0000-0000-0000AE0B0000}"/>
    <cellStyle name="40% - Accent4 2 8" xfId="22783" xr:uid="{00000000-0005-0000-0000-0000AF0B0000}"/>
    <cellStyle name="40% - Accent4 2 8 2" xfId="42694" xr:uid="{00000000-0005-0000-0000-0000B00B0000}"/>
    <cellStyle name="40% - Accent4 2 9" xfId="23086" xr:uid="{00000000-0005-0000-0000-0000B10B0000}"/>
    <cellStyle name="40% - Accent4 2 9 2" xfId="42997" xr:uid="{00000000-0005-0000-0000-0000B20B0000}"/>
    <cellStyle name="40% - Accent4 3" xfId="409" xr:uid="{00000000-0005-0000-0000-0000B30B0000}"/>
    <cellStyle name="40% - Accent4 3 10" xfId="23413" xr:uid="{00000000-0005-0000-0000-0000B40B0000}"/>
    <cellStyle name="40% - Accent4 3 2" xfId="834" xr:uid="{00000000-0005-0000-0000-0000B50B0000}"/>
    <cellStyle name="40% - Accent4 3 2 2" xfId="6308" xr:uid="{00000000-0005-0000-0000-0000B60B0000}"/>
    <cellStyle name="40% - Accent4 3 2 2 2" xfId="9394" xr:uid="{00000000-0005-0000-0000-0000B70B0000}"/>
    <cellStyle name="40% - Accent4 3 2 2 2 2" xfId="15587" xr:uid="{00000000-0005-0000-0000-0000B80B0000}"/>
    <cellStyle name="40% - Accent4 3 2 2 2 2 2" xfId="35507" xr:uid="{00000000-0005-0000-0000-0000B90B0000}"/>
    <cellStyle name="40% - Accent4 3 2 2 2 3" xfId="21739" xr:uid="{00000000-0005-0000-0000-0000BA0B0000}"/>
    <cellStyle name="40% - Accent4 3 2 2 2 3 2" xfId="41659" xr:uid="{00000000-0005-0000-0000-0000BB0B0000}"/>
    <cellStyle name="40% - Accent4 3 2 2 2 4" xfId="29354" xr:uid="{00000000-0005-0000-0000-0000BC0B0000}"/>
    <cellStyle name="40% - Accent4 3 2 2 3" xfId="12521" xr:uid="{00000000-0005-0000-0000-0000BD0B0000}"/>
    <cellStyle name="40% - Accent4 3 2 2 3 2" xfId="32441" xr:uid="{00000000-0005-0000-0000-0000BE0B0000}"/>
    <cellStyle name="40% - Accent4 3 2 2 4" xfId="18673" xr:uid="{00000000-0005-0000-0000-0000BF0B0000}"/>
    <cellStyle name="40% - Accent4 3 2 2 4 2" xfId="38593" xr:uid="{00000000-0005-0000-0000-0000C00B0000}"/>
    <cellStyle name="40% - Accent4 3 2 2 5" xfId="26288" xr:uid="{00000000-0005-0000-0000-0000C10B0000}"/>
    <cellStyle name="40% - Accent4 3 2 3" xfId="7859" xr:uid="{00000000-0005-0000-0000-0000C20B0000}"/>
    <cellStyle name="40% - Accent4 3 2 3 2" xfId="14053" xr:uid="{00000000-0005-0000-0000-0000C30B0000}"/>
    <cellStyle name="40% - Accent4 3 2 3 2 2" xfId="33973" xr:uid="{00000000-0005-0000-0000-0000C40B0000}"/>
    <cellStyle name="40% - Accent4 3 2 3 3" xfId="20205" xr:uid="{00000000-0005-0000-0000-0000C50B0000}"/>
    <cellStyle name="40% - Accent4 3 2 3 3 2" xfId="40125" xr:uid="{00000000-0005-0000-0000-0000C60B0000}"/>
    <cellStyle name="40% - Accent4 3 2 3 4" xfId="27820" xr:uid="{00000000-0005-0000-0000-0000C70B0000}"/>
    <cellStyle name="40% - Accent4 3 2 4" xfId="10987" xr:uid="{00000000-0005-0000-0000-0000C80B0000}"/>
    <cellStyle name="40% - Accent4 3 2 4 2" xfId="30907" xr:uid="{00000000-0005-0000-0000-0000C90B0000}"/>
    <cellStyle name="40% - Accent4 3 2 5" xfId="17139" xr:uid="{00000000-0005-0000-0000-0000CA0B0000}"/>
    <cellStyle name="40% - Accent4 3 2 5 2" xfId="37059" xr:uid="{00000000-0005-0000-0000-0000CB0B0000}"/>
    <cellStyle name="40% - Accent4 3 2 6" xfId="4683" xr:uid="{00000000-0005-0000-0000-0000CC0B0000}"/>
    <cellStyle name="40% - Accent4 3 2 6 2" xfId="24754" xr:uid="{00000000-0005-0000-0000-0000CD0B0000}"/>
    <cellStyle name="40% - Accent4 3 2 7" xfId="23716" xr:uid="{00000000-0005-0000-0000-0000CE0B0000}"/>
    <cellStyle name="40% - Accent4 3 3" xfId="5522" xr:uid="{00000000-0005-0000-0000-0000CF0B0000}"/>
    <cellStyle name="40% - Accent4 3 3 2" xfId="8625" xr:uid="{00000000-0005-0000-0000-0000D00B0000}"/>
    <cellStyle name="40% - Accent4 3 3 2 2" xfId="14818" xr:uid="{00000000-0005-0000-0000-0000D10B0000}"/>
    <cellStyle name="40% - Accent4 3 3 2 2 2" xfId="34738" xr:uid="{00000000-0005-0000-0000-0000D20B0000}"/>
    <cellStyle name="40% - Accent4 3 3 2 3" xfId="20970" xr:uid="{00000000-0005-0000-0000-0000D30B0000}"/>
    <cellStyle name="40% - Accent4 3 3 2 3 2" xfId="40890" xr:uid="{00000000-0005-0000-0000-0000D40B0000}"/>
    <cellStyle name="40% - Accent4 3 3 2 4" xfId="28585" xr:uid="{00000000-0005-0000-0000-0000D50B0000}"/>
    <cellStyle name="40% - Accent4 3 3 3" xfId="11752" xr:uid="{00000000-0005-0000-0000-0000D60B0000}"/>
    <cellStyle name="40% - Accent4 3 3 3 2" xfId="31672" xr:uid="{00000000-0005-0000-0000-0000D70B0000}"/>
    <cellStyle name="40% - Accent4 3 3 4" xfId="17904" xr:uid="{00000000-0005-0000-0000-0000D80B0000}"/>
    <cellStyle name="40% - Accent4 3 3 4 2" xfId="37824" xr:uid="{00000000-0005-0000-0000-0000D90B0000}"/>
    <cellStyle name="40% - Accent4 3 3 5" xfId="25519" xr:uid="{00000000-0005-0000-0000-0000DA0B0000}"/>
    <cellStyle name="40% - Accent4 3 4" xfId="7090" xr:uid="{00000000-0005-0000-0000-0000DB0B0000}"/>
    <cellStyle name="40% - Accent4 3 4 2" xfId="13284" xr:uid="{00000000-0005-0000-0000-0000DC0B0000}"/>
    <cellStyle name="40% - Accent4 3 4 2 2" xfId="33204" xr:uid="{00000000-0005-0000-0000-0000DD0B0000}"/>
    <cellStyle name="40% - Accent4 3 4 3" xfId="19436" xr:uid="{00000000-0005-0000-0000-0000DE0B0000}"/>
    <cellStyle name="40% - Accent4 3 4 3 2" xfId="39356" xr:uid="{00000000-0005-0000-0000-0000DF0B0000}"/>
    <cellStyle name="40% - Accent4 3 4 4" xfId="27051" xr:uid="{00000000-0005-0000-0000-0000E00B0000}"/>
    <cellStyle name="40% - Accent4 3 5" xfId="10218" xr:uid="{00000000-0005-0000-0000-0000E10B0000}"/>
    <cellStyle name="40% - Accent4 3 5 2" xfId="30138" xr:uid="{00000000-0005-0000-0000-0000E20B0000}"/>
    <cellStyle name="40% - Accent4 3 6" xfId="16370" xr:uid="{00000000-0005-0000-0000-0000E30B0000}"/>
    <cellStyle name="40% - Accent4 3 6 2" xfId="36290" xr:uid="{00000000-0005-0000-0000-0000E40B0000}"/>
    <cellStyle name="40% - Accent4 3 7" xfId="1251" xr:uid="{00000000-0005-0000-0000-0000E50B0000}"/>
    <cellStyle name="40% - Accent4 3 7 2" xfId="23985" xr:uid="{00000000-0005-0000-0000-0000E60B0000}"/>
    <cellStyle name="40% - Accent4 3 8" xfId="22799" xr:uid="{00000000-0005-0000-0000-0000E70B0000}"/>
    <cellStyle name="40% - Accent4 3 8 2" xfId="42710" xr:uid="{00000000-0005-0000-0000-0000E80B0000}"/>
    <cellStyle name="40% - Accent4 3 9" xfId="23102" xr:uid="{00000000-0005-0000-0000-0000E90B0000}"/>
    <cellStyle name="40% - Accent4 3 9 2" xfId="43013" xr:uid="{00000000-0005-0000-0000-0000EA0B0000}"/>
    <cellStyle name="40% - Accent4 4" xfId="436" xr:uid="{00000000-0005-0000-0000-0000EB0B0000}"/>
    <cellStyle name="40% - Accent4 4 10" xfId="23429" xr:uid="{00000000-0005-0000-0000-0000EC0B0000}"/>
    <cellStyle name="40% - Accent4 4 2" xfId="850" xr:uid="{00000000-0005-0000-0000-0000ED0B0000}"/>
    <cellStyle name="40% - Accent4 4 2 2" xfId="6309" xr:uid="{00000000-0005-0000-0000-0000EE0B0000}"/>
    <cellStyle name="40% - Accent4 4 2 2 2" xfId="9395" xr:uid="{00000000-0005-0000-0000-0000EF0B0000}"/>
    <cellStyle name="40% - Accent4 4 2 2 2 2" xfId="15588" xr:uid="{00000000-0005-0000-0000-0000F00B0000}"/>
    <cellStyle name="40% - Accent4 4 2 2 2 2 2" xfId="35508" xr:uid="{00000000-0005-0000-0000-0000F10B0000}"/>
    <cellStyle name="40% - Accent4 4 2 2 2 3" xfId="21740" xr:uid="{00000000-0005-0000-0000-0000F20B0000}"/>
    <cellStyle name="40% - Accent4 4 2 2 2 3 2" xfId="41660" xr:uid="{00000000-0005-0000-0000-0000F30B0000}"/>
    <cellStyle name="40% - Accent4 4 2 2 2 4" xfId="29355" xr:uid="{00000000-0005-0000-0000-0000F40B0000}"/>
    <cellStyle name="40% - Accent4 4 2 2 3" xfId="12522" xr:uid="{00000000-0005-0000-0000-0000F50B0000}"/>
    <cellStyle name="40% - Accent4 4 2 2 3 2" xfId="32442" xr:uid="{00000000-0005-0000-0000-0000F60B0000}"/>
    <cellStyle name="40% - Accent4 4 2 2 4" xfId="18674" xr:uid="{00000000-0005-0000-0000-0000F70B0000}"/>
    <cellStyle name="40% - Accent4 4 2 2 4 2" xfId="38594" xr:uid="{00000000-0005-0000-0000-0000F80B0000}"/>
    <cellStyle name="40% - Accent4 4 2 2 5" xfId="26289" xr:uid="{00000000-0005-0000-0000-0000F90B0000}"/>
    <cellStyle name="40% - Accent4 4 2 3" xfId="7860" xr:uid="{00000000-0005-0000-0000-0000FA0B0000}"/>
    <cellStyle name="40% - Accent4 4 2 3 2" xfId="14054" xr:uid="{00000000-0005-0000-0000-0000FB0B0000}"/>
    <cellStyle name="40% - Accent4 4 2 3 2 2" xfId="33974" xr:uid="{00000000-0005-0000-0000-0000FC0B0000}"/>
    <cellStyle name="40% - Accent4 4 2 3 3" xfId="20206" xr:uid="{00000000-0005-0000-0000-0000FD0B0000}"/>
    <cellStyle name="40% - Accent4 4 2 3 3 2" xfId="40126" xr:uid="{00000000-0005-0000-0000-0000FE0B0000}"/>
    <cellStyle name="40% - Accent4 4 2 3 4" xfId="27821" xr:uid="{00000000-0005-0000-0000-0000FF0B0000}"/>
    <cellStyle name="40% - Accent4 4 2 4" xfId="10988" xr:uid="{00000000-0005-0000-0000-0000000C0000}"/>
    <cellStyle name="40% - Accent4 4 2 4 2" xfId="30908" xr:uid="{00000000-0005-0000-0000-0000010C0000}"/>
    <cellStyle name="40% - Accent4 4 2 5" xfId="17140" xr:uid="{00000000-0005-0000-0000-0000020C0000}"/>
    <cellStyle name="40% - Accent4 4 2 5 2" xfId="37060" xr:uid="{00000000-0005-0000-0000-0000030C0000}"/>
    <cellStyle name="40% - Accent4 4 2 6" xfId="4684" xr:uid="{00000000-0005-0000-0000-0000040C0000}"/>
    <cellStyle name="40% - Accent4 4 2 6 2" xfId="24755" xr:uid="{00000000-0005-0000-0000-0000050C0000}"/>
    <cellStyle name="40% - Accent4 4 2 7" xfId="23732" xr:uid="{00000000-0005-0000-0000-0000060C0000}"/>
    <cellStyle name="40% - Accent4 4 3" xfId="5523" xr:uid="{00000000-0005-0000-0000-0000070C0000}"/>
    <cellStyle name="40% - Accent4 4 3 2" xfId="8626" xr:uid="{00000000-0005-0000-0000-0000080C0000}"/>
    <cellStyle name="40% - Accent4 4 3 2 2" xfId="14819" xr:uid="{00000000-0005-0000-0000-0000090C0000}"/>
    <cellStyle name="40% - Accent4 4 3 2 2 2" xfId="34739" xr:uid="{00000000-0005-0000-0000-00000A0C0000}"/>
    <cellStyle name="40% - Accent4 4 3 2 3" xfId="20971" xr:uid="{00000000-0005-0000-0000-00000B0C0000}"/>
    <cellStyle name="40% - Accent4 4 3 2 3 2" xfId="40891" xr:uid="{00000000-0005-0000-0000-00000C0C0000}"/>
    <cellStyle name="40% - Accent4 4 3 2 4" xfId="28586" xr:uid="{00000000-0005-0000-0000-00000D0C0000}"/>
    <cellStyle name="40% - Accent4 4 3 3" xfId="11753" xr:uid="{00000000-0005-0000-0000-00000E0C0000}"/>
    <cellStyle name="40% - Accent4 4 3 3 2" xfId="31673" xr:uid="{00000000-0005-0000-0000-00000F0C0000}"/>
    <cellStyle name="40% - Accent4 4 3 4" xfId="17905" xr:uid="{00000000-0005-0000-0000-0000100C0000}"/>
    <cellStyle name="40% - Accent4 4 3 4 2" xfId="37825" xr:uid="{00000000-0005-0000-0000-0000110C0000}"/>
    <cellStyle name="40% - Accent4 4 3 5" xfId="25520" xr:uid="{00000000-0005-0000-0000-0000120C0000}"/>
    <cellStyle name="40% - Accent4 4 4" xfId="7091" xr:uid="{00000000-0005-0000-0000-0000130C0000}"/>
    <cellStyle name="40% - Accent4 4 4 2" xfId="13285" xr:uid="{00000000-0005-0000-0000-0000140C0000}"/>
    <cellStyle name="40% - Accent4 4 4 2 2" xfId="33205" xr:uid="{00000000-0005-0000-0000-0000150C0000}"/>
    <cellStyle name="40% - Accent4 4 4 3" xfId="19437" xr:uid="{00000000-0005-0000-0000-0000160C0000}"/>
    <cellStyle name="40% - Accent4 4 4 3 2" xfId="39357" xr:uid="{00000000-0005-0000-0000-0000170C0000}"/>
    <cellStyle name="40% - Accent4 4 4 4" xfId="27052" xr:uid="{00000000-0005-0000-0000-0000180C0000}"/>
    <cellStyle name="40% - Accent4 4 5" xfId="10219" xr:uid="{00000000-0005-0000-0000-0000190C0000}"/>
    <cellStyle name="40% - Accent4 4 5 2" xfId="30139" xr:uid="{00000000-0005-0000-0000-00001A0C0000}"/>
    <cellStyle name="40% - Accent4 4 6" xfId="16371" xr:uid="{00000000-0005-0000-0000-00001B0C0000}"/>
    <cellStyle name="40% - Accent4 4 6 2" xfId="36291" xr:uid="{00000000-0005-0000-0000-00001C0C0000}"/>
    <cellStyle name="40% - Accent4 4 7" xfId="1252" xr:uid="{00000000-0005-0000-0000-00001D0C0000}"/>
    <cellStyle name="40% - Accent4 4 7 2" xfId="23986" xr:uid="{00000000-0005-0000-0000-00001E0C0000}"/>
    <cellStyle name="40% - Accent4 4 8" xfId="22815" xr:uid="{00000000-0005-0000-0000-00001F0C0000}"/>
    <cellStyle name="40% - Accent4 4 8 2" xfId="42726" xr:uid="{00000000-0005-0000-0000-0000200C0000}"/>
    <cellStyle name="40% - Accent4 4 9" xfId="23118" xr:uid="{00000000-0005-0000-0000-0000210C0000}"/>
    <cellStyle name="40% - Accent4 4 9 2" xfId="43029" xr:uid="{00000000-0005-0000-0000-0000220C0000}"/>
    <cellStyle name="40% - Accent4 5" xfId="464" xr:uid="{00000000-0005-0000-0000-0000230C0000}"/>
    <cellStyle name="40% - Accent4 5 10" xfId="23134" xr:uid="{00000000-0005-0000-0000-0000240C0000}"/>
    <cellStyle name="40% - Accent4 5 10 2" xfId="43045" xr:uid="{00000000-0005-0000-0000-0000250C0000}"/>
    <cellStyle name="40% - Accent4 5 11" xfId="23445" xr:uid="{00000000-0005-0000-0000-0000260C0000}"/>
    <cellStyle name="40% - Accent4 5 2" xfId="866" xr:uid="{00000000-0005-0000-0000-0000270C0000}"/>
    <cellStyle name="40% - Accent4 5 2 2" xfId="6310" xr:uid="{00000000-0005-0000-0000-0000280C0000}"/>
    <cellStyle name="40% - Accent4 5 2 2 2" xfId="9396" xr:uid="{00000000-0005-0000-0000-0000290C0000}"/>
    <cellStyle name="40% - Accent4 5 2 2 2 2" xfId="15589" xr:uid="{00000000-0005-0000-0000-00002A0C0000}"/>
    <cellStyle name="40% - Accent4 5 2 2 2 2 2" xfId="35509" xr:uid="{00000000-0005-0000-0000-00002B0C0000}"/>
    <cellStyle name="40% - Accent4 5 2 2 2 3" xfId="21741" xr:uid="{00000000-0005-0000-0000-00002C0C0000}"/>
    <cellStyle name="40% - Accent4 5 2 2 2 3 2" xfId="41661" xr:uid="{00000000-0005-0000-0000-00002D0C0000}"/>
    <cellStyle name="40% - Accent4 5 2 2 2 4" xfId="29356" xr:uid="{00000000-0005-0000-0000-00002E0C0000}"/>
    <cellStyle name="40% - Accent4 5 2 2 3" xfId="12523" xr:uid="{00000000-0005-0000-0000-00002F0C0000}"/>
    <cellStyle name="40% - Accent4 5 2 2 3 2" xfId="32443" xr:uid="{00000000-0005-0000-0000-0000300C0000}"/>
    <cellStyle name="40% - Accent4 5 2 2 4" xfId="18675" xr:uid="{00000000-0005-0000-0000-0000310C0000}"/>
    <cellStyle name="40% - Accent4 5 2 2 4 2" xfId="38595" xr:uid="{00000000-0005-0000-0000-0000320C0000}"/>
    <cellStyle name="40% - Accent4 5 2 2 5" xfId="26290" xr:uid="{00000000-0005-0000-0000-0000330C0000}"/>
    <cellStyle name="40% - Accent4 5 2 3" xfId="7861" xr:uid="{00000000-0005-0000-0000-0000340C0000}"/>
    <cellStyle name="40% - Accent4 5 2 3 2" xfId="14055" xr:uid="{00000000-0005-0000-0000-0000350C0000}"/>
    <cellStyle name="40% - Accent4 5 2 3 2 2" xfId="33975" xr:uid="{00000000-0005-0000-0000-0000360C0000}"/>
    <cellStyle name="40% - Accent4 5 2 3 3" xfId="20207" xr:uid="{00000000-0005-0000-0000-0000370C0000}"/>
    <cellStyle name="40% - Accent4 5 2 3 3 2" xfId="40127" xr:uid="{00000000-0005-0000-0000-0000380C0000}"/>
    <cellStyle name="40% - Accent4 5 2 3 4" xfId="27822" xr:uid="{00000000-0005-0000-0000-0000390C0000}"/>
    <cellStyle name="40% - Accent4 5 2 4" xfId="10989" xr:uid="{00000000-0005-0000-0000-00003A0C0000}"/>
    <cellStyle name="40% - Accent4 5 2 4 2" xfId="30909" xr:uid="{00000000-0005-0000-0000-00003B0C0000}"/>
    <cellStyle name="40% - Accent4 5 2 5" xfId="17141" xr:uid="{00000000-0005-0000-0000-00003C0C0000}"/>
    <cellStyle name="40% - Accent4 5 2 5 2" xfId="37061" xr:uid="{00000000-0005-0000-0000-00003D0C0000}"/>
    <cellStyle name="40% - Accent4 5 2 6" xfId="4685" xr:uid="{00000000-0005-0000-0000-00003E0C0000}"/>
    <cellStyle name="40% - Accent4 5 2 6 2" xfId="24756" xr:uid="{00000000-0005-0000-0000-00003F0C0000}"/>
    <cellStyle name="40% - Accent4 5 2 7" xfId="23748" xr:uid="{00000000-0005-0000-0000-0000400C0000}"/>
    <cellStyle name="40% - Accent4 5 3" xfId="5524" xr:uid="{00000000-0005-0000-0000-0000410C0000}"/>
    <cellStyle name="40% - Accent4 5 3 2" xfId="8627" xr:uid="{00000000-0005-0000-0000-0000420C0000}"/>
    <cellStyle name="40% - Accent4 5 3 2 2" xfId="14820" xr:uid="{00000000-0005-0000-0000-0000430C0000}"/>
    <cellStyle name="40% - Accent4 5 3 2 2 2" xfId="34740" xr:uid="{00000000-0005-0000-0000-0000440C0000}"/>
    <cellStyle name="40% - Accent4 5 3 2 3" xfId="20972" xr:uid="{00000000-0005-0000-0000-0000450C0000}"/>
    <cellStyle name="40% - Accent4 5 3 2 3 2" xfId="40892" xr:uid="{00000000-0005-0000-0000-0000460C0000}"/>
    <cellStyle name="40% - Accent4 5 3 2 4" xfId="28587" xr:uid="{00000000-0005-0000-0000-0000470C0000}"/>
    <cellStyle name="40% - Accent4 5 3 3" xfId="11754" xr:uid="{00000000-0005-0000-0000-0000480C0000}"/>
    <cellStyle name="40% - Accent4 5 3 3 2" xfId="31674" xr:uid="{00000000-0005-0000-0000-0000490C0000}"/>
    <cellStyle name="40% - Accent4 5 3 4" xfId="17906" xr:uid="{00000000-0005-0000-0000-00004A0C0000}"/>
    <cellStyle name="40% - Accent4 5 3 4 2" xfId="37826" xr:uid="{00000000-0005-0000-0000-00004B0C0000}"/>
    <cellStyle name="40% - Accent4 5 3 5" xfId="25521" xr:uid="{00000000-0005-0000-0000-00004C0C0000}"/>
    <cellStyle name="40% - Accent4 5 4" xfId="7092" xr:uid="{00000000-0005-0000-0000-00004D0C0000}"/>
    <cellStyle name="40% - Accent4 5 4 2" xfId="13286" xr:uid="{00000000-0005-0000-0000-00004E0C0000}"/>
    <cellStyle name="40% - Accent4 5 4 2 2" xfId="33206" xr:uid="{00000000-0005-0000-0000-00004F0C0000}"/>
    <cellStyle name="40% - Accent4 5 4 3" xfId="19438" xr:uid="{00000000-0005-0000-0000-0000500C0000}"/>
    <cellStyle name="40% - Accent4 5 4 3 2" xfId="39358" xr:uid="{00000000-0005-0000-0000-0000510C0000}"/>
    <cellStyle name="40% - Accent4 5 4 4" xfId="27053" xr:uid="{00000000-0005-0000-0000-0000520C0000}"/>
    <cellStyle name="40% - Accent4 5 5" xfId="10220" xr:uid="{00000000-0005-0000-0000-0000530C0000}"/>
    <cellStyle name="40% - Accent4 5 5 2" xfId="30140" xr:uid="{00000000-0005-0000-0000-0000540C0000}"/>
    <cellStyle name="40% - Accent4 5 6" xfId="16372" xr:uid="{00000000-0005-0000-0000-0000550C0000}"/>
    <cellStyle name="40% - Accent4 5 6 2" xfId="36292" xr:uid="{00000000-0005-0000-0000-0000560C0000}"/>
    <cellStyle name="40% - Accent4 5 7" xfId="1253" xr:uid="{00000000-0005-0000-0000-0000570C0000}"/>
    <cellStyle name="40% - Accent4 5 7 2" xfId="23987" xr:uid="{00000000-0005-0000-0000-0000580C0000}"/>
    <cellStyle name="40% - Accent4 5 8" xfId="22637" xr:uid="{00000000-0005-0000-0000-0000590C0000}"/>
    <cellStyle name="40% - Accent4 5 8 2" xfId="42548" xr:uid="{00000000-0005-0000-0000-00005A0C0000}"/>
    <cellStyle name="40% - Accent4 5 9" xfId="22831" xr:uid="{00000000-0005-0000-0000-00005B0C0000}"/>
    <cellStyle name="40% - Accent4 5 9 2" xfId="42742" xr:uid="{00000000-0005-0000-0000-00005C0C0000}"/>
    <cellStyle name="40% - Accent4 6" xfId="489" xr:uid="{00000000-0005-0000-0000-00005D0C0000}"/>
    <cellStyle name="40% - Accent4 6 2" xfId="882" xr:uid="{00000000-0005-0000-0000-00005E0C0000}"/>
    <cellStyle name="40% - Accent4 6 2 2" xfId="23764" xr:uid="{00000000-0005-0000-0000-00005F0C0000}"/>
    <cellStyle name="40% - Accent4 6 3" xfId="1254" xr:uid="{00000000-0005-0000-0000-0000600C0000}"/>
    <cellStyle name="40% - Accent4 6 4" xfId="22574" xr:uid="{00000000-0005-0000-0000-0000610C0000}"/>
    <cellStyle name="40% - Accent4 6 4 2" xfId="42485" xr:uid="{00000000-0005-0000-0000-0000620C0000}"/>
    <cellStyle name="40% - Accent4 6 5" xfId="22847" xr:uid="{00000000-0005-0000-0000-0000630C0000}"/>
    <cellStyle name="40% - Accent4 6 5 2" xfId="42758" xr:uid="{00000000-0005-0000-0000-0000640C0000}"/>
    <cellStyle name="40% - Accent4 6 6" xfId="23150" xr:uid="{00000000-0005-0000-0000-0000650C0000}"/>
    <cellStyle name="40% - Accent4 6 6 2" xfId="43061" xr:uid="{00000000-0005-0000-0000-0000660C0000}"/>
    <cellStyle name="40% - Accent4 6 7" xfId="23461" xr:uid="{00000000-0005-0000-0000-0000670C0000}"/>
    <cellStyle name="40% - Accent4 7" xfId="514" xr:uid="{00000000-0005-0000-0000-0000680C0000}"/>
    <cellStyle name="40% - Accent4 7 2" xfId="898" xr:uid="{00000000-0005-0000-0000-0000690C0000}"/>
    <cellStyle name="40% - Accent4 7 2 2" xfId="23780" xr:uid="{00000000-0005-0000-0000-00006A0C0000}"/>
    <cellStyle name="40% - Accent4 7 3" xfId="22557" xr:uid="{00000000-0005-0000-0000-00006B0C0000}"/>
    <cellStyle name="40% - Accent4 7 3 2" xfId="42468" xr:uid="{00000000-0005-0000-0000-00006C0C0000}"/>
    <cellStyle name="40% - Accent4 7 4" xfId="22863" xr:uid="{00000000-0005-0000-0000-00006D0C0000}"/>
    <cellStyle name="40% - Accent4 7 4 2" xfId="42774" xr:uid="{00000000-0005-0000-0000-00006E0C0000}"/>
    <cellStyle name="40% - Accent4 7 5" xfId="23166" xr:uid="{00000000-0005-0000-0000-00006F0C0000}"/>
    <cellStyle name="40% - Accent4 7 5 2" xfId="43077" xr:uid="{00000000-0005-0000-0000-0000700C0000}"/>
    <cellStyle name="40% - Accent4 7 6" xfId="23477" xr:uid="{00000000-0005-0000-0000-0000710C0000}"/>
    <cellStyle name="40% - Accent4 8" xfId="539" xr:uid="{00000000-0005-0000-0000-0000720C0000}"/>
    <cellStyle name="40% - Accent4 8 2" xfId="914" xr:uid="{00000000-0005-0000-0000-0000730C0000}"/>
    <cellStyle name="40% - Accent4 8 2 2" xfId="23796" xr:uid="{00000000-0005-0000-0000-0000740C0000}"/>
    <cellStyle name="40% - Accent4 8 3" xfId="22495" xr:uid="{00000000-0005-0000-0000-0000750C0000}"/>
    <cellStyle name="40% - Accent4 8 3 2" xfId="42406" xr:uid="{00000000-0005-0000-0000-0000760C0000}"/>
    <cellStyle name="40% - Accent4 8 4" xfId="22879" xr:uid="{00000000-0005-0000-0000-0000770C0000}"/>
    <cellStyle name="40% - Accent4 8 4 2" xfId="42790" xr:uid="{00000000-0005-0000-0000-0000780C0000}"/>
    <cellStyle name="40% - Accent4 8 5" xfId="23182" xr:uid="{00000000-0005-0000-0000-0000790C0000}"/>
    <cellStyle name="40% - Accent4 8 5 2" xfId="43093" xr:uid="{00000000-0005-0000-0000-00007A0C0000}"/>
    <cellStyle name="40% - Accent4 8 6" xfId="23493" xr:uid="{00000000-0005-0000-0000-00007B0C0000}"/>
    <cellStyle name="40% - Accent4 9" xfId="578" xr:uid="{00000000-0005-0000-0000-00007C0C0000}"/>
    <cellStyle name="40% - Accent4 9 2" xfId="930" xr:uid="{00000000-0005-0000-0000-00007D0C0000}"/>
    <cellStyle name="40% - Accent4 9 2 2" xfId="23812" xr:uid="{00000000-0005-0000-0000-00007E0C0000}"/>
    <cellStyle name="40% - Accent4 9 3" xfId="22533" xr:uid="{00000000-0005-0000-0000-00007F0C0000}"/>
    <cellStyle name="40% - Accent4 9 3 2" xfId="42444" xr:uid="{00000000-0005-0000-0000-0000800C0000}"/>
    <cellStyle name="40% - Accent4 9 4" xfId="22895" xr:uid="{00000000-0005-0000-0000-0000810C0000}"/>
    <cellStyle name="40% - Accent4 9 4 2" xfId="42806" xr:uid="{00000000-0005-0000-0000-0000820C0000}"/>
    <cellStyle name="40% - Accent4 9 5" xfId="23198" xr:uid="{00000000-0005-0000-0000-0000830C0000}"/>
    <cellStyle name="40% - Accent4 9 5 2" xfId="43109" xr:uid="{00000000-0005-0000-0000-0000840C0000}"/>
    <cellStyle name="40% - Accent4 9 6" xfId="23509" xr:uid="{00000000-0005-0000-0000-0000850C0000}"/>
    <cellStyle name="40% - Accent5" xfId="79" builtinId="47" customBuiltin="1"/>
    <cellStyle name="40% - Accent5 10" xfId="610" xr:uid="{00000000-0005-0000-0000-0000870C0000}"/>
    <cellStyle name="40% - Accent5 10 2" xfId="948" xr:uid="{00000000-0005-0000-0000-0000880C0000}"/>
    <cellStyle name="40% - Accent5 10 2 2" xfId="23830" xr:uid="{00000000-0005-0000-0000-0000890C0000}"/>
    <cellStyle name="40% - Accent5 10 3" xfId="22678" xr:uid="{00000000-0005-0000-0000-00008A0C0000}"/>
    <cellStyle name="40% - Accent5 10 3 2" xfId="42589" xr:uid="{00000000-0005-0000-0000-00008B0C0000}"/>
    <cellStyle name="40% - Accent5 10 4" xfId="22913" xr:uid="{00000000-0005-0000-0000-00008C0C0000}"/>
    <cellStyle name="40% - Accent5 10 4 2" xfId="42824" xr:uid="{00000000-0005-0000-0000-00008D0C0000}"/>
    <cellStyle name="40% - Accent5 10 5" xfId="23216" xr:uid="{00000000-0005-0000-0000-00008E0C0000}"/>
    <cellStyle name="40% - Accent5 10 5 2" xfId="43127" xr:uid="{00000000-0005-0000-0000-00008F0C0000}"/>
    <cellStyle name="40% - Accent5 10 6" xfId="23527" xr:uid="{00000000-0005-0000-0000-0000900C0000}"/>
    <cellStyle name="40% - Accent5 11" xfId="636" xr:uid="{00000000-0005-0000-0000-0000910C0000}"/>
    <cellStyle name="40% - Accent5 11 2" xfId="964" xr:uid="{00000000-0005-0000-0000-0000920C0000}"/>
    <cellStyle name="40% - Accent5 11 2 2" xfId="23846" xr:uid="{00000000-0005-0000-0000-0000930C0000}"/>
    <cellStyle name="40% - Accent5 11 3" xfId="22674" xr:uid="{00000000-0005-0000-0000-0000940C0000}"/>
    <cellStyle name="40% - Accent5 11 3 2" xfId="42585" xr:uid="{00000000-0005-0000-0000-0000950C0000}"/>
    <cellStyle name="40% - Accent5 11 4" xfId="22929" xr:uid="{00000000-0005-0000-0000-0000960C0000}"/>
    <cellStyle name="40% - Accent5 11 4 2" xfId="42840" xr:uid="{00000000-0005-0000-0000-0000970C0000}"/>
    <cellStyle name="40% - Accent5 11 5" xfId="23232" xr:uid="{00000000-0005-0000-0000-0000980C0000}"/>
    <cellStyle name="40% - Accent5 11 5 2" xfId="43143" xr:uid="{00000000-0005-0000-0000-0000990C0000}"/>
    <cellStyle name="40% - Accent5 11 6" xfId="23543" xr:uid="{00000000-0005-0000-0000-00009A0C0000}"/>
    <cellStyle name="40% - Accent5 12" xfId="662" xr:uid="{00000000-0005-0000-0000-00009B0C0000}"/>
    <cellStyle name="40% - Accent5 12 2" xfId="980" xr:uid="{00000000-0005-0000-0000-00009C0C0000}"/>
    <cellStyle name="40% - Accent5 12 2 2" xfId="23862" xr:uid="{00000000-0005-0000-0000-00009D0C0000}"/>
    <cellStyle name="40% - Accent5 12 3" xfId="22661" xr:uid="{00000000-0005-0000-0000-00009E0C0000}"/>
    <cellStyle name="40% - Accent5 12 3 2" xfId="42572" xr:uid="{00000000-0005-0000-0000-00009F0C0000}"/>
    <cellStyle name="40% - Accent5 12 4" xfId="22945" xr:uid="{00000000-0005-0000-0000-0000A00C0000}"/>
    <cellStyle name="40% - Accent5 12 4 2" xfId="42856" xr:uid="{00000000-0005-0000-0000-0000A10C0000}"/>
    <cellStyle name="40% - Accent5 12 5" xfId="23248" xr:uid="{00000000-0005-0000-0000-0000A20C0000}"/>
    <cellStyle name="40% - Accent5 12 5 2" xfId="43159" xr:uid="{00000000-0005-0000-0000-0000A30C0000}"/>
    <cellStyle name="40% - Accent5 12 6" xfId="23559" xr:uid="{00000000-0005-0000-0000-0000A40C0000}"/>
    <cellStyle name="40% - Accent5 13" xfId="686" xr:uid="{00000000-0005-0000-0000-0000A50C0000}"/>
    <cellStyle name="40% - Accent5 13 2" xfId="996" xr:uid="{00000000-0005-0000-0000-0000A60C0000}"/>
    <cellStyle name="40% - Accent5 13 2 2" xfId="23878" xr:uid="{00000000-0005-0000-0000-0000A70C0000}"/>
    <cellStyle name="40% - Accent5 13 3" xfId="22624" xr:uid="{00000000-0005-0000-0000-0000A80C0000}"/>
    <cellStyle name="40% - Accent5 13 3 2" xfId="42535" xr:uid="{00000000-0005-0000-0000-0000A90C0000}"/>
    <cellStyle name="40% - Accent5 13 4" xfId="22961" xr:uid="{00000000-0005-0000-0000-0000AA0C0000}"/>
    <cellStyle name="40% - Accent5 13 4 2" xfId="42872" xr:uid="{00000000-0005-0000-0000-0000AB0C0000}"/>
    <cellStyle name="40% - Accent5 13 5" xfId="23264" xr:uid="{00000000-0005-0000-0000-0000AC0C0000}"/>
    <cellStyle name="40% - Accent5 13 5 2" xfId="43175" xr:uid="{00000000-0005-0000-0000-0000AD0C0000}"/>
    <cellStyle name="40% - Accent5 13 6" xfId="23575" xr:uid="{00000000-0005-0000-0000-0000AE0C0000}"/>
    <cellStyle name="40% - Accent5 14" xfId="704" xr:uid="{00000000-0005-0000-0000-0000AF0C0000}"/>
    <cellStyle name="40% - Accent5 14 2" xfId="1012" xr:uid="{00000000-0005-0000-0000-0000B00C0000}"/>
    <cellStyle name="40% - Accent5 14 2 2" xfId="23894" xr:uid="{00000000-0005-0000-0000-0000B10C0000}"/>
    <cellStyle name="40% - Accent5 14 3" xfId="22490" xr:uid="{00000000-0005-0000-0000-0000B20C0000}"/>
    <cellStyle name="40% - Accent5 14 3 2" xfId="42401" xr:uid="{00000000-0005-0000-0000-0000B30C0000}"/>
    <cellStyle name="40% - Accent5 14 4" xfId="22977" xr:uid="{00000000-0005-0000-0000-0000B40C0000}"/>
    <cellStyle name="40% - Accent5 14 4 2" xfId="42888" xr:uid="{00000000-0005-0000-0000-0000B50C0000}"/>
    <cellStyle name="40% - Accent5 14 5" xfId="23280" xr:uid="{00000000-0005-0000-0000-0000B60C0000}"/>
    <cellStyle name="40% - Accent5 14 5 2" xfId="43191" xr:uid="{00000000-0005-0000-0000-0000B70C0000}"/>
    <cellStyle name="40% - Accent5 14 6" xfId="23591" xr:uid="{00000000-0005-0000-0000-0000B80C0000}"/>
    <cellStyle name="40% - Accent5 15" xfId="720" xr:uid="{00000000-0005-0000-0000-0000B90C0000}"/>
    <cellStyle name="40% - Accent5 15 2" xfId="1028" xr:uid="{00000000-0005-0000-0000-0000BA0C0000}"/>
    <cellStyle name="40% - Accent5 15 2 2" xfId="23910" xr:uid="{00000000-0005-0000-0000-0000BB0C0000}"/>
    <cellStyle name="40% - Accent5 15 3" xfId="22481" xr:uid="{00000000-0005-0000-0000-0000BC0C0000}"/>
    <cellStyle name="40% - Accent5 15 3 2" xfId="42392" xr:uid="{00000000-0005-0000-0000-0000BD0C0000}"/>
    <cellStyle name="40% - Accent5 15 4" xfId="22993" xr:uid="{00000000-0005-0000-0000-0000BE0C0000}"/>
    <cellStyle name="40% - Accent5 15 4 2" xfId="42904" xr:uid="{00000000-0005-0000-0000-0000BF0C0000}"/>
    <cellStyle name="40% - Accent5 15 5" xfId="23296" xr:uid="{00000000-0005-0000-0000-0000C00C0000}"/>
    <cellStyle name="40% - Accent5 15 5 2" xfId="43207" xr:uid="{00000000-0005-0000-0000-0000C10C0000}"/>
    <cellStyle name="40% - Accent5 15 6" xfId="23607" xr:uid="{00000000-0005-0000-0000-0000C20C0000}"/>
    <cellStyle name="40% - Accent5 16" xfId="744" xr:uid="{00000000-0005-0000-0000-0000C30C0000}"/>
    <cellStyle name="40% - Accent5 16 2" xfId="23626" xr:uid="{00000000-0005-0000-0000-0000C40C0000}"/>
    <cellStyle name="40% - Accent5 17" xfId="22709" xr:uid="{00000000-0005-0000-0000-0000C50C0000}"/>
    <cellStyle name="40% - Accent5 17 2" xfId="42620" xr:uid="{00000000-0005-0000-0000-0000C60C0000}"/>
    <cellStyle name="40% - Accent5 18" xfId="23012" xr:uid="{00000000-0005-0000-0000-0000C70C0000}"/>
    <cellStyle name="40% - Accent5 18 2" xfId="42923" xr:uid="{00000000-0005-0000-0000-0000C80C0000}"/>
    <cellStyle name="40% - Accent5 19" xfId="23316" xr:uid="{00000000-0005-0000-0000-0000C90C0000}"/>
    <cellStyle name="40% - Accent5 2" xfId="383" xr:uid="{00000000-0005-0000-0000-0000CA0C0000}"/>
    <cellStyle name="40% - Accent5 2 10" xfId="23399" xr:uid="{00000000-0005-0000-0000-0000CB0C0000}"/>
    <cellStyle name="40% - Accent5 2 2" xfId="820" xr:uid="{00000000-0005-0000-0000-0000CC0C0000}"/>
    <cellStyle name="40% - Accent5 2 2 2" xfId="6311" xr:uid="{00000000-0005-0000-0000-0000CD0C0000}"/>
    <cellStyle name="40% - Accent5 2 2 2 2" xfId="9397" xr:uid="{00000000-0005-0000-0000-0000CE0C0000}"/>
    <cellStyle name="40% - Accent5 2 2 2 2 2" xfId="15590" xr:uid="{00000000-0005-0000-0000-0000CF0C0000}"/>
    <cellStyle name="40% - Accent5 2 2 2 2 2 2" xfId="35510" xr:uid="{00000000-0005-0000-0000-0000D00C0000}"/>
    <cellStyle name="40% - Accent5 2 2 2 2 3" xfId="21742" xr:uid="{00000000-0005-0000-0000-0000D10C0000}"/>
    <cellStyle name="40% - Accent5 2 2 2 2 3 2" xfId="41662" xr:uid="{00000000-0005-0000-0000-0000D20C0000}"/>
    <cellStyle name="40% - Accent5 2 2 2 2 4" xfId="29357" xr:uid="{00000000-0005-0000-0000-0000D30C0000}"/>
    <cellStyle name="40% - Accent5 2 2 2 3" xfId="12524" xr:uid="{00000000-0005-0000-0000-0000D40C0000}"/>
    <cellStyle name="40% - Accent5 2 2 2 3 2" xfId="32444" xr:uid="{00000000-0005-0000-0000-0000D50C0000}"/>
    <cellStyle name="40% - Accent5 2 2 2 4" xfId="18676" xr:uid="{00000000-0005-0000-0000-0000D60C0000}"/>
    <cellStyle name="40% - Accent5 2 2 2 4 2" xfId="38596" xr:uid="{00000000-0005-0000-0000-0000D70C0000}"/>
    <cellStyle name="40% - Accent5 2 2 2 5" xfId="26291" xr:uid="{00000000-0005-0000-0000-0000D80C0000}"/>
    <cellStyle name="40% - Accent5 2 2 3" xfId="7862" xr:uid="{00000000-0005-0000-0000-0000D90C0000}"/>
    <cellStyle name="40% - Accent5 2 2 3 2" xfId="14056" xr:uid="{00000000-0005-0000-0000-0000DA0C0000}"/>
    <cellStyle name="40% - Accent5 2 2 3 2 2" xfId="33976" xr:uid="{00000000-0005-0000-0000-0000DB0C0000}"/>
    <cellStyle name="40% - Accent5 2 2 3 3" xfId="20208" xr:uid="{00000000-0005-0000-0000-0000DC0C0000}"/>
    <cellStyle name="40% - Accent5 2 2 3 3 2" xfId="40128" xr:uid="{00000000-0005-0000-0000-0000DD0C0000}"/>
    <cellStyle name="40% - Accent5 2 2 3 4" xfId="27823" xr:uid="{00000000-0005-0000-0000-0000DE0C0000}"/>
    <cellStyle name="40% - Accent5 2 2 4" xfId="10990" xr:uid="{00000000-0005-0000-0000-0000DF0C0000}"/>
    <cellStyle name="40% - Accent5 2 2 4 2" xfId="30910" xr:uid="{00000000-0005-0000-0000-0000E00C0000}"/>
    <cellStyle name="40% - Accent5 2 2 5" xfId="17142" xr:uid="{00000000-0005-0000-0000-0000E10C0000}"/>
    <cellStyle name="40% - Accent5 2 2 5 2" xfId="37062" xr:uid="{00000000-0005-0000-0000-0000E20C0000}"/>
    <cellStyle name="40% - Accent5 2 2 6" xfId="4686" xr:uid="{00000000-0005-0000-0000-0000E30C0000}"/>
    <cellStyle name="40% - Accent5 2 2 6 2" xfId="24757" xr:uid="{00000000-0005-0000-0000-0000E40C0000}"/>
    <cellStyle name="40% - Accent5 2 2 7" xfId="23702" xr:uid="{00000000-0005-0000-0000-0000E50C0000}"/>
    <cellStyle name="40% - Accent5 2 3" xfId="5525" xr:uid="{00000000-0005-0000-0000-0000E60C0000}"/>
    <cellStyle name="40% - Accent5 2 3 2" xfId="8628" xr:uid="{00000000-0005-0000-0000-0000E70C0000}"/>
    <cellStyle name="40% - Accent5 2 3 2 2" xfId="14821" xr:uid="{00000000-0005-0000-0000-0000E80C0000}"/>
    <cellStyle name="40% - Accent5 2 3 2 2 2" xfId="34741" xr:uid="{00000000-0005-0000-0000-0000E90C0000}"/>
    <cellStyle name="40% - Accent5 2 3 2 3" xfId="20973" xr:uid="{00000000-0005-0000-0000-0000EA0C0000}"/>
    <cellStyle name="40% - Accent5 2 3 2 3 2" xfId="40893" xr:uid="{00000000-0005-0000-0000-0000EB0C0000}"/>
    <cellStyle name="40% - Accent5 2 3 2 4" xfId="28588" xr:uid="{00000000-0005-0000-0000-0000EC0C0000}"/>
    <cellStyle name="40% - Accent5 2 3 3" xfId="11755" xr:uid="{00000000-0005-0000-0000-0000ED0C0000}"/>
    <cellStyle name="40% - Accent5 2 3 3 2" xfId="31675" xr:uid="{00000000-0005-0000-0000-0000EE0C0000}"/>
    <cellStyle name="40% - Accent5 2 3 4" xfId="17907" xr:uid="{00000000-0005-0000-0000-0000EF0C0000}"/>
    <cellStyle name="40% - Accent5 2 3 4 2" xfId="37827" xr:uid="{00000000-0005-0000-0000-0000F00C0000}"/>
    <cellStyle name="40% - Accent5 2 3 5" xfId="25522" xr:uid="{00000000-0005-0000-0000-0000F10C0000}"/>
    <cellStyle name="40% - Accent5 2 4" xfId="7093" xr:uid="{00000000-0005-0000-0000-0000F20C0000}"/>
    <cellStyle name="40% - Accent5 2 4 2" xfId="13287" xr:uid="{00000000-0005-0000-0000-0000F30C0000}"/>
    <cellStyle name="40% - Accent5 2 4 2 2" xfId="33207" xr:uid="{00000000-0005-0000-0000-0000F40C0000}"/>
    <cellStyle name="40% - Accent5 2 4 3" xfId="19439" xr:uid="{00000000-0005-0000-0000-0000F50C0000}"/>
    <cellStyle name="40% - Accent5 2 4 3 2" xfId="39359" xr:uid="{00000000-0005-0000-0000-0000F60C0000}"/>
    <cellStyle name="40% - Accent5 2 4 4" xfId="27054" xr:uid="{00000000-0005-0000-0000-0000F70C0000}"/>
    <cellStyle name="40% - Accent5 2 5" xfId="10221" xr:uid="{00000000-0005-0000-0000-0000F80C0000}"/>
    <cellStyle name="40% - Accent5 2 5 2" xfId="30141" xr:uid="{00000000-0005-0000-0000-0000F90C0000}"/>
    <cellStyle name="40% - Accent5 2 6" xfId="16373" xr:uid="{00000000-0005-0000-0000-0000FA0C0000}"/>
    <cellStyle name="40% - Accent5 2 6 2" xfId="36293" xr:uid="{00000000-0005-0000-0000-0000FB0C0000}"/>
    <cellStyle name="40% - Accent5 2 7" xfId="1255" xr:uid="{00000000-0005-0000-0000-0000FC0C0000}"/>
    <cellStyle name="40% - Accent5 2 7 2" xfId="23988" xr:uid="{00000000-0005-0000-0000-0000FD0C0000}"/>
    <cellStyle name="40% - Accent5 2 8" xfId="22785" xr:uid="{00000000-0005-0000-0000-0000FE0C0000}"/>
    <cellStyle name="40% - Accent5 2 8 2" xfId="42696" xr:uid="{00000000-0005-0000-0000-0000FF0C0000}"/>
    <cellStyle name="40% - Accent5 2 9" xfId="23088" xr:uid="{00000000-0005-0000-0000-0000000D0000}"/>
    <cellStyle name="40% - Accent5 2 9 2" xfId="42999" xr:uid="{00000000-0005-0000-0000-0000010D0000}"/>
    <cellStyle name="40% - Accent5 3" xfId="413" xr:uid="{00000000-0005-0000-0000-0000020D0000}"/>
    <cellStyle name="40% - Accent5 3 10" xfId="23415" xr:uid="{00000000-0005-0000-0000-0000030D0000}"/>
    <cellStyle name="40% - Accent5 3 2" xfId="836" xr:uid="{00000000-0005-0000-0000-0000040D0000}"/>
    <cellStyle name="40% - Accent5 3 2 2" xfId="6312" xr:uid="{00000000-0005-0000-0000-0000050D0000}"/>
    <cellStyle name="40% - Accent5 3 2 2 2" xfId="9398" xr:uid="{00000000-0005-0000-0000-0000060D0000}"/>
    <cellStyle name="40% - Accent5 3 2 2 2 2" xfId="15591" xr:uid="{00000000-0005-0000-0000-0000070D0000}"/>
    <cellStyle name="40% - Accent5 3 2 2 2 2 2" xfId="35511" xr:uid="{00000000-0005-0000-0000-0000080D0000}"/>
    <cellStyle name="40% - Accent5 3 2 2 2 3" xfId="21743" xr:uid="{00000000-0005-0000-0000-0000090D0000}"/>
    <cellStyle name="40% - Accent5 3 2 2 2 3 2" xfId="41663" xr:uid="{00000000-0005-0000-0000-00000A0D0000}"/>
    <cellStyle name="40% - Accent5 3 2 2 2 4" xfId="29358" xr:uid="{00000000-0005-0000-0000-00000B0D0000}"/>
    <cellStyle name="40% - Accent5 3 2 2 3" xfId="12525" xr:uid="{00000000-0005-0000-0000-00000C0D0000}"/>
    <cellStyle name="40% - Accent5 3 2 2 3 2" xfId="32445" xr:uid="{00000000-0005-0000-0000-00000D0D0000}"/>
    <cellStyle name="40% - Accent5 3 2 2 4" xfId="18677" xr:uid="{00000000-0005-0000-0000-00000E0D0000}"/>
    <cellStyle name="40% - Accent5 3 2 2 4 2" xfId="38597" xr:uid="{00000000-0005-0000-0000-00000F0D0000}"/>
    <cellStyle name="40% - Accent5 3 2 2 5" xfId="26292" xr:uid="{00000000-0005-0000-0000-0000100D0000}"/>
    <cellStyle name="40% - Accent5 3 2 3" xfId="7863" xr:uid="{00000000-0005-0000-0000-0000110D0000}"/>
    <cellStyle name="40% - Accent5 3 2 3 2" xfId="14057" xr:uid="{00000000-0005-0000-0000-0000120D0000}"/>
    <cellStyle name="40% - Accent5 3 2 3 2 2" xfId="33977" xr:uid="{00000000-0005-0000-0000-0000130D0000}"/>
    <cellStyle name="40% - Accent5 3 2 3 3" xfId="20209" xr:uid="{00000000-0005-0000-0000-0000140D0000}"/>
    <cellStyle name="40% - Accent5 3 2 3 3 2" xfId="40129" xr:uid="{00000000-0005-0000-0000-0000150D0000}"/>
    <cellStyle name="40% - Accent5 3 2 3 4" xfId="27824" xr:uid="{00000000-0005-0000-0000-0000160D0000}"/>
    <cellStyle name="40% - Accent5 3 2 4" xfId="10991" xr:uid="{00000000-0005-0000-0000-0000170D0000}"/>
    <cellStyle name="40% - Accent5 3 2 4 2" xfId="30911" xr:uid="{00000000-0005-0000-0000-0000180D0000}"/>
    <cellStyle name="40% - Accent5 3 2 5" xfId="17143" xr:uid="{00000000-0005-0000-0000-0000190D0000}"/>
    <cellStyle name="40% - Accent5 3 2 5 2" xfId="37063" xr:uid="{00000000-0005-0000-0000-00001A0D0000}"/>
    <cellStyle name="40% - Accent5 3 2 6" xfId="4687" xr:uid="{00000000-0005-0000-0000-00001B0D0000}"/>
    <cellStyle name="40% - Accent5 3 2 6 2" xfId="24758" xr:uid="{00000000-0005-0000-0000-00001C0D0000}"/>
    <cellStyle name="40% - Accent5 3 2 7" xfId="23718" xr:uid="{00000000-0005-0000-0000-00001D0D0000}"/>
    <cellStyle name="40% - Accent5 3 3" xfId="5526" xr:uid="{00000000-0005-0000-0000-00001E0D0000}"/>
    <cellStyle name="40% - Accent5 3 3 2" xfId="8629" xr:uid="{00000000-0005-0000-0000-00001F0D0000}"/>
    <cellStyle name="40% - Accent5 3 3 2 2" xfId="14822" xr:uid="{00000000-0005-0000-0000-0000200D0000}"/>
    <cellStyle name="40% - Accent5 3 3 2 2 2" xfId="34742" xr:uid="{00000000-0005-0000-0000-0000210D0000}"/>
    <cellStyle name="40% - Accent5 3 3 2 3" xfId="20974" xr:uid="{00000000-0005-0000-0000-0000220D0000}"/>
    <cellStyle name="40% - Accent5 3 3 2 3 2" xfId="40894" xr:uid="{00000000-0005-0000-0000-0000230D0000}"/>
    <cellStyle name="40% - Accent5 3 3 2 4" xfId="28589" xr:uid="{00000000-0005-0000-0000-0000240D0000}"/>
    <cellStyle name="40% - Accent5 3 3 3" xfId="11756" xr:uid="{00000000-0005-0000-0000-0000250D0000}"/>
    <cellStyle name="40% - Accent5 3 3 3 2" xfId="31676" xr:uid="{00000000-0005-0000-0000-0000260D0000}"/>
    <cellStyle name="40% - Accent5 3 3 4" xfId="17908" xr:uid="{00000000-0005-0000-0000-0000270D0000}"/>
    <cellStyle name="40% - Accent5 3 3 4 2" xfId="37828" xr:uid="{00000000-0005-0000-0000-0000280D0000}"/>
    <cellStyle name="40% - Accent5 3 3 5" xfId="25523" xr:uid="{00000000-0005-0000-0000-0000290D0000}"/>
    <cellStyle name="40% - Accent5 3 4" xfId="7094" xr:uid="{00000000-0005-0000-0000-00002A0D0000}"/>
    <cellStyle name="40% - Accent5 3 4 2" xfId="13288" xr:uid="{00000000-0005-0000-0000-00002B0D0000}"/>
    <cellStyle name="40% - Accent5 3 4 2 2" xfId="33208" xr:uid="{00000000-0005-0000-0000-00002C0D0000}"/>
    <cellStyle name="40% - Accent5 3 4 3" xfId="19440" xr:uid="{00000000-0005-0000-0000-00002D0D0000}"/>
    <cellStyle name="40% - Accent5 3 4 3 2" xfId="39360" xr:uid="{00000000-0005-0000-0000-00002E0D0000}"/>
    <cellStyle name="40% - Accent5 3 4 4" xfId="27055" xr:uid="{00000000-0005-0000-0000-00002F0D0000}"/>
    <cellStyle name="40% - Accent5 3 5" xfId="10222" xr:uid="{00000000-0005-0000-0000-0000300D0000}"/>
    <cellStyle name="40% - Accent5 3 5 2" xfId="30142" xr:uid="{00000000-0005-0000-0000-0000310D0000}"/>
    <cellStyle name="40% - Accent5 3 6" xfId="16374" xr:uid="{00000000-0005-0000-0000-0000320D0000}"/>
    <cellStyle name="40% - Accent5 3 6 2" xfId="36294" xr:uid="{00000000-0005-0000-0000-0000330D0000}"/>
    <cellStyle name="40% - Accent5 3 7" xfId="1256" xr:uid="{00000000-0005-0000-0000-0000340D0000}"/>
    <cellStyle name="40% - Accent5 3 7 2" xfId="23989" xr:uid="{00000000-0005-0000-0000-0000350D0000}"/>
    <cellStyle name="40% - Accent5 3 8" xfId="22801" xr:uid="{00000000-0005-0000-0000-0000360D0000}"/>
    <cellStyle name="40% - Accent5 3 8 2" xfId="42712" xr:uid="{00000000-0005-0000-0000-0000370D0000}"/>
    <cellStyle name="40% - Accent5 3 9" xfId="23104" xr:uid="{00000000-0005-0000-0000-0000380D0000}"/>
    <cellStyle name="40% - Accent5 3 9 2" xfId="43015" xr:uid="{00000000-0005-0000-0000-0000390D0000}"/>
    <cellStyle name="40% - Accent5 4" xfId="440" xr:uid="{00000000-0005-0000-0000-00003A0D0000}"/>
    <cellStyle name="40% - Accent5 4 10" xfId="23431" xr:uid="{00000000-0005-0000-0000-00003B0D0000}"/>
    <cellStyle name="40% - Accent5 4 2" xfId="852" xr:uid="{00000000-0005-0000-0000-00003C0D0000}"/>
    <cellStyle name="40% - Accent5 4 2 2" xfId="6313" xr:uid="{00000000-0005-0000-0000-00003D0D0000}"/>
    <cellStyle name="40% - Accent5 4 2 2 2" xfId="9399" xr:uid="{00000000-0005-0000-0000-00003E0D0000}"/>
    <cellStyle name="40% - Accent5 4 2 2 2 2" xfId="15592" xr:uid="{00000000-0005-0000-0000-00003F0D0000}"/>
    <cellStyle name="40% - Accent5 4 2 2 2 2 2" xfId="35512" xr:uid="{00000000-0005-0000-0000-0000400D0000}"/>
    <cellStyle name="40% - Accent5 4 2 2 2 3" xfId="21744" xr:uid="{00000000-0005-0000-0000-0000410D0000}"/>
    <cellStyle name="40% - Accent5 4 2 2 2 3 2" xfId="41664" xr:uid="{00000000-0005-0000-0000-0000420D0000}"/>
    <cellStyle name="40% - Accent5 4 2 2 2 4" xfId="29359" xr:uid="{00000000-0005-0000-0000-0000430D0000}"/>
    <cellStyle name="40% - Accent5 4 2 2 3" xfId="12526" xr:uid="{00000000-0005-0000-0000-0000440D0000}"/>
    <cellStyle name="40% - Accent5 4 2 2 3 2" xfId="32446" xr:uid="{00000000-0005-0000-0000-0000450D0000}"/>
    <cellStyle name="40% - Accent5 4 2 2 4" xfId="18678" xr:uid="{00000000-0005-0000-0000-0000460D0000}"/>
    <cellStyle name="40% - Accent5 4 2 2 4 2" xfId="38598" xr:uid="{00000000-0005-0000-0000-0000470D0000}"/>
    <cellStyle name="40% - Accent5 4 2 2 5" xfId="26293" xr:uid="{00000000-0005-0000-0000-0000480D0000}"/>
    <cellStyle name="40% - Accent5 4 2 3" xfId="7864" xr:uid="{00000000-0005-0000-0000-0000490D0000}"/>
    <cellStyle name="40% - Accent5 4 2 3 2" xfId="14058" xr:uid="{00000000-0005-0000-0000-00004A0D0000}"/>
    <cellStyle name="40% - Accent5 4 2 3 2 2" xfId="33978" xr:uid="{00000000-0005-0000-0000-00004B0D0000}"/>
    <cellStyle name="40% - Accent5 4 2 3 3" xfId="20210" xr:uid="{00000000-0005-0000-0000-00004C0D0000}"/>
    <cellStyle name="40% - Accent5 4 2 3 3 2" xfId="40130" xr:uid="{00000000-0005-0000-0000-00004D0D0000}"/>
    <cellStyle name="40% - Accent5 4 2 3 4" xfId="27825" xr:uid="{00000000-0005-0000-0000-00004E0D0000}"/>
    <cellStyle name="40% - Accent5 4 2 4" xfId="10992" xr:uid="{00000000-0005-0000-0000-00004F0D0000}"/>
    <cellStyle name="40% - Accent5 4 2 4 2" xfId="30912" xr:uid="{00000000-0005-0000-0000-0000500D0000}"/>
    <cellStyle name="40% - Accent5 4 2 5" xfId="17144" xr:uid="{00000000-0005-0000-0000-0000510D0000}"/>
    <cellStyle name="40% - Accent5 4 2 5 2" xfId="37064" xr:uid="{00000000-0005-0000-0000-0000520D0000}"/>
    <cellStyle name="40% - Accent5 4 2 6" xfId="4688" xr:uid="{00000000-0005-0000-0000-0000530D0000}"/>
    <cellStyle name="40% - Accent5 4 2 6 2" xfId="24759" xr:uid="{00000000-0005-0000-0000-0000540D0000}"/>
    <cellStyle name="40% - Accent5 4 2 7" xfId="23734" xr:uid="{00000000-0005-0000-0000-0000550D0000}"/>
    <cellStyle name="40% - Accent5 4 3" xfId="5527" xr:uid="{00000000-0005-0000-0000-0000560D0000}"/>
    <cellStyle name="40% - Accent5 4 3 2" xfId="8630" xr:uid="{00000000-0005-0000-0000-0000570D0000}"/>
    <cellStyle name="40% - Accent5 4 3 2 2" xfId="14823" xr:uid="{00000000-0005-0000-0000-0000580D0000}"/>
    <cellStyle name="40% - Accent5 4 3 2 2 2" xfId="34743" xr:uid="{00000000-0005-0000-0000-0000590D0000}"/>
    <cellStyle name="40% - Accent5 4 3 2 3" xfId="20975" xr:uid="{00000000-0005-0000-0000-00005A0D0000}"/>
    <cellStyle name="40% - Accent5 4 3 2 3 2" xfId="40895" xr:uid="{00000000-0005-0000-0000-00005B0D0000}"/>
    <cellStyle name="40% - Accent5 4 3 2 4" xfId="28590" xr:uid="{00000000-0005-0000-0000-00005C0D0000}"/>
    <cellStyle name="40% - Accent5 4 3 3" xfId="11757" xr:uid="{00000000-0005-0000-0000-00005D0D0000}"/>
    <cellStyle name="40% - Accent5 4 3 3 2" xfId="31677" xr:uid="{00000000-0005-0000-0000-00005E0D0000}"/>
    <cellStyle name="40% - Accent5 4 3 4" xfId="17909" xr:uid="{00000000-0005-0000-0000-00005F0D0000}"/>
    <cellStyle name="40% - Accent5 4 3 4 2" xfId="37829" xr:uid="{00000000-0005-0000-0000-0000600D0000}"/>
    <cellStyle name="40% - Accent5 4 3 5" xfId="25524" xr:uid="{00000000-0005-0000-0000-0000610D0000}"/>
    <cellStyle name="40% - Accent5 4 4" xfId="7095" xr:uid="{00000000-0005-0000-0000-0000620D0000}"/>
    <cellStyle name="40% - Accent5 4 4 2" xfId="13289" xr:uid="{00000000-0005-0000-0000-0000630D0000}"/>
    <cellStyle name="40% - Accent5 4 4 2 2" xfId="33209" xr:uid="{00000000-0005-0000-0000-0000640D0000}"/>
    <cellStyle name="40% - Accent5 4 4 3" xfId="19441" xr:uid="{00000000-0005-0000-0000-0000650D0000}"/>
    <cellStyle name="40% - Accent5 4 4 3 2" xfId="39361" xr:uid="{00000000-0005-0000-0000-0000660D0000}"/>
    <cellStyle name="40% - Accent5 4 4 4" xfId="27056" xr:uid="{00000000-0005-0000-0000-0000670D0000}"/>
    <cellStyle name="40% - Accent5 4 5" xfId="10223" xr:uid="{00000000-0005-0000-0000-0000680D0000}"/>
    <cellStyle name="40% - Accent5 4 5 2" xfId="30143" xr:uid="{00000000-0005-0000-0000-0000690D0000}"/>
    <cellStyle name="40% - Accent5 4 6" xfId="16375" xr:uid="{00000000-0005-0000-0000-00006A0D0000}"/>
    <cellStyle name="40% - Accent5 4 6 2" xfId="36295" xr:uid="{00000000-0005-0000-0000-00006B0D0000}"/>
    <cellStyle name="40% - Accent5 4 7" xfId="1257" xr:uid="{00000000-0005-0000-0000-00006C0D0000}"/>
    <cellStyle name="40% - Accent5 4 7 2" xfId="23990" xr:uid="{00000000-0005-0000-0000-00006D0D0000}"/>
    <cellStyle name="40% - Accent5 4 8" xfId="22817" xr:uid="{00000000-0005-0000-0000-00006E0D0000}"/>
    <cellStyle name="40% - Accent5 4 8 2" xfId="42728" xr:uid="{00000000-0005-0000-0000-00006F0D0000}"/>
    <cellStyle name="40% - Accent5 4 9" xfId="23120" xr:uid="{00000000-0005-0000-0000-0000700D0000}"/>
    <cellStyle name="40% - Accent5 4 9 2" xfId="43031" xr:uid="{00000000-0005-0000-0000-0000710D0000}"/>
    <cellStyle name="40% - Accent5 5" xfId="467" xr:uid="{00000000-0005-0000-0000-0000720D0000}"/>
    <cellStyle name="40% - Accent5 5 2" xfId="868" xr:uid="{00000000-0005-0000-0000-0000730D0000}"/>
    <cellStyle name="40% - Accent5 5 2 2" xfId="23750" xr:uid="{00000000-0005-0000-0000-0000740D0000}"/>
    <cellStyle name="40% - Accent5 5 3" xfId="1258" xr:uid="{00000000-0005-0000-0000-0000750D0000}"/>
    <cellStyle name="40% - Accent5 5 4" xfId="22571" xr:uid="{00000000-0005-0000-0000-0000760D0000}"/>
    <cellStyle name="40% - Accent5 5 4 2" xfId="42482" xr:uid="{00000000-0005-0000-0000-0000770D0000}"/>
    <cellStyle name="40% - Accent5 5 5" xfId="22833" xr:uid="{00000000-0005-0000-0000-0000780D0000}"/>
    <cellStyle name="40% - Accent5 5 5 2" xfId="42744" xr:uid="{00000000-0005-0000-0000-0000790D0000}"/>
    <cellStyle name="40% - Accent5 5 6" xfId="23136" xr:uid="{00000000-0005-0000-0000-00007A0D0000}"/>
    <cellStyle name="40% - Accent5 5 6 2" xfId="43047" xr:uid="{00000000-0005-0000-0000-00007B0D0000}"/>
    <cellStyle name="40% - Accent5 5 7" xfId="23447" xr:uid="{00000000-0005-0000-0000-00007C0D0000}"/>
    <cellStyle name="40% - Accent5 6" xfId="493" xr:uid="{00000000-0005-0000-0000-00007D0D0000}"/>
    <cellStyle name="40% - Accent5 6 2" xfId="884" xr:uid="{00000000-0005-0000-0000-00007E0D0000}"/>
    <cellStyle name="40% - Accent5 6 2 2" xfId="23766" xr:uid="{00000000-0005-0000-0000-00007F0D0000}"/>
    <cellStyle name="40% - Accent5 6 3" xfId="22607" xr:uid="{00000000-0005-0000-0000-0000800D0000}"/>
    <cellStyle name="40% - Accent5 6 3 2" xfId="42518" xr:uid="{00000000-0005-0000-0000-0000810D0000}"/>
    <cellStyle name="40% - Accent5 6 4" xfId="22849" xr:uid="{00000000-0005-0000-0000-0000820D0000}"/>
    <cellStyle name="40% - Accent5 6 4 2" xfId="42760" xr:uid="{00000000-0005-0000-0000-0000830D0000}"/>
    <cellStyle name="40% - Accent5 6 5" xfId="23152" xr:uid="{00000000-0005-0000-0000-0000840D0000}"/>
    <cellStyle name="40% - Accent5 6 5 2" xfId="43063" xr:uid="{00000000-0005-0000-0000-0000850D0000}"/>
    <cellStyle name="40% - Accent5 6 6" xfId="23463" xr:uid="{00000000-0005-0000-0000-0000860D0000}"/>
    <cellStyle name="40% - Accent5 7" xfId="517" xr:uid="{00000000-0005-0000-0000-0000870D0000}"/>
    <cellStyle name="40% - Accent5 7 2" xfId="900" xr:uid="{00000000-0005-0000-0000-0000880D0000}"/>
    <cellStyle name="40% - Accent5 7 2 2" xfId="23782" xr:uid="{00000000-0005-0000-0000-0000890D0000}"/>
    <cellStyle name="40% - Accent5 7 3" xfId="22625" xr:uid="{00000000-0005-0000-0000-00008A0D0000}"/>
    <cellStyle name="40% - Accent5 7 3 2" xfId="42536" xr:uid="{00000000-0005-0000-0000-00008B0D0000}"/>
    <cellStyle name="40% - Accent5 7 4" xfId="22865" xr:uid="{00000000-0005-0000-0000-00008C0D0000}"/>
    <cellStyle name="40% - Accent5 7 4 2" xfId="42776" xr:uid="{00000000-0005-0000-0000-00008D0D0000}"/>
    <cellStyle name="40% - Accent5 7 5" xfId="23168" xr:uid="{00000000-0005-0000-0000-00008E0D0000}"/>
    <cellStyle name="40% - Accent5 7 5 2" xfId="43079" xr:uid="{00000000-0005-0000-0000-00008F0D0000}"/>
    <cellStyle name="40% - Accent5 7 6" xfId="23479" xr:uid="{00000000-0005-0000-0000-0000900D0000}"/>
    <cellStyle name="40% - Accent5 8" xfId="542" xr:uid="{00000000-0005-0000-0000-0000910D0000}"/>
    <cellStyle name="40% - Accent5 8 2" xfId="916" xr:uid="{00000000-0005-0000-0000-0000920D0000}"/>
    <cellStyle name="40% - Accent5 8 2 2" xfId="23798" xr:uid="{00000000-0005-0000-0000-0000930D0000}"/>
    <cellStyle name="40% - Accent5 8 3" xfId="1042" xr:uid="{00000000-0005-0000-0000-0000940D0000}"/>
    <cellStyle name="40% - Accent5 8 3 2" xfId="23921" xr:uid="{00000000-0005-0000-0000-0000950D0000}"/>
    <cellStyle name="40% - Accent5 8 4" xfId="22881" xr:uid="{00000000-0005-0000-0000-0000960D0000}"/>
    <cellStyle name="40% - Accent5 8 4 2" xfId="42792" xr:uid="{00000000-0005-0000-0000-0000970D0000}"/>
    <cellStyle name="40% - Accent5 8 5" xfId="23184" xr:uid="{00000000-0005-0000-0000-0000980D0000}"/>
    <cellStyle name="40% - Accent5 8 5 2" xfId="43095" xr:uid="{00000000-0005-0000-0000-0000990D0000}"/>
    <cellStyle name="40% - Accent5 8 6" xfId="23495" xr:uid="{00000000-0005-0000-0000-00009A0D0000}"/>
    <cellStyle name="40% - Accent5 9" xfId="582" xr:uid="{00000000-0005-0000-0000-00009B0D0000}"/>
    <cellStyle name="40% - Accent5 9 2" xfId="932" xr:uid="{00000000-0005-0000-0000-00009C0D0000}"/>
    <cellStyle name="40% - Accent5 9 2 2" xfId="23814" xr:uid="{00000000-0005-0000-0000-00009D0D0000}"/>
    <cellStyle name="40% - Accent5 9 3" xfId="22523" xr:uid="{00000000-0005-0000-0000-00009E0D0000}"/>
    <cellStyle name="40% - Accent5 9 3 2" xfId="42434" xr:uid="{00000000-0005-0000-0000-00009F0D0000}"/>
    <cellStyle name="40% - Accent5 9 4" xfId="22897" xr:uid="{00000000-0005-0000-0000-0000A00D0000}"/>
    <cellStyle name="40% - Accent5 9 4 2" xfId="42808" xr:uid="{00000000-0005-0000-0000-0000A10D0000}"/>
    <cellStyle name="40% - Accent5 9 5" xfId="23200" xr:uid="{00000000-0005-0000-0000-0000A20D0000}"/>
    <cellStyle name="40% - Accent5 9 5 2" xfId="43111" xr:uid="{00000000-0005-0000-0000-0000A30D0000}"/>
    <cellStyle name="40% - Accent5 9 6" xfId="23511" xr:uid="{00000000-0005-0000-0000-0000A40D0000}"/>
    <cellStyle name="40% - Accent6" xfId="83" builtinId="51" customBuiltin="1"/>
    <cellStyle name="40% - Accent6 10" xfId="614" xr:uid="{00000000-0005-0000-0000-0000A60D0000}"/>
    <cellStyle name="40% - Accent6 10 2" xfId="950" xr:uid="{00000000-0005-0000-0000-0000A70D0000}"/>
    <cellStyle name="40% - Accent6 10 2 2" xfId="23832" xr:uid="{00000000-0005-0000-0000-0000A80D0000}"/>
    <cellStyle name="40% - Accent6 10 3" xfId="22657" xr:uid="{00000000-0005-0000-0000-0000A90D0000}"/>
    <cellStyle name="40% - Accent6 10 3 2" xfId="42568" xr:uid="{00000000-0005-0000-0000-0000AA0D0000}"/>
    <cellStyle name="40% - Accent6 10 4" xfId="22915" xr:uid="{00000000-0005-0000-0000-0000AB0D0000}"/>
    <cellStyle name="40% - Accent6 10 4 2" xfId="42826" xr:uid="{00000000-0005-0000-0000-0000AC0D0000}"/>
    <cellStyle name="40% - Accent6 10 5" xfId="23218" xr:uid="{00000000-0005-0000-0000-0000AD0D0000}"/>
    <cellStyle name="40% - Accent6 10 5 2" xfId="43129" xr:uid="{00000000-0005-0000-0000-0000AE0D0000}"/>
    <cellStyle name="40% - Accent6 10 6" xfId="23529" xr:uid="{00000000-0005-0000-0000-0000AF0D0000}"/>
    <cellStyle name="40% - Accent6 11" xfId="640" xr:uid="{00000000-0005-0000-0000-0000B00D0000}"/>
    <cellStyle name="40% - Accent6 11 2" xfId="966" xr:uid="{00000000-0005-0000-0000-0000B10D0000}"/>
    <cellStyle name="40% - Accent6 11 2 2" xfId="23848" xr:uid="{00000000-0005-0000-0000-0000B20D0000}"/>
    <cellStyle name="40% - Accent6 11 3" xfId="22594" xr:uid="{00000000-0005-0000-0000-0000B30D0000}"/>
    <cellStyle name="40% - Accent6 11 3 2" xfId="42505" xr:uid="{00000000-0005-0000-0000-0000B40D0000}"/>
    <cellStyle name="40% - Accent6 11 4" xfId="22931" xr:uid="{00000000-0005-0000-0000-0000B50D0000}"/>
    <cellStyle name="40% - Accent6 11 4 2" xfId="42842" xr:uid="{00000000-0005-0000-0000-0000B60D0000}"/>
    <cellStyle name="40% - Accent6 11 5" xfId="23234" xr:uid="{00000000-0005-0000-0000-0000B70D0000}"/>
    <cellStyle name="40% - Accent6 11 5 2" xfId="43145" xr:uid="{00000000-0005-0000-0000-0000B80D0000}"/>
    <cellStyle name="40% - Accent6 11 6" xfId="23545" xr:uid="{00000000-0005-0000-0000-0000B90D0000}"/>
    <cellStyle name="40% - Accent6 12" xfId="665" xr:uid="{00000000-0005-0000-0000-0000BA0D0000}"/>
    <cellStyle name="40% - Accent6 12 2" xfId="982" xr:uid="{00000000-0005-0000-0000-0000BB0D0000}"/>
    <cellStyle name="40% - Accent6 12 2 2" xfId="23864" xr:uid="{00000000-0005-0000-0000-0000BC0D0000}"/>
    <cellStyle name="40% - Accent6 12 3" xfId="22516" xr:uid="{00000000-0005-0000-0000-0000BD0D0000}"/>
    <cellStyle name="40% - Accent6 12 3 2" xfId="42427" xr:uid="{00000000-0005-0000-0000-0000BE0D0000}"/>
    <cellStyle name="40% - Accent6 12 4" xfId="22947" xr:uid="{00000000-0005-0000-0000-0000BF0D0000}"/>
    <cellStyle name="40% - Accent6 12 4 2" xfId="42858" xr:uid="{00000000-0005-0000-0000-0000C00D0000}"/>
    <cellStyle name="40% - Accent6 12 5" xfId="23250" xr:uid="{00000000-0005-0000-0000-0000C10D0000}"/>
    <cellStyle name="40% - Accent6 12 5 2" xfId="43161" xr:uid="{00000000-0005-0000-0000-0000C20D0000}"/>
    <cellStyle name="40% - Accent6 12 6" xfId="23561" xr:uid="{00000000-0005-0000-0000-0000C30D0000}"/>
    <cellStyle name="40% - Accent6 13" xfId="689" xr:uid="{00000000-0005-0000-0000-0000C40D0000}"/>
    <cellStyle name="40% - Accent6 13 2" xfId="998" xr:uid="{00000000-0005-0000-0000-0000C50D0000}"/>
    <cellStyle name="40% - Accent6 13 2 2" xfId="23880" xr:uid="{00000000-0005-0000-0000-0000C60D0000}"/>
    <cellStyle name="40% - Accent6 13 3" xfId="22628" xr:uid="{00000000-0005-0000-0000-0000C70D0000}"/>
    <cellStyle name="40% - Accent6 13 3 2" xfId="42539" xr:uid="{00000000-0005-0000-0000-0000C80D0000}"/>
    <cellStyle name="40% - Accent6 13 4" xfId="22963" xr:uid="{00000000-0005-0000-0000-0000C90D0000}"/>
    <cellStyle name="40% - Accent6 13 4 2" xfId="42874" xr:uid="{00000000-0005-0000-0000-0000CA0D0000}"/>
    <cellStyle name="40% - Accent6 13 5" xfId="23266" xr:uid="{00000000-0005-0000-0000-0000CB0D0000}"/>
    <cellStyle name="40% - Accent6 13 5 2" xfId="43177" xr:uid="{00000000-0005-0000-0000-0000CC0D0000}"/>
    <cellStyle name="40% - Accent6 13 6" xfId="23577" xr:uid="{00000000-0005-0000-0000-0000CD0D0000}"/>
    <cellStyle name="40% - Accent6 14" xfId="706" xr:uid="{00000000-0005-0000-0000-0000CE0D0000}"/>
    <cellStyle name="40% - Accent6 14 2" xfId="1014" xr:uid="{00000000-0005-0000-0000-0000CF0D0000}"/>
    <cellStyle name="40% - Accent6 14 2 2" xfId="23896" xr:uid="{00000000-0005-0000-0000-0000D00D0000}"/>
    <cellStyle name="40% - Accent6 14 3" xfId="22619" xr:uid="{00000000-0005-0000-0000-0000D10D0000}"/>
    <cellStyle name="40% - Accent6 14 3 2" xfId="42530" xr:uid="{00000000-0005-0000-0000-0000D20D0000}"/>
    <cellStyle name="40% - Accent6 14 4" xfId="22979" xr:uid="{00000000-0005-0000-0000-0000D30D0000}"/>
    <cellStyle name="40% - Accent6 14 4 2" xfId="42890" xr:uid="{00000000-0005-0000-0000-0000D40D0000}"/>
    <cellStyle name="40% - Accent6 14 5" xfId="23282" xr:uid="{00000000-0005-0000-0000-0000D50D0000}"/>
    <cellStyle name="40% - Accent6 14 5 2" xfId="43193" xr:uid="{00000000-0005-0000-0000-0000D60D0000}"/>
    <cellStyle name="40% - Accent6 14 6" xfId="23593" xr:uid="{00000000-0005-0000-0000-0000D70D0000}"/>
    <cellStyle name="40% - Accent6 15" xfId="722" xr:uid="{00000000-0005-0000-0000-0000D80D0000}"/>
    <cellStyle name="40% - Accent6 15 2" xfId="1030" xr:uid="{00000000-0005-0000-0000-0000D90D0000}"/>
    <cellStyle name="40% - Accent6 15 2 2" xfId="23912" xr:uid="{00000000-0005-0000-0000-0000DA0D0000}"/>
    <cellStyle name="40% - Accent6 15 3" xfId="22689" xr:uid="{00000000-0005-0000-0000-0000DB0D0000}"/>
    <cellStyle name="40% - Accent6 15 3 2" xfId="42600" xr:uid="{00000000-0005-0000-0000-0000DC0D0000}"/>
    <cellStyle name="40% - Accent6 15 4" xfId="22995" xr:uid="{00000000-0005-0000-0000-0000DD0D0000}"/>
    <cellStyle name="40% - Accent6 15 4 2" xfId="42906" xr:uid="{00000000-0005-0000-0000-0000DE0D0000}"/>
    <cellStyle name="40% - Accent6 15 5" xfId="23298" xr:uid="{00000000-0005-0000-0000-0000DF0D0000}"/>
    <cellStyle name="40% - Accent6 15 5 2" xfId="43209" xr:uid="{00000000-0005-0000-0000-0000E00D0000}"/>
    <cellStyle name="40% - Accent6 15 6" xfId="23609" xr:uid="{00000000-0005-0000-0000-0000E10D0000}"/>
    <cellStyle name="40% - Accent6 16" xfId="746" xr:uid="{00000000-0005-0000-0000-0000E20D0000}"/>
    <cellStyle name="40% - Accent6 16 2" xfId="23628" xr:uid="{00000000-0005-0000-0000-0000E30D0000}"/>
    <cellStyle name="40% - Accent6 17" xfId="22711" xr:uid="{00000000-0005-0000-0000-0000E40D0000}"/>
    <cellStyle name="40% - Accent6 17 2" xfId="42622" xr:uid="{00000000-0005-0000-0000-0000E50D0000}"/>
    <cellStyle name="40% - Accent6 18" xfId="23014" xr:uid="{00000000-0005-0000-0000-0000E60D0000}"/>
    <cellStyle name="40% - Accent6 18 2" xfId="42925" xr:uid="{00000000-0005-0000-0000-0000E70D0000}"/>
    <cellStyle name="40% - Accent6 19" xfId="23318" xr:uid="{00000000-0005-0000-0000-0000E80D0000}"/>
    <cellStyle name="40% - Accent6 2" xfId="387" xr:uid="{00000000-0005-0000-0000-0000E90D0000}"/>
    <cellStyle name="40% - Accent6 2 10" xfId="23401" xr:uid="{00000000-0005-0000-0000-0000EA0D0000}"/>
    <cellStyle name="40% - Accent6 2 2" xfId="822" xr:uid="{00000000-0005-0000-0000-0000EB0D0000}"/>
    <cellStyle name="40% - Accent6 2 2 2" xfId="6314" xr:uid="{00000000-0005-0000-0000-0000EC0D0000}"/>
    <cellStyle name="40% - Accent6 2 2 2 2" xfId="9400" xr:uid="{00000000-0005-0000-0000-0000ED0D0000}"/>
    <cellStyle name="40% - Accent6 2 2 2 2 2" xfId="15593" xr:uid="{00000000-0005-0000-0000-0000EE0D0000}"/>
    <cellStyle name="40% - Accent6 2 2 2 2 2 2" xfId="35513" xr:uid="{00000000-0005-0000-0000-0000EF0D0000}"/>
    <cellStyle name="40% - Accent6 2 2 2 2 3" xfId="21745" xr:uid="{00000000-0005-0000-0000-0000F00D0000}"/>
    <cellStyle name="40% - Accent6 2 2 2 2 3 2" xfId="41665" xr:uid="{00000000-0005-0000-0000-0000F10D0000}"/>
    <cellStyle name="40% - Accent6 2 2 2 2 4" xfId="29360" xr:uid="{00000000-0005-0000-0000-0000F20D0000}"/>
    <cellStyle name="40% - Accent6 2 2 2 3" xfId="12527" xr:uid="{00000000-0005-0000-0000-0000F30D0000}"/>
    <cellStyle name="40% - Accent6 2 2 2 3 2" xfId="32447" xr:uid="{00000000-0005-0000-0000-0000F40D0000}"/>
    <cellStyle name="40% - Accent6 2 2 2 4" xfId="18679" xr:uid="{00000000-0005-0000-0000-0000F50D0000}"/>
    <cellStyle name="40% - Accent6 2 2 2 4 2" xfId="38599" xr:uid="{00000000-0005-0000-0000-0000F60D0000}"/>
    <cellStyle name="40% - Accent6 2 2 2 5" xfId="26294" xr:uid="{00000000-0005-0000-0000-0000F70D0000}"/>
    <cellStyle name="40% - Accent6 2 2 3" xfId="7865" xr:uid="{00000000-0005-0000-0000-0000F80D0000}"/>
    <cellStyle name="40% - Accent6 2 2 3 2" xfId="14059" xr:uid="{00000000-0005-0000-0000-0000F90D0000}"/>
    <cellStyle name="40% - Accent6 2 2 3 2 2" xfId="33979" xr:uid="{00000000-0005-0000-0000-0000FA0D0000}"/>
    <cellStyle name="40% - Accent6 2 2 3 3" xfId="20211" xr:uid="{00000000-0005-0000-0000-0000FB0D0000}"/>
    <cellStyle name="40% - Accent6 2 2 3 3 2" xfId="40131" xr:uid="{00000000-0005-0000-0000-0000FC0D0000}"/>
    <cellStyle name="40% - Accent6 2 2 3 4" xfId="27826" xr:uid="{00000000-0005-0000-0000-0000FD0D0000}"/>
    <cellStyle name="40% - Accent6 2 2 4" xfId="10993" xr:uid="{00000000-0005-0000-0000-0000FE0D0000}"/>
    <cellStyle name="40% - Accent6 2 2 4 2" xfId="30913" xr:uid="{00000000-0005-0000-0000-0000FF0D0000}"/>
    <cellStyle name="40% - Accent6 2 2 5" xfId="17145" xr:uid="{00000000-0005-0000-0000-0000000E0000}"/>
    <cellStyle name="40% - Accent6 2 2 5 2" xfId="37065" xr:uid="{00000000-0005-0000-0000-0000010E0000}"/>
    <cellStyle name="40% - Accent6 2 2 6" xfId="4689" xr:uid="{00000000-0005-0000-0000-0000020E0000}"/>
    <cellStyle name="40% - Accent6 2 2 6 2" xfId="24760" xr:uid="{00000000-0005-0000-0000-0000030E0000}"/>
    <cellStyle name="40% - Accent6 2 2 7" xfId="23704" xr:uid="{00000000-0005-0000-0000-0000040E0000}"/>
    <cellStyle name="40% - Accent6 2 3" xfId="5528" xr:uid="{00000000-0005-0000-0000-0000050E0000}"/>
    <cellStyle name="40% - Accent6 2 3 2" xfId="8631" xr:uid="{00000000-0005-0000-0000-0000060E0000}"/>
    <cellStyle name="40% - Accent6 2 3 2 2" xfId="14824" xr:uid="{00000000-0005-0000-0000-0000070E0000}"/>
    <cellStyle name="40% - Accent6 2 3 2 2 2" xfId="34744" xr:uid="{00000000-0005-0000-0000-0000080E0000}"/>
    <cellStyle name="40% - Accent6 2 3 2 3" xfId="20976" xr:uid="{00000000-0005-0000-0000-0000090E0000}"/>
    <cellStyle name="40% - Accent6 2 3 2 3 2" xfId="40896" xr:uid="{00000000-0005-0000-0000-00000A0E0000}"/>
    <cellStyle name="40% - Accent6 2 3 2 4" xfId="28591" xr:uid="{00000000-0005-0000-0000-00000B0E0000}"/>
    <cellStyle name="40% - Accent6 2 3 3" xfId="11758" xr:uid="{00000000-0005-0000-0000-00000C0E0000}"/>
    <cellStyle name="40% - Accent6 2 3 3 2" xfId="31678" xr:uid="{00000000-0005-0000-0000-00000D0E0000}"/>
    <cellStyle name="40% - Accent6 2 3 4" xfId="17910" xr:uid="{00000000-0005-0000-0000-00000E0E0000}"/>
    <cellStyle name="40% - Accent6 2 3 4 2" xfId="37830" xr:uid="{00000000-0005-0000-0000-00000F0E0000}"/>
    <cellStyle name="40% - Accent6 2 3 5" xfId="25525" xr:uid="{00000000-0005-0000-0000-0000100E0000}"/>
    <cellStyle name="40% - Accent6 2 4" xfId="7096" xr:uid="{00000000-0005-0000-0000-0000110E0000}"/>
    <cellStyle name="40% - Accent6 2 4 2" xfId="13290" xr:uid="{00000000-0005-0000-0000-0000120E0000}"/>
    <cellStyle name="40% - Accent6 2 4 2 2" xfId="33210" xr:uid="{00000000-0005-0000-0000-0000130E0000}"/>
    <cellStyle name="40% - Accent6 2 4 3" xfId="19442" xr:uid="{00000000-0005-0000-0000-0000140E0000}"/>
    <cellStyle name="40% - Accent6 2 4 3 2" xfId="39362" xr:uid="{00000000-0005-0000-0000-0000150E0000}"/>
    <cellStyle name="40% - Accent6 2 4 4" xfId="27057" xr:uid="{00000000-0005-0000-0000-0000160E0000}"/>
    <cellStyle name="40% - Accent6 2 5" xfId="10224" xr:uid="{00000000-0005-0000-0000-0000170E0000}"/>
    <cellStyle name="40% - Accent6 2 5 2" xfId="30144" xr:uid="{00000000-0005-0000-0000-0000180E0000}"/>
    <cellStyle name="40% - Accent6 2 6" xfId="16376" xr:uid="{00000000-0005-0000-0000-0000190E0000}"/>
    <cellStyle name="40% - Accent6 2 6 2" xfId="36296" xr:uid="{00000000-0005-0000-0000-00001A0E0000}"/>
    <cellStyle name="40% - Accent6 2 7" xfId="1259" xr:uid="{00000000-0005-0000-0000-00001B0E0000}"/>
    <cellStyle name="40% - Accent6 2 7 2" xfId="23991" xr:uid="{00000000-0005-0000-0000-00001C0E0000}"/>
    <cellStyle name="40% - Accent6 2 8" xfId="22787" xr:uid="{00000000-0005-0000-0000-00001D0E0000}"/>
    <cellStyle name="40% - Accent6 2 8 2" xfId="42698" xr:uid="{00000000-0005-0000-0000-00001E0E0000}"/>
    <cellStyle name="40% - Accent6 2 9" xfId="23090" xr:uid="{00000000-0005-0000-0000-00001F0E0000}"/>
    <cellStyle name="40% - Accent6 2 9 2" xfId="43001" xr:uid="{00000000-0005-0000-0000-0000200E0000}"/>
    <cellStyle name="40% - Accent6 3" xfId="417" xr:uid="{00000000-0005-0000-0000-0000210E0000}"/>
    <cellStyle name="40% - Accent6 3 10" xfId="23417" xr:uid="{00000000-0005-0000-0000-0000220E0000}"/>
    <cellStyle name="40% - Accent6 3 2" xfId="838" xr:uid="{00000000-0005-0000-0000-0000230E0000}"/>
    <cellStyle name="40% - Accent6 3 2 2" xfId="6315" xr:uid="{00000000-0005-0000-0000-0000240E0000}"/>
    <cellStyle name="40% - Accent6 3 2 2 2" xfId="9401" xr:uid="{00000000-0005-0000-0000-0000250E0000}"/>
    <cellStyle name="40% - Accent6 3 2 2 2 2" xfId="15594" xr:uid="{00000000-0005-0000-0000-0000260E0000}"/>
    <cellStyle name="40% - Accent6 3 2 2 2 2 2" xfId="35514" xr:uid="{00000000-0005-0000-0000-0000270E0000}"/>
    <cellStyle name="40% - Accent6 3 2 2 2 3" xfId="21746" xr:uid="{00000000-0005-0000-0000-0000280E0000}"/>
    <cellStyle name="40% - Accent6 3 2 2 2 3 2" xfId="41666" xr:uid="{00000000-0005-0000-0000-0000290E0000}"/>
    <cellStyle name="40% - Accent6 3 2 2 2 4" xfId="29361" xr:uid="{00000000-0005-0000-0000-00002A0E0000}"/>
    <cellStyle name="40% - Accent6 3 2 2 3" xfId="12528" xr:uid="{00000000-0005-0000-0000-00002B0E0000}"/>
    <cellStyle name="40% - Accent6 3 2 2 3 2" xfId="32448" xr:uid="{00000000-0005-0000-0000-00002C0E0000}"/>
    <cellStyle name="40% - Accent6 3 2 2 4" xfId="18680" xr:uid="{00000000-0005-0000-0000-00002D0E0000}"/>
    <cellStyle name="40% - Accent6 3 2 2 4 2" xfId="38600" xr:uid="{00000000-0005-0000-0000-00002E0E0000}"/>
    <cellStyle name="40% - Accent6 3 2 2 5" xfId="26295" xr:uid="{00000000-0005-0000-0000-00002F0E0000}"/>
    <cellStyle name="40% - Accent6 3 2 3" xfId="7866" xr:uid="{00000000-0005-0000-0000-0000300E0000}"/>
    <cellStyle name="40% - Accent6 3 2 3 2" xfId="14060" xr:uid="{00000000-0005-0000-0000-0000310E0000}"/>
    <cellStyle name="40% - Accent6 3 2 3 2 2" xfId="33980" xr:uid="{00000000-0005-0000-0000-0000320E0000}"/>
    <cellStyle name="40% - Accent6 3 2 3 3" xfId="20212" xr:uid="{00000000-0005-0000-0000-0000330E0000}"/>
    <cellStyle name="40% - Accent6 3 2 3 3 2" xfId="40132" xr:uid="{00000000-0005-0000-0000-0000340E0000}"/>
    <cellStyle name="40% - Accent6 3 2 3 4" xfId="27827" xr:uid="{00000000-0005-0000-0000-0000350E0000}"/>
    <cellStyle name="40% - Accent6 3 2 4" xfId="10994" xr:uid="{00000000-0005-0000-0000-0000360E0000}"/>
    <cellStyle name="40% - Accent6 3 2 4 2" xfId="30914" xr:uid="{00000000-0005-0000-0000-0000370E0000}"/>
    <cellStyle name="40% - Accent6 3 2 5" xfId="17146" xr:uid="{00000000-0005-0000-0000-0000380E0000}"/>
    <cellStyle name="40% - Accent6 3 2 5 2" xfId="37066" xr:uid="{00000000-0005-0000-0000-0000390E0000}"/>
    <cellStyle name="40% - Accent6 3 2 6" xfId="4690" xr:uid="{00000000-0005-0000-0000-00003A0E0000}"/>
    <cellStyle name="40% - Accent6 3 2 6 2" xfId="24761" xr:uid="{00000000-0005-0000-0000-00003B0E0000}"/>
    <cellStyle name="40% - Accent6 3 2 7" xfId="23720" xr:uid="{00000000-0005-0000-0000-00003C0E0000}"/>
    <cellStyle name="40% - Accent6 3 3" xfId="5529" xr:uid="{00000000-0005-0000-0000-00003D0E0000}"/>
    <cellStyle name="40% - Accent6 3 3 2" xfId="8632" xr:uid="{00000000-0005-0000-0000-00003E0E0000}"/>
    <cellStyle name="40% - Accent6 3 3 2 2" xfId="14825" xr:uid="{00000000-0005-0000-0000-00003F0E0000}"/>
    <cellStyle name="40% - Accent6 3 3 2 2 2" xfId="34745" xr:uid="{00000000-0005-0000-0000-0000400E0000}"/>
    <cellStyle name="40% - Accent6 3 3 2 3" xfId="20977" xr:uid="{00000000-0005-0000-0000-0000410E0000}"/>
    <cellStyle name="40% - Accent6 3 3 2 3 2" xfId="40897" xr:uid="{00000000-0005-0000-0000-0000420E0000}"/>
    <cellStyle name="40% - Accent6 3 3 2 4" xfId="28592" xr:uid="{00000000-0005-0000-0000-0000430E0000}"/>
    <cellStyle name="40% - Accent6 3 3 3" xfId="11759" xr:uid="{00000000-0005-0000-0000-0000440E0000}"/>
    <cellStyle name="40% - Accent6 3 3 3 2" xfId="31679" xr:uid="{00000000-0005-0000-0000-0000450E0000}"/>
    <cellStyle name="40% - Accent6 3 3 4" xfId="17911" xr:uid="{00000000-0005-0000-0000-0000460E0000}"/>
    <cellStyle name="40% - Accent6 3 3 4 2" xfId="37831" xr:uid="{00000000-0005-0000-0000-0000470E0000}"/>
    <cellStyle name="40% - Accent6 3 3 5" xfId="25526" xr:uid="{00000000-0005-0000-0000-0000480E0000}"/>
    <cellStyle name="40% - Accent6 3 4" xfId="7097" xr:uid="{00000000-0005-0000-0000-0000490E0000}"/>
    <cellStyle name="40% - Accent6 3 4 2" xfId="13291" xr:uid="{00000000-0005-0000-0000-00004A0E0000}"/>
    <cellStyle name="40% - Accent6 3 4 2 2" xfId="33211" xr:uid="{00000000-0005-0000-0000-00004B0E0000}"/>
    <cellStyle name="40% - Accent6 3 4 3" xfId="19443" xr:uid="{00000000-0005-0000-0000-00004C0E0000}"/>
    <cellStyle name="40% - Accent6 3 4 3 2" xfId="39363" xr:uid="{00000000-0005-0000-0000-00004D0E0000}"/>
    <cellStyle name="40% - Accent6 3 4 4" xfId="27058" xr:uid="{00000000-0005-0000-0000-00004E0E0000}"/>
    <cellStyle name="40% - Accent6 3 5" xfId="10225" xr:uid="{00000000-0005-0000-0000-00004F0E0000}"/>
    <cellStyle name="40% - Accent6 3 5 2" xfId="30145" xr:uid="{00000000-0005-0000-0000-0000500E0000}"/>
    <cellStyle name="40% - Accent6 3 6" xfId="16377" xr:uid="{00000000-0005-0000-0000-0000510E0000}"/>
    <cellStyle name="40% - Accent6 3 6 2" xfId="36297" xr:uid="{00000000-0005-0000-0000-0000520E0000}"/>
    <cellStyle name="40% - Accent6 3 7" xfId="1260" xr:uid="{00000000-0005-0000-0000-0000530E0000}"/>
    <cellStyle name="40% - Accent6 3 7 2" xfId="23992" xr:uid="{00000000-0005-0000-0000-0000540E0000}"/>
    <cellStyle name="40% - Accent6 3 8" xfId="22803" xr:uid="{00000000-0005-0000-0000-0000550E0000}"/>
    <cellStyle name="40% - Accent6 3 8 2" xfId="42714" xr:uid="{00000000-0005-0000-0000-0000560E0000}"/>
    <cellStyle name="40% - Accent6 3 9" xfId="23106" xr:uid="{00000000-0005-0000-0000-0000570E0000}"/>
    <cellStyle name="40% - Accent6 3 9 2" xfId="43017" xr:uid="{00000000-0005-0000-0000-0000580E0000}"/>
    <cellStyle name="40% - Accent6 4" xfId="444" xr:uid="{00000000-0005-0000-0000-0000590E0000}"/>
    <cellStyle name="40% - Accent6 4 10" xfId="23433" xr:uid="{00000000-0005-0000-0000-00005A0E0000}"/>
    <cellStyle name="40% - Accent6 4 2" xfId="854" xr:uid="{00000000-0005-0000-0000-00005B0E0000}"/>
    <cellStyle name="40% - Accent6 4 2 2" xfId="6316" xr:uid="{00000000-0005-0000-0000-00005C0E0000}"/>
    <cellStyle name="40% - Accent6 4 2 2 2" xfId="9402" xr:uid="{00000000-0005-0000-0000-00005D0E0000}"/>
    <cellStyle name="40% - Accent6 4 2 2 2 2" xfId="15595" xr:uid="{00000000-0005-0000-0000-00005E0E0000}"/>
    <cellStyle name="40% - Accent6 4 2 2 2 2 2" xfId="35515" xr:uid="{00000000-0005-0000-0000-00005F0E0000}"/>
    <cellStyle name="40% - Accent6 4 2 2 2 3" xfId="21747" xr:uid="{00000000-0005-0000-0000-0000600E0000}"/>
    <cellStyle name="40% - Accent6 4 2 2 2 3 2" xfId="41667" xr:uid="{00000000-0005-0000-0000-0000610E0000}"/>
    <cellStyle name="40% - Accent6 4 2 2 2 4" xfId="29362" xr:uid="{00000000-0005-0000-0000-0000620E0000}"/>
    <cellStyle name="40% - Accent6 4 2 2 3" xfId="12529" xr:uid="{00000000-0005-0000-0000-0000630E0000}"/>
    <cellStyle name="40% - Accent6 4 2 2 3 2" xfId="32449" xr:uid="{00000000-0005-0000-0000-0000640E0000}"/>
    <cellStyle name="40% - Accent6 4 2 2 4" xfId="18681" xr:uid="{00000000-0005-0000-0000-0000650E0000}"/>
    <cellStyle name="40% - Accent6 4 2 2 4 2" xfId="38601" xr:uid="{00000000-0005-0000-0000-0000660E0000}"/>
    <cellStyle name="40% - Accent6 4 2 2 5" xfId="26296" xr:uid="{00000000-0005-0000-0000-0000670E0000}"/>
    <cellStyle name="40% - Accent6 4 2 3" xfId="7867" xr:uid="{00000000-0005-0000-0000-0000680E0000}"/>
    <cellStyle name="40% - Accent6 4 2 3 2" xfId="14061" xr:uid="{00000000-0005-0000-0000-0000690E0000}"/>
    <cellStyle name="40% - Accent6 4 2 3 2 2" xfId="33981" xr:uid="{00000000-0005-0000-0000-00006A0E0000}"/>
    <cellStyle name="40% - Accent6 4 2 3 3" xfId="20213" xr:uid="{00000000-0005-0000-0000-00006B0E0000}"/>
    <cellStyle name="40% - Accent6 4 2 3 3 2" xfId="40133" xr:uid="{00000000-0005-0000-0000-00006C0E0000}"/>
    <cellStyle name="40% - Accent6 4 2 3 4" xfId="27828" xr:uid="{00000000-0005-0000-0000-00006D0E0000}"/>
    <cellStyle name="40% - Accent6 4 2 4" xfId="10995" xr:uid="{00000000-0005-0000-0000-00006E0E0000}"/>
    <cellStyle name="40% - Accent6 4 2 4 2" xfId="30915" xr:uid="{00000000-0005-0000-0000-00006F0E0000}"/>
    <cellStyle name="40% - Accent6 4 2 5" xfId="17147" xr:uid="{00000000-0005-0000-0000-0000700E0000}"/>
    <cellStyle name="40% - Accent6 4 2 5 2" xfId="37067" xr:uid="{00000000-0005-0000-0000-0000710E0000}"/>
    <cellStyle name="40% - Accent6 4 2 6" xfId="4691" xr:uid="{00000000-0005-0000-0000-0000720E0000}"/>
    <cellStyle name="40% - Accent6 4 2 6 2" xfId="24762" xr:uid="{00000000-0005-0000-0000-0000730E0000}"/>
    <cellStyle name="40% - Accent6 4 2 7" xfId="23736" xr:uid="{00000000-0005-0000-0000-0000740E0000}"/>
    <cellStyle name="40% - Accent6 4 3" xfId="5530" xr:uid="{00000000-0005-0000-0000-0000750E0000}"/>
    <cellStyle name="40% - Accent6 4 3 2" xfId="8633" xr:uid="{00000000-0005-0000-0000-0000760E0000}"/>
    <cellStyle name="40% - Accent6 4 3 2 2" xfId="14826" xr:uid="{00000000-0005-0000-0000-0000770E0000}"/>
    <cellStyle name="40% - Accent6 4 3 2 2 2" xfId="34746" xr:uid="{00000000-0005-0000-0000-0000780E0000}"/>
    <cellStyle name="40% - Accent6 4 3 2 3" xfId="20978" xr:uid="{00000000-0005-0000-0000-0000790E0000}"/>
    <cellStyle name="40% - Accent6 4 3 2 3 2" xfId="40898" xr:uid="{00000000-0005-0000-0000-00007A0E0000}"/>
    <cellStyle name="40% - Accent6 4 3 2 4" xfId="28593" xr:uid="{00000000-0005-0000-0000-00007B0E0000}"/>
    <cellStyle name="40% - Accent6 4 3 3" xfId="11760" xr:uid="{00000000-0005-0000-0000-00007C0E0000}"/>
    <cellStyle name="40% - Accent6 4 3 3 2" xfId="31680" xr:uid="{00000000-0005-0000-0000-00007D0E0000}"/>
    <cellStyle name="40% - Accent6 4 3 4" xfId="17912" xr:uid="{00000000-0005-0000-0000-00007E0E0000}"/>
    <cellStyle name="40% - Accent6 4 3 4 2" xfId="37832" xr:uid="{00000000-0005-0000-0000-00007F0E0000}"/>
    <cellStyle name="40% - Accent6 4 3 5" xfId="25527" xr:uid="{00000000-0005-0000-0000-0000800E0000}"/>
    <cellStyle name="40% - Accent6 4 4" xfId="7098" xr:uid="{00000000-0005-0000-0000-0000810E0000}"/>
    <cellStyle name="40% - Accent6 4 4 2" xfId="13292" xr:uid="{00000000-0005-0000-0000-0000820E0000}"/>
    <cellStyle name="40% - Accent6 4 4 2 2" xfId="33212" xr:uid="{00000000-0005-0000-0000-0000830E0000}"/>
    <cellStyle name="40% - Accent6 4 4 3" xfId="19444" xr:uid="{00000000-0005-0000-0000-0000840E0000}"/>
    <cellStyle name="40% - Accent6 4 4 3 2" xfId="39364" xr:uid="{00000000-0005-0000-0000-0000850E0000}"/>
    <cellStyle name="40% - Accent6 4 4 4" xfId="27059" xr:uid="{00000000-0005-0000-0000-0000860E0000}"/>
    <cellStyle name="40% - Accent6 4 5" xfId="10226" xr:uid="{00000000-0005-0000-0000-0000870E0000}"/>
    <cellStyle name="40% - Accent6 4 5 2" xfId="30146" xr:uid="{00000000-0005-0000-0000-0000880E0000}"/>
    <cellStyle name="40% - Accent6 4 6" xfId="16378" xr:uid="{00000000-0005-0000-0000-0000890E0000}"/>
    <cellStyle name="40% - Accent6 4 6 2" xfId="36298" xr:uid="{00000000-0005-0000-0000-00008A0E0000}"/>
    <cellStyle name="40% - Accent6 4 7" xfId="1261" xr:uid="{00000000-0005-0000-0000-00008B0E0000}"/>
    <cellStyle name="40% - Accent6 4 7 2" xfId="23993" xr:uid="{00000000-0005-0000-0000-00008C0E0000}"/>
    <cellStyle name="40% - Accent6 4 8" xfId="22819" xr:uid="{00000000-0005-0000-0000-00008D0E0000}"/>
    <cellStyle name="40% - Accent6 4 8 2" xfId="42730" xr:uid="{00000000-0005-0000-0000-00008E0E0000}"/>
    <cellStyle name="40% - Accent6 4 9" xfId="23122" xr:uid="{00000000-0005-0000-0000-00008F0E0000}"/>
    <cellStyle name="40% - Accent6 4 9 2" xfId="43033" xr:uid="{00000000-0005-0000-0000-0000900E0000}"/>
    <cellStyle name="40% - Accent6 5" xfId="470" xr:uid="{00000000-0005-0000-0000-0000910E0000}"/>
    <cellStyle name="40% - Accent6 5 10" xfId="23138" xr:uid="{00000000-0005-0000-0000-0000920E0000}"/>
    <cellStyle name="40% - Accent6 5 10 2" xfId="43049" xr:uid="{00000000-0005-0000-0000-0000930E0000}"/>
    <cellStyle name="40% - Accent6 5 11" xfId="23449" xr:uid="{00000000-0005-0000-0000-0000940E0000}"/>
    <cellStyle name="40% - Accent6 5 2" xfId="870" xr:uid="{00000000-0005-0000-0000-0000950E0000}"/>
    <cellStyle name="40% - Accent6 5 2 2" xfId="6317" xr:uid="{00000000-0005-0000-0000-0000960E0000}"/>
    <cellStyle name="40% - Accent6 5 2 2 2" xfId="9403" xr:uid="{00000000-0005-0000-0000-0000970E0000}"/>
    <cellStyle name="40% - Accent6 5 2 2 2 2" xfId="15596" xr:uid="{00000000-0005-0000-0000-0000980E0000}"/>
    <cellStyle name="40% - Accent6 5 2 2 2 2 2" xfId="35516" xr:uid="{00000000-0005-0000-0000-0000990E0000}"/>
    <cellStyle name="40% - Accent6 5 2 2 2 3" xfId="21748" xr:uid="{00000000-0005-0000-0000-00009A0E0000}"/>
    <cellStyle name="40% - Accent6 5 2 2 2 3 2" xfId="41668" xr:uid="{00000000-0005-0000-0000-00009B0E0000}"/>
    <cellStyle name="40% - Accent6 5 2 2 2 4" xfId="29363" xr:uid="{00000000-0005-0000-0000-00009C0E0000}"/>
    <cellStyle name="40% - Accent6 5 2 2 3" xfId="12530" xr:uid="{00000000-0005-0000-0000-00009D0E0000}"/>
    <cellStyle name="40% - Accent6 5 2 2 3 2" xfId="32450" xr:uid="{00000000-0005-0000-0000-00009E0E0000}"/>
    <cellStyle name="40% - Accent6 5 2 2 4" xfId="18682" xr:uid="{00000000-0005-0000-0000-00009F0E0000}"/>
    <cellStyle name="40% - Accent6 5 2 2 4 2" xfId="38602" xr:uid="{00000000-0005-0000-0000-0000A00E0000}"/>
    <cellStyle name="40% - Accent6 5 2 2 5" xfId="26297" xr:uid="{00000000-0005-0000-0000-0000A10E0000}"/>
    <cellStyle name="40% - Accent6 5 2 3" xfId="7868" xr:uid="{00000000-0005-0000-0000-0000A20E0000}"/>
    <cellStyle name="40% - Accent6 5 2 3 2" xfId="14062" xr:uid="{00000000-0005-0000-0000-0000A30E0000}"/>
    <cellStyle name="40% - Accent6 5 2 3 2 2" xfId="33982" xr:uid="{00000000-0005-0000-0000-0000A40E0000}"/>
    <cellStyle name="40% - Accent6 5 2 3 3" xfId="20214" xr:uid="{00000000-0005-0000-0000-0000A50E0000}"/>
    <cellStyle name="40% - Accent6 5 2 3 3 2" xfId="40134" xr:uid="{00000000-0005-0000-0000-0000A60E0000}"/>
    <cellStyle name="40% - Accent6 5 2 3 4" xfId="27829" xr:uid="{00000000-0005-0000-0000-0000A70E0000}"/>
    <cellStyle name="40% - Accent6 5 2 4" xfId="10996" xr:uid="{00000000-0005-0000-0000-0000A80E0000}"/>
    <cellStyle name="40% - Accent6 5 2 4 2" xfId="30916" xr:uid="{00000000-0005-0000-0000-0000A90E0000}"/>
    <cellStyle name="40% - Accent6 5 2 5" xfId="17148" xr:uid="{00000000-0005-0000-0000-0000AA0E0000}"/>
    <cellStyle name="40% - Accent6 5 2 5 2" xfId="37068" xr:uid="{00000000-0005-0000-0000-0000AB0E0000}"/>
    <cellStyle name="40% - Accent6 5 2 6" xfId="4692" xr:uid="{00000000-0005-0000-0000-0000AC0E0000}"/>
    <cellStyle name="40% - Accent6 5 2 6 2" xfId="24763" xr:uid="{00000000-0005-0000-0000-0000AD0E0000}"/>
    <cellStyle name="40% - Accent6 5 2 7" xfId="23752" xr:uid="{00000000-0005-0000-0000-0000AE0E0000}"/>
    <cellStyle name="40% - Accent6 5 3" xfId="5531" xr:uid="{00000000-0005-0000-0000-0000AF0E0000}"/>
    <cellStyle name="40% - Accent6 5 3 2" xfId="8634" xr:uid="{00000000-0005-0000-0000-0000B00E0000}"/>
    <cellStyle name="40% - Accent6 5 3 2 2" xfId="14827" xr:uid="{00000000-0005-0000-0000-0000B10E0000}"/>
    <cellStyle name="40% - Accent6 5 3 2 2 2" xfId="34747" xr:uid="{00000000-0005-0000-0000-0000B20E0000}"/>
    <cellStyle name="40% - Accent6 5 3 2 3" xfId="20979" xr:uid="{00000000-0005-0000-0000-0000B30E0000}"/>
    <cellStyle name="40% - Accent6 5 3 2 3 2" xfId="40899" xr:uid="{00000000-0005-0000-0000-0000B40E0000}"/>
    <cellStyle name="40% - Accent6 5 3 2 4" xfId="28594" xr:uid="{00000000-0005-0000-0000-0000B50E0000}"/>
    <cellStyle name="40% - Accent6 5 3 3" xfId="11761" xr:uid="{00000000-0005-0000-0000-0000B60E0000}"/>
    <cellStyle name="40% - Accent6 5 3 3 2" xfId="31681" xr:uid="{00000000-0005-0000-0000-0000B70E0000}"/>
    <cellStyle name="40% - Accent6 5 3 4" xfId="17913" xr:uid="{00000000-0005-0000-0000-0000B80E0000}"/>
    <cellStyle name="40% - Accent6 5 3 4 2" xfId="37833" xr:uid="{00000000-0005-0000-0000-0000B90E0000}"/>
    <cellStyle name="40% - Accent6 5 3 5" xfId="25528" xr:uid="{00000000-0005-0000-0000-0000BA0E0000}"/>
    <cellStyle name="40% - Accent6 5 4" xfId="7099" xr:uid="{00000000-0005-0000-0000-0000BB0E0000}"/>
    <cellStyle name="40% - Accent6 5 4 2" xfId="13293" xr:uid="{00000000-0005-0000-0000-0000BC0E0000}"/>
    <cellStyle name="40% - Accent6 5 4 2 2" xfId="33213" xr:uid="{00000000-0005-0000-0000-0000BD0E0000}"/>
    <cellStyle name="40% - Accent6 5 4 3" xfId="19445" xr:uid="{00000000-0005-0000-0000-0000BE0E0000}"/>
    <cellStyle name="40% - Accent6 5 4 3 2" xfId="39365" xr:uid="{00000000-0005-0000-0000-0000BF0E0000}"/>
    <cellStyle name="40% - Accent6 5 4 4" xfId="27060" xr:uid="{00000000-0005-0000-0000-0000C00E0000}"/>
    <cellStyle name="40% - Accent6 5 5" xfId="10227" xr:uid="{00000000-0005-0000-0000-0000C10E0000}"/>
    <cellStyle name="40% - Accent6 5 5 2" xfId="30147" xr:uid="{00000000-0005-0000-0000-0000C20E0000}"/>
    <cellStyle name="40% - Accent6 5 6" xfId="16379" xr:uid="{00000000-0005-0000-0000-0000C30E0000}"/>
    <cellStyle name="40% - Accent6 5 6 2" xfId="36299" xr:uid="{00000000-0005-0000-0000-0000C40E0000}"/>
    <cellStyle name="40% - Accent6 5 7" xfId="1262" xr:uid="{00000000-0005-0000-0000-0000C50E0000}"/>
    <cellStyle name="40% - Accent6 5 7 2" xfId="23994" xr:uid="{00000000-0005-0000-0000-0000C60E0000}"/>
    <cellStyle name="40% - Accent6 5 8" xfId="22601" xr:uid="{00000000-0005-0000-0000-0000C70E0000}"/>
    <cellStyle name="40% - Accent6 5 8 2" xfId="42512" xr:uid="{00000000-0005-0000-0000-0000C80E0000}"/>
    <cellStyle name="40% - Accent6 5 9" xfId="22835" xr:uid="{00000000-0005-0000-0000-0000C90E0000}"/>
    <cellStyle name="40% - Accent6 5 9 2" xfId="42746" xr:uid="{00000000-0005-0000-0000-0000CA0E0000}"/>
    <cellStyle name="40% - Accent6 6" xfId="497" xr:uid="{00000000-0005-0000-0000-0000CB0E0000}"/>
    <cellStyle name="40% - Accent6 6 2" xfId="886" xr:uid="{00000000-0005-0000-0000-0000CC0E0000}"/>
    <cellStyle name="40% - Accent6 6 2 2" xfId="23768" xr:uid="{00000000-0005-0000-0000-0000CD0E0000}"/>
    <cellStyle name="40% - Accent6 6 3" xfId="1263" xr:uid="{00000000-0005-0000-0000-0000CE0E0000}"/>
    <cellStyle name="40% - Accent6 6 4" xfId="22497" xr:uid="{00000000-0005-0000-0000-0000CF0E0000}"/>
    <cellStyle name="40% - Accent6 6 4 2" xfId="42408" xr:uid="{00000000-0005-0000-0000-0000D00E0000}"/>
    <cellStyle name="40% - Accent6 6 5" xfId="22851" xr:uid="{00000000-0005-0000-0000-0000D10E0000}"/>
    <cellStyle name="40% - Accent6 6 5 2" xfId="42762" xr:uid="{00000000-0005-0000-0000-0000D20E0000}"/>
    <cellStyle name="40% - Accent6 6 6" xfId="23154" xr:uid="{00000000-0005-0000-0000-0000D30E0000}"/>
    <cellStyle name="40% - Accent6 6 6 2" xfId="43065" xr:uid="{00000000-0005-0000-0000-0000D40E0000}"/>
    <cellStyle name="40% - Accent6 6 7" xfId="23465" xr:uid="{00000000-0005-0000-0000-0000D50E0000}"/>
    <cellStyle name="40% - Accent6 7" xfId="521" xr:uid="{00000000-0005-0000-0000-0000D60E0000}"/>
    <cellStyle name="40% - Accent6 7 2" xfId="902" xr:uid="{00000000-0005-0000-0000-0000D70E0000}"/>
    <cellStyle name="40% - Accent6 7 2 2" xfId="23784" xr:uid="{00000000-0005-0000-0000-0000D80E0000}"/>
    <cellStyle name="40% - Accent6 7 3" xfId="22666" xr:uid="{00000000-0005-0000-0000-0000D90E0000}"/>
    <cellStyle name="40% - Accent6 7 3 2" xfId="42577" xr:uid="{00000000-0005-0000-0000-0000DA0E0000}"/>
    <cellStyle name="40% - Accent6 7 4" xfId="22867" xr:uid="{00000000-0005-0000-0000-0000DB0E0000}"/>
    <cellStyle name="40% - Accent6 7 4 2" xfId="42778" xr:uid="{00000000-0005-0000-0000-0000DC0E0000}"/>
    <cellStyle name="40% - Accent6 7 5" xfId="23170" xr:uid="{00000000-0005-0000-0000-0000DD0E0000}"/>
    <cellStyle name="40% - Accent6 7 5 2" xfId="43081" xr:uid="{00000000-0005-0000-0000-0000DE0E0000}"/>
    <cellStyle name="40% - Accent6 7 6" xfId="23481" xr:uid="{00000000-0005-0000-0000-0000DF0E0000}"/>
    <cellStyle name="40% - Accent6 8" xfId="546" xr:uid="{00000000-0005-0000-0000-0000E00E0000}"/>
    <cellStyle name="40% - Accent6 8 2" xfId="918" xr:uid="{00000000-0005-0000-0000-0000E10E0000}"/>
    <cellStyle name="40% - Accent6 8 2 2" xfId="23800" xr:uid="{00000000-0005-0000-0000-0000E20E0000}"/>
    <cellStyle name="40% - Accent6 8 3" xfId="22529" xr:uid="{00000000-0005-0000-0000-0000E30E0000}"/>
    <cellStyle name="40% - Accent6 8 3 2" xfId="42440" xr:uid="{00000000-0005-0000-0000-0000E40E0000}"/>
    <cellStyle name="40% - Accent6 8 4" xfId="22883" xr:uid="{00000000-0005-0000-0000-0000E50E0000}"/>
    <cellStyle name="40% - Accent6 8 4 2" xfId="42794" xr:uid="{00000000-0005-0000-0000-0000E60E0000}"/>
    <cellStyle name="40% - Accent6 8 5" xfId="23186" xr:uid="{00000000-0005-0000-0000-0000E70E0000}"/>
    <cellStyle name="40% - Accent6 8 5 2" xfId="43097" xr:uid="{00000000-0005-0000-0000-0000E80E0000}"/>
    <cellStyle name="40% - Accent6 8 6" xfId="23497" xr:uid="{00000000-0005-0000-0000-0000E90E0000}"/>
    <cellStyle name="40% - Accent6 9" xfId="586" xr:uid="{00000000-0005-0000-0000-0000EA0E0000}"/>
    <cellStyle name="40% - Accent6 9 2" xfId="934" xr:uid="{00000000-0005-0000-0000-0000EB0E0000}"/>
    <cellStyle name="40% - Accent6 9 2 2" xfId="23816" xr:uid="{00000000-0005-0000-0000-0000EC0E0000}"/>
    <cellStyle name="40% - Accent6 9 3" xfId="22474" xr:uid="{00000000-0005-0000-0000-0000ED0E0000}"/>
    <cellStyle name="40% - Accent6 9 3 2" xfId="42385" xr:uid="{00000000-0005-0000-0000-0000EE0E0000}"/>
    <cellStyle name="40% - Accent6 9 4" xfId="22899" xr:uid="{00000000-0005-0000-0000-0000EF0E0000}"/>
    <cellStyle name="40% - Accent6 9 4 2" xfId="42810" xr:uid="{00000000-0005-0000-0000-0000F00E0000}"/>
    <cellStyle name="40% - Accent6 9 5" xfId="23202" xr:uid="{00000000-0005-0000-0000-0000F10E0000}"/>
    <cellStyle name="40% - Accent6 9 5 2" xfId="43113" xr:uid="{00000000-0005-0000-0000-0000F20E0000}"/>
    <cellStyle name="40% - Accent6 9 6" xfId="23513" xr:uid="{00000000-0005-0000-0000-0000F30E0000}"/>
    <cellStyle name="60% - Accent1" xfId="64" builtinId="32" customBuiltin="1"/>
    <cellStyle name="60% - Accent1 2" xfId="1264" xr:uid="{00000000-0005-0000-0000-0000F50E0000}"/>
    <cellStyle name="60% - Accent1 3" xfId="1265" xr:uid="{00000000-0005-0000-0000-0000F60E0000}"/>
    <cellStyle name="60% - Accent1 4" xfId="1266" xr:uid="{00000000-0005-0000-0000-0000F70E0000}"/>
    <cellStyle name="60% - Accent1 5" xfId="1267" xr:uid="{00000000-0005-0000-0000-0000F80E0000}"/>
    <cellStyle name="60% - Accent1 6" xfId="1268" xr:uid="{00000000-0005-0000-0000-0000F90E0000}"/>
    <cellStyle name="60% - Accent2" xfId="68" builtinId="36" customBuiltin="1"/>
    <cellStyle name="60% - Accent2 2" xfId="1269" xr:uid="{00000000-0005-0000-0000-0000FB0E0000}"/>
    <cellStyle name="60% - Accent2 3" xfId="1270" xr:uid="{00000000-0005-0000-0000-0000FC0E0000}"/>
    <cellStyle name="60% - Accent2 4" xfId="1271" xr:uid="{00000000-0005-0000-0000-0000FD0E0000}"/>
    <cellStyle name="60% - Accent2 5" xfId="1272" xr:uid="{00000000-0005-0000-0000-0000FE0E0000}"/>
    <cellStyle name="60% - Accent3" xfId="72" builtinId="40" customBuiltin="1"/>
    <cellStyle name="60% - Accent3 2" xfId="1273" xr:uid="{00000000-0005-0000-0000-0000000F0000}"/>
    <cellStyle name="60% - Accent3 3" xfId="1274" xr:uid="{00000000-0005-0000-0000-0000010F0000}"/>
    <cellStyle name="60% - Accent3 4" xfId="1275" xr:uid="{00000000-0005-0000-0000-0000020F0000}"/>
    <cellStyle name="60% - Accent3 5" xfId="1276" xr:uid="{00000000-0005-0000-0000-0000030F0000}"/>
    <cellStyle name="60% - Accent3 6" xfId="1277" xr:uid="{00000000-0005-0000-0000-0000040F0000}"/>
    <cellStyle name="60% - Accent4" xfId="76" builtinId="44" customBuiltin="1"/>
    <cellStyle name="60% - Accent4 2" xfId="1278" xr:uid="{00000000-0005-0000-0000-0000060F0000}"/>
    <cellStyle name="60% - Accent4 3" xfId="1279" xr:uid="{00000000-0005-0000-0000-0000070F0000}"/>
    <cellStyle name="60% - Accent4 4" xfId="1280" xr:uid="{00000000-0005-0000-0000-0000080F0000}"/>
    <cellStyle name="60% - Accent4 5" xfId="1281" xr:uid="{00000000-0005-0000-0000-0000090F0000}"/>
    <cellStyle name="60% - Accent4 6" xfId="1282" xr:uid="{00000000-0005-0000-0000-00000A0F0000}"/>
    <cellStyle name="60% - Accent5" xfId="80" builtinId="48" customBuiltin="1"/>
    <cellStyle name="60% - Accent5 2" xfId="1283" xr:uid="{00000000-0005-0000-0000-00000C0F0000}"/>
    <cellStyle name="60% - Accent5 3" xfId="1284" xr:uid="{00000000-0005-0000-0000-00000D0F0000}"/>
    <cellStyle name="60% - Accent5 4" xfId="1285" xr:uid="{00000000-0005-0000-0000-00000E0F0000}"/>
    <cellStyle name="60% - Accent5 5" xfId="1286" xr:uid="{00000000-0005-0000-0000-00000F0F0000}"/>
    <cellStyle name="60% - Accent6" xfId="84" builtinId="52" customBuiltin="1"/>
    <cellStyle name="60% - Accent6 2" xfId="1287" xr:uid="{00000000-0005-0000-0000-0000110F0000}"/>
    <cellStyle name="60% - Accent6 3" xfId="1288" xr:uid="{00000000-0005-0000-0000-0000120F0000}"/>
    <cellStyle name="60% - Accent6 4" xfId="1289" xr:uid="{00000000-0005-0000-0000-0000130F0000}"/>
    <cellStyle name="60% - Accent6 5" xfId="1290" xr:uid="{00000000-0005-0000-0000-0000140F0000}"/>
    <cellStyle name="60% - Accent6 6" xfId="1291" xr:uid="{00000000-0005-0000-0000-0000150F0000}"/>
    <cellStyle name="Accent1" xfId="61" builtinId="29" customBuiltin="1"/>
    <cellStyle name="Accent1 2" xfId="1292" xr:uid="{00000000-0005-0000-0000-0000170F0000}"/>
    <cellStyle name="Accent1 3" xfId="1293" xr:uid="{00000000-0005-0000-0000-0000180F0000}"/>
    <cellStyle name="Accent1 4" xfId="1294" xr:uid="{00000000-0005-0000-0000-0000190F0000}"/>
    <cellStyle name="Accent1 5" xfId="1295" xr:uid="{00000000-0005-0000-0000-00001A0F0000}"/>
    <cellStyle name="Accent1 6" xfId="1296" xr:uid="{00000000-0005-0000-0000-00001B0F0000}"/>
    <cellStyle name="Accent2" xfId="65" builtinId="33" customBuiltin="1"/>
    <cellStyle name="Accent2 2" xfId="1297" xr:uid="{00000000-0005-0000-0000-00001D0F0000}"/>
    <cellStyle name="Accent2 3" xfId="1298" xr:uid="{00000000-0005-0000-0000-00001E0F0000}"/>
    <cellStyle name="Accent2 4" xfId="1299" xr:uid="{00000000-0005-0000-0000-00001F0F0000}"/>
    <cellStyle name="Accent2 5" xfId="1300" xr:uid="{00000000-0005-0000-0000-0000200F0000}"/>
    <cellStyle name="Accent2 6" xfId="1301" xr:uid="{00000000-0005-0000-0000-0000210F0000}"/>
    <cellStyle name="Accent3" xfId="69" builtinId="37" customBuiltin="1"/>
    <cellStyle name="Accent3 2" xfId="1302" xr:uid="{00000000-0005-0000-0000-0000230F0000}"/>
    <cellStyle name="Accent3 3" xfId="1303" xr:uid="{00000000-0005-0000-0000-0000240F0000}"/>
    <cellStyle name="Accent3 4" xfId="1304" xr:uid="{00000000-0005-0000-0000-0000250F0000}"/>
    <cellStyle name="Accent3 5" xfId="1305" xr:uid="{00000000-0005-0000-0000-0000260F0000}"/>
    <cellStyle name="Accent3 6" xfId="1306" xr:uid="{00000000-0005-0000-0000-0000270F0000}"/>
    <cellStyle name="Accent4" xfId="73" builtinId="41" customBuiltin="1"/>
    <cellStyle name="Accent4 2" xfId="1307" xr:uid="{00000000-0005-0000-0000-0000290F0000}"/>
    <cellStyle name="Accent4 3" xfId="1308" xr:uid="{00000000-0005-0000-0000-00002A0F0000}"/>
    <cellStyle name="Accent4 4" xfId="1309" xr:uid="{00000000-0005-0000-0000-00002B0F0000}"/>
    <cellStyle name="Accent4 5" xfId="1310" xr:uid="{00000000-0005-0000-0000-00002C0F0000}"/>
    <cellStyle name="Accent4 6" xfId="1311" xr:uid="{00000000-0005-0000-0000-00002D0F0000}"/>
    <cellStyle name="Accent5" xfId="77" builtinId="45" customBuiltin="1"/>
    <cellStyle name="Accent5 2" xfId="1312" xr:uid="{00000000-0005-0000-0000-00002F0F0000}"/>
    <cellStyle name="Accent5 3" xfId="1313" xr:uid="{00000000-0005-0000-0000-0000300F0000}"/>
    <cellStyle name="Accent5 4" xfId="1314" xr:uid="{00000000-0005-0000-0000-0000310F0000}"/>
    <cellStyle name="Accent5 5" xfId="1315" xr:uid="{00000000-0005-0000-0000-0000320F0000}"/>
    <cellStyle name="Accent6" xfId="81" builtinId="49" customBuiltin="1"/>
    <cellStyle name="Accent6 2" xfId="1316" xr:uid="{00000000-0005-0000-0000-0000340F0000}"/>
    <cellStyle name="Accent6 3" xfId="1317" xr:uid="{00000000-0005-0000-0000-0000350F0000}"/>
    <cellStyle name="Accent6 4" xfId="1318" xr:uid="{00000000-0005-0000-0000-0000360F0000}"/>
    <cellStyle name="Accent6 5" xfId="1319" xr:uid="{00000000-0005-0000-0000-0000370F0000}"/>
    <cellStyle name="alarm" xfId="1320" xr:uid="{00000000-0005-0000-0000-0000380F0000}"/>
    <cellStyle name="assumption" xfId="1321" xr:uid="{00000000-0005-0000-0000-0000390F0000}"/>
    <cellStyle name="assumption 2" xfId="1322" xr:uid="{00000000-0005-0000-0000-00003A0F0000}"/>
    <cellStyle name="Bad" xfId="51" builtinId="27" customBuiltin="1"/>
    <cellStyle name="Bad 2" xfId="1323" xr:uid="{00000000-0005-0000-0000-00003C0F0000}"/>
    <cellStyle name="Bad 3" xfId="1324" xr:uid="{00000000-0005-0000-0000-00003D0F0000}"/>
    <cellStyle name="Bad 4" xfId="1325" xr:uid="{00000000-0005-0000-0000-00003E0F0000}"/>
    <cellStyle name="Bad 5" xfId="1326" xr:uid="{00000000-0005-0000-0000-00003F0F0000}"/>
    <cellStyle name="Bad 6" xfId="1327" xr:uid="{00000000-0005-0000-0000-0000400F0000}"/>
    <cellStyle name="Blank" xfId="1328" xr:uid="{00000000-0005-0000-0000-0000410F0000}"/>
    <cellStyle name="Calculation" xfId="55" builtinId="22" customBuiltin="1"/>
    <cellStyle name="Calculation 2" xfId="1329" xr:uid="{00000000-0005-0000-0000-0000430F0000}"/>
    <cellStyle name="Calculation 3" xfId="1330" xr:uid="{00000000-0005-0000-0000-0000440F0000}"/>
    <cellStyle name="Calculation 4" xfId="1331" xr:uid="{00000000-0005-0000-0000-0000450F0000}"/>
    <cellStyle name="Calculation 5" xfId="1332" xr:uid="{00000000-0005-0000-0000-0000460F0000}"/>
    <cellStyle name="Calculation 6" xfId="1333" xr:uid="{00000000-0005-0000-0000-0000470F0000}"/>
    <cellStyle name="Calculation 6 2" xfId="5396" xr:uid="{00000000-0005-0000-0000-0000480F0000}"/>
    <cellStyle name="Calculation 6 2 2" xfId="7018" xr:uid="{00000000-0005-0000-0000-0000490F0000}"/>
    <cellStyle name="Calculation 6 3" xfId="5438" xr:uid="{00000000-0005-0000-0000-00004A0F0000}"/>
    <cellStyle name="Calculation 6 3 2" xfId="6150" xr:uid="{00000000-0005-0000-0000-00004B0F0000}"/>
    <cellStyle name="Calculation 6 4" xfId="5409" xr:uid="{00000000-0005-0000-0000-00004C0F0000}"/>
    <cellStyle name="Calculation 6 4 2" xfId="6087" xr:uid="{00000000-0005-0000-0000-00004D0F0000}"/>
    <cellStyle name="Calculation 6 5" xfId="5390" xr:uid="{00000000-0005-0000-0000-00004E0F0000}"/>
    <cellStyle name="Calculation 6 5 2" xfId="6084" xr:uid="{00000000-0005-0000-0000-00004F0F0000}"/>
    <cellStyle name="Calculation 6 6" xfId="7021" xr:uid="{00000000-0005-0000-0000-0000500F0000}"/>
    <cellStyle name="Centered Heading" xfId="1334" xr:uid="{00000000-0005-0000-0000-0000510F0000}"/>
    <cellStyle name="Centered Heading 2" xfId="1335" xr:uid="{00000000-0005-0000-0000-0000520F0000}"/>
    <cellStyle name="Centered Heading 3" xfId="1336" xr:uid="{00000000-0005-0000-0000-0000530F0000}"/>
    <cellStyle name="Check Cell" xfId="57" builtinId="23" customBuiltin="1"/>
    <cellStyle name="Check Cell 2" xfId="1337" xr:uid="{00000000-0005-0000-0000-0000550F0000}"/>
    <cellStyle name="Check Cell 3" xfId="1338" xr:uid="{00000000-0005-0000-0000-0000560F0000}"/>
    <cellStyle name="Check Cell 4" xfId="1339" xr:uid="{00000000-0005-0000-0000-0000570F0000}"/>
    <cellStyle name="Check Cell 5" xfId="1340" xr:uid="{00000000-0005-0000-0000-0000580F0000}"/>
    <cellStyle name="Column Header" xfId="1341" xr:uid="{00000000-0005-0000-0000-0000590F0000}"/>
    <cellStyle name="ColumnAttributeAbovePrompt" xfId="1073" xr:uid="{00000000-0005-0000-0000-00005A0F0000}"/>
    <cellStyle name="ColumnAttributePrompt" xfId="1074" xr:uid="{00000000-0005-0000-0000-00005B0F0000}"/>
    <cellStyle name="ColumnAttributeValue" xfId="1075" xr:uid="{00000000-0005-0000-0000-00005C0F0000}"/>
    <cellStyle name="ColumnHeadingPrompt" xfId="1076" xr:uid="{00000000-0005-0000-0000-00005D0F0000}"/>
    <cellStyle name="ColumnHeadingValue" xfId="1077" xr:uid="{00000000-0005-0000-0000-00005E0F0000}"/>
    <cellStyle name="Comma" xfId="1" builtinId="3"/>
    <cellStyle name="Comma [0] 2" xfId="10" xr:uid="{00000000-0005-0000-0000-0000600F0000}"/>
    <cellStyle name="Comma [0] 2 2" xfId="4510" xr:uid="{00000000-0005-0000-0000-0000610F0000}"/>
    <cellStyle name="Comma [0] 2 3" xfId="1202" xr:uid="{00000000-0005-0000-0000-0000620F0000}"/>
    <cellStyle name="Comma [0] 3" xfId="1078" xr:uid="{00000000-0005-0000-0000-0000630F0000}"/>
    <cellStyle name="Comma [0] 4" xfId="1171" xr:uid="{00000000-0005-0000-0000-0000640F0000}"/>
    <cellStyle name="Comma [0] 5" xfId="4507" xr:uid="{00000000-0005-0000-0000-0000650F0000}"/>
    <cellStyle name="Comma [0] 6" xfId="4615" xr:uid="{00000000-0005-0000-0000-0000660F0000}"/>
    <cellStyle name="Comma [0] 7" xfId="7028" xr:uid="{00000000-0005-0000-0000-0000670F0000}"/>
    <cellStyle name="Comma [0] 8" xfId="10156" xr:uid="{00000000-0005-0000-0000-0000680F0000}"/>
    <cellStyle name="Comma [0] 9" xfId="1064" xr:uid="{00000000-0005-0000-0000-0000690F0000}"/>
    <cellStyle name="Comma 0" xfId="1342" xr:uid="{00000000-0005-0000-0000-00006A0F0000}"/>
    <cellStyle name="Comma 0.0" xfId="1343" xr:uid="{00000000-0005-0000-0000-00006B0F0000}"/>
    <cellStyle name="Comma 0.00" xfId="1344" xr:uid="{00000000-0005-0000-0000-00006C0F0000}"/>
    <cellStyle name="Comma 0.000" xfId="1345" xr:uid="{00000000-0005-0000-0000-00006D0F0000}"/>
    <cellStyle name="Comma 10" xfId="105" xr:uid="{00000000-0005-0000-0000-00006E0F0000}"/>
    <cellStyle name="Comma 10 10" xfId="23335" xr:uid="{00000000-0005-0000-0000-00006F0F0000}"/>
    <cellStyle name="Comma 10 2" xfId="756" xr:uid="{00000000-0005-0000-0000-0000700F0000}"/>
    <cellStyle name="Comma 10 2 2" xfId="1348" xr:uid="{00000000-0005-0000-0000-0000710F0000}"/>
    <cellStyle name="Comma 10 2 3" xfId="1349" xr:uid="{00000000-0005-0000-0000-0000720F0000}"/>
    <cellStyle name="Comma 10 2 4" xfId="1347" xr:uid="{00000000-0005-0000-0000-0000730F0000}"/>
    <cellStyle name="Comma 10 2 5" xfId="23638" xr:uid="{00000000-0005-0000-0000-0000740F0000}"/>
    <cellStyle name="Comma 10 3" xfId="1350" xr:uid="{00000000-0005-0000-0000-0000750F0000}"/>
    <cellStyle name="Comma 10 4" xfId="4596" xr:uid="{00000000-0005-0000-0000-0000760F0000}"/>
    <cellStyle name="Comma 10 5" xfId="1346" xr:uid="{00000000-0005-0000-0000-0000770F0000}"/>
    <cellStyle name="Comma 10 6" xfId="1182" xr:uid="{00000000-0005-0000-0000-0000780F0000}"/>
    <cellStyle name="Comma 10 7" xfId="22576" xr:uid="{00000000-0005-0000-0000-0000790F0000}"/>
    <cellStyle name="Comma 10 7 2" xfId="42487" xr:uid="{00000000-0005-0000-0000-00007A0F0000}"/>
    <cellStyle name="Comma 10 8" xfId="22721" xr:uid="{00000000-0005-0000-0000-00007B0F0000}"/>
    <cellStyle name="Comma 10 8 2" xfId="42632" xr:uid="{00000000-0005-0000-0000-00007C0F0000}"/>
    <cellStyle name="Comma 10 9" xfId="23024" xr:uid="{00000000-0005-0000-0000-00007D0F0000}"/>
    <cellStyle name="Comma 10 9 2" xfId="42935" xr:uid="{00000000-0005-0000-0000-00007E0F0000}"/>
    <cellStyle name="Comma 100" xfId="1351" xr:uid="{00000000-0005-0000-0000-00007F0F0000}"/>
    <cellStyle name="Comma 101" xfId="1352" xr:uid="{00000000-0005-0000-0000-0000800F0000}"/>
    <cellStyle name="Comma 102" xfId="1353" xr:uid="{00000000-0005-0000-0000-0000810F0000}"/>
    <cellStyle name="Comma 103" xfId="1354" xr:uid="{00000000-0005-0000-0000-0000820F0000}"/>
    <cellStyle name="Comma 104" xfId="1355" xr:uid="{00000000-0005-0000-0000-0000830F0000}"/>
    <cellStyle name="Comma 105" xfId="1356" xr:uid="{00000000-0005-0000-0000-0000840F0000}"/>
    <cellStyle name="Comma 106" xfId="1357" xr:uid="{00000000-0005-0000-0000-0000850F0000}"/>
    <cellStyle name="Comma 107" xfId="1358" xr:uid="{00000000-0005-0000-0000-0000860F0000}"/>
    <cellStyle name="Comma 108" xfId="1359" xr:uid="{00000000-0005-0000-0000-0000870F0000}"/>
    <cellStyle name="Comma 109" xfId="1360" xr:uid="{00000000-0005-0000-0000-0000880F0000}"/>
    <cellStyle name="Comma 11" xfId="107" xr:uid="{00000000-0005-0000-0000-0000890F0000}"/>
    <cellStyle name="Comma 11 10" xfId="23026" xr:uid="{00000000-0005-0000-0000-00008A0F0000}"/>
    <cellStyle name="Comma 11 10 2" xfId="42937" xr:uid="{00000000-0005-0000-0000-00008B0F0000}"/>
    <cellStyle name="Comma 11 11" xfId="23337" xr:uid="{00000000-0005-0000-0000-00008C0F0000}"/>
    <cellStyle name="Comma 11 2" xfId="758" xr:uid="{00000000-0005-0000-0000-00008D0F0000}"/>
    <cellStyle name="Comma 11 2 2" xfId="1362" xr:uid="{00000000-0005-0000-0000-00008E0F0000}"/>
    <cellStyle name="Comma 11 2 3" xfId="23640" xr:uid="{00000000-0005-0000-0000-00008F0F0000}"/>
    <cellStyle name="Comma 11 3" xfId="1363" xr:uid="{00000000-0005-0000-0000-0000900F0000}"/>
    <cellStyle name="Comma 11 3 2" xfId="1364" xr:uid="{00000000-0005-0000-0000-0000910F0000}"/>
    <cellStyle name="Comma 11 3 3" xfId="1365" xr:uid="{00000000-0005-0000-0000-0000920F0000}"/>
    <cellStyle name="Comma 11 4" xfId="1366" xr:uid="{00000000-0005-0000-0000-0000930F0000}"/>
    <cellStyle name="Comma 11 5" xfId="4592" xr:uid="{00000000-0005-0000-0000-0000940F0000}"/>
    <cellStyle name="Comma 11 6" xfId="1361" xr:uid="{00000000-0005-0000-0000-0000950F0000}"/>
    <cellStyle name="Comma 11 7" xfId="1178" xr:uid="{00000000-0005-0000-0000-0000960F0000}"/>
    <cellStyle name="Comma 11 8" xfId="22694" xr:uid="{00000000-0005-0000-0000-0000970F0000}"/>
    <cellStyle name="Comma 11 8 2" xfId="42605" xr:uid="{00000000-0005-0000-0000-0000980F0000}"/>
    <cellStyle name="Comma 11 9" xfId="22723" xr:uid="{00000000-0005-0000-0000-0000990F0000}"/>
    <cellStyle name="Comma 11 9 2" xfId="42634" xr:uid="{00000000-0005-0000-0000-00009A0F0000}"/>
    <cellStyle name="Comma 110" xfId="1367" xr:uid="{00000000-0005-0000-0000-00009B0F0000}"/>
    <cellStyle name="Comma 111" xfId="1368" xr:uid="{00000000-0005-0000-0000-00009C0F0000}"/>
    <cellStyle name="Comma 112" xfId="1369" xr:uid="{00000000-0005-0000-0000-00009D0F0000}"/>
    <cellStyle name="Comma 113" xfId="1370" xr:uid="{00000000-0005-0000-0000-00009E0F0000}"/>
    <cellStyle name="Comma 114" xfId="1371" xr:uid="{00000000-0005-0000-0000-00009F0F0000}"/>
    <cellStyle name="Comma 115" xfId="1372" xr:uid="{00000000-0005-0000-0000-0000A00F0000}"/>
    <cellStyle name="Comma 116" xfId="1373" xr:uid="{00000000-0005-0000-0000-0000A10F0000}"/>
    <cellStyle name="Comma 117" xfId="1374" xr:uid="{00000000-0005-0000-0000-0000A20F0000}"/>
    <cellStyle name="Comma 118" xfId="1375" xr:uid="{00000000-0005-0000-0000-0000A30F0000}"/>
    <cellStyle name="Comma 119" xfId="1376" xr:uid="{00000000-0005-0000-0000-0000A40F0000}"/>
    <cellStyle name="Comma 12" xfId="109" xr:uid="{00000000-0005-0000-0000-0000A50F0000}"/>
    <cellStyle name="Comma 12 2" xfId="760" xr:uid="{00000000-0005-0000-0000-0000A60F0000}"/>
    <cellStyle name="Comma 12 2 2" xfId="1379" xr:uid="{00000000-0005-0000-0000-0000A70F0000}"/>
    <cellStyle name="Comma 12 2 3" xfId="1380" xr:uid="{00000000-0005-0000-0000-0000A80F0000}"/>
    <cellStyle name="Comma 12 2 4" xfId="1378" xr:uid="{00000000-0005-0000-0000-0000A90F0000}"/>
    <cellStyle name="Comma 12 2 5" xfId="23642" xr:uid="{00000000-0005-0000-0000-0000AA0F0000}"/>
    <cellStyle name="Comma 12 3" xfId="1381" xr:uid="{00000000-0005-0000-0000-0000AB0F0000}"/>
    <cellStyle name="Comma 12 4" xfId="1377" xr:uid="{00000000-0005-0000-0000-0000AC0F0000}"/>
    <cellStyle name="Comma 12 5" xfId="22627" xr:uid="{00000000-0005-0000-0000-0000AD0F0000}"/>
    <cellStyle name="Comma 12 5 2" xfId="42538" xr:uid="{00000000-0005-0000-0000-0000AE0F0000}"/>
    <cellStyle name="Comma 12 6" xfId="22725" xr:uid="{00000000-0005-0000-0000-0000AF0F0000}"/>
    <cellStyle name="Comma 12 6 2" xfId="42636" xr:uid="{00000000-0005-0000-0000-0000B00F0000}"/>
    <cellStyle name="Comma 12 7" xfId="23028" xr:uid="{00000000-0005-0000-0000-0000B10F0000}"/>
    <cellStyle name="Comma 12 7 2" xfId="42939" xr:uid="{00000000-0005-0000-0000-0000B20F0000}"/>
    <cellStyle name="Comma 12 8" xfId="23339" xr:uid="{00000000-0005-0000-0000-0000B30F0000}"/>
    <cellStyle name="Comma 120" xfId="1382" xr:uid="{00000000-0005-0000-0000-0000B40F0000}"/>
    <cellStyle name="Comma 121" xfId="1383" xr:uid="{00000000-0005-0000-0000-0000B50F0000}"/>
    <cellStyle name="Comma 122" xfId="1384" xr:uid="{00000000-0005-0000-0000-0000B60F0000}"/>
    <cellStyle name="Comma 123" xfId="1385" xr:uid="{00000000-0005-0000-0000-0000B70F0000}"/>
    <cellStyle name="Comma 124" xfId="1386" xr:uid="{00000000-0005-0000-0000-0000B80F0000}"/>
    <cellStyle name="Comma 125" xfId="1387" xr:uid="{00000000-0005-0000-0000-0000B90F0000}"/>
    <cellStyle name="Comma 126" xfId="1388" xr:uid="{00000000-0005-0000-0000-0000BA0F0000}"/>
    <cellStyle name="Comma 127" xfId="1389" xr:uid="{00000000-0005-0000-0000-0000BB0F0000}"/>
    <cellStyle name="Comma 128" xfId="1390" xr:uid="{00000000-0005-0000-0000-0000BC0F0000}"/>
    <cellStyle name="Comma 129" xfId="1391" xr:uid="{00000000-0005-0000-0000-0000BD0F0000}"/>
    <cellStyle name="Comma 13" xfId="110" xr:uid="{00000000-0005-0000-0000-0000BE0F0000}"/>
    <cellStyle name="Comma 13 2" xfId="761" xr:uid="{00000000-0005-0000-0000-0000BF0F0000}"/>
    <cellStyle name="Comma 13 2 2" xfId="1394" xr:uid="{00000000-0005-0000-0000-0000C00F0000}"/>
    <cellStyle name="Comma 13 2 3" xfId="1395" xr:uid="{00000000-0005-0000-0000-0000C10F0000}"/>
    <cellStyle name="Comma 13 2 4" xfId="1393" xr:uid="{00000000-0005-0000-0000-0000C20F0000}"/>
    <cellStyle name="Comma 13 2 5" xfId="23643" xr:uid="{00000000-0005-0000-0000-0000C30F0000}"/>
    <cellStyle name="Comma 13 3" xfId="1392" xr:uid="{00000000-0005-0000-0000-0000C40F0000}"/>
    <cellStyle name="Comma 13 4" xfId="22622" xr:uid="{00000000-0005-0000-0000-0000C50F0000}"/>
    <cellStyle name="Comma 13 4 2" xfId="42533" xr:uid="{00000000-0005-0000-0000-0000C60F0000}"/>
    <cellStyle name="Comma 13 5" xfId="22726" xr:uid="{00000000-0005-0000-0000-0000C70F0000}"/>
    <cellStyle name="Comma 13 5 2" xfId="42637" xr:uid="{00000000-0005-0000-0000-0000C80F0000}"/>
    <cellStyle name="Comma 13 6" xfId="23029" xr:uid="{00000000-0005-0000-0000-0000C90F0000}"/>
    <cellStyle name="Comma 13 6 2" xfId="42940" xr:uid="{00000000-0005-0000-0000-0000CA0F0000}"/>
    <cellStyle name="Comma 13 7" xfId="23340" xr:uid="{00000000-0005-0000-0000-0000CB0F0000}"/>
    <cellStyle name="Comma 130" xfId="1396" xr:uid="{00000000-0005-0000-0000-0000CC0F0000}"/>
    <cellStyle name="Comma 131" xfId="1397" xr:uid="{00000000-0005-0000-0000-0000CD0F0000}"/>
    <cellStyle name="Comma 132" xfId="1398" xr:uid="{00000000-0005-0000-0000-0000CE0F0000}"/>
    <cellStyle name="Comma 133" xfId="1399" xr:uid="{00000000-0005-0000-0000-0000CF0F0000}"/>
    <cellStyle name="Comma 134" xfId="1400" xr:uid="{00000000-0005-0000-0000-0000D00F0000}"/>
    <cellStyle name="Comma 135" xfId="1401" xr:uid="{00000000-0005-0000-0000-0000D10F0000}"/>
    <cellStyle name="Comma 136" xfId="1402" xr:uid="{00000000-0005-0000-0000-0000D20F0000}"/>
    <cellStyle name="Comma 137" xfId="1403" xr:uid="{00000000-0005-0000-0000-0000D30F0000}"/>
    <cellStyle name="Comma 138" xfId="1404" xr:uid="{00000000-0005-0000-0000-0000D40F0000}"/>
    <cellStyle name="Comma 139" xfId="1405" xr:uid="{00000000-0005-0000-0000-0000D50F0000}"/>
    <cellStyle name="Comma 14" xfId="108" xr:uid="{00000000-0005-0000-0000-0000D60F0000}"/>
    <cellStyle name="Comma 14 2" xfId="759" xr:uid="{00000000-0005-0000-0000-0000D70F0000}"/>
    <cellStyle name="Comma 14 2 2" xfId="23641" xr:uid="{00000000-0005-0000-0000-0000D80F0000}"/>
    <cellStyle name="Comma 14 3" xfId="1406" xr:uid="{00000000-0005-0000-0000-0000D90F0000}"/>
    <cellStyle name="Comma 14 4" xfId="22650" xr:uid="{00000000-0005-0000-0000-0000DA0F0000}"/>
    <cellStyle name="Comma 14 4 2" xfId="42561" xr:uid="{00000000-0005-0000-0000-0000DB0F0000}"/>
    <cellStyle name="Comma 14 5" xfId="22724" xr:uid="{00000000-0005-0000-0000-0000DC0F0000}"/>
    <cellStyle name="Comma 14 5 2" xfId="42635" xr:uid="{00000000-0005-0000-0000-0000DD0F0000}"/>
    <cellStyle name="Comma 14 6" xfId="23027" xr:uid="{00000000-0005-0000-0000-0000DE0F0000}"/>
    <cellStyle name="Comma 14 6 2" xfId="42938" xr:uid="{00000000-0005-0000-0000-0000DF0F0000}"/>
    <cellStyle name="Comma 14 7" xfId="23338" xr:uid="{00000000-0005-0000-0000-0000E00F0000}"/>
    <cellStyle name="Comma 140" xfId="1407" xr:uid="{00000000-0005-0000-0000-0000E10F0000}"/>
    <cellStyle name="Comma 141" xfId="1408" xr:uid="{00000000-0005-0000-0000-0000E20F0000}"/>
    <cellStyle name="Comma 141 2" xfId="1409" xr:uid="{00000000-0005-0000-0000-0000E30F0000}"/>
    <cellStyle name="Comma 141 2 2" xfId="1410" xr:uid="{00000000-0005-0000-0000-0000E40F0000}"/>
    <cellStyle name="Comma 141 2 2 2" xfId="1411" xr:uid="{00000000-0005-0000-0000-0000E50F0000}"/>
    <cellStyle name="Comma 141 2 3" xfId="1412" xr:uid="{00000000-0005-0000-0000-0000E60F0000}"/>
    <cellStyle name="Comma 141 3" xfId="1413" xr:uid="{00000000-0005-0000-0000-0000E70F0000}"/>
    <cellStyle name="Comma 141 3 2" xfId="1414" xr:uid="{00000000-0005-0000-0000-0000E80F0000}"/>
    <cellStyle name="Comma 141 4" xfId="1415" xr:uid="{00000000-0005-0000-0000-0000E90F0000}"/>
    <cellStyle name="Comma 141 4 2" xfId="1416" xr:uid="{00000000-0005-0000-0000-0000EA0F0000}"/>
    <cellStyle name="Comma 141 5" xfId="1417" xr:uid="{00000000-0005-0000-0000-0000EB0F0000}"/>
    <cellStyle name="Comma 142" xfId="1418" xr:uid="{00000000-0005-0000-0000-0000EC0F0000}"/>
    <cellStyle name="Comma 142 2" xfId="1419" xr:uid="{00000000-0005-0000-0000-0000ED0F0000}"/>
    <cellStyle name="Comma 142 2 2" xfId="1420" xr:uid="{00000000-0005-0000-0000-0000EE0F0000}"/>
    <cellStyle name="Comma 142 2 2 2" xfId="1421" xr:uid="{00000000-0005-0000-0000-0000EF0F0000}"/>
    <cellStyle name="Comma 142 2 3" xfId="1422" xr:uid="{00000000-0005-0000-0000-0000F00F0000}"/>
    <cellStyle name="Comma 142 3" xfId="1423" xr:uid="{00000000-0005-0000-0000-0000F10F0000}"/>
    <cellStyle name="Comma 142 3 2" xfId="1424" xr:uid="{00000000-0005-0000-0000-0000F20F0000}"/>
    <cellStyle name="Comma 142 4" xfId="1425" xr:uid="{00000000-0005-0000-0000-0000F30F0000}"/>
    <cellStyle name="Comma 142 4 2" xfId="1426" xr:uid="{00000000-0005-0000-0000-0000F40F0000}"/>
    <cellStyle name="Comma 142 5" xfId="1427" xr:uid="{00000000-0005-0000-0000-0000F50F0000}"/>
    <cellStyle name="Comma 143" xfId="1428" xr:uid="{00000000-0005-0000-0000-0000F60F0000}"/>
    <cellStyle name="Comma 143 2" xfId="4693" xr:uid="{00000000-0005-0000-0000-0000F70F0000}"/>
    <cellStyle name="Comma 143 2 2" xfId="6318" xr:uid="{00000000-0005-0000-0000-0000F80F0000}"/>
    <cellStyle name="Comma 143 2 2 2" xfId="9404" xr:uid="{00000000-0005-0000-0000-0000F90F0000}"/>
    <cellStyle name="Comma 143 2 2 2 2" xfId="15597" xr:uid="{00000000-0005-0000-0000-0000FA0F0000}"/>
    <cellStyle name="Comma 143 2 2 2 2 2" xfId="35517" xr:uid="{00000000-0005-0000-0000-0000FB0F0000}"/>
    <cellStyle name="Comma 143 2 2 2 3" xfId="21749" xr:uid="{00000000-0005-0000-0000-0000FC0F0000}"/>
    <cellStyle name="Comma 143 2 2 2 3 2" xfId="41669" xr:uid="{00000000-0005-0000-0000-0000FD0F0000}"/>
    <cellStyle name="Comma 143 2 2 2 4" xfId="29364" xr:uid="{00000000-0005-0000-0000-0000FE0F0000}"/>
    <cellStyle name="Comma 143 2 2 3" xfId="12531" xr:uid="{00000000-0005-0000-0000-0000FF0F0000}"/>
    <cellStyle name="Comma 143 2 2 3 2" xfId="32451" xr:uid="{00000000-0005-0000-0000-000000100000}"/>
    <cellStyle name="Comma 143 2 2 4" xfId="18683" xr:uid="{00000000-0005-0000-0000-000001100000}"/>
    <cellStyle name="Comma 143 2 2 4 2" xfId="38603" xr:uid="{00000000-0005-0000-0000-000002100000}"/>
    <cellStyle name="Comma 143 2 2 5" xfId="26298" xr:uid="{00000000-0005-0000-0000-000003100000}"/>
    <cellStyle name="Comma 143 2 3" xfId="7869" xr:uid="{00000000-0005-0000-0000-000004100000}"/>
    <cellStyle name="Comma 143 2 3 2" xfId="14063" xr:uid="{00000000-0005-0000-0000-000005100000}"/>
    <cellStyle name="Comma 143 2 3 2 2" xfId="33983" xr:uid="{00000000-0005-0000-0000-000006100000}"/>
    <cellStyle name="Comma 143 2 3 3" xfId="20215" xr:uid="{00000000-0005-0000-0000-000007100000}"/>
    <cellStyle name="Comma 143 2 3 3 2" xfId="40135" xr:uid="{00000000-0005-0000-0000-000008100000}"/>
    <cellStyle name="Comma 143 2 3 4" xfId="27830" xr:uid="{00000000-0005-0000-0000-000009100000}"/>
    <cellStyle name="Comma 143 2 4" xfId="10997" xr:uid="{00000000-0005-0000-0000-00000A100000}"/>
    <cellStyle name="Comma 143 2 4 2" xfId="30917" xr:uid="{00000000-0005-0000-0000-00000B100000}"/>
    <cellStyle name="Comma 143 2 5" xfId="17149" xr:uid="{00000000-0005-0000-0000-00000C100000}"/>
    <cellStyle name="Comma 143 2 5 2" xfId="37069" xr:uid="{00000000-0005-0000-0000-00000D100000}"/>
    <cellStyle name="Comma 143 2 6" xfId="24764" xr:uid="{00000000-0005-0000-0000-00000E100000}"/>
    <cellStyle name="Comma 143 3" xfId="5532" xr:uid="{00000000-0005-0000-0000-00000F100000}"/>
    <cellStyle name="Comma 143 3 2" xfId="8635" xr:uid="{00000000-0005-0000-0000-000010100000}"/>
    <cellStyle name="Comma 143 3 2 2" xfId="14828" xr:uid="{00000000-0005-0000-0000-000011100000}"/>
    <cellStyle name="Comma 143 3 2 2 2" xfId="34748" xr:uid="{00000000-0005-0000-0000-000012100000}"/>
    <cellStyle name="Comma 143 3 2 3" xfId="20980" xr:uid="{00000000-0005-0000-0000-000013100000}"/>
    <cellStyle name="Comma 143 3 2 3 2" xfId="40900" xr:uid="{00000000-0005-0000-0000-000014100000}"/>
    <cellStyle name="Comma 143 3 2 4" xfId="28595" xr:uid="{00000000-0005-0000-0000-000015100000}"/>
    <cellStyle name="Comma 143 3 3" xfId="11762" xr:uid="{00000000-0005-0000-0000-000016100000}"/>
    <cellStyle name="Comma 143 3 3 2" xfId="31682" xr:uid="{00000000-0005-0000-0000-000017100000}"/>
    <cellStyle name="Comma 143 3 4" xfId="17914" xr:uid="{00000000-0005-0000-0000-000018100000}"/>
    <cellStyle name="Comma 143 3 4 2" xfId="37834" xr:uid="{00000000-0005-0000-0000-000019100000}"/>
    <cellStyle name="Comma 143 3 5" xfId="25529" xr:uid="{00000000-0005-0000-0000-00001A100000}"/>
    <cellStyle name="Comma 143 4" xfId="7100" xr:uid="{00000000-0005-0000-0000-00001B100000}"/>
    <cellStyle name="Comma 143 4 2" xfId="13294" xr:uid="{00000000-0005-0000-0000-00001C100000}"/>
    <cellStyle name="Comma 143 4 2 2" xfId="33214" xr:uid="{00000000-0005-0000-0000-00001D100000}"/>
    <cellStyle name="Comma 143 4 3" xfId="19446" xr:uid="{00000000-0005-0000-0000-00001E100000}"/>
    <cellStyle name="Comma 143 4 3 2" xfId="39366" xr:uid="{00000000-0005-0000-0000-00001F100000}"/>
    <cellStyle name="Comma 143 4 4" xfId="27061" xr:uid="{00000000-0005-0000-0000-000020100000}"/>
    <cellStyle name="Comma 143 5" xfId="10228" xr:uid="{00000000-0005-0000-0000-000021100000}"/>
    <cellStyle name="Comma 143 5 2" xfId="30148" xr:uid="{00000000-0005-0000-0000-000022100000}"/>
    <cellStyle name="Comma 143 6" xfId="16380" xr:uid="{00000000-0005-0000-0000-000023100000}"/>
    <cellStyle name="Comma 143 6 2" xfId="36300" xr:uid="{00000000-0005-0000-0000-000024100000}"/>
    <cellStyle name="Comma 143 7" xfId="23995" xr:uid="{00000000-0005-0000-0000-000025100000}"/>
    <cellStyle name="Comma 144" xfId="1429" xr:uid="{00000000-0005-0000-0000-000026100000}"/>
    <cellStyle name="Comma 144 2" xfId="4694" xr:uid="{00000000-0005-0000-0000-000027100000}"/>
    <cellStyle name="Comma 144 2 2" xfId="6319" xr:uid="{00000000-0005-0000-0000-000028100000}"/>
    <cellStyle name="Comma 144 2 2 2" xfId="9405" xr:uid="{00000000-0005-0000-0000-000029100000}"/>
    <cellStyle name="Comma 144 2 2 2 2" xfId="15598" xr:uid="{00000000-0005-0000-0000-00002A100000}"/>
    <cellStyle name="Comma 144 2 2 2 2 2" xfId="35518" xr:uid="{00000000-0005-0000-0000-00002B100000}"/>
    <cellStyle name="Comma 144 2 2 2 3" xfId="21750" xr:uid="{00000000-0005-0000-0000-00002C100000}"/>
    <cellStyle name="Comma 144 2 2 2 3 2" xfId="41670" xr:uid="{00000000-0005-0000-0000-00002D100000}"/>
    <cellStyle name="Comma 144 2 2 2 4" xfId="29365" xr:uid="{00000000-0005-0000-0000-00002E100000}"/>
    <cellStyle name="Comma 144 2 2 3" xfId="12532" xr:uid="{00000000-0005-0000-0000-00002F100000}"/>
    <cellStyle name="Comma 144 2 2 3 2" xfId="32452" xr:uid="{00000000-0005-0000-0000-000030100000}"/>
    <cellStyle name="Comma 144 2 2 4" xfId="18684" xr:uid="{00000000-0005-0000-0000-000031100000}"/>
    <cellStyle name="Comma 144 2 2 4 2" xfId="38604" xr:uid="{00000000-0005-0000-0000-000032100000}"/>
    <cellStyle name="Comma 144 2 2 5" xfId="26299" xr:uid="{00000000-0005-0000-0000-000033100000}"/>
    <cellStyle name="Comma 144 2 3" xfId="7870" xr:uid="{00000000-0005-0000-0000-000034100000}"/>
    <cellStyle name="Comma 144 2 3 2" xfId="14064" xr:uid="{00000000-0005-0000-0000-000035100000}"/>
    <cellStyle name="Comma 144 2 3 2 2" xfId="33984" xr:uid="{00000000-0005-0000-0000-000036100000}"/>
    <cellStyle name="Comma 144 2 3 3" xfId="20216" xr:uid="{00000000-0005-0000-0000-000037100000}"/>
    <cellStyle name="Comma 144 2 3 3 2" xfId="40136" xr:uid="{00000000-0005-0000-0000-000038100000}"/>
    <cellStyle name="Comma 144 2 3 4" xfId="27831" xr:uid="{00000000-0005-0000-0000-000039100000}"/>
    <cellStyle name="Comma 144 2 4" xfId="10998" xr:uid="{00000000-0005-0000-0000-00003A100000}"/>
    <cellStyle name="Comma 144 2 4 2" xfId="30918" xr:uid="{00000000-0005-0000-0000-00003B100000}"/>
    <cellStyle name="Comma 144 2 5" xfId="17150" xr:uid="{00000000-0005-0000-0000-00003C100000}"/>
    <cellStyle name="Comma 144 2 5 2" xfId="37070" xr:uid="{00000000-0005-0000-0000-00003D100000}"/>
    <cellStyle name="Comma 144 2 6" xfId="24765" xr:uid="{00000000-0005-0000-0000-00003E100000}"/>
    <cellStyle name="Comma 144 3" xfId="5533" xr:uid="{00000000-0005-0000-0000-00003F100000}"/>
    <cellStyle name="Comma 144 3 2" xfId="8636" xr:uid="{00000000-0005-0000-0000-000040100000}"/>
    <cellStyle name="Comma 144 3 2 2" xfId="14829" xr:uid="{00000000-0005-0000-0000-000041100000}"/>
    <cellStyle name="Comma 144 3 2 2 2" xfId="34749" xr:uid="{00000000-0005-0000-0000-000042100000}"/>
    <cellStyle name="Comma 144 3 2 3" xfId="20981" xr:uid="{00000000-0005-0000-0000-000043100000}"/>
    <cellStyle name="Comma 144 3 2 3 2" xfId="40901" xr:uid="{00000000-0005-0000-0000-000044100000}"/>
    <cellStyle name="Comma 144 3 2 4" xfId="28596" xr:uid="{00000000-0005-0000-0000-000045100000}"/>
    <cellStyle name="Comma 144 3 3" xfId="11763" xr:uid="{00000000-0005-0000-0000-000046100000}"/>
    <cellStyle name="Comma 144 3 3 2" xfId="31683" xr:uid="{00000000-0005-0000-0000-000047100000}"/>
    <cellStyle name="Comma 144 3 4" xfId="17915" xr:uid="{00000000-0005-0000-0000-000048100000}"/>
    <cellStyle name="Comma 144 3 4 2" xfId="37835" xr:uid="{00000000-0005-0000-0000-000049100000}"/>
    <cellStyle name="Comma 144 3 5" xfId="25530" xr:uid="{00000000-0005-0000-0000-00004A100000}"/>
    <cellStyle name="Comma 144 4" xfId="7101" xr:uid="{00000000-0005-0000-0000-00004B100000}"/>
    <cellStyle name="Comma 144 4 2" xfId="13295" xr:uid="{00000000-0005-0000-0000-00004C100000}"/>
    <cellStyle name="Comma 144 4 2 2" xfId="33215" xr:uid="{00000000-0005-0000-0000-00004D100000}"/>
    <cellStyle name="Comma 144 4 3" xfId="19447" xr:uid="{00000000-0005-0000-0000-00004E100000}"/>
    <cellStyle name="Comma 144 4 3 2" xfId="39367" xr:uid="{00000000-0005-0000-0000-00004F100000}"/>
    <cellStyle name="Comma 144 4 4" xfId="27062" xr:uid="{00000000-0005-0000-0000-000050100000}"/>
    <cellStyle name="Comma 144 5" xfId="10229" xr:uid="{00000000-0005-0000-0000-000051100000}"/>
    <cellStyle name="Comma 144 5 2" xfId="30149" xr:uid="{00000000-0005-0000-0000-000052100000}"/>
    <cellStyle name="Comma 144 6" xfId="16381" xr:uid="{00000000-0005-0000-0000-000053100000}"/>
    <cellStyle name="Comma 144 6 2" xfId="36301" xr:uid="{00000000-0005-0000-0000-000054100000}"/>
    <cellStyle name="Comma 144 7" xfId="23996" xr:uid="{00000000-0005-0000-0000-000055100000}"/>
    <cellStyle name="Comma 145" xfId="1430" xr:uid="{00000000-0005-0000-0000-000056100000}"/>
    <cellStyle name="Comma 145 2" xfId="4695" xr:uid="{00000000-0005-0000-0000-000057100000}"/>
    <cellStyle name="Comma 145 2 2" xfId="6320" xr:uid="{00000000-0005-0000-0000-000058100000}"/>
    <cellStyle name="Comma 145 2 2 2" xfId="9406" xr:uid="{00000000-0005-0000-0000-000059100000}"/>
    <cellStyle name="Comma 145 2 2 2 2" xfId="15599" xr:uid="{00000000-0005-0000-0000-00005A100000}"/>
    <cellStyle name="Comma 145 2 2 2 2 2" xfId="35519" xr:uid="{00000000-0005-0000-0000-00005B100000}"/>
    <cellStyle name="Comma 145 2 2 2 3" xfId="21751" xr:uid="{00000000-0005-0000-0000-00005C100000}"/>
    <cellStyle name="Comma 145 2 2 2 3 2" xfId="41671" xr:uid="{00000000-0005-0000-0000-00005D100000}"/>
    <cellStyle name="Comma 145 2 2 2 4" xfId="29366" xr:uid="{00000000-0005-0000-0000-00005E100000}"/>
    <cellStyle name="Comma 145 2 2 3" xfId="12533" xr:uid="{00000000-0005-0000-0000-00005F100000}"/>
    <cellStyle name="Comma 145 2 2 3 2" xfId="32453" xr:uid="{00000000-0005-0000-0000-000060100000}"/>
    <cellStyle name="Comma 145 2 2 4" xfId="18685" xr:uid="{00000000-0005-0000-0000-000061100000}"/>
    <cellStyle name="Comma 145 2 2 4 2" xfId="38605" xr:uid="{00000000-0005-0000-0000-000062100000}"/>
    <cellStyle name="Comma 145 2 2 5" xfId="26300" xr:uid="{00000000-0005-0000-0000-000063100000}"/>
    <cellStyle name="Comma 145 2 3" xfId="7871" xr:uid="{00000000-0005-0000-0000-000064100000}"/>
    <cellStyle name="Comma 145 2 3 2" xfId="14065" xr:uid="{00000000-0005-0000-0000-000065100000}"/>
    <cellStyle name="Comma 145 2 3 2 2" xfId="33985" xr:uid="{00000000-0005-0000-0000-000066100000}"/>
    <cellStyle name="Comma 145 2 3 3" xfId="20217" xr:uid="{00000000-0005-0000-0000-000067100000}"/>
    <cellStyle name="Comma 145 2 3 3 2" xfId="40137" xr:uid="{00000000-0005-0000-0000-000068100000}"/>
    <cellStyle name="Comma 145 2 3 4" xfId="27832" xr:uid="{00000000-0005-0000-0000-000069100000}"/>
    <cellStyle name="Comma 145 2 4" xfId="10999" xr:uid="{00000000-0005-0000-0000-00006A100000}"/>
    <cellStyle name="Comma 145 2 4 2" xfId="30919" xr:uid="{00000000-0005-0000-0000-00006B100000}"/>
    <cellStyle name="Comma 145 2 5" xfId="17151" xr:uid="{00000000-0005-0000-0000-00006C100000}"/>
    <cellStyle name="Comma 145 2 5 2" xfId="37071" xr:uid="{00000000-0005-0000-0000-00006D100000}"/>
    <cellStyle name="Comma 145 2 6" xfId="24766" xr:uid="{00000000-0005-0000-0000-00006E100000}"/>
    <cellStyle name="Comma 145 3" xfId="5534" xr:uid="{00000000-0005-0000-0000-00006F100000}"/>
    <cellStyle name="Comma 145 3 2" xfId="8637" xr:uid="{00000000-0005-0000-0000-000070100000}"/>
    <cellStyle name="Comma 145 3 2 2" xfId="14830" xr:uid="{00000000-0005-0000-0000-000071100000}"/>
    <cellStyle name="Comma 145 3 2 2 2" xfId="34750" xr:uid="{00000000-0005-0000-0000-000072100000}"/>
    <cellStyle name="Comma 145 3 2 3" xfId="20982" xr:uid="{00000000-0005-0000-0000-000073100000}"/>
    <cellStyle name="Comma 145 3 2 3 2" xfId="40902" xr:uid="{00000000-0005-0000-0000-000074100000}"/>
    <cellStyle name="Comma 145 3 2 4" xfId="28597" xr:uid="{00000000-0005-0000-0000-000075100000}"/>
    <cellStyle name="Comma 145 3 3" xfId="11764" xr:uid="{00000000-0005-0000-0000-000076100000}"/>
    <cellStyle name="Comma 145 3 3 2" xfId="31684" xr:uid="{00000000-0005-0000-0000-000077100000}"/>
    <cellStyle name="Comma 145 3 4" xfId="17916" xr:uid="{00000000-0005-0000-0000-000078100000}"/>
    <cellStyle name="Comma 145 3 4 2" xfId="37836" xr:uid="{00000000-0005-0000-0000-000079100000}"/>
    <cellStyle name="Comma 145 3 5" xfId="25531" xr:uid="{00000000-0005-0000-0000-00007A100000}"/>
    <cellStyle name="Comma 145 4" xfId="7102" xr:uid="{00000000-0005-0000-0000-00007B100000}"/>
    <cellStyle name="Comma 145 4 2" xfId="13296" xr:uid="{00000000-0005-0000-0000-00007C100000}"/>
    <cellStyle name="Comma 145 4 2 2" xfId="33216" xr:uid="{00000000-0005-0000-0000-00007D100000}"/>
    <cellStyle name="Comma 145 4 3" xfId="19448" xr:uid="{00000000-0005-0000-0000-00007E100000}"/>
    <cellStyle name="Comma 145 4 3 2" xfId="39368" xr:uid="{00000000-0005-0000-0000-00007F100000}"/>
    <cellStyle name="Comma 145 4 4" xfId="27063" xr:uid="{00000000-0005-0000-0000-000080100000}"/>
    <cellStyle name="Comma 145 5" xfId="10230" xr:uid="{00000000-0005-0000-0000-000081100000}"/>
    <cellStyle name="Comma 145 5 2" xfId="30150" xr:uid="{00000000-0005-0000-0000-000082100000}"/>
    <cellStyle name="Comma 145 6" xfId="16382" xr:uid="{00000000-0005-0000-0000-000083100000}"/>
    <cellStyle name="Comma 145 6 2" xfId="36302" xr:uid="{00000000-0005-0000-0000-000084100000}"/>
    <cellStyle name="Comma 145 7" xfId="23997" xr:uid="{00000000-0005-0000-0000-000085100000}"/>
    <cellStyle name="Comma 146" xfId="1431" xr:uid="{00000000-0005-0000-0000-000086100000}"/>
    <cellStyle name="Comma 146 2" xfId="4696" xr:uid="{00000000-0005-0000-0000-000087100000}"/>
    <cellStyle name="Comma 146 2 2" xfId="6321" xr:uid="{00000000-0005-0000-0000-000088100000}"/>
    <cellStyle name="Comma 146 2 2 2" xfId="9407" xr:uid="{00000000-0005-0000-0000-000089100000}"/>
    <cellStyle name="Comma 146 2 2 2 2" xfId="15600" xr:uid="{00000000-0005-0000-0000-00008A100000}"/>
    <cellStyle name="Comma 146 2 2 2 2 2" xfId="35520" xr:uid="{00000000-0005-0000-0000-00008B100000}"/>
    <cellStyle name="Comma 146 2 2 2 3" xfId="21752" xr:uid="{00000000-0005-0000-0000-00008C100000}"/>
    <cellStyle name="Comma 146 2 2 2 3 2" xfId="41672" xr:uid="{00000000-0005-0000-0000-00008D100000}"/>
    <cellStyle name="Comma 146 2 2 2 4" xfId="29367" xr:uid="{00000000-0005-0000-0000-00008E100000}"/>
    <cellStyle name="Comma 146 2 2 3" xfId="12534" xr:uid="{00000000-0005-0000-0000-00008F100000}"/>
    <cellStyle name="Comma 146 2 2 3 2" xfId="32454" xr:uid="{00000000-0005-0000-0000-000090100000}"/>
    <cellStyle name="Comma 146 2 2 4" xfId="18686" xr:uid="{00000000-0005-0000-0000-000091100000}"/>
    <cellStyle name="Comma 146 2 2 4 2" xfId="38606" xr:uid="{00000000-0005-0000-0000-000092100000}"/>
    <cellStyle name="Comma 146 2 2 5" xfId="26301" xr:uid="{00000000-0005-0000-0000-000093100000}"/>
    <cellStyle name="Comma 146 2 3" xfId="7872" xr:uid="{00000000-0005-0000-0000-000094100000}"/>
    <cellStyle name="Comma 146 2 3 2" xfId="14066" xr:uid="{00000000-0005-0000-0000-000095100000}"/>
    <cellStyle name="Comma 146 2 3 2 2" xfId="33986" xr:uid="{00000000-0005-0000-0000-000096100000}"/>
    <cellStyle name="Comma 146 2 3 3" xfId="20218" xr:uid="{00000000-0005-0000-0000-000097100000}"/>
    <cellStyle name="Comma 146 2 3 3 2" xfId="40138" xr:uid="{00000000-0005-0000-0000-000098100000}"/>
    <cellStyle name="Comma 146 2 3 4" xfId="27833" xr:uid="{00000000-0005-0000-0000-000099100000}"/>
    <cellStyle name="Comma 146 2 4" xfId="11000" xr:uid="{00000000-0005-0000-0000-00009A100000}"/>
    <cellStyle name="Comma 146 2 4 2" xfId="30920" xr:uid="{00000000-0005-0000-0000-00009B100000}"/>
    <cellStyle name="Comma 146 2 5" xfId="17152" xr:uid="{00000000-0005-0000-0000-00009C100000}"/>
    <cellStyle name="Comma 146 2 5 2" xfId="37072" xr:uid="{00000000-0005-0000-0000-00009D100000}"/>
    <cellStyle name="Comma 146 2 6" xfId="24767" xr:uid="{00000000-0005-0000-0000-00009E100000}"/>
    <cellStyle name="Comma 146 3" xfId="5535" xr:uid="{00000000-0005-0000-0000-00009F100000}"/>
    <cellStyle name="Comma 146 3 2" xfId="8638" xr:uid="{00000000-0005-0000-0000-0000A0100000}"/>
    <cellStyle name="Comma 146 3 2 2" xfId="14831" xr:uid="{00000000-0005-0000-0000-0000A1100000}"/>
    <cellStyle name="Comma 146 3 2 2 2" xfId="34751" xr:uid="{00000000-0005-0000-0000-0000A2100000}"/>
    <cellStyle name="Comma 146 3 2 3" xfId="20983" xr:uid="{00000000-0005-0000-0000-0000A3100000}"/>
    <cellStyle name="Comma 146 3 2 3 2" xfId="40903" xr:uid="{00000000-0005-0000-0000-0000A4100000}"/>
    <cellStyle name="Comma 146 3 2 4" xfId="28598" xr:uid="{00000000-0005-0000-0000-0000A5100000}"/>
    <cellStyle name="Comma 146 3 3" xfId="11765" xr:uid="{00000000-0005-0000-0000-0000A6100000}"/>
    <cellStyle name="Comma 146 3 3 2" xfId="31685" xr:uid="{00000000-0005-0000-0000-0000A7100000}"/>
    <cellStyle name="Comma 146 3 4" xfId="17917" xr:uid="{00000000-0005-0000-0000-0000A8100000}"/>
    <cellStyle name="Comma 146 3 4 2" xfId="37837" xr:uid="{00000000-0005-0000-0000-0000A9100000}"/>
    <cellStyle name="Comma 146 3 5" xfId="25532" xr:uid="{00000000-0005-0000-0000-0000AA100000}"/>
    <cellStyle name="Comma 146 4" xfId="7103" xr:uid="{00000000-0005-0000-0000-0000AB100000}"/>
    <cellStyle name="Comma 146 4 2" xfId="13297" xr:uid="{00000000-0005-0000-0000-0000AC100000}"/>
    <cellStyle name="Comma 146 4 2 2" xfId="33217" xr:uid="{00000000-0005-0000-0000-0000AD100000}"/>
    <cellStyle name="Comma 146 4 3" xfId="19449" xr:uid="{00000000-0005-0000-0000-0000AE100000}"/>
    <cellStyle name="Comma 146 4 3 2" xfId="39369" xr:uid="{00000000-0005-0000-0000-0000AF100000}"/>
    <cellStyle name="Comma 146 4 4" xfId="27064" xr:uid="{00000000-0005-0000-0000-0000B0100000}"/>
    <cellStyle name="Comma 146 5" xfId="10231" xr:uid="{00000000-0005-0000-0000-0000B1100000}"/>
    <cellStyle name="Comma 146 5 2" xfId="30151" xr:uid="{00000000-0005-0000-0000-0000B2100000}"/>
    <cellStyle name="Comma 146 6" xfId="16383" xr:uid="{00000000-0005-0000-0000-0000B3100000}"/>
    <cellStyle name="Comma 146 6 2" xfId="36303" xr:uid="{00000000-0005-0000-0000-0000B4100000}"/>
    <cellStyle name="Comma 146 7" xfId="23998" xr:uid="{00000000-0005-0000-0000-0000B5100000}"/>
    <cellStyle name="Comma 147" xfId="1432" xr:uid="{00000000-0005-0000-0000-0000B6100000}"/>
    <cellStyle name="Comma 147 2" xfId="4697" xr:uid="{00000000-0005-0000-0000-0000B7100000}"/>
    <cellStyle name="Comma 147 2 2" xfId="6322" xr:uid="{00000000-0005-0000-0000-0000B8100000}"/>
    <cellStyle name="Comma 147 2 2 2" xfId="9408" xr:uid="{00000000-0005-0000-0000-0000B9100000}"/>
    <cellStyle name="Comma 147 2 2 2 2" xfId="15601" xr:uid="{00000000-0005-0000-0000-0000BA100000}"/>
    <cellStyle name="Comma 147 2 2 2 2 2" xfId="35521" xr:uid="{00000000-0005-0000-0000-0000BB100000}"/>
    <cellStyle name="Comma 147 2 2 2 3" xfId="21753" xr:uid="{00000000-0005-0000-0000-0000BC100000}"/>
    <cellStyle name="Comma 147 2 2 2 3 2" xfId="41673" xr:uid="{00000000-0005-0000-0000-0000BD100000}"/>
    <cellStyle name="Comma 147 2 2 2 4" xfId="29368" xr:uid="{00000000-0005-0000-0000-0000BE100000}"/>
    <cellStyle name="Comma 147 2 2 3" xfId="12535" xr:uid="{00000000-0005-0000-0000-0000BF100000}"/>
    <cellStyle name="Comma 147 2 2 3 2" xfId="32455" xr:uid="{00000000-0005-0000-0000-0000C0100000}"/>
    <cellStyle name="Comma 147 2 2 4" xfId="18687" xr:uid="{00000000-0005-0000-0000-0000C1100000}"/>
    <cellStyle name="Comma 147 2 2 4 2" xfId="38607" xr:uid="{00000000-0005-0000-0000-0000C2100000}"/>
    <cellStyle name="Comma 147 2 2 5" xfId="26302" xr:uid="{00000000-0005-0000-0000-0000C3100000}"/>
    <cellStyle name="Comma 147 2 3" xfId="7873" xr:uid="{00000000-0005-0000-0000-0000C4100000}"/>
    <cellStyle name="Comma 147 2 3 2" xfId="14067" xr:uid="{00000000-0005-0000-0000-0000C5100000}"/>
    <cellStyle name="Comma 147 2 3 2 2" xfId="33987" xr:uid="{00000000-0005-0000-0000-0000C6100000}"/>
    <cellStyle name="Comma 147 2 3 3" xfId="20219" xr:uid="{00000000-0005-0000-0000-0000C7100000}"/>
    <cellStyle name="Comma 147 2 3 3 2" xfId="40139" xr:uid="{00000000-0005-0000-0000-0000C8100000}"/>
    <cellStyle name="Comma 147 2 3 4" xfId="27834" xr:uid="{00000000-0005-0000-0000-0000C9100000}"/>
    <cellStyle name="Comma 147 2 4" xfId="11001" xr:uid="{00000000-0005-0000-0000-0000CA100000}"/>
    <cellStyle name="Comma 147 2 4 2" xfId="30921" xr:uid="{00000000-0005-0000-0000-0000CB100000}"/>
    <cellStyle name="Comma 147 2 5" xfId="17153" xr:uid="{00000000-0005-0000-0000-0000CC100000}"/>
    <cellStyle name="Comma 147 2 5 2" xfId="37073" xr:uid="{00000000-0005-0000-0000-0000CD100000}"/>
    <cellStyle name="Comma 147 2 6" xfId="24768" xr:uid="{00000000-0005-0000-0000-0000CE100000}"/>
    <cellStyle name="Comma 147 3" xfId="5536" xr:uid="{00000000-0005-0000-0000-0000CF100000}"/>
    <cellStyle name="Comma 147 3 2" xfId="8639" xr:uid="{00000000-0005-0000-0000-0000D0100000}"/>
    <cellStyle name="Comma 147 3 2 2" xfId="14832" xr:uid="{00000000-0005-0000-0000-0000D1100000}"/>
    <cellStyle name="Comma 147 3 2 2 2" xfId="34752" xr:uid="{00000000-0005-0000-0000-0000D2100000}"/>
    <cellStyle name="Comma 147 3 2 3" xfId="20984" xr:uid="{00000000-0005-0000-0000-0000D3100000}"/>
    <cellStyle name="Comma 147 3 2 3 2" xfId="40904" xr:uid="{00000000-0005-0000-0000-0000D4100000}"/>
    <cellStyle name="Comma 147 3 2 4" xfId="28599" xr:uid="{00000000-0005-0000-0000-0000D5100000}"/>
    <cellStyle name="Comma 147 3 3" xfId="11766" xr:uid="{00000000-0005-0000-0000-0000D6100000}"/>
    <cellStyle name="Comma 147 3 3 2" xfId="31686" xr:uid="{00000000-0005-0000-0000-0000D7100000}"/>
    <cellStyle name="Comma 147 3 4" xfId="17918" xr:uid="{00000000-0005-0000-0000-0000D8100000}"/>
    <cellStyle name="Comma 147 3 4 2" xfId="37838" xr:uid="{00000000-0005-0000-0000-0000D9100000}"/>
    <cellStyle name="Comma 147 3 5" xfId="25533" xr:uid="{00000000-0005-0000-0000-0000DA100000}"/>
    <cellStyle name="Comma 147 4" xfId="7104" xr:uid="{00000000-0005-0000-0000-0000DB100000}"/>
    <cellStyle name="Comma 147 4 2" xfId="13298" xr:uid="{00000000-0005-0000-0000-0000DC100000}"/>
    <cellStyle name="Comma 147 4 2 2" xfId="33218" xr:uid="{00000000-0005-0000-0000-0000DD100000}"/>
    <cellStyle name="Comma 147 4 3" xfId="19450" xr:uid="{00000000-0005-0000-0000-0000DE100000}"/>
    <cellStyle name="Comma 147 4 3 2" xfId="39370" xr:uid="{00000000-0005-0000-0000-0000DF100000}"/>
    <cellStyle name="Comma 147 4 4" xfId="27065" xr:uid="{00000000-0005-0000-0000-0000E0100000}"/>
    <cellStyle name="Comma 147 5" xfId="10232" xr:uid="{00000000-0005-0000-0000-0000E1100000}"/>
    <cellStyle name="Comma 147 5 2" xfId="30152" xr:uid="{00000000-0005-0000-0000-0000E2100000}"/>
    <cellStyle name="Comma 147 6" xfId="16384" xr:uid="{00000000-0005-0000-0000-0000E3100000}"/>
    <cellStyle name="Comma 147 6 2" xfId="36304" xr:uid="{00000000-0005-0000-0000-0000E4100000}"/>
    <cellStyle name="Comma 147 7" xfId="23999" xr:uid="{00000000-0005-0000-0000-0000E5100000}"/>
    <cellStyle name="Comma 148" xfId="1433" xr:uid="{00000000-0005-0000-0000-0000E6100000}"/>
    <cellStyle name="Comma 148 2" xfId="4698" xr:uid="{00000000-0005-0000-0000-0000E7100000}"/>
    <cellStyle name="Comma 148 2 2" xfId="6323" xr:uid="{00000000-0005-0000-0000-0000E8100000}"/>
    <cellStyle name="Comma 148 2 2 2" xfId="9409" xr:uid="{00000000-0005-0000-0000-0000E9100000}"/>
    <cellStyle name="Comma 148 2 2 2 2" xfId="15602" xr:uid="{00000000-0005-0000-0000-0000EA100000}"/>
    <cellStyle name="Comma 148 2 2 2 2 2" xfId="35522" xr:uid="{00000000-0005-0000-0000-0000EB100000}"/>
    <cellStyle name="Comma 148 2 2 2 3" xfId="21754" xr:uid="{00000000-0005-0000-0000-0000EC100000}"/>
    <cellStyle name="Comma 148 2 2 2 3 2" xfId="41674" xr:uid="{00000000-0005-0000-0000-0000ED100000}"/>
    <cellStyle name="Comma 148 2 2 2 4" xfId="29369" xr:uid="{00000000-0005-0000-0000-0000EE100000}"/>
    <cellStyle name="Comma 148 2 2 3" xfId="12536" xr:uid="{00000000-0005-0000-0000-0000EF100000}"/>
    <cellStyle name="Comma 148 2 2 3 2" xfId="32456" xr:uid="{00000000-0005-0000-0000-0000F0100000}"/>
    <cellStyle name="Comma 148 2 2 4" xfId="18688" xr:uid="{00000000-0005-0000-0000-0000F1100000}"/>
    <cellStyle name="Comma 148 2 2 4 2" xfId="38608" xr:uid="{00000000-0005-0000-0000-0000F2100000}"/>
    <cellStyle name="Comma 148 2 2 5" xfId="26303" xr:uid="{00000000-0005-0000-0000-0000F3100000}"/>
    <cellStyle name="Comma 148 2 3" xfId="7874" xr:uid="{00000000-0005-0000-0000-0000F4100000}"/>
    <cellStyle name="Comma 148 2 3 2" xfId="14068" xr:uid="{00000000-0005-0000-0000-0000F5100000}"/>
    <cellStyle name="Comma 148 2 3 2 2" xfId="33988" xr:uid="{00000000-0005-0000-0000-0000F6100000}"/>
    <cellStyle name="Comma 148 2 3 3" xfId="20220" xr:uid="{00000000-0005-0000-0000-0000F7100000}"/>
    <cellStyle name="Comma 148 2 3 3 2" xfId="40140" xr:uid="{00000000-0005-0000-0000-0000F8100000}"/>
    <cellStyle name="Comma 148 2 3 4" xfId="27835" xr:uid="{00000000-0005-0000-0000-0000F9100000}"/>
    <cellStyle name="Comma 148 2 4" xfId="11002" xr:uid="{00000000-0005-0000-0000-0000FA100000}"/>
    <cellStyle name="Comma 148 2 4 2" xfId="30922" xr:uid="{00000000-0005-0000-0000-0000FB100000}"/>
    <cellStyle name="Comma 148 2 5" xfId="17154" xr:uid="{00000000-0005-0000-0000-0000FC100000}"/>
    <cellStyle name="Comma 148 2 5 2" xfId="37074" xr:uid="{00000000-0005-0000-0000-0000FD100000}"/>
    <cellStyle name="Comma 148 2 6" xfId="24769" xr:uid="{00000000-0005-0000-0000-0000FE100000}"/>
    <cellStyle name="Comma 148 3" xfId="5537" xr:uid="{00000000-0005-0000-0000-0000FF100000}"/>
    <cellStyle name="Comma 148 3 2" xfId="8640" xr:uid="{00000000-0005-0000-0000-000000110000}"/>
    <cellStyle name="Comma 148 3 2 2" xfId="14833" xr:uid="{00000000-0005-0000-0000-000001110000}"/>
    <cellStyle name="Comma 148 3 2 2 2" xfId="34753" xr:uid="{00000000-0005-0000-0000-000002110000}"/>
    <cellStyle name="Comma 148 3 2 3" xfId="20985" xr:uid="{00000000-0005-0000-0000-000003110000}"/>
    <cellStyle name="Comma 148 3 2 3 2" xfId="40905" xr:uid="{00000000-0005-0000-0000-000004110000}"/>
    <cellStyle name="Comma 148 3 2 4" xfId="28600" xr:uid="{00000000-0005-0000-0000-000005110000}"/>
    <cellStyle name="Comma 148 3 3" xfId="11767" xr:uid="{00000000-0005-0000-0000-000006110000}"/>
    <cellStyle name="Comma 148 3 3 2" xfId="31687" xr:uid="{00000000-0005-0000-0000-000007110000}"/>
    <cellStyle name="Comma 148 3 4" xfId="17919" xr:uid="{00000000-0005-0000-0000-000008110000}"/>
    <cellStyle name="Comma 148 3 4 2" xfId="37839" xr:uid="{00000000-0005-0000-0000-000009110000}"/>
    <cellStyle name="Comma 148 3 5" xfId="25534" xr:uid="{00000000-0005-0000-0000-00000A110000}"/>
    <cellStyle name="Comma 148 4" xfId="7105" xr:uid="{00000000-0005-0000-0000-00000B110000}"/>
    <cellStyle name="Comma 148 4 2" xfId="13299" xr:uid="{00000000-0005-0000-0000-00000C110000}"/>
    <cellStyle name="Comma 148 4 2 2" xfId="33219" xr:uid="{00000000-0005-0000-0000-00000D110000}"/>
    <cellStyle name="Comma 148 4 3" xfId="19451" xr:uid="{00000000-0005-0000-0000-00000E110000}"/>
    <cellStyle name="Comma 148 4 3 2" xfId="39371" xr:uid="{00000000-0005-0000-0000-00000F110000}"/>
    <cellStyle name="Comma 148 4 4" xfId="27066" xr:uid="{00000000-0005-0000-0000-000010110000}"/>
    <cellStyle name="Comma 148 5" xfId="10233" xr:uid="{00000000-0005-0000-0000-000011110000}"/>
    <cellStyle name="Comma 148 5 2" xfId="30153" xr:uid="{00000000-0005-0000-0000-000012110000}"/>
    <cellStyle name="Comma 148 6" xfId="16385" xr:uid="{00000000-0005-0000-0000-000013110000}"/>
    <cellStyle name="Comma 148 6 2" xfId="36305" xr:uid="{00000000-0005-0000-0000-000014110000}"/>
    <cellStyle name="Comma 148 7" xfId="24000" xr:uid="{00000000-0005-0000-0000-000015110000}"/>
    <cellStyle name="Comma 149" xfId="1434" xr:uid="{00000000-0005-0000-0000-000016110000}"/>
    <cellStyle name="Comma 149 2" xfId="4699" xr:uid="{00000000-0005-0000-0000-000017110000}"/>
    <cellStyle name="Comma 149 2 2" xfId="6324" xr:uid="{00000000-0005-0000-0000-000018110000}"/>
    <cellStyle name="Comma 149 2 2 2" xfId="9410" xr:uid="{00000000-0005-0000-0000-000019110000}"/>
    <cellStyle name="Comma 149 2 2 2 2" xfId="15603" xr:uid="{00000000-0005-0000-0000-00001A110000}"/>
    <cellStyle name="Comma 149 2 2 2 2 2" xfId="35523" xr:uid="{00000000-0005-0000-0000-00001B110000}"/>
    <cellStyle name="Comma 149 2 2 2 3" xfId="21755" xr:uid="{00000000-0005-0000-0000-00001C110000}"/>
    <cellStyle name="Comma 149 2 2 2 3 2" xfId="41675" xr:uid="{00000000-0005-0000-0000-00001D110000}"/>
    <cellStyle name="Comma 149 2 2 2 4" xfId="29370" xr:uid="{00000000-0005-0000-0000-00001E110000}"/>
    <cellStyle name="Comma 149 2 2 3" xfId="12537" xr:uid="{00000000-0005-0000-0000-00001F110000}"/>
    <cellStyle name="Comma 149 2 2 3 2" xfId="32457" xr:uid="{00000000-0005-0000-0000-000020110000}"/>
    <cellStyle name="Comma 149 2 2 4" xfId="18689" xr:uid="{00000000-0005-0000-0000-000021110000}"/>
    <cellStyle name="Comma 149 2 2 4 2" xfId="38609" xr:uid="{00000000-0005-0000-0000-000022110000}"/>
    <cellStyle name="Comma 149 2 2 5" xfId="26304" xr:uid="{00000000-0005-0000-0000-000023110000}"/>
    <cellStyle name="Comma 149 2 3" xfId="7875" xr:uid="{00000000-0005-0000-0000-000024110000}"/>
    <cellStyle name="Comma 149 2 3 2" xfId="14069" xr:uid="{00000000-0005-0000-0000-000025110000}"/>
    <cellStyle name="Comma 149 2 3 2 2" xfId="33989" xr:uid="{00000000-0005-0000-0000-000026110000}"/>
    <cellStyle name="Comma 149 2 3 3" xfId="20221" xr:uid="{00000000-0005-0000-0000-000027110000}"/>
    <cellStyle name="Comma 149 2 3 3 2" xfId="40141" xr:uid="{00000000-0005-0000-0000-000028110000}"/>
    <cellStyle name="Comma 149 2 3 4" xfId="27836" xr:uid="{00000000-0005-0000-0000-000029110000}"/>
    <cellStyle name="Comma 149 2 4" xfId="11003" xr:uid="{00000000-0005-0000-0000-00002A110000}"/>
    <cellStyle name="Comma 149 2 4 2" xfId="30923" xr:uid="{00000000-0005-0000-0000-00002B110000}"/>
    <cellStyle name="Comma 149 2 5" xfId="17155" xr:uid="{00000000-0005-0000-0000-00002C110000}"/>
    <cellStyle name="Comma 149 2 5 2" xfId="37075" xr:uid="{00000000-0005-0000-0000-00002D110000}"/>
    <cellStyle name="Comma 149 2 6" xfId="24770" xr:uid="{00000000-0005-0000-0000-00002E110000}"/>
    <cellStyle name="Comma 149 3" xfId="5538" xr:uid="{00000000-0005-0000-0000-00002F110000}"/>
    <cellStyle name="Comma 149 3 2" xfId="8641" xr:uid="{00000000-0005-0000-0000-000030110000}"/>
    <cellStyle name="Comma 149 3 2 2" xfId="14834" xr:uid="{00000000-0005-0000-0000-000031110000}"/>
    <cellStyle name="Comma 149 3 2 2 2" xfId="34754" xr:uid="{00000000-0005-0000-0000-000032110000}"/>
    <cellStyle name="Comma 149 3 2 3" xfId="20986" xr:uid="{00000000-0005-0000-0000-000033110000}"/>
    <cellStyle name="Comma 149 3 2 3 2" xfId="40906" xr:uid="{00000000-0005-0000-0000-000034110000}"/>
    <cellStyle name="Comma 149 3 2 4" xfId="28601" xr:uid="{00000000-0005-0000-0000-000035110000}"/>
    <cellStyle name="Comma 149 3 3" xfId="11768" xr:uid="{00000000-0005-0000-0000-000036110000}"/>
    <cellStyle name="Comma 149 3 3 2" xfId="31688" xr:uid="{00000000-0005-0000-0000-000037110000}"/>
    <cellStyle name="Comma 149 3 4" xfId="17920" xr:uid="{00000000-0005-0000-0000-000038110000}"/>
    <cellStyle name="Comma 149 3 4 2" xfId="37840" xr:uid="{00000000-0005-0000-0000-000039110000}"/>
    <cellStyle name="Comma 149 3 5" xfId="25535" xr:uid="{00000000-0005-0000-0000-00003A110000}"/>
    <cellStyle name="Comma 149 4" xfId="7106" xr:uid="{00000000-0005-0000-0000-00003B110000}"/>
    <cellStyle name="Comma 149 4 2" xfId="13300" xr:uid="{00000000-0005-0000-0000-00003C110000}"/>
    <cellStyle name="Comma 149 4 2 2" xfId="33220" xr:uid="{00000000-0005-0000-0000-00003D110000}"/>
    <cellStyle name="Comma 149 4 3" xfId="19452" xr:uid="{00000000-0005-0000-0000-00003E110000}"/>
    <cellStyle name="Comma 149 4 3 2" xfId="39372" xr:uid="{00000000-0005-0000-0000-00003F110000}"/>
    <cellStyle name="Comma 149 4 4" xfId="27067" xr:uid="{00000000-0005-0000-0000-000040110000}"/>
    <cellStyle name="Comma 149 5" xfId="10234" xr:uid="{00000000-0005-0000-0000-000041110000}"/>
    <cellStyle name="Comma 149 5 2" xfId="30154" xr:uid="{00000000-0005-0000-0000-000042110000}"/>
    <cellStyle name="Comma 149 6" xfId="16386" xr:uid="{00000000-0005-0000-0000-000043110000}"/>
    <cellStyle name="Comma 149 6 2" xfId="36306" xr:uid="{00000000-0005-0000-0000-000044110000}"/>
    <cellStyle name="Comma 149 7" xfId="24001" xr:uid="{00000000-0005-0000-0000-000045110000}"/>
    <cellStyle name="Comma 15" xfId="111" xr:uid="{00000000-0005-0000-0000-000046110000}"/>
    <cellStyle name="Comma 15 2" xfId="762" xr:uid="{00000000-0005-0000-0000-000047110000}"/>
    <cellStyle name="Comma 15 2 2" xfId="1436" xr:uid="{00000000-0005-0000-0000-000048110000}"/>
    <cellStyle name="Comma 15 2 3" xfId="23644" xr:uid="{00000000-0005-0000-0000-000049110000}"/>
    <cellStyle name="Comma 15 3" xfId="1435" xr:uid="{00000000-0005-0000-0000-00004A110000}"/>
    <cellStyle name="Comma 15 4" xfId="22502" xr:uid="{00000000-0005-0000-0000-00004B110000}"/>
    <cellStyle name="Comma 15 4 2" xfId="42413" xr:uid="{00000000-0005-0000-0000-00004C110000}"/>
    <cellStyle name="Comma 15 5" xfId="22727" xr:uid="{00000000-0005-0000-0000-00004D110000}"/>
    <cellStyle name="Comma 15 5 2" xfId="42638" xr:uid="{00000000-0005-0000-0000-00004E110000}"/>
    <cellStyle name="Comma 15 6" xfId="23030" xr:uid="{00000000-0005-0000-0000-00004F110000}"/>
    <cellStyle name="Comma 15 6 2" xfId="42941" xr:uid="{00000000-0005-0000-0000-000050110000}"/>
    <cellStyle name="Comma 15 7" xfId="23341" xr:uid="{00000000-0005-0000-0000-000051110000}"/>
    <cellStyle name="Comma 150" xfId="1437" xr:uid="{00000000-0005-0000-0000-000052110000}"/>
    <cellStyle name="Comma 150 2" xfId="4700" xr:uid="{00000000-0005-0000-0000-000053110000}"/>
    <cellStyle name="Comma 150 2 2" xfId="6325" xr:uid="{00000000-0005-0000-0000-000054110000}"/>
    <cellStyle name="Comma 150 2 2 2" xfId="9411" xr:uid="{00000000-0005-0000-0000-000055110000}"/>
    <cellStyle name="Comma 150 2 2 2 2" xfId="15604" xr:uid="{00000000-0005-0000-0000-000056110000}"/>
    <cellStyle name="Comma 150 2 2 2 2 2" xfId="35524" xr:uid="{00000000-0005-0000-0000-000057110000}"/>
    <cellStyle name="Comma 150 2 2 2 3" xfId="21756" xr:uid="{00000000-0005-0000-0000-000058110000}"/>
    <cellStyle name="Comma 150 2 2 2 3 2" xfId="41676" xr:uid="{00000000-0005-0000-0000-000059110000}"/>
    <cellStyle name="Comma 150 2 2 2 4" xfId="29371" xr:uid="{00000000-0005-0000-0000-00005A110000}"/>
    <cellStyle name="Comma 150 2 2 3" xfId="12538" xr:uid="{00000000-0005-0000-0000-00005B110000}"/>
    <cellStyle name="Comma 150 2 2 3 2" xfId="32458" xr:uid="{00000000-0005-0000-0000-00005C110000}"/>
    <cellStyle name="Comma 150 2 2 4" xfId="18690" xr:uid="{00000000-0005-0000-0000-00005D110000}"/>
    <cellStyle name="Comma 150 2 2 4 2" xfId="38610" xr:uid="{00000000-0005-0000-0000-00005E110000}"/>
    <cellStyle name="Comma 150 2 2 5" xfId="26305" xr:uid="{00000000-0005-0000-0000-00005F110000}"/>
    <cellStyle name="Comma 150 2 3" xfId="7876" xr:uid="{00000000-0005-0000-0000-000060110000}"/>
    <cellStyle name="Comma 150 2 3 2" xfId="14070" xr:uid="{00000000-0005-0000-0000-000061110000}"/>
    <cellStyle name="Comma 150 2 3 2 2" xfId="33990" xr:uid="{00000000-0005-0000-0000-000062110000}"/>
    <cellStyle name="Comma 150 2 3 3" xfId="20222" xr:uid="{00000000-0005-0000-0000-000063110000}"/>
    <cellStyle name="Comma 150 2 3 3 2" xfId="40142" xr:uid="{00000000-0005-0000-0000-000064110000}"/>
    <cellStyle name="Comma 150 2 3 4" xfId="27837" xr:uid="{00000000-0005-0000-0000-000065110000}"/>
    <cellStyle name="Comma 150 2 4" xfId="11004" xr:uid="{00000000-0005-0000-0000-000066110000}"/>
    <cellStyle name="Comma 150 2 4 2" xfId="30924" xr:uid="{00000000-0005-0000-0000-000067110000}"/>
    <cellStyle name="Comma 150 2 5" xfId="17156" xr:uid="{00000000-0005-0000-0000-000068110000}"/>
    <cellStyle name="Comma 150 2 5 2" xfId="37076" xr:uid="{00000000-0005-0000-0000-000069110000}"/>
    <cellStyle name="Comma 150 2 6" xfId="24771" xr:uid="{00000000-0005-0000-0000-00006A110000}"/>
    <cellStyle name="Comma 150 3" xfId="5539" xr:uid="{00000000-0005-0000-0000-00006B110000}"/>
    <cellStyle name="Comma 150 3 2" xfId="8642" xr:uid="{00000000-0005-0000-0000-00006C110000}"/>
    <cellStyle name="Comma 150 3 2 2" xfId="14835" xr:uid="{00000000-0005-0000-0000-00006D110000}"/>
    <cellStyle name="Comma 150 3 2 2 2" xfId="34755" xr:uid="{00000000-0005-0000-0000-00006E110000}"/>
    <cellStyle name="Comma 150 3 2 3" xfId="20987" xr:uid="{00000000-0005-0000-0000-00006F110000}"/>
    <cellStyle name="Comma 150 3 2 3 2" xfId="40907" xr:uid="{00000000-0005-0000-0000-000070110000}"/>
    <cellStyle name="Comma 150 3 2 4" xfId="28602" xr:uid="{00000000-0005-0000-0000-000071110000}"/>
    <cellStyle name="Comma 150 3 3" xfId="11769" xr:uid="{00000000-0005-0000-0000-000072110000}"/>
    <cellStyle name="Comma 150 3 3 2" xfId="31689" xr:uid="{00000000-0005-0000-0000-000073110000}"/>
    <cellStyle name="Comma 150 3 4" xfId="17921" xr:uid="{00000000-0005-0000-0000-000074110000}"/>
    <cellStyle name="Comma 150 3 4 2" xfId="37841" xr:uid="{00000000-0005-0000-0000-000075110000}"/>
    <cellStyle name="Comma 150 3 5" xfId="25536" xr:uid="{00000000-0005-0000-0000-000076110000}"/>
    <cellStyle name="Comma 150 4" xfId="7107" xr:uid="{00000000-0005-0000-0000-000077110000}"/>
    <cellStyle name="Comma 150 4 2" xfId="13301" xr:uid="{00000000-0005-0000-0000-000078110000}"/>
    <cellStyle name="Comma 150 4 2 2" xfId="33221" xr:uid="{00000000-0005-0000-0000-000079110000}"/>
    <cellStyle name="Comma 150 4 3" xfId="19453" xr:uid="{00000000-0005-0000-0000-00007A110000}"/>
    <cellStyle name="Comma 150 4 3 2" xfId="39373" xr:uid="{00000000-0005-0000-0000-00007B110000}"/>
    <cellStyle name="Comma 150 4 4" xfId="27068" xr:uid="{00000000-0005-0000-0000-00007C110000}"/>
    <cellStyle name="Comma 150 5" xfId="10235" xr:uid="{00000000-0005-0000-0000-00007D110000}"/>
    <cellStyle name="Comma 150 5 2" xfId="30155" xr:uid="{00000000-0005-0000-0000-00007E110000}"/>
    <cellStyle name="Comma 150 6" xfId="16387" xr:uid="{00000000-0005-0000-0000-00007F110000}"/>
    <cellStyle name="Comma 150 6 2" xfId="36307" xr:uid="{00000000-0005-0000-0000-000080110000}"/>
    <cellStyle name="Comma 150 7" xfId="24002" xr:uid="{00000000-0005-0000-0000-000081110000}"/>
    <cellStyle name="Comma 151" xfId="1438" xr:uid="{00000000-0005-0000-0000-000082110000}"/>
    <cellStyle name="Comma 151 2" xfId="4701" xr:uid="{00000000-0005-0000-0000-000083110000}"/>
    <cellStyle name="Comma 151 2 2" xfId="6326" xr:uid="{00000000-0005-0000-0000-000084110000}"/>
    <cellStyle name="Comma 151 2 2 2" xfId="9412" xr:uid="{00000000-0005-0000-0000-000085110000}"/>
    <cellStyle name="Comma 151 2 2 2 2" xfId="15605" xr:uid="{00000000-0005-0000-0000-000086110000}"/>
    <cellStyle name="Comma 151 2 2 2 2 2" xfId="35525" xr:uid="{00000000-0005-0000-0000-000087110000}"/>
    <cellStyle name="Comma 151 2 2 2 3" xfId="21757" xr:uid="{00000000-0005-0000-0000-000088110000}"/>
    <cellStyle name="Comma 151 2 2 2 3 2" xfId="41677" xr:uid="{00000000-0005-0000-0000-000089110000}"/>
    <cellStyle name="Comma 151 2 2 2 4" xfId="29372" xr:uid="{00000000-0005-0000-0000-00008A110000}"/>
    <cellStyle name="Comma 151 2 2 3" xfId="12539" xr:uid="{00000000-0005-0000-0000-00008B110000}"/>
    <cellStyle name="Comma 151 2 2 3 2" xfId="32459" xr:uid="{00000000-0005-0000-0000-00008C110000}"/>
    <cellStyle name="Comma 151 2 2 4" xfId="18691" xr:uid="{00000000-0005-0000-0000-00008D110000}"/>
    <cellStyle name="Comma 151 2 2 4 2" xfId="38611" xr:uid="{00000000-0005-0000-0000-00008E110000}"/>
    <cellStyle name="Comma 151 2 2 5" xfId="26306" xr:uid="{00000000-0005-0000-0000-00008F110000}"/>
    <cellStyle name="Comma 151 2 3" xfId="7877" xr:uid="{00000000-0005-0000-0000-000090110000}"/>
    <cellStyle name="Comma 151 2 3 2" xfId="14071" xr:uid="{00000000-0005-0000-0000-000091110000}"/>
    <cellStyle name="Comma 151 2 3 2 2" xfId="33991" xr:uid="{00000000-0005-0000-0000-000092110000}"/>
    <cellStyle name="Comma 151 2 3 3" xfId="20223" xr:uid="{00000000-0005-0000-0000-000093110000}"/>
    <cellStyle name="Comma 151 2 3 3 2" xfId="40143" xr:uid="{00000000-0005-0000-0000-000094110000}"/>
    <cellStyle name="Comma 151 2 3 4" xfId="27838" xr:uid="{00000000-0005-0000-0000-000095110000}"/>
    <cellStyle name="Comma 151 2 4" xfId="11005" xr:uid="{00000000-0005-0000-0000-000096110000}"/>
    <cellStyle name="Comma 151 2 4 2" xfId="30925" xr:uid="{00000000-0005-0000-0000-000097110000}"/>
    <cellStyle name="Comma 151 2 5" xfId="17157" xr:uid="{00000000-0005-0000-0000-000098110000}"/>
    <cellStyle name="Comma 151 2 5 2" xfId="37077" xr:uid="{00000000-0005-0000-0000-000099110000}"/>
    <cellStyle name="Comma 151 2 6" xfId="24772" xr:uid="{00000000-0005-0000-0000-00009A110000}"/>
    <cellStyle name="Comma 151 3" xfId="5540" xr:uid="{00000000-0005-0000-0000-00009B110000}"/>
    <cellStyle name="Comma 151 3 2" xfId="8643" xr:uid="{00000000-0005-0000-0000-00009C110000}"/>
    <cellStyle name="Comma 151 3 2 2" xfId="14836" xr:uid="{00000000-0005-0000-0000-00009D110000}"/>
    <cellStyle name="Comma 151 3 2 2 2" xfId="34756" xr:uid="{00000000-0005-0000-0000-00009E110000}"/>
    <cellStyle name="Comma 151 3 2 3" xfId="20988" xr:uid="{00000000-0005-0000-0000-00009F110000}"/>
    <cellStyle name="Comma 151 3 2 3 2" xfId="40908" xr:uid="{00000000-0005-0000-0000-0000A0110000}"/>
    <cellStyle name="Comma 151 3 2 4" xfId="28603" xr:uid="{00000000-0005-0000-0000-0000A1110000}"/>
    <cellStyle name="Comma 151 3 3" xfId="11770" xr:uid="{00000000-0005-0000-0000-0000A2110000}"/>
    <cellStyle name="Comma 151 3 3 2" xfId="31690" xr:uid="{00000000-0005-0000-0000-0000A3110000}"/>
    <cellStyle name="Comma 151 3 4" xfId="17922" xr:uid="{00000000-0005-0000-0000-0000A4110000}"/>
    <cellStyle name="Comma 151 3 4 2" xfId="37842" xr:uid="{00000000-0005-0000-0000-0000A5110000}"/>
    <cellStyle name="Comma 151 3 5" xfId="25537" xr:uid="{00000000-0005-0000-0000-0000A6110000}"/>
    <cellStyle name="Comma 151 4" xfId="7108" xr:uid="{00000000-0005-0000-0000-0000A7110000}"/>
    <cellStyle name="Comma 151 4 2" xfId="13302" xr:uid="{00000000-0005-0000-0000-0000A8110000}"/>
    <cellStyle name="Comma 151 4 2 2" xfId="33222" xr:uid="{00000000-0005-0000-0000-0000A9110000}"/>
    <cellStyle name="Comma 151 4 3" xfId="19454" xr:uid="{00000000-0005-0000-0000-0000AA110000}"/>
    <cellStyle name="Comma 151 4 3 2" xfId="39374" xr:uid="{00000000-0005-0000-0000-0000AB110000}"/>
    <cellStyle name="Comma 151 4 4" xfId="27069" xr:uid="{00000000-0005-0000-0000-0000AC110000}"/>
    <cellStyle name="Comma 151 5" xfId="10236" xr:uid="{00000000-0005-0000-0000-0000AD110000}"/>
    <cellStyle name="Comma 151 5 2" xfId="30156" xr:uid="{00000000-0005-0000-0000-0000AE110000}"/>
    <cellStyle name="Comma 151 6" xfId="16388" xr:uid="{00000000-0005-0000-0000-0000AF110000}"/>
    <cellStyle name="Comma 151 6 2" xfId="36308" xr:uid="{00000000-0005-0000-0000-0000B0110000}"/>
    <cellStyle name="Comma 151 7" xfId="24003" xr:uid="{00000000-0005-0000-0000-0000B1110000}"/>
    <cellStyle name="Comma 152" xfId="1439" xr:uid="{00000000-0005-0000-0000-0000B2110000}"/>
    <cellStyle name="Comma 152 2" xfId="4702" xr:uid="{00000000-0005-0000-0000-0000B3110000}"/>
    <cellStyle name="Comma 152 2 2" xfId="6327" xr:uid="{00000000-0005-0000-0000-0000B4110000}"/>
    <cellStyle name="Comma 152 2 2 2" xfId="9413" xr:uid="{00000000-0005-0000-0000-0000B5110000}"/>
    <cellStyle name="Comma 152 2 2 2 2" xfId="15606" xr:uid="{00000000-0005-0000-0000-0000B6110000}"/>
    <cellStyle name="Comma 152 2 2 2 2 2" xfId="35526" xr:uid="{00000000-0005-0000-0000-0000B7110000}"/>
    <cellStyle name="Comma 152 2 2 2 3" xfId="21758" xr:uid="{00000000-0005-0000-0000-0000B8110000}"/>
    <cellStyle name="Comma 152 2 2 2 3 2" xfId="41678" xr:uid="{00000000-0005-0000-0000-0000B9110000}"/>
    <cellStyle name="Comma 152 2 2 2 4" xfId="29373" xr:uid="{00000000-0005-0000-0000-0000BA110000}"/>
    <cellStyle name="Comma 152 2 2 3" xfId="12540" xr:uid="{00000000-0005-0000-0000-0000BB110000}"/>
    <cellStyle name="Comma 152 2 2 3 2" xfId="32460" xr:uid="{00000000-0005-0000-0000-0000BC110000}"/>
    <cellStyle name="Comma 152 2 2 4" xfId="18692" xr:uid="{00000000-0005-0000-0000-0000BD110000}"/>
    <cellStyle name="Comma 152 2 2 4 2" xfId="38612" xr:uid="{00000000-0005-0000-0000-0000BE110000}"/>
    <cellStyle name="Comma 152 2 2 5" xfId="26307" xr:uid="{00000000-0005-0000-0000-0000BF110000}"/>
    <cellStyle name="Comma 152 2 3" xfId="7878" xr:uid="{00000000-0005-0000-0000-0000C0110000}"/>
    <cellStyle name="Comma 152 2 3 2" xfId="14072" xr:uid="{00000000-0005-0000-0000-0000C1110000}"/>
    <cellStyle name="Comma 152 2 3 2 2" xfId="33992" xr:uid="{00000000-0005-0000-0000-0000C2110000}"/>
    <cellStyle name="Comma 152 2 3 3" xfId="20224" xr:uid="{00000000-0005-0000-0000-0000C3110000}"/>
    <cellStyle name="Comma 152 2 3 3 2" xfId="40144" xr:uid="{00000000-0005-0000-0000-0000C4110000}"/>
    <cellStyle name="Comma 152 2 3 4" xfId="27839" xr:uid="{00000000-0005-0000-0000-0000C5110000}"/>
    <cellStyle name="Comma 152 2 4" xfId="11006" xr:uid="{00000000-0005-0000-0000-0000C6110000}"/>
    <cellStyle name="Comma 152 2 4 2" xfId="30926" xr:uid="{00000000-0005-0000-0000-0000C7110000}"/>
    <cellStyle name="Comma 152 2 5" xfId="17158" xr:uid="{00000000-0005-0000-0000-0000C8110000}"/>
    <cellStyle name="Comma 152 2 5 2" xfId="37078" xr:uid="{00000000-0005-0000-0000-0000C9110000}"/>
    <cellStyle name="Comma 152 2 6" xfId="24773" xr:uid="{00000000-0005-0000-0000-0000CA110000}"/>
    <cellStyle name="Comma 152 3" xfId="5541" xr:uid="{00000000-0005-0000-0000-0000CB110000}"/>
    <cellStyle name="Comma 152 3 2" xfId="8644" xr:uid="{00000000-0005-0000-0000-0000CC110000}"/>
    <cellStyle name="Comma 152 3 2 2" xfId="14837" xr:uid="{00000000-0005-0000-0000-0000CD110000}"/>
    <cellStyle name="Comma 152 3 2 2 2" xfId="34757" xr:uid="{00000000-0005-0000-0000-0000CE110000}"/>
    <cellStyle name="Comma 152 3 2 3" xfId="20989" xr:uid="{00000000-0005-0000-0000-0000CF110000}"/>
    <cellStyle name="Comma 152 3 2 3 2" xfId="40909" xr:uid="{00000000-0005-0000-0000-0000D0110000}"/>
    <cellStyle name="Comma 152 3 2 4" xfId="28604" xr:uid="{00000000-0005-0000-0000-0000D1110000}"/>
    <cellStyle name="Comma 152 3 3" xfId="11771" xr:uid="{00000000-0005-0000-0000-0000D2110000}"/>
    <cellStyle name="Comma 152 3 3 2" xfId="31691" xr:uid="{00000000-0005-0000-0000-0000D3110000}"/>
    <cellStyle name="Comma 152 3 4" xfId="17923" xr:uid="{00000000-0005-0000-0000-0000D4110000}"/>
    <cellStyle name="Comma 152 3 4 2" xfId="37843" xr:uid="{00000000-0005-0000-0000-0000D5110000}"/>
    <cellStyle name="Comma 152 3 5" xfId="25538" xr:uid="{00000000-0005-0000-0000-0000D6110000}"/>
    <cellStyle name="Comma 152 4" xfId="7109" xr:uid="{00000000-0005-0000-0000-0000D7110000}"/>
    <cellStyle name="Comma 152 4 2" xfId="13303" xr:uid="{00000000-0005-0000-0000-0000D8110000}"/>
    <cellStyle name="Comma 152 4 2 2" xfId="33223" xr:uid="{00000000-0005-0000-0000-0000D9110000}"/>
    <cellStyle name="Comma 152 4 3" xfId="19455" xr:uid="{00000000-0005-0000-0000-0000DA110000}"/>
    <cellStyle name="Comma 152 4 3 2" xfId="39375" xr:uid="{00000000-0005-0000-0000-0000DB110000}"/>
    <cellStyle name="Comma 152 4 4" xfId="27070" xr:uid="{00000000-0005-0000-0000-0000DC110000}"/>
    <cellStyle name="Comma 152 5" xfId="10237" xr:uid="{00000000-0005-0000-0000-0000DD110000}"/>
    <cellStyle name="Comma 152 5 2" xfId="30157" xr:uid="{00000000-0005-0000-0000-0000DE110000}"/>
    <cellStyle name="Comma 152 6" xfId="16389" xr:uid="{00000000-0005-0000-0000-0000DF110000}"/>
    <cellStyle name="Comma 152 6 2" xfId="36309" xr:uid="{00000000-0005-0000-0000-0000E0110000}"/>
    <cellStyle name="Comma 152 7" xfId="24004" xr:uid="{00000000-0005-0000-0000-0000E1110000}"/>
    <cellStyle name="Comma 153" xfId="1440" xr:uid="{00000000-0005-0000-0000-0000E2110000}"/>
    <cellStyle name="Comma 153 2" xfId="4703" xr:uid="{00000000-0005-0000-0000-0000E3110000}"/>
    <cellStyle name="Comma 153 2 2" xfId="6328" xr:uid="{00000000-0005-0000-0000-0000E4110000}"/>
    <cellStyle name="Comma 153 2 2 2" xfId="9414" xr:uid="{00000000-0005-0000-0000-0000E5110000}"/>
    <cellStyle name="Comma 153 2 2 2 2" xfId="15607" xr:uid="{00000000-0005-0000-0000-0000E6110000}"/>
    <cellStyle name="Comma 153 2 2 2 2 2" xfId="35527" xr:uid="{00000000-0005-0000-0000-0000E7110000}"/>
    <cellStyle name="Comma 153 2 2 2 3" xfId="21759" xr:uid="{00000000-0005-0000-0000-0000E8110000}"/>
    <cellStyle name="Comma 153 2 2 2 3 2" xfId="41679" xr:uid="{00000000-0005-0000-0000-0000E9110000}"/>
    <cellStyle name="Comma 153 2 2 2 4" xfId="29374" xr:uid="{00000000-0005-0000-0000-0000EA110000}"/>
    <cellStyle name="Comma 153 2 2 3" xfId="12541" xr:uid="{00000000-0005-0000-0000-0000EB110000}"/>
    <cellStyle name="Comma 153 2 2 3 2" xfId="32461" xr:uid="{00000000-0005-0000-0000-0000EC110000}"/>
    <cellStyle name="Comma 153 2 2 4" xfId="18693" xr:uid="{00000000-0005-0000-0000-0000ED110000}"/>
    <cellStyle name="Comma 153 2 2 4 2" xfId="38613" xr:uid="{00000000-0005-0000-0000-0000EE110000}"/>
    <cellStyle name="Comma 153 2 2 5" xfId="26308" xr:uid="{00000000-0005-0000-0000-0000EF110000}"/>
    <cellStyle name="Comma 153 2 3" xfId="7879" xr:uid="{00000000-0005-0000-0000-0000F0110000}"/>
    <cellStyle name="Comma 153 2 3 2" xfId="14073" xr:uid="{00000000-0005-0000-0000-0000F1110000}"/>
    <cellStyle name="Comma 153 2 3 2 2" xfId="33993" xr:uid="{00000000-0005-0000-0000-0000F2110000}"/>
    <cellStyle name="Comma 153 2 3 3" xfId="20225" xr:uid="{00000000-0005-0000-0000-0000F3110000}"/>
    <cellStyle name="Comma 153 2 3 3 2" xfId="40145" xr:uid="{00000000-0005-0000-0000-0000F4110000}"/>
    <cellStyle name="Comma 153 2 3 4" xfId="27840" xr:uid="{00000000-0005-0000-0000-0000F5110000}"/>
    <cellStyle name="Comma 153 2 4" xfId="11007" xr:uid="{00000000-0005-0000-0000-0000F6110000}"/>
    <cellStyle name="Comma 153 2 4 2" xfId="30927" xr:uid="{00000000-0005-0000-0000-0000F7110000}"/>
    <cellStyle name="Comma 153 2 5" xfId="17159" xr:uid="{00000000-0005-0000-0000-0000F8110000}"/>
    <cellStyle name="Comma 153 2 5 2" xfId="37079" xr:uid="{00000000-0005-0000-0000-0000F9110000}"/>
    <cellStyle name="Comma 153 2 6" xfId="24774" xr:uid="{00000000-0005-0000-0000-0000FA110000}"/>
    <cellStyle name="Comma 153 3" xfId="5542" xr:uid="{00000000-0005-0000-0000-0000FB110000}"/>
    <cellStyle name="Comma 153 3 2" xfId="8645" xr:uid="{00000000-0005-0000-0000-0000FC110000}"/>
    <cellStyle name="Comma 153 3 2 2" xfId="14838" xr:uid="{00000000-0005-0000-0000-0000FD110000}"/>
    <cellStyle name="Comma 153 3 2 2 2" xfId="34758" xr:uid="{00000000-0005-0000-0000-0000FE110000}"/>
    <cellStyle name="Comma 153 3 2 3" xfId="20990" xr:uid="{00000000-0005-0000-0000-0000FF110000}"/>
    <cellStyle name="Comma 153 3 2 3 2" xfId="40910" xr:uid="{00000000-0005-0000-0000-000000120000}"/>
    <cellStyle name="Comma 153 3 2 4" xfId="28605" xr:uid="{00000000-0005-0000-0000-000001120000}"/>
    <cellStyle name="Comma 153 3 3" xfId="11772" xr:uid="{00000000-0005-0000-0000-000002120000}"/>
    <cellStyle name="Comma 153 3 3 2" xfId="31692" xr:uid="{00000000-0005-0000-0000-000003120000}"/>
    <cellStyle name="Comma 153 3 4" xfId="17924" xr:uid="{00000000-0005-0000-0000-000004120000}"/>
    <cellStyle name="Comma 153 3 4 2" xfId="37844" xr:uid="{00000000-0005-0000-0000-000005120000}"/>
    <cellStyle name="Comma 153 3 5" xfId="25539" xr:uid="{00000000-0005-0000-0000-000006120000}"/>
    <cellStyle name="Comma 153 4" xfId="7110" xr:uid="{00000000-0005-0000-0000-000007120000}"/>
    <cellStyle name="Comma 153 4 2" xfId="13304" xr:uid="{00000000-0005-0000-0000-000008120000}"/>
    <cellStyle name="Comma 153 4 2 2" xfId="33224" xr:uid="{00000000-0005-0000-0000-000009120000}"/>
    <cellStyle name="Comma 153 4 3" xfId="19456" xr:uid="{00000000-0005-0000-0000-00000A120000}"/>
    <cellStyle name="Comma 153 4 3 2" xfId="39376" xr:uid="{00000000-0005-0000-0000-00000B120000}"/>
    <cellStyle name="Comma 153 4 4" xfId="27071" xr:uid="{00000000-0005-0000-0000-00000C120000}"/>
    <cellStyle name="Comma 153 5" xfId="10238" xr:uid="{00000000-0005-0000-0000-00000D120000}"/>
    <cellStyle name="Comma 153 5 2" xfId="30158" xr:uid="{00000000-0005-0000-0000-00000E120000}"/>
    <cellStyle name="Comma 153 6" xfId="16390" xr:uid="{00000000-0005-0000-0000-00000F120000}"/>
    <cellStyle name="Comma 153 6 2" xfId="36310" xr:uid="{00000000-0005-0000-0000-000010120000}"/>
    <cellStyle name="Comma 153 7" xfId="24005" xr:uid="{00000000-0005-0000-0000-000011120000}"/>
    <cellStyle name="Comma 154" xfId="1441" xr:uid="{00000000-0005-0000-0000-000012120000}"/>
    <cellStyle name="Comma 154 2" xfId="1442" xr:uid="{00000000-0005-0000-0000-000013120000}"/>
    <cellStyle name="Comma 155" xfId="1443" xr:uid="{00000000-0005-0000-0000-000014120000}"/>
    <cellStyle name="Comma 155 2" xfId="1444" xr:uid="{00000000-0005-0000-0000-000015120000}"/>
    <cellStyle name="Comma 156" xfId="1445" xr:uid="{00000000-0005-0000-0000-000016120000}"/>
    <cellStyle name="Comma 156 2" xfId="1446" xr:uid="{00000000-0005-0000-0000-000017120000}"/>
    <cellStyle name="Comma 157" xfId="1447" xr:uid="{00000000-0005-0000-0000-000018120000}"/>
    <cellStyle name="Comma 158" xfId="1448" xr:uid="{00000000-0005-0000-0000-000019120000}"/>
    <cellStyle name="Comma 159" xfId="1449" xr:uid="{00000000-0005-0000-0000-00001A120000}"/>
    <cellStyle name="Comma 16" xfId="112" xr:uid="{00000000-0005-0000-0000-00001B120000}"/>
    <cellStyle name="Comma 16 2" xfId="763" xr:uid="{00000000-0005-0000-0000-00001C120000}"/>
    <cellStyle name="Comma 16 2 2" xfId="23645" xr:uid="{00000000-0005-0000-0000-00001D120000}"/>
    <cellStyle name="Comma 16 3" xfId="1450" xr:uid="{00000000-0005-0000-0000-00001E120000}"/>
    <cellStyle name="Comma 16 4" xfId="22696" xr:uid="{00000000-0005-0000-0000-00001F120000}"/>
    <cellStyle name="Comma 16 4 2" xfId="42607" xr:uid="{00000000-0005-0000-0000-000020120000}"/>
    <cellStyle name="Comma 16 5" xfId="22728" xr:uid="{00000000-0005-0000-0000-000021120000}"/>
    <cellStyle name="Comma 16 5 2" xfId="42639" xr:uid="{00000000-0005-0000-0000-000022120000}"/>
    <cellStyle name="Comma 16 6" xfId="23031" xr:uid="{00000000-0005-0000-0000-000023120000}"/>
    <cellStyle name="Comma 16 6 2" xfId="42942" xr:uid="{00000000-0005-0000-0000-000024120000}"/>
    <cellStyle name="Comma 16 7" xfId="23342" xr:uid="{00000000-0005-0000-0000-000025120000}"/>
    <cellStyle name="Comma 160" xfId="1451" xr:uid="{00000000-0005-0000-0000-000026120000}"/>
    <cellStyle name="Comma 161" xfId="1452" xr:uid="{00000000-0005-0000-0000-000027120000}"/>
    <cellStyle name="Comma 162" xfId="1453" xr:uid="{00000000-0005-0000-0000-000028120000}"/>
    <cellStyle name="Comma 163" xfId="1454" xr:uid="{00000000-0005-0000-0000-000029120000}"/>
    <cellStyle name="Comma 164" xfId="1455" xr:uid="{00000000-0005-0000-0000-00002A120000}"/>
    <cellStyle name="Comma 165" xfId="1456" xr:uid="{00000000-0005-0000-0000-00002B120000}"/>
    <cellStyle name="Comma 166" xfId="1457" xr:uid="{00000000-0005-0000-0000-00002C120000}"/>
    <cellStyle name="Comma 167" xfId="1458" xr:uid="{00000000-0005-0000-0000-00002D120000}"/>
    <cellStyle name="Comma 168" xfId="1459" xr:uid="{00000000-0005-0000-0000-00002E120000}"/>
    <cellStyle name="Comma 169" xfId="1460" xr:uid="{00000000-0005-0000-0000-00002F120000}"/>
    <cellStyle name="Comma 17" xfId="113" xr:uid="{00000000-0005-0000-0000-000030120000}"/>
    <cellStyle name="Comma 17 2" xfId="764" xr:uid="{00000000-0005-0000-0000-000031120000}"/>
    <cellStyle name="Comma 17 2 2" xfId="23646" xr:uid="{00000000-0005-0000-0000-000032120000}"/>
    <cellStyle name="Comma 17 3" xfId="1461" xr:uid="{00000000-0005-0000-0000-000033120000}"/>
    <cellStyle name="Comma 17 4" xfId="22496" xr:uid="{00000000-0005-0000-0000-000034120000}"/>
    <cellStyle name="Comma 17 4 2" xfId="42407" xr:uid="{00000000-0005-0000-0000-000035120000}"/>
    <cellStyle name="Comma 17 5" xfId="22729" xr:uid="{00000000-0005-0000-0000-000036120000}"/>
    <cellStyle name="Comma 17 5 2" xfId="42640" xr:uid="{00000000-0005-0000-0000-000037120000}"/>
    <cellStyle name="Comma 17 6" xfId="23032" xr:uid="{00000000-0005-0000-0000-000038120000}"/>
    <cellStyle name="Comma 17 6 2" xfId="42943" xr:uid="{00000000-0005-0000-0000-000039120000}"/>
    <cellStyle name="Comma 17 7" xfId="23343" xr:uid="{00000000-0005-0000-0000-00003A120000}"/>
    <cellStyle name="Comma 170" xfId="1462" xr:uid="{00000000-0005-0000-0000-00003B120000}"/>
    <cellStyle name="Comma 171" xfId="1463" xr:uid="{00000000-0005-0000-0000-00003C120000}"/>
    <cellStyle name="Comma 172" xfId="1464" xr:uid="{00000000-0005-0000-0000-00003D120000}"/>
    <cellStyle name="Comma 173" xfId="1465" xr:uid="{00000000-0005-0000-0000-00003E120000}"/>
    <cellStyle name="Comma 174" xfId="1466" xr:uid="{00000000-0005-0000-0000-00003F120000}"/>
    <cellStyle name="Comma 175" xfId="1467" xr:uid="{00000000-0005-0000-0000-000040120000}"/>
    <cellStyle name="Comma 176" xfId="1468" xr:uid="{00000000-0005-0000-0000-000041120000}"/>
    <cellStyle name="Comma 177" xfId="1469" xr:uid="{00000000-0005-0000-0000-000042120000}"/>
    <cellStyle name="Comma 178" xfId="1470" xr:uid="{00000000-0005-0000-0000-000043120000}"/>
    <cellStyle name="Comma 179" xfId="1471" xr:uid="{00000000-0005-0000-0000-000044120000}"/>
    <cellStyle name="Comma 18" xfId="115" xr:uid="{00000000-0005-0000-0000-000045120000}"/>
    <cellStyle name="Comma 18 2" xfId="766" xr:uid="{00000000-0005-0000-0000-000046120000}"/>
    <cellStyle name="Comma 18 2 2" xfId="23648" xr:uid="{00000000-0005-0000-0000-000047120000}"/>
    <cellStyle name="Comma 18 3" xfId="1472" xr:uid="{00000000-0005-0000-0000-000048120000}"/>
    <cellStyle name="Comma 18 4" xfId="22642" xr:uid="{00000000-0005-0000-0000-000049120000}"/>
    <cellStyle name="Comma 18 4 2" xfId="42553" xr:uid="{00000000-0005-0000-0000-00004A120000}"/>
    <cellStyle name="Comma 18 5" xfId="22731" xr:uid="{00000000-0005-0000-0000-00004B120000}"/>
    <cellStyle name="Comma 18 5 2" xfId="42642" xr:uid="{00000000-0005-0000-0000-00004C120000}"/>
    <cellStyle name="Comma 18 6" xfId="23034" xr:uid="{00000000-0005-0000-0000-00004D120000}"/>
    <cellStyle name="Comma 18 6 2" xfId="42945" xr:uid="{00000000-0005-0000-0000-00004E120000}"/>
    <cellStyle name="Comma 18 7" xfId="23345" xr:uid="{00000000-0005-0000-0000-00004F120000}"/>
    <cellStyle name="Comma 180" xfId="1473" xr:uid="{00000000-0005-0000-0000-000050120000}"/>
    <cellStyle name="Comma 181" xfId="1474" xr:uid="{00000000-0005-0000-0000-000051120000}"/>
    <cellStyle name="Comma 182" xfId="1475" xr:uid="{00000000-0005-0000-0000-000052120000}"/>
    <cellStyle name="Comma 182 2" xfId="4704" xr:uid="{00000000-0005-0000-0000-000053120000}"/>
    <cellStyle name="Comma 182 2 2" xfId="6329" xr:uid="{00000000-0005-0000-0000-000054120000}"/>
    <cellStyle name="Comma 182 2 2 2" xfId="9415" xr:uid="{00000000-0005-0000-0000-000055120000}"/>
    <cellStyle name="Comma 182 2 2 2 2" xfId="15608" xr:uid="{00000000-0005-0000-0000-000056120000}"/>
    <cellStyle name="Comma 182 2 2 2 2 2" xfId="35528" xr:uid="{00000000-0005-0000-0000-000057120000}"/>
    <cellStyle name="Comma 182 2 2 2 3" xfId="21760" xr:uid="{00000000-0005-0000-0000-000058120000}"/>
    <cellStyle name="Comma 182 2 2 2 3 2" xfId="41680" xr:uid="{00000000-0005-0000-0000-000059120000}"/>
    <cellStyle name="Comma 182 2 2 2 4" xfId="29375" xr:uid="{00000000-0005-0000-0000-00005A120000}"/>
    <cellStyle name="Comma 182 2 2 3" xfId="12542" xr:uid="{00000000-0005-0000-0000-00005B120000}"/>
    <cellStyle name="Comma 182 2 2 3 2" xfId="32462" xr:uid="{00000000-0005-0000-0000-00005C120000}"/>
    <cellStyle name="Comma 182 2 2 4" xfId="18694" xr:uid="{00000000-0005-0000-0000-00005D120000}"/>
    <cellStyle name="Comma 182 2 2 4 2" xfId="38614" xr:uid="{00000000-0005-0000-0000-00005E120000}"/>
    <cellStyle name="Comma 182 2 2 5" xfId="26309" xr:uid="{00000000-0005-0000-0000-00005F120000}"/>
    <cellStyle name="Comma 182 2 3" xfId="7880" xr:uid="{00000000-0005-0000-0000-000060120000}"/>
    <cellStyle name="Comma 182 2 3 2" xfId="14074" xr:uid="{00000000-0005-0000-0000-000061120000}"/>
    <cellStyle name="Comma 182 2 3 2 2" xfId="33994" xr:uid="{00000000-0005-0000-0000-000062120000}"/>
    <cellStyle name="Comma 182 2 3 3" xfId="20226" xr:uid="{00000000-0005-0000-0000-000063120000}"/>
    <cellStyle name="Comma 182 2 3 3 2" xfId="40146" xr:uid="{00000000-0005-0000-0000-000064120000}"/>
    <cellStyle name="Comma 182 2 3 4" xfId="27841" xr:uid="{00000000-0005-0000-0000-000065120000}"/>
    <cellStyle name="Comma 182 2 4" xfId="11008" xr:uid="{00000000-0005-0000-0000-000066120000}"/>
    <cellStyle name="Comma 182 2 4 2" xfId="30928" xr:uid="{00000000-0005-0000-0000-000067120000}"/>
    <cellStyle name="Comma 182 2 5" xfId="17160" xr:uid="{00000000-0005-0000-0000-000068120000}"/>
    <cellStyle name="Comma 182 2 5 2" xfId="37080" xr:uid="{00000000-0005-0000-0000-000069120000}"/>
    <cellStyle name="Comma 182 2 6" xfId="24775" xr:uid="{00000000-0005-0000-0000-00006A120000}"/>
    <cellStyle name="Comma 182 3" xfId="5543" xr:uid="{00000000-0005-0000-0000-00006B120000}"/>
    <cellStyle name="Comma 182 3 2" xfId="8646" xr:uid="{00000000-0005-0000-0000-00006C120000}"/>
    <cellStyle name="Comma 182 3 2 2" xfId="14839" xr:uid="{00000000-0005-0000-0000-00006D120000}"/>
    <cellStyle name="Comma 182 3 2 2 2" xfId="34759" xr:uid="{00000000-0005-0000-0000-00006E120000}"/>
    <cellStyle name="Comma 182 3 2 3" xfId="20991" xr:uid="{00000000-0005-0000-0000-00006F120000}"/>
    <cellStyle name="Comma 182 3 2 3 2" xfId="40911" xr:uid="{00000000-0005-0000-0000-000070120000}"/>
    <cellStyle name="Comma 182 3 2 4" xfId="28606" xr:uid="{00000000-0005-0000-0000-000071120000}"/>
    <cellStyle name="Comma 182 3 3" xfId="11773" xr:uid="{00000000-0005-0000-0000-000072120000}"/>
    <cellStyle name="Comma 182 3 3 2" xfId="31693" xr:uid="{00000000-0005-0000-0000-000073120000}"/>
    <cellStyle name="Comma 182 3 4" xfId="17925" xr:uid="{00000000-0005-0000-0000-000074120000}"/>
    <cellStyle name="Comma 182 3 4 2" xfId="37845" xr:uid="{00000000-0005-0000-0000-000075120000}"/>
    <cellStyle name="Comma 182 3 5" xfId="25540" xr:uid="{00000000-0005-0000-0000-000076120000}"/>
    <cellStyle name="Comma 182 4" xfId="7111" xr:uid="{00000000-0005-0000-0000-000077120000}"/>
    <cellStyle name="Comma 182 4 2" xfId="13305" xr:uid="{00000000-0005-0000-0000-000078120000}"/>
    <cellStyle name="Comma 182 4 2 2" xfId="33225" xr:uid="{00000000-0005-0000-0000-000079120000}"/>
    <cellStyle name="Comma 182 4 3" xfId="19457" xr:uid="{00000000-0005-0000-0000-00007A120000}"/>
    <cellStyle name="Comma 182 4 3 2" xfId="39377" xr:uid="{00000000-0005-0000-0000-00007B120000}"/>
    <cellStyle name="Comma 182 4 4" xfId="27072" xr:uid="{00000000-0005-0000-0000-00007C120000}"/>
    <cellStyle name="Comma 182 5" xfId="10239" xr:uid="{00000000-0005-0000-0000-00007D120000}"/>
    <cellStyle name="Comma 182 5 2" xfId="30159" xr:uid="{00000000-0005-0000-0000-00007E120000}"/>
    <cellStyle name="Comma 182 6" xfId="16391" xr:uid="{00000000-0005-0000-0000-00007F120000}"/>
    <cellStyle name="Comma 182 6 2" xfId="36311" xr:uid="{00000000-0005-0000-0000-000080120000}"/>
    <cellStyle name="Comma 182 7" xfId="24006" xr:uid="{00000000-0005-0000-0000-000081120000}"/>
    <cellStyle name="Comma 183" xfId="1476" xr:uid="{00000000-0005-0000-0000-000082120000}"/>
    <cellStyle name="Comma 184" xfId="1201" xr:uid="{00000000-0005-0000-0000-000083120000}"/>
    <cellStyle name="Comma 185" xfId="4506" xr:uid="{00000000-0005-0000-0000-000084120000}"/>
    <cellStyle name="Comma 186" xfId="1198" xr:uid="{00000000-0005-0000-0000-000085120000}"/>
    <cellStyle name="Comma 186 2" xfId="4646" xr:uid="{00000000-0005-0000-0000-000086120000}"/>
    <cellStyle name="Comma 186 2 2" xfId="6271" xr:uid="{00000000-0005-0000-0000-000087120000}"/>
    <cellStyle name="Comma 186 2 2 2" xfId="9357" xr:uid="{00000000-0005-0000-0000-000088120000}"/>
    <cellStyle name="Comma 186 2 2 2 2" xfId="15550" xr:uid="{00000000-0005-0000-0000-000089120000}"/>
    <cellStyle name="Comma 186 2 2 2 2 2" xfId="35470" xr:uid="{00000000-0005-0000-0000-00008A120000}"/>
    <cellStyle name="Comma 186 2 2 2 3" xfId="21702" xr:uid="{00000000-0005-0000-0000-00008B120000}"/>
    <cellStyle name="Comma 186 2 2 2 3 2" xfId="41622" xr:uid="{00000000-0005-0000-0000-00008C120000}"/>
    <cellStyle name="Comma 186 2 2 2 4" xfId="29317" xr:uid="{00000000-0005-0000-0000-00008D120000}"/>
    <cellStyle name="Comma 186 2 2 3" xfId="12484" xr:uid="{00000000-0005-0000-0000-00008E120000}"/>
    <cellStyle name="Comma 186 2 2 3 2" xfId="32404" xr:uid="{00000000-0005-0000-0000-00008F120000}"/>
    <cellStyle name="Comma 186 2 2 4" xfId="18636" xr:uid="{00000000-0005-0000-0000-000090120000}"/>
    <cellStyle name="Comma 186 2 2 4 2" xfId="38556" xr:uid="{00000000-0005-0000-0000-000091120000}"/>
    <cellStyle name="Comma 186 2 2 5" xfId="26251" xr:uid="{00000000-0005-0000-0000-000092120000}"/>
    <cellStyle name="Comma 186 2 3" xfId="7822" xr:uid="{00000000-0005-0000-0000-000093120000}"/>
    <cellStyle name="Comma 186 2 3 2" xfId="14016" xr:uid="{00000000-0005-0000-0000-000094120000}"/>
    <cellStyle name="Comma 186 2 3 2 2" xfId="33936" xr:uid="{00000000-0005-0000-0000-000095120000}"/>
    <cellStyle name="Comma 186 2 3 3" xfId="20168" xr:uid="{00000000-0005-0000-0000-000096120000}"/>
    <cellStyle name="Comma 186 2 3 3 2" xfId="40088" xr:uid="{00000000-0005-0000-0000-000097120000}"/>
    <cellStyle name="Comma 186 2 3 4" xfId="27783" xr:uid="{00000000-0005-0000-0000-000098120000}"/>
    <cellStyle name="Comma 186 2 4" xfId="10950" xr:uid="{00000000-0005-0000-0000-000099120000}"/>
    <cellStyle name="Comma 186 2 4 2" xfId="30870" xr:uid="{00000000-0005-0000-0000-00009A120000}"/>
    <cellStyle name="Comma 186 2 5" xfId="17102" xr:uid="{00000000-0005-0000-0000-00009B120000}"/>
    <cellStyle name="Comma 186 2 5 2" xfId="37022" xr:uid="{00000000-0005-0000-0000-00009C120000}"/>
    <cellStyle name="Comma 186 2 6" xfId="24717" xr:uid="{00000000-0005-0000-0000-00009D120000}"/>
    <cellStyle name="Comma 186 3" xfId="5485" xr:uid="{00000000-0005-0000-0000-00009E120000}"/>
    <cellStyle name="Comma 186 3 2" xfId="8588" xr:uid="{00000000-0005-0000-0000-00009F120000}"/>
    <cellStyle name="Comma 186 3 2 2" xfId="14781" xr:uid="{00000000-0005-0000-0000-0000A0120000}"/>
    <cellStyle name="Comma 186 3 2 2 2" xfId="34701" xr:uid="{00000000-0005-0000-0000-0000A1120000}"/>
    <cellStyle name="Comma 186 3 2 3" xfId="20933" xr:uid="{00000000-0005-0000-0000-0000A2120000}"/>
    <cellStyle name="Comma 186 3 2 3 2" xfId="40853" xr:uid="{00000000-0005-0000-0000-0000A3120000}"/>
    <cellStyle name="Comma 186 3 2 4" xfId="28548" xr:uid="{00000000-0005-0000-0000-0000A4120000}"/>
    <cellStyle name="Comma 186 3 3" xfId="11715" xr:uid="{00000000-0005-0000-0000-0000A5120000}"/>
    <cellStyle name="Comma 186 3 3 2" xfId="31635" xr:uid="{00000000-0005-0000-0000-0000A6120000}"/>
    <cellStyle name="Comma 186 3 4" xfId="17867" xr:uid="{00000000-0005-0000-0000-0000A7120000}"/>
    <cellStyle name="Comma 186 3 4 2" xfId="37787" xr:uid="{00000000-0005-0000-0000-0000A8120000}"/>
    <cellStyle name="Comma 186 3 5" xfId="25482" xr:uid="{00000000-0005-0000-0000-0000A9120000}"/>
    <cellStyle name="Comma 186 4" xfId="7053" xr:uid="{00000000-0005-0000-0000-0000AA120000}"/>
    <cellStyle name="Comma 186 4 2" xfId="13247" xr:uid="{00000000-0005-0000-0000-0000AB120000}"/>
    <cellStyle name="Comma 186 4 2 2" xfId="33167" xr:uid="{00000000-0005-0000-0000-0000AC120000}"/>
    <cellStyle name="Comma 186 4 3" xfId="19399" xr:uid="{00000000-0005-0000-0000-0000AD120000}"/>
    <cellStyle name="Comma 186 4 3 2" xfId="39319" xr:uid="{00000000-0005-0000-0000-0000AE120000}"/>
    <cellStyle name="Comma 186 4 4" xfId="27014" xr:uid="{00000000-0005-0000-0000-0000AF120000}"/>
    <cellStyle name="Comma 186 5" xfId="10181" xr:uid="{00000000-0005-0000-0000-0000B0120000}"/>
    <cellStyle name="Comma 186 5 2" xfId="30101" xr:uid="{00000000-0005-0000-0000-0000B1120000}"/>
    <cellStyle name="Comma 186 6" xfId="16333" xr:uid="{00000000-0005-0000-0000-0000B2120000}"/>
    <cellStyle name="Comma 186 6 2" xfId="36253" xr:uid="{00000000-0005-0000-0000-0000B3120000}"/>
    <cellStyle name="Comma 186 7" xfId="23948" xr:uid="{00000000-0005-0000-0000-0000B4120000}"/>
    <cellStyle name="Comma 187" xfId="4610" xr:uid="{00000000-0005-0000-0000-0000B5120000}"/>
    <cellStyle name="Comma 187 2" xfId="4616" xr:uid="{00000000-0005-0000-0000-0000B6120000}"/>
    <cellStyle name="Comma 187 3" xfId="6242" xr:uid="{00000000-0005-0000-0000-0000B7120000}"/>
    <cellStyle name="Comma 187 3 2" xfId="9328" xr:uid="{00000000-0005-0000-0000-0000B8120000}"/>
    <cellStyle name="Comma 187 3 2 2" xfId="15521" xr:uid="{00000000-0005-0000-0000-0000B9120000}"/>
    <cellStyle name="Comma 187 3 2 2 2" xfId="35441" xr:uid="{00000000-0005-0000-0000-0000BA120000}"/>
    <cellStyle name="Comma 187 3 2 3" xfId="21673" xr:uid="{00000000-0005-0000-0000-0000BB120000}"/>
    <cellStyle name="Comma 187 3 2 3 2" xfId="41593" xr:uid="{00000000-0005-0000-0000-0000BC120000}"/>
    <cellStyle name="Comma 187 3 2 4" xfId="29288" xr:uid="{00000000-0005-0000-0000-0000BD120000}"/>
    <cellStyle name="Comma 187 3 3" xfId="12455" xr:uid="{00000000-0005-0000-0000-0000BE120000}"/>
    <cellStyle name="Comma 187 3 3 2" xfId="32375" xr:uid="{00000000-0005-0000-0000-0000BF120000}"/>
    <cellStyle name="Comma 187 3 4" xfId="18607" xr:uid="{00000000-0005-0000-0000-0000C0120000}"/>
    <cellStyle name="Comma 187 3 4 2" xfId="38527" xr:uid="{00000000-0005-0000-0000-0000C1120000}"/>
    <cellStyle name="Comma 187 3 5" xfId="26222" xr:uid="{00000000-0005-0000-0000-0000C2120000}"/>
    <cellStyle name="Comma 187 4" xfId="7793" xr:uid="{00000000-0005-0000-0000-0000C3120000}"/>
    <cellStyle name="Comma 187 4 2" xfId="13987" xr:uid="{00000000-0005-0000-0000-0000C4120000}"/>
    <cellStyle name="Comma 187 4 2 2" xfId="33907" xr:uid="{00000000-0005-0000-0000-0000C5120000}"/>
    <cellStyle name="Comma 187 4 3" xfId="20139" xr:uid="{00000000-0005-0000-0000-0000C6120000}"/>
    <cellStyle name="Comma 187 4 3 2" xfId="40059" xr:uid="{00000000-0005-0000-0000-0000C7120000}"/>
    <cellStyle name="Comma 187 4 4" xfId="27754" xr:uid="{00000000-0005-0000-0000-0000C8120000}"/>
    <cellStyle name="Comma 187 5" xfId="10921" xr:uid="{00000000-0005-0000-0000-0000C9120000}"/>
    <cellStyle name="Comma 187 5 2" xfId="30841" xr:uid="{00000000-0005-0000-0000-0000CA120000}"/>
    <cellStyle name="Comma 187 6" xfId="17073" xr:uid="{00000000-0005-0000-0000-0000CB120000}"/>
    <cellStyle name="Comma 187 6 2" xfId="36993" xr:uid="{00000000-0005-0000-0000-0000CC120000}"/>
    <cellStyle name="Comma 187 7" xfId="24688" xr:uid="{00000000-0005-0000-0000-0000CD120000}"/>
    <cellStyle name="Comma 188" xfId="5387" xr:uid="{00000000-0005-0000-0000-0000CE120000}"/>
    <cellStyle name="Comma 189" xfId="5453" xr:uid="{00000000-0005-0000-0000-0000CF120000}"/>
    <cellStyle name="Comma 19" xfId="116" xr:uid="{00000000-0005-0000-0000-0000D0120000}"/>
    <cellStyle name="Comma 19 2" xfId="767" xr:uid="{00000000-0005-0000-0000-0000D1120000}"/>
    <cellStyle name="Comma 19 2 2" xfId="23649" xr:uid="{00000000-0005-0000-0000-0000D2120000}"/>
    <cellStyle name="Comma 19 3" xfId="1477" xr:uid="{00000000-0005-0000-0000-0000D3120000}"/>
    <cellStyle name="Comma 19 4" xfId="22535" xr:uid="{00000000-0005-0000-0000-0000D4120000}"/>
    <cellStyle name="Comma 19 4 2" xfId="42446" xr:uid="{00000000-0005-0000-0000-0000D5120000}"/>
    <cellStyle name="Comma 19 5" xfId="22732" xr:uid="{00000000-0005-0000-0000-0000D6120000}"/>
    <cellStyle name="Comma 19 5 2" xfId="42643" xr:uid="{00000000-0005-0000-0000-0000D7120000}"/>
    <cellStyle name="Comma 19 6" xfId="23035" xr:uid="{00000000-0005-0000-0000-0000D8120000}"/>
    <cellStyle name="Comma 19 6 2" xfId="42946" xr:uid="{00000000-0005-0000-0000-0000D9120000}"/>
    <cellStyle name="Comma 19 7" xfId="23346" xr:uid="{00000000-0005-0000-0000-0000DA120000}"/>
    <cellStyle name="Comma 190" xfId="5395" xr:uid="{00000000-0005-0000-0000-0000DB120000}"/>
    <cellStyle name="Comma 191" xfId="5444" xr:uid="{00000000-0005-0000-0000-0000DC120000}"/>
    <cellStyle name="Comma 192" xfId="5388" xr:uid="{00000000-0005-0000-0000-0000DD120000}"/>
    <cellStyle name="Comma 193" xfId="5450" xr:uid="{00000000-0005-0000-0000-0000DE120000}"/>
    <cellStyle name="Comma 194" xfId="5397" xr:uid="{00000000-0005-0000-0000-0000DF120000}"/>
    <cellStyle name="Comma 195" xfId="5442" xr:uid="{00000000-0005-0000-0000-0000E0120000}"/>
    <cellStyle name="Comma 196" xfId="5410" xr:uid="{00000000-0005-0000-0000-0000E1120000}"/>
    <cellStyle name="Comma 197" xfId="5429" xr:uid="{00000000-0005-0000-0000-0000E2120000}"/>
    <cellStyle name="Comma 198" xfId="5412" xr:uid="{00000000-0005-0000-0000-0000E3120000}"/>
    <cellStyle name="Comma 199" xfId="5423" xr:uid="{00000000-0005-0000-0000-0000E4120000}"/>
    <cellStyle name="Comma 2" xfId="7" xr:uid="{00000000-0005-0000-0000-0000E5120000}"/>
    <cellStyle name="Comma 2 10" xfId="188" xr:uid="{00000000-0005-0000-0000-0000E6120000}"/>
    <cellStyle name="Comma 2 10 2" xfId="4511" xr:uid="{00000000-0005-0000-0000-0000E7120000}"/>
    <cellStyle name="Comma 2 10 3" xfId="1479" xr:uid="{00000000-0005-0000-0000-0000E8120000}"/>
    <cellStyle name="Comma 2 10 4" xfId="1079" xr:uid="{00000000-0005-0000-0000-0000E9120000}"/>
    <cellStyle name="Comma 2 11" xfId="235" xr:uid="{00000000-0005-0000-0000-0000EA120000}"/>
    <cellStyle name="Comma 2 11 2" xfId="4512" xr:uid="{00000000-0005-0000-0000-0000EB120000}"/>
    <cellStyle name="Comma 2 11 3" xfId="1480" xr:uid="{00000000-0005-0000-0000-0000EC120000}"/>
    <cellStyle name="Comma 2 11 4" xfId="1080" xr:uid="{00000000-0005-0000-0000-0000ED120000}"/>
    <cellStyle name="Comma 2 12" xfId="250" xr:uid="{00000000-0005-0000-0000-0000EE120000}"/>
    <cellStyle name="Comma 2 12 2" xfId="4513" xr:uid="{00000000-0005-0000-0000-0000EF120000}"/>
    <cellStyle name="Comma 2 12 3" xfId="1481" xr:uid="{00000000-0005-0000-0000-0000F0120000}"/>
    <cellStyle name="Comma 2 12 4" xfId="1081" xr:uid="{00000000-0005-0000-0000-0000F1120000}"/>
    <cellStyle name="Comma 2 13" xfId="265" xr:uid="{00000000-0005-0000-0000-0000F2120000}"/>
    <cellStyle name="Comma 2 13 2" xfId="4514" xr:uid="{00000000-0005-0000-0000-0000F3120000}"/>
    <cellStyle name="Comma 2 13 3" xfId="1482" xr:uid="{00000000-0005-0000-0000-0000F4120000}"/>
    <cellStyle name="Comma 2 13 4" xfId="1082" xr:uid="{00000000-0005-0000-0000-0000F5120000}"/>
    <cellStyle name="Comma 2 14" xfId="280" xr:uid="{00000000-0005-0000-0000-0000F6120000}"/>
    <cellStyle name="Comma 2 14 2" xfId="4515" xr:uid="{00000000-0005-0000-0000-0000F7120000}"/>
    <cellStyle name="Comma 2 14 3" xfId="1483" xr:uid="{00000000-0005-0000-0000-0000F8120000}"/>
    <cellStyle name="Comma 2 14 4" xfId="1083" xr:uid="{00000000-0005-0000-0000-0000F9120000}"/>
    <cellStyle name="Comma 2 15" xfId="292" xr:uid="{00000000-0005-0000-0000-0000FA120000}"/>
    <cellStyle name="Comma 2 15 2" xfId="4516" xr:uid="{00000000-0005-0000-0000-0000FB120000}"/>
    <cellStyle name="Comma 2 15 3" xfId="1484" xr:uid="{00000000-0005-0000-0000-0000FC120000}"/>
    <cellStyle name="Comma 2 15 4" xfId="1084" xr:uid="{00000000-0005-0000-0000-0000FD120000}"/>
    <cellStyle name="Comma 2 16" xfId="298" xr:uid="{00000000-0005-0000-0000-0000FE120000}"/>
    <cellStyle name="Comma 2 16 2" xfId="4517" xr:uid="{00000000-0005-0000-0000-0000FF120000}"/>
    <cellStyle name="Comma 2 16 3" xfId="1485" xr:uid="{00000000-0005-0000-0000-000000130000}"/>
    <cellStyle name="Comma 2 16 4" xfId="1085" xr:uid="{00000000-0005-0000-0000-000001130000}"/>
    <cellStyle name="Comma 2 17" xfId="333" xr:uid="{00000000-0005-0000-0000-000002130000}"/>
    <cellStyle name="Comma 2 17 2" xfId="4518" xr:uid="{00000000-0005-0000-0000-000003130000}"/>
    <cellStyle name="Comma 2 17 3" xfId="1486" xr:uid="{00000000-0005-0000-0000-000004130000}"/>
    <cellStyle name="Comma 2 17 4" xfId="1086" xr:uid="{00000000-0005-0000-0000-000005130000}"/>
    <cellStyle name="Comma 2 18" xfId="361" xr:uid="{00000000-0005-0000-0000-000006130000}"/>
    <cellStyle name="Comma 2 18 2" xfId="4519" xr:uid="{00000000-0005-0000-0000-000007130000}"/>
    <cellStyle name="Comma 2 18 3" xfId="1487" xr:uid="{00000000-0005-0000-0000-000008130000}"/>
    <cellStyle name="Comma 2 18 4" xfId="1087" xr:uid="{00000000-0005-0000-0000-000009130000}"/>
    <cellStyle name="Comma 2 19" xfId="330" xr:uid="{00000000-0005-0000-0000-00000A130000}"/>
    <cellStyle name="Comma 2 19 2" xfId="4520" xr:uid="{00000000-0005-0000-0000-00000B130000}"/>
    <cellStyle name="Comma 2 19 3" xfId="1488" xr:uid="{00000000-0005-0000-0000-00000C130000}"/>
    <cellStyle name="Comma 2 19 4" xfId="1088" xr:uid="{00000000-0005-0000-0000-00000D130000}"/>
    <cellStyle name="Comma 2 2" xfId="15" xr:uid="{00000000-0005-0000-0000-00000E130000}"/>
    <cellStyle name="Comma 2 2 10" xfId="1489" xr:uid="{00000000-0005-0000-0000-00000F130000}"/>
    <cellStyle name="Comma 2 2 10 2" xfId="4706" xr:uid="{00000000-0005-0000-0000-000010130000}"/>
    <cellStyle name="Comma 2 2 10 2 2" xfId="6331" xr:uid="{00000000-0005-0000-0000-000011130000}"/>
    <cellStyle name="Comma 2 2 10 2 2 2" xfId="9417" xr:uid="{00000000-0005-0000-0000-000012130000}"/>
    <cellStyle name="Comma 2 2 10 2 2 2 2" xfId="15610" xr:uid="{00000000-0005-0000-0000-000013130000}"/>
    <cellStyle name="Comma 2 2 10 2 2 2 2 2" xfId="35530" xr:uid="{00000000-0005-0000-0000-000014130000}"/>
    <cellStyle name="Comma 2 2 10 2 2 2 3" xfId="21762" xr:uid="{00000000-0005-0000-0000-000015130000}"/>
    <cellStyle name="Comma 2 2 10 2 2 2 3 2" xfId="41682" xr:uid="{00000000-0005-0000-0000-000016130000}"/>
    <cellStyle name="Comma 2 2 10 2 2 2 4" xfId="29377" xr:uid="{00000000-0005-0000-0000-000017130000}"/>
    <cellStyle name="Comma 2 2 10 2 2 3" xfId="12544" xr:uid="{00000000-0005-0000-0000-000018130000}"/>
    <cellStyle name="Comma 2 2 10 2 2 3 2" xfId="32464" xr:uid="{00000000-0005-0000-0000-000019130000}"/>
    <cellStyle name="Comma 2 2 10 2 2 4" xfId="18696" xr:uid="{00000000-0005-0000-0000-00001A130000}"/>
    <cellStyle name="Comma 2 2 10 2 2 4 2" xfId="38616" xr:uid="{00000000-0005-0000-0000-00001B130000}"/>
    <cellStyle name="Comma 2 2 10 2 2 5" xfId="26311" xr:uid="{00000000-0005-0000-0000-00001C130000}"/>
    <cellStyle name="Comma 2 2 10 2 3" xfId="7882" xr:uid="{00000000-0005-0000-0000-00001D130000}"/>
    <cellStyle name="Comma 2 2 10 2 3 2" xfId="14076" xr:uid="{00000000-0005-0000-0000-00001E130000}"/>
    <cellStyle name="Comma 2 2 10 2 3 2 2" xfId="33996" xr:uid="{00000000-0005-0000-0000-00001F130000}"/>
    <cellStyle name="Comma 2 2 10 2 3 3" xfId="20228" xr:uid="{00000000-0005-0000-0000-000020130000}"/>
    <cellStyle name="Comma 2 2 10 2 3 3 2" xfId="40148" xr:uid="{00000000-0005-0000-0000-000021130000}"/>
    <cellStyle name="Comma 2 2 10 2 3 4" xfId="27843" xr:uid="{00000000-0005-0000-0000-000022130000}"/>
    <cellStyle name="Comma 2 2 10 2 4" xfId="11010" xr:uid="{00000000-0005-0000-0000-000023130000}"/>
    <cellStyle name="Comma 2 2 10 2 4 2" xfId="30930" xr:uid="{00000000-0005-0000-0000-000024130000}"/>
    <cellStyle name="Comma 2 2 10 2 5" xfId="17162" xr:uid="{00000000-0005-0000-0000-000025130000}"/>
    <cellStyle name="Comma 2 2 10 2 5 2" xfId="37082" xr:uid="{00000000-0005-0000-0000-000026130000}"/>
    <cellStyle name="Comma 2 2 10 2 6" xfId="24777" xr:uid="{00000000-0005-0000-0000-000027130000}"/>
    <cellStyle name="Comma 2 2 10 3" xfId="5545" xr:uid="{00000000-0005-0000-0000-000028130000}"/>
    <cellStyle name="Comma 2 2 10 3 2" xfId="8648" xr:uid="{00000000-0005-0000-0000-000029130000}"/>
    <cellStyle name="Comma 2 2 10 3 2 2" xfId="14841" xr:uid="{00000000-0005-0000-0000-00002A130000}"/>
    <cellStyle name="Comma 2 2 10 3 2 2 2" xfId="34761" xr:uid="{00000000-0005-0000-0000-00002B130000}"/>
    <cellStyle name="Comma 2 2 10 3 2 3" xfId="20993" xr:uid="{00000000-0005-0000-0000-00002C130000}"/>
    <cellStyle name="Comma 2 2 10 3 2 3 2" xfId="40913" xr:uid="{00000000-0005-0000-0000-00002D130000}"/>
    <cellStyle name="Comma 2 2 10 3 2 4" xfId="28608" xr:uid="{00000000-0005-0000-0000-00002E130000}"/>
    <cellStyle name="Comma 2 2 10 3 3" xfId="11775" xr:uid="{00000000-0005-0000-0000-00002F130000}"/>
    <cellStyle name="Comma 2 2 10 3 3 2" xfId="31695" xr:uid="{00000000-0005-0000-0000-000030130000}"/>
    <cellStyle name="Comma 2 2 10 3 4" xfId="17927" xr:uid="{00000000-0005-0000-0000-000031130000}"/>
    <cellStyle name="Comma 2 2 10 3 4 2" xfId="37847" xr:uid="{00000000-0005-0000-0000-000032130000}"/>
    <cellStyle name="Comma 2 2 10 3 5" xfId="25542" xr:uid="{00000000-0005-0000-0000-000033130000}"/>
    <cellStyle name="Comma 2 2 10 4" xfId="7113" xr:uid="{00000000-0005-0000-0000-000034130000}"/>
    <cellStyle name="Comma 2 2 10 4 2" xfId="13307" xr:uid="{00000000-0005-0000-0000-000035130000}"/>
    <cellStyle name="Comma 2 2 10 4 2 2" xfId="33227" xr:uid="{00000000-0005-0000-0000-000036130000}"/>
    <cellStyle name="Comma 2 2 10 4 3" xfId="19459" xr:uid="{00000000-0005-0000-0000-000037130000}"/>
    <cellStyle name="Comma 2 2 10 4 3 2" xfId="39379" xr:uid="{00000000-0005-0000-0000-000038130000}"/>
    <cellStyle name="Comma 2 2 10 4 4" xfId="27074" xr:uid="{00000000-0005-0000-0000-000039130000}"/>
    <cellStyle name="Comma 2 2 10 5" xfId="10241" xr:uid="{00000000-0005-0000-0000-00003A130000}"/>
    <cellStyle name="Comma 2 2 10 5 2" xfId="30161" xr:uid="{00000000-0005-0000-0000-00003B130000}"/>
    <cellStyle name="Comma 2 2 10 6" xfId="16393" xr:uid="{00000000-0005-0000-0000-00003C130000}"/>
    <cellStyle name="Comma 2 2 10 6 2" xfId="36313" xr:uid="{00000000-0005-0000-0000-00003D130000}"/>
    <cellStyle name="Comma 2 2 10 7" xfId="24008" xr:uid="{00000000-0005-0000-0000-00003E130000}"/>
    <cellStyle name="Comma 2 2 11" xfId="1490" xr:uid="{00000000-0005-0000-0000-00003F130000}"/>
    <cellStyle name="Comma 2 2 11 2" xfId="4707" xr:uid="{00000000-0005-0000-0000-000040130000}"/>
    <cellStyle name="Comma 2 2 11 2 2" xfId="6332" xr:uid="{00000000-0005-0000-0000-000041130000}"/>
    <cellStyle name="Comma 2 2 11 2 2 2" xfId="9418" xr:uid="{00000000-0005-0000-0000-000042130000}"/>
    <cellStyle name="Comma 2 2 11 2 2 2 2" xfId="15611" xr:uid="{00000000-0005-0000-0000-000043130000}"/>
    <cellStyle name="Comma 2 2 11 2 2 2 2 2" xfId="35531" xr:uid="{00000000-0005-0000-0000-000044130000}"/>
    <cellStyle name="Comma 2 2 11 2 2 2 3" xfId="21763" xr:uid="{00000000-0005-0000-0000-000045130000}"/>
    <cellStyle name="Comma 2 2 11 2 2 2 3 2" xfId="41683" xr:uid="{00000000-0005-0000-0000-000046130000}"/>
    <cellStyle name="Comma 2 2 11 2 2 2 4" xfId="29378" xr:uid="{00000000-0005-0000-0000-000047130000}"/>
    <cellStyle name="Comma 2 2 11 2 2 3" xfId="12545" xr:uid="{00000000-0005-0000-0000-000048130000}"/>
    <cellStyle name="Comma 2 2 11 2 2 3 2" xfId="32465" xr:uid="{00000000-0005-0000-0000-000049130000}"/>
    <cellStyle name="Comma 2 2 11 2 2 4" xfId="18697" xr:uid="{00000000-0005-0000-0000-00004A130000}"/>
    <cellStyle name="Comma 2 2 11 2 2 4 2" xfId="38617" xr:uid="{00000000-0005-0000-0000-00004B130000}"/>
    <cellStyle name="Comma 2 2 11 2 2 5" xfId="26312" xr:uid="{00000000-0005-0000-0000-00004C130000}"/>
    <cellStyle name="Comma 2 2 11 2 3" xfId="7883" xr:uid="{00000000-0005-0000-0000-00004D130000}"/>
    <cellStyle name="Comma 2 2 11 2 3 2" xfId="14077" xr:uid="{00000000-0005-0000-0000-00004E130000}"/>
    <cellStyle name="Comma 2 2 11 2 3 2 2" xfId="33997" xr:uid="{00000000-0005-0000-0000-00004F130000}"/>
    <cellStyle name="Comma 2 2 11 2 3 3" xfId="20229" xr:uid="{00000000-0005-0000-0000-000050130000}"/>
    <cellStyle name="Comma 2 2 11 2 3 3 2" xfId="40149" xr:uid="{00000000-0005-0000-0000-000051130000}"/>
    <cellStyle name="Comma 2 2 11 2 3 4" xfId="27844" xr:uid="{00000000-0005-0000-0000-000052130000}"/>
    <cellStyle name="Comma 2 2 11 2 4" xfId="11011" xr:uid="{00000000-0005-0000-0000-000053130000}"/>
    <cellStyle name="Comma 2 2 11 2 4 2" xfId="30931" xr:uid="{00000000-0005-0000-0000-000054130000}"/>
    <cellStyle name="Comma 2 2 11 2 5" xfId="17163" xr:uid="{00000000-0005-0000-0000-000055130000}"/>
    <cellStyle name="Comma 2 2 11 2 5 2" xfId="37083" xr:uid="{00000000-0005-0000-0000-000056130000}"/>
    <cellStyle name="Comma 2 2 11 2 6" xfId="24778" xr:uid="{00000000-0005-0000-0000-000057130000}"/>
    <cellStyle name="Comma 2 2 11 3" xfId="5546" xr:uid="{00000000-0005-0000-0000-000058130000}"/>
    <cellStyle name="Comma 2 2 11 3 2" xfId="8649" xr:uid="{00000000-0005-0000-0000-000059130000}"/>
    <cellStyle name="Comma 2 2 11 3 2 2" xfId="14842" xr:uid="{00000000-0005-0000-0000-00005A130000}"/>
    <cellStyle name="Comma 2 2 11 3 2 2 2" xfId="34762" xr:uid="{00000000-0005-0000-0000-00005B130000}"/>
    <cellStyle name="Comma 2 2 11 3 2 3" xfId="20994" xr:uid="{00000000-0005-0000-0000-00005C130000}"/>
    <cellStyle name="Comma 2 2 11 3 2 3 2" xfId="40914" xr:uid="{00000000-0005-0000-0000-00005D130000}"/>
    <cellStyle name="Comma 2 2 11 3 2 4" xfId="28609" xr:uid="{00000000-0005-0000-0000-00005E130000}"/>
    <cellStyle name="Comma 2 2 11 3 3" xfId="11776" xr:uid="{00000000-0005-0000-0000-00005F130000}"/>
    <cellStyle name="Comma 2 2 11 3 3 2" xfId="31696" xr:uid="{00000000-0005-0000-0000-000060130000}"/>
    <cellStyle name="Comma 2 2 11 3 4" xfId="17928" xr:uid="{00000000-0005-0000-0000-000061130000}"/>
    <cellStyle name="Comma 2 2 11 3 4 2" xfId="37848" xr:uid="{00000000-0005-0000-0000-000062130000}"/>
    <cellStyle name="Comma 2 2 11 3 5" xfId="25543" xr:uid="{00000000-0005-0000-0000-000063130000}"/>
    <cellStyle name="Comma 2 2 11 4" xfId="7114" xr:uid="{00000000-0005-0000-0000-000064130000}"/>
    <cellStyle name="Comma 2 2 11 4 2" xfId="13308" xr:uid="{00000000-0005-0000-0000-000065130000}"/>
    <cellStyle name="Comma 2 2 11 4 2 2" xfId="33228" xr:uid="{00000000-0005-0000-0000-000066130000}"/>
    <cellStyle name="Comma 2 2 11 4 3" xfId="19460" xr:uid="{00000000-0005-0000-0000-000067130000}"/>
    <cellStyle name="Comma 2 2 11 4 3 2" xfId="39380" xr:uid="{00000000-0005-0000-0000-000068130000}"/>
    <cellStyle name="Comma 2 2 11 4 4" xfId="27075" xr:uid="{00000000-0005-0000-0000-000069130000}"/>
    <cellStyle name="Comma 2 2 11 5" xfId="10242" xr:uid="{00000000-0005-0000-0000-00006A130000}"/>
    <cellStyle name="Comma 2 2 11 5 2" xfId="30162" xr:uid="{00000000-0005-0000-0000-00006B130000}"/>
    <cellStyle name="Comma 2 2 11 6" xfId="16394" xr:uid="{00000000-0005-0000-0000-00006C130000}"/>
    <cellStyle name="Comma 2 2 11 6 2" xfId="36314" xr:uid="{00000000-0005-0000-0000-00006D130000}"/>
    <cellStyle name="Comma 2 2 11 7" xfId="24009" xr:uid="{00000000-0005-0000-0000-00006E130000}"/>
    <cellStyle name="Comma 2 2 12" xfId="1491" xr:uid="{00000000-0005-0000-0000-00006F130000}"/>
    <cellStyle name="Comma 2 2 12 2" xfId="4708" xr:uid="{00000000-0005-0000-0000-000070130000}"/>
    <cellStyle name="Comma 2 2 12 2 2" xfId="6333" xr:uid="{00000000-0005-0000-0000-000071130000}"/>
    <cellStyle name="Comma 2 2 12 2 2 2" xfId="9419" xr:uid="{00000000-0005-0000-0000-000072130000}"/>
    <cellStyle name="Comma 2 2 12 2 2 2 2" xfId="15612" xr:uid="{00000000-0005-0000-0000-000073130000}"/>
    <cellStyle name="Comma 2 2 12 2 2 2 2 2" xfId="35532" xr:uid="{00000000-0005-0000-0000-000074130000}"/>
    <cellStyle name="Comma 2 2 12 2 2 2 3" xfId="21764" xr:uid="{00000000-0005-0000-0000-000075130000}"/>
    <cellStyle name="Comma 2 2 12 2 2 2 3 2" xfId="41684" xr:uid="{00000000-0005-0000-0000-000076130000}"/>
    <cellStyle name="Comma 2 2 12 2 2 2 4" xfId="29379" xr:uid="{00000000-0005-0000-0000-000077130000}"/>
    <cellStyle name="Comma 2 2 12 2 2 3" xfId="12546" xr:uid="{00000000-0005-0000-0000-000078130000}"/>
    <cellStyle name="Comma 2 2 12 2 2 3 2" xfId="32466" xr:uid="{00000000-0005-0000-0000-000079130000}"/>
    <cellStyle name="Comma 2 2 12 2 2 4" xfId="18698" xr:uid="{00000000-0005-0000-0000-00007A130000}"/>
    <cellStyle name="Comma 2 2 12 2 2 4 2" xfId="38618" xr:uid="{00000000-0005-0000-0000-00007B130000}"/>
    <cellStyle name="Comma 2 2 12 2 2 5" xfId="26313" xr:uid="{00000000-0005-0000-0000-00007C130000}"/>
    <cellStyle name="Comma 2 2 12 2 3" xfId="7884" xr:uid="{00000000-0005-0000-0000-00007D130000}"/>
    <cellStyle name="Comma 2 2 12 2 3 2" xfId="14078" xr:uid="{00000000-0005-0000-0000-00007E130000}"/>
    <cellStyle name="Comma 2 2 12 2 3 2 2" xfId="33998" xr:uid="{00000000-0005-0000-0000-00007F130000}"/>
    <cellStyle name="Comma 2 2 12 2 3 3" xfId="20230" xr:uid="{00000000-0005-0000-0000-000080130000}"/>
    <cellStyle name="Comma 2 2 12 2 3 3 2" xfId="40150" xr:uid="{00000000-0005-0000-0000-000081130000}"/>
    <cellStyle name="Comma 2 2 12 2 3 4" xfId="27845" xr:uid="{00000000-0005-0000-0000-000082130000}"/>
    <cellStyle name="Comma 2 2 12 2 4" xfId="11012" xr:uid="{00000000-0005-0000-0000-000083130000}"/>
    <cellStyle name="Comma 2 2 12 2 4 2" xfId="30932" xr:uid="{00000000-0005-0000-0000-000084130000}"/>
    <cellStyle name="Comma 2 2 12 2 5" xfId="17164" xr:uid="{00000000-0005-0000-0000-000085130000}"/>
    <cellStyle name="Comma 2 2 12 2 5 2" xfId="37084" xr:uid="{00000000-0005-0000-0000-000086130000}"/>
    <cellStyle name="Comma 2 2 12 2 6" xfId="24779" xr:uid="{00000000-0005-0000-0000-000087130000}"/>
    <cellStyle name="Comma 2 2 12 3" xfId="5547" xr:uid="{00000000-0005-0000-0000-000088130000}"/>
    <cellStyle name="Comma 2 2 12 3 2" xfId="8650" xr:uid="{00000000-0005-0000-0000-000089130000}"/>
    <cellStyle name="Comma 2 2 12 3 2 2" xfId="14843" xr:uid="{00000000-0005-0000-0000-00008A130000}"/>
    <cellStyle name="Comma 2 2 12 3 2 2 2" xfId="34763" xr:uid="{00000000-0005-0000-0000-00008B130000}"/>
    <cellStyle name="Comma 2 2 12 3 2 3" xfId="20995" xr:uid="{00000000-0005-0000-0000-00008C130000}"/>
    <cellStyle name="Comma 2 2 12 3 2 3 2" xfId="40915" xr:uid="{00000000-0005-0000-0000-00008D130000}"/>
    <cellStyle name="Comma 2 2 12 3 2 4" xfId="28610" xr:uid="{00000000-0005-0000-0000-00008E130000}"/>
    <cellStyle name="Comma 2 2 12 3 3" xfId="11777" xr:uid="{00000000-0005-0000-0000-00008F130000}"/>
    <cellStyle name="Comma 2 2 12 3 3 2" xfId="31697" xr:uid="{00000000-0005-0000-0000-000090130000}"/>
    <cellStyle name="Comma 2 2 12 3 4" xfId="17929" xr:uid="{00000000-0005-0000-0000-000091130000}"/>
    <cellStyle name="Comma 2 2 12 3 4 2" xfId="37849" xr:uid="{00000000-0005-0000-0000-000092130000}"/>
    <cellStyle name="Comma 2 2 12 3 5" xfId="25544" xr:uid="{00000000-0005-0000-0000-000093130000}"/>
    <cellStyle name="Comma 2 2 12 4" xfId="7115" xr:uid="{00000000-0005-0000-0000-000094130000}"/>
    <cellStyle name="Comma 2 2 12 4 2" xfId="13309" xr:uid="{00000000-0005-0000-0000-000095130000}"/>
    <cellStyle name="Comma 2 2 12 4 2 2" xfId="33229" xr:uid="{00000000-0005-0000-0000-000096130000}"/>
    <cellStyle name="Comma 2 2 12 4 3" xfId="19461" xr:uid="{00000000-0005-0000-0000-000097130000}"/>
    <cellStyle name="Comma 2 2 12 4 3 2" xfId="39381" xr:uid="{00000000-0005-0000-0000-000098130000}"/>
    <cellStyle name="Comma 2 2 12 4 4" xfId="27076" xr:uid="{00000000-0005-0000-0000-000099130000}"/>
    <cellStyle name="Comma 2 2 12 5" xfId="10243" xr:uid="{00000000-0005-0000-0000-00009A130000}"/>
    <cellStyle name="Comma 2 2 12 5 2" xfId="30163" xr:uid="{00000000-0005-0000-0000-00009B130000}"/>
    <cellStyle name="Comma 2 2 12 6" xfId="16395" xr:uid="{00000000-0005-0000-0000-00009C130000}"/>
    <cellStyle name="Comma 2 2 12 6 2" xfId="36315" xr:uid="{00000000-0005-0000-0000-00009D130000}"/>
    <cellStyle name="Comma 2 2 12 7" xfId="24010" xr:uid="{00000000-0005-0000-0000-00009E130000}"/>
    <cellStyle name="Comma 2 2 13" xfId="1492" xr:uid="{00000000-0005-0000-0000-00009F130000}"/>
    <cellStyle name="Comma 2 2 13 2" xfId="4709" xr:uid="{00000000-0005-0000-0000-0000A0130000}"/>
    <cellStyle name="Comma 2 2 13 2 2" xfId="6334" xr:uid="{00000000-0005-0000-0000-0000A1130000}"/>
    <cellStyle name="Comma 2 2 13 2 2 2" xfId="9420" xr:uid="{00000000-0005-0000-0000-0000A2130000}"/>
    <cellStyle name="Comma 2 2 13 2 2 2 2" xfId="15613" xr:uid="{00000000-0005-0000-0000-0000A3130000}"/>
    <cellStyle name="Comma 2 2 13 2 2 2 2 2" xfId="35533" xr:uid="{00000000-0005-0000-0000-0000A4130000}"/>
    <cellStyle name="Comma 2 2 13 2 2 2 3" xfId="21765" xr:uid="{00000000-0005-0000-0000-0000A5130000}"/>
    <cellStyle name="Comma 2 2 13 2 2 2 3 2" xfId="41685" xr:uid="{00000000-0005-0000-0000-0000A6130000}"/>
    <cellStyle name="Comma 2 2 13 2 2 2 4" xfId="29380" xr:uid="{00000000-0005-0000-0000-0000A7130000}"/>
    <cellStyle name="Comma 2 2 13 2 2 3" xfId="12547" xr:uid="{00000000-0005-0000-0000-0000A8130000}"/>
    <cellStyle name="Comma 2 2 13 2 2 3 2" xfId="32467" xr:uid="{00000000-0005-0000-0000-0000A9130000}"/>
    <cellStyle name="Comma 2 2 13 2 2 4" xfId="18699" xr:uid="{00000000-0005-0000-0000-0000AA130000}"/>
    <cellStyle name="Comma 2 2 13 2 2 4 2" xfId="38619" xr:uid="{00000000-0005-0000-0000-0000AB130000}"/>
    <cellStyle name="Comma 2 2 13 2 2 5" xfId="26314" xr:uid="{00000000-0005-0000-0000-0000AC130000}"/>
    <cellStyle name="Comma 2 2 13 2 3" xfId="7885" xr:uid="{00000000-0005-0000-0000-0000AD130000}"/>
    <cellStyle name="Comma 2 2 13 2 3 2" xfId="14079" xr:uid="{00000000-0005-0000-0000-0000AE130000}"/>
    <cellStyle name="Comma 2 2 13 2 3 2 2" xfId="33999" xr:uid="{00000000-0005-0000-0000-0000AF130000}"/>
    <cellStyle name="Comma 2 2 13 2 3 3" xfId="20231" xr:uid="{00000000-0005-0000-0000-0000B0130000}"/>
    <cellStyle name="Comma 2 2 13 2 3 3 2" xfId="40151" xr:uid="{00000000-0005-0000-0000-0000B1130000}"/>
    <cellStyle name="Comma 2 2 13 2 3 4" xfId="27846" xr:uid="{00000000-0005-0000-0000-0000B2130000}"/>
    <cellStyle name="Comma 2 2 13 2 4" xfId="11013" xr:uid="{00000000-0005-0000-0000-0000B3130000}"/>
    <cellStyle name="Comma 2 2 13 2 4 2" xfId="30933" xr:uid="{00000000-0005-0000-0000-0000B4130000}"/>
    <cellStyle name="Comma 2 2 13 2 5" xfId="17165" xr:uid="{00000000-0005-0000-0000-0000B5130000}"/>
    <cellStyle name="Comma 2 2 13 2 5 2" xfId="37085" xr:uid="{00000000-0005-0000-0000-0000B6130000}"/>
    <cellStyle name="Comma 2 2 13 2 6" xfId="24780" xr:uid="{00000000-0005-0000-0000-0000B7130000}"/>
    <cellStyle name="Comma 2 2 13 3" xfId="5548" xr:uid="{00000000-0005-0000-0000-0000B8130000}"/>
    <cellStyle name="Comma 2 2 13 3 2" xfId="8651" xr:uid="{00000000-0005-0000-0000-0000B9130000}"/>
    <cellStyle name="Comma 2 2 13 3 2 2" xfId="14844" xr:uid="{00000000-0005-0000-0000-0000BA130000}"/>
    <cellStyle name="Comma 2 2 13 3 2 2 2" xfId="34764" xr:uid="{00000000-0005-0000-0000-0000BB130000}"/>
    <cellStyle name="Comma 2 2 13 3 2 3" xfId="20996" xr:uid="{00000000-0005-0000-0000-0000BC130000}"/>
    <cellStyle name="Comma 2 2 13 3 2 3 2" xfId="40916" xr:uid="{00000000-0005-0000-0000-0000BD130000}"/>
    <cellStyle name="Comma 2 2 13 3 2 4" xfId="28611" xr:uid="{00000000-0005-0000-0000-0000BE130000}"/>
    <cellStyle name="Comma 2 2 13 3 3" xfId="11778" xr:uid="{00000000-0005-0000-0000-0000BF130000}"/>
    <cellStyle name="Comma 2 2 13 3 3 2" xfId="31698" xr:uid="{00000000-0005-0000-0000-0000C0130000}"/>
    <cellStyle name="Comma 2 2 13 3 4" xfId="17930" xr:uid="{00000000-0005-0000-0000-0000C1130000}"/>
    <cellStyle name="Comma 2 2 13 3 4 2" xfId="37850" xr:uid="{00000000-0005-0000-0000-0000C2130000}"/>
    <cellStyle name="Comma 2 2 13 3 5" xfId="25545" xr:uid="{00000000-0005-0000-0000-0000C3130000}"/>
    <cellStyle name="Comma 2 2 13 4" xfId="7116" xr:uid="{00000000-0005-0000-0000-0000C4130000}"/>
    <cellStyle name="Comma 2 2 13 4 2" xfId="13310" xr:uid="{00000000-0005-0000-0000-0000C5130000}"/>
    <cellStyle name="Comma 2 2 13 4 2 2" xfId="33230" xr:uid="{00000000-0005-0000-0000-0000C6130000}"/>
    <cellStyle name="Comma 2 2 13 4 3" xfId="19462" xr:uid="{00000000-0005-0000-0000-0000C7130000}"/>
    <cellStyle name="Comma 2 2 13 4 3 2" xfId="39382" xr:uid="{00000000-0005-0000-0000-0000C8130000}"/>
    <cellStyle name="Comma 2 2 13 4 4" xfId="27077" xr:uid="{00000000-0005-0000-0000-0000C9130000}"/>
    <cellStyle name="Comma 2 2 13 5" xfId="10244" xr:uid="{00000000-0005-0000-0000-0000CA130000}"/>
    <cellStyle name="Comma 2 2 13 5 2" xfId="30164" xr:uid="{00000000-0005-0000-0000-0000CB130000}"/>
    <cellStyle name="Comma 2 2 13 6" xfId="16396" xr:uid="{00000000-0005-0000-0000-0000CC130000}"/>
    <cellStyle name="Comma 2 2 13 6 2" xfId="36316" xr:uid="{00000000-0005-0000-0000-0000CD130000}"/>
    <cellStyle name="Comma 2 2 13 7" xfId="24011" xr:uid="{00000000-0005-0000-0000-0000CE130000}"/>
    <cellStyle name="Comma 2 2 14" xfId="1493" xr:uid="{00000000-0005-0000-0000-0000CF130000}"/>
    <cellStyle name="Comma 2 2 14 2" xfId="4710" xr:uid="{00000000-0005-0000-0000-0000D0130000}"/>
    <cellStyle name="Comma 2 2 14 2 2" xfId="6335" xr:uid="{00000000-0005-0000-0000-0000D1130000}"/>
    <cellStyle name="Comma 2 2 14 2 2 2" xfId="9421" xr:uid="{00000000-0005-0000-0000-0000D2130000}"/>
    <cellStyle name="Comma 2 2 14 2 2 2 2" xfId="15614" xr:uid="{00000000-0005-0000-0000-0000D3130000}"/>
    <cellStyle name="Comma 2 2 14 2 2 2 2 2" xfId="35534" xr:uid="{00000000-0005-0000-0000-0000D4130000}"/>
    <cellStyle name="Comma 2 2 14 2 2 2 3" xfId="21766" xr:uid="{00000000-0005-0000-0000-0000D5130000}"/>
    <cellStyle name="Comma 2 2 14 2 2 2 3 2" xfId="41686" xr:uid="{00000000-0005-0000-0000-0000D6130000}"/>
    <cellStyle name="Comma 2 2 14 2 2 2 4" xfId="29381" xr:uid="{00000000-0005-0000-0000-0000D7130000}"/>
    <cellStyle name="Comma 2 2 14 2 2 3" xfId="12548" xr:uid="{00000000-0005-0000-0000-0000D8130000}"/>
    <cellStyle name="Comma 2 2 14 2 2 3 2" xfId="32468" xr:uid="{00000000-0005-0000-0000-0000D9130000}"/>
    <cellStyle name="Comma 2 2 14 2 2 4" xfId="18700" xr:uid="{00000000-0005-0000-0000-0000DA130000}"/>
    <cellStyle name="Comma 2 2 14 2 2 4 2" xfId="38620" xr:uid="{00000000-0005-0000-0000-0000DB130000}"/>
    <cellStyle name="Comma 2 2 14 2 2 5" xfId="26315" xr:uid="{00000000-0005-0000-0000-0000DC130000}"/>
    <cellStyle name="Comma 2 2 14 2 3" xfId="7886" xr:uid="{00000000-0005-0000-0000-0000DD130000}"/>
    <cellStyle name="Comma 2 2 14 2 3 2" xfId="14080" xr:uid="{00000000-0005-0000-0000-0000DE130000}"/>
    <cellStyle name="Comma 2 2 14 2 3 2 2" xfId="34000" xr:uid="{00000000-0005-0000-0000-0000DF130000}"/>
    <cellStyle name="Comma 2 2 14 2 3 3" xfId="20232" xr:uid="{00000000-0005-0000-0000-0000E0130000}"/>
    <cellStyle name="Comma 2 2 14 2 3 3 2" xfId="40152" xr:uid="{00000000-0005-0000-0000-0000E1130000}"/>
    <cellStyle name="Comma 2 2 14 2 3 4" xfId="27847" xr:uid="{00000000-0005-0000-0000-0000E2130000}"/>
    <cellStyle name="Comma 2 2 14 2 4" xfId="11014" xr:uid="{00000000-0005-0000-0000-0000E3130000}"/>
    <cellStyle name="Comma 2 2 14 2 4 2" xfId="30934" xr:uid="{00000000-0005-0000-0000-0000E4130000}"/>
    <cellStyle name="Comma 2 2 14 2 5" xfId="17166" xr:uid="{00000000-0005-0000-0000-0000E5130000}"/>
    <cellStyle name="Comma 2 2 14 2 5 2" xfId="37086" xr:uid="{00000000-0005-0000-0000-0000E6130000}"/>
    <cellStyle name="Comma 2 2 14 2 6" xfId="24781" xr:uid="{00000000-0005-0000-0000-0000E7130000}"/>
    <cellStyle name="Comma 2 2 14 3" xfId="5549" xr:uid="{00000000-0005-0000-0000-0000E8130000}"/>
    <cellStyle name="Comma 2 2 14 3 2" xfId="8652" xr:uid="{00000000-0005-0000-0000-0000E9130000}"/>
    <cellStyle name="Comma 2 2 14 3 2 2" xfId="14845" xr:uid="{00000000-0005-0000-0000-0000EA130000}"/>
    <cellStyle name="Comma 2 2 14 3 2 2 2" xfId="34765" xr:uid="{00000000-0005-0000-0000-0000EB130000}"/>
    <cellStyle name="Comma 2 2 14 3 2 3" xfId="20997" xr:uid="{00000000-0005-0000-0000-0000EC130000}"/>
    <cellStyle name="Comma 2 2 14 3 2 3 2" xfId="40917" xr:uid="{00000000-0005-0000-0000-0000ED130000}"/>
    <cellStyle name="Comma 2 2 14 3 2 4" xfId="28612" xr:uid="{00000000-0005-0000-0000-0000EE130000}"/>
    <cellStyle name="Comma 2 2 14 3 3" xfId="11779" xr:uid="{00000000-0005-0000-0000-0000EF130000}"/>
    <cellStyle name="Comma 2 2 14 3 3 2" xfId="31699" xr:uid="{00000000-0005-0000-0000-0000F0130000}"/>
    <cellStyle name="Comma 2 2 14 3 4" xfId="17931" xr:uid="{00000000-0005-0000-0000-0000F1130000}"/>
    <cellStyle name="Comma 2 2 14 3 4 2" xfId="37851" xr:uid="{00000000-0005-0000-0000-0000F2130000}"/>
    <cellStyle name="Comma 2 2 14 3 5" xfId="25546" xr:uid="{00000000-0005-0000-0000-0000F3130000}"/>
    <cellStyle name="Comma 2 2 14 4" xfId="7117" xr:uid="{00000000-0005-0000-0000-0000F4130000}"/>
    <cellStyle name="Comma 2 2 14 4 2" xfId="13311" xr:uid="{00000000-0005-0000-0000-0000F5130000}"/>
    <cellStyle name="Comma 2 2 14 4 2 2" xfId="33231" xr:uid="{00000000-0005-0000-0000-0000F6130000}"/>
    <cellStyle name="Comma 2 2 14 4 3" xfId="19463" xr:uid="{00000000-0005-0000-0000-0000F7130000}"/>
    <cellStyle name="Comma 2 2 14 4 3 2" xfId="39383" xr:uid="{00000000-0005-0000-0000-0000F8130000}"/>
    <cellStyle name="Comma 2 2 14 4 4" xfId="27078" xr:uid="{00000000-0005-0000-0000-0000F9130000}"/>
    <cellStyle name="Comma 2 2 14 5" xfId="10245" xr:uid="{00000000-0005-0000-0000-0000FA130000}"/>
    <cellStyle name="Comma 2 2 14 5 2" xfId="30165" xr:uid="{00000000-0005-0000-0000-0000FB130000}"/>
    <cellStyle name="Comma 2 2 14 6" xfId="16397" xr:uid="{00000000-0005-0000-0000-0000FC130000}"/>
    <cellStyle name="Comma 2 2 14 6 2" xfId="36317" xr:uid="{00000000-0005-0000-0000-0000FD130000}"/>
    <cellStyle name="Comma 2 2 14 7" xfId="24012" xr:uid="{00000000-0005-0000-0000-0000FE130000}"/>
    <cellStyle name="Comma 2 2 15" xfId="1494" xr:uid="{00000000-0005-0000-0000-0000FF130000}"/>
    <cellStyle name="Comma 2 2 15 2" xfId="4711" xr:uid="{00000000-0005-0000-0000-000000140000}"/>
    <cellStyle name="Comma 2 2 15 2 2" xfId="6336" xr:uid="{00000000-0005-0000-0000-000001140000}"/>
    <cellStyle name="Comma 2 2 15 2 2 2" xfId="9422" xr:uid="{00000000-0005-0000-0000-000002140000}"/>
    <cellStyle name="Comma 2 2 15 2 2 2 2" xfId="15615" xr:uid="{00000000-0005-0000-0000-000003140000}"/>
    <cellStyle name="Comma 2 2 15 2 2 2 2 2" xfId="35535" xr:uid="{00000000-0005-0000-0000-000004140000}"/>
    <cellStyle name="Comma 2 2 15 2 2 2 3" xfId="21767" xr:uid="{00000000-0005-0000-0000-000005140000}"/>
    <cellStyle name="Comma 2 2 15 2 2 2 3 2" xfId="41687" xr:uid="{00000000-0005-0000-0000-000006140000}"/>
    <cellStyle name="Comma 2 2 15 2 2 2 4" xfId="29382" xr:uid="{00000000-0005-0000-0000-000007140000}"/>
    <cellStyle name="Comma 2 2 15 2 2 3" xfId="12549" xr:uid="{00000000-0005-0000-0000-000008140000}"/>
    <cellStyle name="Comma 2 2 15 2 2 3 2" xfId="32469" xr:uid="{00000000-0005-0000-0000-000009140000}"/>
    <cellStyle name="Comma 2 2 15 2 2 4" xfId="18701" xr:uid="{00000000-0005-0000-0000-00000A140000}"/>
    <cellStyle name="Comma 2 2 15 2 2 4 2" xfId="38621" xr:uid="{00000000-0005-0000-0000-00000B140000}"/>
    <cellStyle name="Comma 2 2 15 2 2 5" xfId="26316" xr:uid="{00000000-0005-0000-0000-00000C140000}"/>
    <cellStyle name="Comma 2 2 15 2 3" xfId="7887" xr:uid="{00000000-0005-0000-0000-00000D140000}"/>
    <cellStyle name="Comma 2 2 15 2 3 2" xfId="14081" xr:uid="{00000000-0005-0000-0000-00000E140000}"/>
    <cellStyle name="Comma 2 2 15 2 3 2 2" xfId="34001" xr:uid="{00000000-0005-0000-0000-00000F140000}"/>
    <cellStyle name="Comma 2 2 15 2 3 3" xfId="20233" xr:uid="{00000000-0005-0000-0000-000010140000}"/>
    <cellStyle name="Comma 2 2 15 2 3 3 2" xfId="40153" xr:uid="{00000000-0005-0000-0000-000011140000}"/>
    <cellStyle name="Comma 2 2 15 2 3 4" xfId="27848" xr:uid="{00000000-0005-0000-0000-000012140000}"/>
    <cellStyle name="Comma 2 2 15 2 4" xfId="11015" xr:uid="{00000000-0005-0000-0000-000013140000}"/>
    <cellStyle name="Comma 2 2 15 2 4 2" xfId="30935" xr:uid="{00000000-0005-0000-0000-000014140000}"/>
    <cellStyle name="Comma 2 2 15 2 5" xfId="17167" xr:uid="{00000000-0005-0000-0000-000015140000}"/>
    <cellStyle name="Comma 2 2 15 2 5 2" xfId="37087" xr:uid="{00000000-0005-0000-0000-000016140000}"/>
    <cellStyle name="Comma 2 2 15 2 6" xfId="24782" xr:uid="{00000000-0005-0000-0000-000017140000}"/>
    <cellStyle name="Comma 2 2 15 3" xfId="5550" xr:uid="{00000000-0005-0000-0000-000018140000}"/>
    <cellStyle name="Comma 2 2 15 3 2" xfId="8653" xr:uid="{00000000-0005-0000-0000-000019140000}"/>
    <cellStyle name="Comma 2 2 15 3 2 2" xfId="14846" xr:uid="{00000000-0005-0000-0000-00001A140000}"/>
    <cellStyle name="Comma 2 2 15 3 2 2 2" xfId="34766" xr:uid="{00000000-0005-0000-0000-00001B140000}"/>
    <cellStyle name="Comma 2 2 15 3 2 3" xfId="20998" xr:uid="{00000000-0005-0000-0000-00001C140000}"/>
    <cellStyle name="Comma 2 2 15 3 2 3 2" xfId="40918" xr:uid="{00000000-0005-0000-0000-00001D140000}"/>
    <cellStyle name="Comma 2 2 15 3 2 4" xfId="28613" xr:uid="{00000000-0005-0000-0000-00001E140000}"/>
    <cellStyle name="Comma 2 2 15 3 3" xfId="11780" xr:uid="{00000000-0005-0000-0000-00001F140000}"/>
    <cellStyle name="Comma 2 2 15 3 3 2" xfId="31700" xr:uid="{00000000-0005-0000-0000-000020140000}"/>
    <cellStyle name="Comma 2 2 15 3 4" xfId="17932" xr:uid="{00000000-0005-0000-0000-000021140000}"/>
    <cellStyle name="Comma 2 2 15 3 4 2" xfId="37852" xr:uid="{00000000-0005-0000-0000-000022140000}"/>
    <cellStyle name="Comma 2 2 15 3 5" xfId="25547" xr:uid="{00000000-0005-0000-0000-000023140000}"/>
    <cellStyle name="Comma 2 2 15 4" xfId="7118" xr:uid="{00000000-0005-0000-0000-000024140000}"/>
    <cellStyle name="Comma 2 2 15 4 2" xfId="13312" xr:uid="{00000000-0005-0000-0000-000025140000}"/>
    <cellStyle name="Comma 2 2 15 4 2 2" xfId="33232" xr:uid="{00000000-0005-0000-0000-000026140000}"/>
    <cellStyle name="Comma 2 2 15 4 3" xfId="19464" xr:uid="{00000000-0005-0000-0000-000027140000}"/>
    <cellStyle name="Comma 2 2 15 4 3 2" xfId="39384" xr:uid="{00000000-0005-0000-0000-000028140000}"/>
    <cellStyle name="Comma 2 2 15 4 4" xfId="27079" xr:uid="{00000000-0005-0000-0000-000029140000}"/>
    <cellStyle name="Comma 2 2 15 5" xfId="10246" xr:uid="{00000000-0005-0000-0000-00002A140000}"/>
    <cellStyle name="Comma 2 2 15 5 2" xfId="30166" xr:uid="{00000000-0005-0000-0000-00002B140000}"/>
    <cellStyle name="Comma 2 2 15 6" xfId="16398" xr:uid="{00000000-0005-0000-0000-00002C140000}"/>
    <cellStyle name="Comma 2 2 15 6 2" xfId="36318" xr:uid="{00000000-0005-0000-0000-00002D140000}"/>
    <cellStyle name="Comma 2 2 15 7" xfId="24013" xr:uid="{00000000-0005-0000-0000-00002E140000}"/>
    <cellStyle name="Comma 2 2 16" xfId="1495" xr:uid="{00000000-0005-0000-0000-00002F140000}"/>
    <cellStyle name="Comma 2 2 16 2" xfId="4712" xr:uid="{00000000-0005-0000-0000-000030140000}"/>
    <cellStyle name="Comma 2 2 16 2 2" xfId="6337" xr:uid="{00000000-0005-0000-0000-000031140000}"/>
    <cellStyle name="Comma 2 2 16 2 2 2" xfId="9423" xr:uid="{00000000-0005-0000-0000-000032140000}"/>
    <cellStyle name="Comma 2 2 16 2 2 2 2" xfId="15616" xr:uid="{00000000-0005-0000-0000-000033140000}"/>
    <cellStyle name="Comma 2 2 16 2 2 2 2 2" xfId="35536" xr:uid="{00000000-0005-0000-0000-000034140000}"/>
    <cellStyle name="Comma 2 2 16 2 2 2 3" xfId="21768" xr:uid="{00000000-0005-0000-0000-000035140000}"/>
    <cellStyle name="Comma 2 2 16 2 2 2 3 2" xfId="41688" xr:uid="{00000000-0005-0000-0000-000036140000}"/>
    <cellStyle name="Comma 2 2 16 2 2 2 4" xfId="29383" xr:uid="{00000000-0005-0000-0000-000037140000}"/>
    <cellStyle name="Comma 2 2 16 2 2 3" xfId="12550" xr:uid="{00000000-0005-0000-0000-000038140000}"/>
    <cellStyle name="Comma 2 2 16 2 2 3 2" xfId="32470" xr:uid="{00000000-0005-0000-0000-000039140000}"/>
    <cellStyle name="Comma 2 2 16 2 2 4" xfId="18702" xr:uid="{00000000-0005-0000-0000-00003A140000}"/>
    <cellStyle name="Comma 2 2 16 2 2 4 2" xfId="38622" xr:uid="{00000000-0005-0000-0000-00003B140000}"/>
    <cellStyle name="Comma 2 2 16 2 2 5" xfId="26317" xr:uid="{00000000-0005-0000-0000-00003C140000}"/>
    <cellStyle name="Comma 2 2 16 2 3" xfId="7888" xr:uid="{00000000-0005-0000-0000-00003D140000}"/>
    <cellStyle name="Comma 2 2 16 2 3 2" xfId="14082" xr:uid="{00000000-0005-0000-0000-00003E140000}"/>
    <cellStyle name="Comma 2 2 16 2 3 2 2" xfId="34002" xr:uid="{00000000-0005-0000-0000-00003F140000}"/>
    <cellStyle name="Comma 2 2 16 2 3 3" xfId="20234" xr:uid="{00000000-0005-0000-0000-000040140000}"/>
    <cellStyle name="Comma 2 2 16 2 3 3 2" xfId="40154" xr:uid="{00000000-0005-0000-0000-000041140000}"/>
    <cellStyle name="Comma 2 2 16 2 3 4" xfId="27849" xr:uid="{00000000-0005-0000-0000-000042140000}"/>
    <cellStyle name="Comma 2 2 16 2 4" xfId="11016" xr:uid="{00000000-0005-0000-0000-000043140000}"/>
    <cellStyle name="Comma 2 2 16 2 4 2" xfId="30936" xr:uid="{00000000-0005-0000-0000-000044140000}"/>
    <cellStyle name="Comma 2 2 16 2 5" xfId="17168" xr:uid="{00000000-0005-0000-0000-000045140000}"/>
    <cellStyle name="Comma 2 2 16 2 5 2" xfId="37088" xr:uid="{00000000-0005-0000-0000-000046140000}"/>
    <cellStyle name="Comma 2 2 16 2 6" xfId="24783" xr:uid="{00000000-0005-0000-0000-000047140000}"/>
    <cellStyle name="Comma 2 2 16 3" xfId="5551" xr:uid="{00000000-0005-0000-0000-000048140000}"/>
    <cellStyle name="Comma 2 2 16 3 2" xfId="8654" xr:uid="{00000000-0005-0000-0000-000049140000}"/>
    <cellStyle name="Comma 2 2 16 3 2 2" xfId="14847" xr:uid="{00000000-0005-0000-0000-00004A140000}"/>
    <cellStyle name="Comma 2 2 16 3 2 2 2" xfId="34767" xr:uid="{00000000-0005-0000-0000-00004B140000}"/>
    <cellStyle name="Comma 2 2 16 3 2 3" xfId="20999" xr:uid="{00000000-0005-0000-0000-00004C140000}"/>
    <cellStyle name="Comma 2 2 16 3 2 3 2" xfId="40919" xr:uid="{00000000-0005-0000-0000-00004D140000}"/>
    <cellStyle name="Comma 2 2 16 3 2 4" xfId="28614" xr:uid="{00000000-0005-0000-0000-00004E140000}"/>
    <cellStyle name="Comma 2 2 16 3 3" xfId="11781" xr:uid="{00000000-0005-0000-0000-00004F140000}"/>
    <cellStyle name="Comma 2 2 16 3 3 2" xfId="31701" xr:uid="{00000000-0005-0000-0000-000050140000}"/>
    <cellStyle name="Comma 2 2 16 3 4" xfId="17933" xr:uid="{00000000-0005-0000-0000-000051140000}"/>
    <cellStyle name="Comma 2 2 16 3 4 2" xfId="37853" xr:uid="{00000000-0005-0000-0000-000052140000}"/>
    <cellStyle name="Comma 2 2 16 3 5" xfId="25548" xr:uid="{00000000-0005-0000-0000-000053140000}"/>
    <cellStyle name="Comma 2 2 16 4" xfId="7119" xr:uid="{00000000-0005-0000-0000-000054140000}"/>
    <cellStyle name="Comma 2 2 16 4 2" xfId="13313" xr:uid="{00000000-0005-0000-0000-000055140000}"/>
    <cellStyle name="Comma 2 2 16 4 2 2" xfId="33233" xr:uid="{00000000-0005-0000-0000-000056140000}"/>
    <cellStyle name="Comma 2 2 16 4 3" xfId="19465" xr:uid="{00000000-0005-0000-0000-000057140000}"/>
    <cellStyle name="Comma 2 2 16 4 3 2" xfId="39385" xr:uid="{00000000-0005-0000-0000-000058140000}"/>
    <cellStyle name="Comma 2 2 16 4 4" xfId="27080" xr:uid="{00000000-0005-0000-0000-000059140000}"/>
    <cellStyle name="Comma 2 2 16 5" xfId="10247" xr:uid="{00000000-0005-0000-0000-00005A140000}"/>
    <cellStyle name="Comma 2 2 16 5 2" xfId="30167" xr:uid="{00000000-0005-0000-0000-00005B140000}"/>
    <cellStyle name="Comma 2 2 16 6" xfId="16399" xr:uid="{00000000-0005-0000-0000-00005C140000}"/>
    <cellStyle name="Comma 2 2 16 6 2" xfId="36319" xr:uid="{00000000-0005-0000-0000-00005D140000}"/>
    <cellStyle name="Comma 2 2 16 7" xfId="24014" xr:uid="{00000000-0005-0000-0000-00005E140000}"/>
    <cellStyle name="Comma 2 2 17" xfId="1496" xr:uid="{00000000-0005-0000-0000-00005F140000}"/>
    <cellStyle name="Comma 2 2 17 2" xfId="4713" xr:uid="{00000000-0005-0000-0000-000060140000}"/>
    <cellStyle name="Comma 2 2 17 2 2" xfId="6338" xr:uid="{00000000-0005-0000-0000-000061140000}"/>
    <cellStyle name="Comma 2 2 17 2 2 2" xfId="9424" xr:uid="{00000000-0005-0000-0000-000062140000}"/>
    <cellStyle name="Comma 2 2 17 2 2 2 2" xfId="15617" xr:uid="{00000000-0005-0000-0000-000063140000}"/>
    <cellStyle name="Comma 2 2 17 2 2 2 2 2" xfId="35537" xr:uid="{00000000-0005-0000-0000-000064140000}"/>
    <cellStyle name="Comma 2 2 17 2 2 2 3" xfId="21769" xr:uid="{00000000-0005-0000-0000-000065140000}"/>
    <cellStyle name="Comma 2 2 17 2 2 2 3 2" xfId="41689" xr:uid="{00000000-0005-0000-0000-000066140000}"/>
    <cellStyle name="Comma 2 2 17 2 2 2 4" xfId="29384" xr:uid="{00000000-0005-0000-0000-000067140000}"/>
    <cellStyle name="Comma 2 2 17 2 2 3" xfId="12551" xr:uid="{00000000-0005-0000-0000-000068140000}"/>
    <cellStyle name="Comma 2 2 17 2 2 3 2" xfId="32471" xr:uid="{00000000-0005-0000-0000-000069140000}"/>
    <cellStyle name="Comma 2 2 17 2 2 4" xfId="18703" xr:uid="{00000000-0005-0000-0000-00006A140000}"/>
    <cellStyle name="Comma 2 2 17 2 2 4 2" xfId="38623" xr:uid="{00000000-0005-0000-0000-00006B140000}"/>
    <cellStyle name="Comma 2 2 17 2 2 5" xfId="26318" xr:uid="{00000000-0005-0000-0000-00006C140000}"/>
    <cellStyle name="Comma 2 2 17 2 3" xfId="7889" xr:uid="{00000000-0005-0000-0000-00006D140000}"/>
    <cellStyle name="Comma 2 2 17 2 3 2" xfId="14083" xr:uid="{00000000-0005-0000-0000-00006E140000}"/>
    <cellStyle name="Comma 2 2 17 2 3 2 2" xfId="34003" xr:uid="{00000000-0005-0000-0000-00006F140000}"/>
    <cellStyle name="Comma 2 2 17 2 3 3" xfId="20235" xr:uid="{00000000-0005-0000-0000-000070140000}"/>
    <cellStyle name="Comma 2 2 17 2 3 3 2" xfId="40155" xr:uid="{00000000-0005-0000-0000-000071140000}"/>
    <cellStyle name="Comma 2 2 17 2 3 4" xfId="27850" xr:uid="{00000000-0005-0000-0000-000072140000}"/>
    <cellStyle name="Comma 2 2 17 2 4" xfId="11017" xr:uid="{00000000-0005-0000-0000-000073140000}"/>
    <cellStyle name="Comma 2 2 17 2 4 2" xfId="30937" xr:uid="{00000000-0005-0000-0000-000074140000}"/>
    <cellStyle name="Comma 2 2 17 2 5" xfId="17169" xr:uid="{00000000-0005-0000-0000-000075140000}"/>
    <cellStyle name="Comma 2 2 17 2 5 2" xfId="37089" xr:uid="{00000000-0005-0000-0000-000076140000}"/>
    <cellStyle name="Comma 2 2 17 2 6" xfId="24784" xr:uid="{00000000-0005-0000-0000-000077140000}"/>
    <cellStyle name="Comma 2 2 17 3" xfId="5552" xr:uid="{00000000-0005-0000-0000-000078140000}"/>
    <cellStyle name="Comma 2 2 17 3 2" xfId="8655" xr:uid="{00000000-0005-0000-0000-000079140000}"/>
    <cellStyle name="Comma 2 2 17 3 2 2" xfId="14848" xr:uid="{00000000-0005-0000-0000-00007A140000}"/>
    <cellStyle name="Comma 2 2 17 3 2 2 2" xfId="34768" xr:uid="{00000000-0005-0000-0000-00007B140000}"/>
    <cellStyle name="Comma 2 2 17 3 2 3" xfId="21000" xr:uid="{00000000-0005-0000-0000-00007C140000}"/>
    <cellStyle name="Comma 2 2 17 3 2 3 2" xfId="40920" xr:uid="{00000000-0005-0000-0000-00007D140000}"/>
    <cellStyle name="Comma 2 2 17 3 2 4" xfId="28615" xr:uid="{00000000-0005-0000-0000-00007E140000}"/>
    <cellStyle name="Comma 2 2 17 3 3" xfId="11782" xr:uid="{00000000-0005-0000-0000-00007F140000}"/>
    <cellStyle name="Comma 2 2 17 3 3 2" xfId="31702" xr:uid="{00000000-0005-0000-0000-000080140000}"/>
    <cellStyle name="Comma 2 2 17 3 4" xfId="17934" xr:uid="{00000000-0005-0000-0000-000081140000}"/>
    <cellStyle name="Comma 2 2 17 3 4 2" xfId="37854" xr:uid="{00000000-0005-0000-0000-000082140000}"/>
    <cellStyle name="Comma 2 2 17 3 5" xfId="25549" xr:uid="{00000000-0005-0000-0000-000083140000}"/>
    <cellStyle name="Comma 2 2 17 4" xfId="7120" xr:uid="{00000000-0005-0000-0000-000084140000}"/>
    <cellStyle name="Comma 2 2 17 4 2" xfId="13314" xr:uid="{00000000-0005-0000-0000-000085140000}"/>
    <cellStyle name="Comma 2 2 17 4 2 2" xfId="33234" xr:uid="{00000000-0005-0000-0000-000086140000}"/>
    <cellStyle name="Comma 2 2 17 4 3" xfId="19466" xr:uid="{00000000-0005-0000-0000-000087140000}"/>
    <cellStyle name="Comma 2 2 17 4 3 2" xfId="39386" xr:uid="{00000000-0005-0000-0000-000088140000}"/>
    <cellStyle name="Comma 2 2 17 4 4" xfId="27081" xr:uid="{00000000-0005-0000-0000-000089140000}"/>
    <cellStyle name="Comma 2 2 17 5" xfId="10248" xr:uid="{00000000-0005-0000-0000-00008A140000}"/>
    <cellStyle name="Comma 2 2 17 5 2" xfId="30168" xr:uid="{00000000-0005-0000-0000-00008B140000}"/>
    <cellStyle name="Comma 2 2 17 6" xfId="16400" xr:uid="{00000000-0005-0000-0000-00008C140000}"/>
    <cellStyle name="Comma 2 2 17 6 2" xfId="36320" xr:uid="{00000000-0005-0000-0000-00008D140000}"/>
    <cellStyle name="Comma 2 2 17 7" xfId="24015" xr:uid="{00000000-0005-0000-0000-00008E140000}"/>
    <cellStyle name="Comma 2 2 18" xfId="1497" xr:uid="{00000000-0005-0000-0000-00008F140000}"/>
    <cellStyle name="Comma 2 2 2" xfId="1498" xr:uid="{00000000-0005-0000-0000-000090140000}"/>
    <cellStyle name="Comma 2 2 2 2" xfId="1499" xr:uid="{00000000-0005-0000-0000-000091140000}"/>
    <cellStyle name="Comma 2 2 2 2 10" xfId="16401" xr:uid="{00000000-0005-0000-0000-000092140000}"/>
    <cellStyle name="Comma 2 2 2 2 10 2" xfId="36321" xr:uid="{00000000-0005-0000-0000-000093140000}"/>
    <cellStyle name="Comma 2 2 2 2 11" xfId="24016" xr:uid="{00000000-0005-0000-0000-000094140000}"/>
    <cellStyle name="Comma 2 2 2 2 2" xfId="1500" xr:uid="{00000000-0005-0000-0000-000095140000}"/>
    <cellStyle name="Comma 2 2 2 2 2 2" xfId="4715" xr:uid="{00000000-0005-0000-0000-000096140000}"/>
    <cellStyle name="Comma 2 2 2 2 2 2 2" xfId="6340" xr:uid="{00000000-0005-0000-0000-000097140000}"/>
    <cellStyle name="Comma 2 2 2 2 2 2 2 2" xfId="9426" xr:uid="{00000000-0005-0000-0000-000098140000}"/>
    <cellStyle name="Comma 2 2 2 2 2 2 2 2 2" xfId="15619" xr:uid="{00000000-0005-0000-0000-000099140000}"/>
    <cellStyle name="Comma 2 2 2 2 2 2 2 2 2 2" xfId="35539" xr:uid="{00000000-0005-0000-0000-00009A140000}"/>
    <cellStyle name="Comma 2 2 2 2 2 2 2 2 3" xfId="21771" xr:uid="{00000000-0005-0000-0000-00009B140000}"/>
    <cellStyle name="Comma 2 2 2 2 2 2 2 2 3 2" xfId="41691" xr:uid="{00000000-0005-0000-0000-00009C140000}"/>
    <cellStyle name="Comma 2 2 2 2 2 2 2 2 4" xfId="29386" xr:uid="{00000000-0005-0000-0000-00009D140000}"/>
    <cellStyle name="Comma 2 2 2 2 2 2 2 3" xfId="12553" xr:uid="{00000000-0005-0000-0000-00009E140000}"/>
    <cellStyle name="Comma 2 2 2 2 2 2 2 3 2" xfId="32473" xr:uid="{00000000-0005-0000-0000-00009F140000}"/>
    <cellStyle name="Comma 2 2 2 2 2 2 2 4" xfId="18705" xr:uid="{00000000-0005-0000-0000-0000A0140000}"/>
    <cellStyle name="Comma 2 2 2 2 2 2 2 4 2" xfId="38625" xr:uid="{00000000-0005-0000-0000-0000A1140000}"/>
    <cellStyle name="Comma 2 2 2 2 2 2 2 5" xfId="26320" xr:uid="{00000000-0005-0000-0000-0000A2140000}"/>
    <cellStyle name="Comma 2 2 2 2 2 2 3" xfId="7891" xr:uid="{00000000-0005-0000-0000-0000A3140000}"/>
    <cellStyle name="Comma 2 2 2 2 2 2 3 2" xfId="14085" xr:uid="{00000000-0005-0000-0000-0000A4140000}"/>
    <cellStyle name="Comma 2 2 2 2 2 2 3 2 2" xfId="34005" xr:uid="{00000000-0005-0000-0000-0000A5140000}"/>
    <cellStyle name="Comma 2 2 2 2 2 2 3 3" xfId="20237" xr:uid="{00000000-0005-0000-0000-0000A6140000}"/>
    <cellStyle name="Comma 2 2 2 2 2 2 3 3 2" xfId="40157" xr:uid="{00000000-0005-0000-0000-0000A7140000}"/>
    <cellStyle name="Comma 2 2 2 2 2 2 3 4" xfId="27852" xr:uid="{00000000-0005-0000-0000-0000A8140000}"/>
    <cellStyle name="Comma 2 2 2 2 2 2 4" xfId="11019" xr:uid="{00000000-0005-0000-0000-0000A9140000}"/>
    <cellStyle name="Comma 2 2 2 2 2 2 4 2" xfId="30939" xr:uid="{00000000-0005-0000-0000-0000AA140000}"/>
    <cellStyle name="Comma 2 2 2 2 2 2 5" xfId="17171" xr:uid="{00000000-0005-0000-0000-0000AB140000}"/>
    <cellStyle name="Comma 2 2 2 2 2 2 5 2" xfId="37091" xr:uid="{00000000-0005-0000-0000-0000AC140000}"/>
    <cellStyle name="Comma 2 2 2 2 2 2 6" xfId="24786" xr:uid="{00000000-0005-0000-0000-0000AD140000}"/>
    <cellStyle name="Comma 2 2 2 2 2 3" xfId="5554" xr:uid="{00000000-0005-0000-0000-0000AE140000}"/>
    <cellStyle name="Comma 2 2 2 2 2 3 2" xfId="8657" xr:uid="{00000000-0005-0000-0000-0000AF140000}"/>
    <cellStyle name="Comma 2 2 2 2 2 3 2 2" xfId="14850" xr:uid="{00000000-0005-0000-0000-0000B0140000}"/>
    <cellStyle name="Comma 2 2 2 2 2 3 2 2 2" xfId="34770" xr:uid="{00000000-0005-0000-0000-0000B1140000}"/>
    <cellStyle name="Comma 2 2 2 2 2 3 2 3" xfId="21002" xr:uid="{00000000-0005-0000-0000-0000B2140000}"/>
    <cellStyle name="Comma 2 2 2 2 2 3 2 3 2" xfId="40922" xr:uid="{00000000-0005-0000-0000-0000B3140000}"/>
    <cellStyle name="Comma 2 2 2 2 2 3 2 4" xfId="28617" xr:uid="{00000000-0005-0000-0000-0000B4140000}"/>
    <cellStyle name="Comma 2 2 2 2 2 3 3" xfId="11784" xr:uid="{00000000-0005-0000-0000-0000B5140000}"/>
    <cellStyle name="Comma 2 2 2 2 2 3 3 2" xfId="31704" xr:uid="{00000000-0005-0000-0000-0000B6140000}"/>
    <cellStyle name="Comma 2 2 2 2 2 3 4" xfId="17936" xr:uid="{00000000-0005-0000-0000-0000B7140000}"/>
    <cellStyle name="Comma 2 2 2 2 2 3 4 2" xfId="37856" xr:uid="{00000000-0005-0000-0000-0000B8140000}"/>
    <cellStyle name="Comma 2 2 2 2 2 3 5" xfId="25551" xr:uid="{00000000-0005-0000-0000-0000B9140000}"/>
    <cellStyle name="Comma 2 2 2 2 2 4" xfId="7122" xr:uid="{00000000-0005-0000-0000-0000BA140000}"/>
    <cellStyle name="Comma 2 2 2 2 2 4 2" xfId="13316" xr:uid="{00000000-0005-0000-0000-0000BB140000}"/>
    <cellStyle name="Comma 2 2 2 2 2 4 2 2" xfId="33236" xr:uid="{00000000-0005-0000-0000-0000BC140000}"/>
    <cellStyle name="Comma 2 2 2 2 2 4 3" xfId="19468" xr:uid="{00000000-0005-0000-0000-0000BD140000}"/>
    <cellStyle name="Comma 2 2 2 2 2 4 3 2" xfId="39388" xr:uid="{00000000-0005-0000-0000-0000BE140000}"/>
    <cellStyle name="Comma 2 2 2 2 2 4 4" xfId="27083" xr:uid="{00000000-0005-0000-0000-0000BF140000}"/>
    <cellStyle name="Comma 2 2 2 2 2 5" xfId="10250" xr:uid="{00000000-0005-0000-0000-0000C0140000}"/>
    <cellStyle name="Comma 2 2 2 2 2 5 2" xfId="30170" xr:uid="{00000000-0005-0000-0000-0000C1140000}"/>
    <cellStyle name="Comma 2 2 2 2 2 6" xfId="16402" xr:uid="{00000000-0005-0000-0000-0000C2140000}"/>
    <cellStyle name="Comma 2 2 2 2 2 6 2" xfId="36322" xr:uid="{00000000-0005-0000-0000-0000C3140000}"/>
    <cellStyle name="Comma 2 2 2 2 2 7" xfId="24017" xr:uid="{00000000-0005-0000-0000-0000C4140000}"/>
    <cellStyle name="Comma 2 2 2 2 3" xfId="1501" xr:uid="{00000000-0005-0000-0000-0000C5140000}"/>
    <cellStyle name="Comma 2 2 2 2 3 2" xfId="4716" xr:uid="{00000000-0005-0000-0000-0000C6140000}"/>
    <cellStyle name="Comma 2 2 2 2 3 2 2" xfId="6341" xr:uid="{00000000-0005-0000-0000-0000C7140000}"/>
    <cellStyle name="Comma 2 2 2 2 3 2 2 2" xfId="9427" xr:uid="{00000000-0005-0000-0000-0000C8140000}"/>
    <cellStyle name="Comma 2 2 2 2 3 2 2 2 2" xfId="15620" xr:uid="{00000000-0005-0000-0000-0000C9140000}"/>
    <cellStyle name="Comma 2 2 2 2 3 2 2 2 2 2" xfId="35540" xr:uid="{00000000-0005-0000-0000-0000CA140000}"/>
    <cellStyle name="Comma 2 2 2 2 3 2 2 2 3" xfId="21772" xr:uid="{00000000-0005-0000-0000-0000CB140000}"/>
    <cellStyle name="Comma 2 2 2 2 3 2 2 2 3 2" xfId="41692" xr:uid="{00000000-0005-0000-0000-0000CC140000}"/>
    <cellStyle name="Comma 2 2 2 2 3 2 2 2 4" xfId="29387" xr:uid="{00000000-0005-0000-0000-0000CD140000}"/>
    <cellStyle name="Comma 2 2 2 2 3 2 2 3" xfId="12554" xr:uid="{00000000-0005-0000-0000-0000CE140000}"/>
    <cellStyle name="Comma 2 2 2 2 3 2 2 3 2" xfId="32474" xr:uid="{00000000-0005-0000-0000-0000CF140000}"/>
    <cellStyle name="Comma 2 2 2 2 3 2 2 4" xfId="18706" xr:uid="{00000000-0005-0000-0000-0000D0140000}"/>
    <cellStyle name="Comma 2 2 2 2 3 2 2 4 2" xfId="38626" xr:uid="{00000000-0005-0000-0000-0000D1140000}"/>
    <cellStyle name="Comma 2 2 2 2 3 2 2 5" xfId="26321" xr:uid="{00000000-0005-0000-0000-0000D2140000}"/>
    <cellStyle name="Comma 2 2 2 2 3 2 3" xfId="7892" xr:uid="{00000000-0005-0000-0000-0000D3140000}"/>
    <cellStyle name="Comma 2 2 2 2 3 2 3 2" xfId="14086" xr:uid="{00000000-0005-0000-0000-0000D4140000}"/>
    <cellStyle name="Comma 2 2 2 2 3 2 3 2 2" xfId="34006" xr:uid="{00000000-0005-0000-0000-0000D5140000}"/>
    <cellStyle name="Comma 2 2 2 2 3 2 3 3" xfId="20238" xr:uid="{00000000-0005-0000-0000-0000D6140000}"/>
    <cellStyle name="Comma 2 2 2 2 3 2 3 3 2" xfId="40158" xr:uid="{00000000-0005-0000-0000-0000D7140000}"/>
    <cellStyle name="Comma 2 2 2 2 3 2 3 4" xfId="27853" xr:uid="{00000000-0005-0000-0000-0000D8140000}"/>
    <cellStyle name="Comma 2 2 2 2 3 2 4" xfId="11020" xr:uid="{00000000-0005-0000-0000-0000D9140000}"/>
    <cellStyle name="Comma 2 2 2 2 3 2 4 2" xfId="30940" xr:uid="{00000000-0005-0000-0000-0000DA140000}"/>
    <cellStyle name="Comma 2 2 2 2 3 2 5" xfId="17172" xr:uid="{00000000-0005-0000-0000-0000DB140000}"/>
    <cellStyle name="Comma 2 2 2 2 3 2 5 2" xfId="37092" xr:uid="{00000000-0005-0000-0000-0000DC140000}"/>
    <cellStyle name="Comma 2 2 2 2 3 2 6" xfId="24787" xr:uid="{00000000-0005-0000-0000-0000DD140000}"/>
    <cellStyle name="Comma 2 2 2 2 3 3" xfId="5555" xr:uid="{00000000-0005-0000-0000-0000DE140000}"/>
    <cellStyle name="Comma 2 2 2 2 3 3 2" xfId="8658" xr:uid="{00000000-0005-0000-0000-0000DF140000}"/>
    <cellStyle name="Comma 2 2 2 2 3 3 2 2" xfId="14851" xr:uid="{00000000-0005-0000-0000-0000E0140000}"/>
    <cellStyle name="Comma 2 2 2 2 3 3 2 2 2" xfId="34771" xr:uid="{00000000-0005-0000-0000-0000E1140000}"/>
    <cellStyle name="Comma 2 2 2 2 3 3 2 3" xfId="21003" xr:uid="{00000000-0005-0000-0000-0000E2140000}"/>
    <cellStyle name="Comma 2 2 2 2 3 3 2 3 2" xfId="40923" xr:uid="{00000000-0005-0000-0000-0000E3140000}"/>
    <cellStyle name="Comma 2 2 2 2 3 3 2 4" xfId="28618" xr:uid="{00000000-0005-0000-0000-0000E4140000}"/>
    <cellStyle name="Comma 2 2 2 2 3 3 3" xfId="11785" xr:uid="{00000000-0005-0000-0000-0000E5140000}"/>
    <cellStyle name="Comma 2 2 2 2 3 3 3 2" xfId="31705" xr:uid="{00000000-0005-0000-0000-0000E6140000}"/>
    <cellStyle name="Comma 2 2 2 2 3 3 4" xfId="17937" xr:uid="{00000000-0005-0000-0000-0000E7140000}"/>
    <cellStyle name="Comma 2 2 2 2 3 3 4 2" xfId="37857" xr:uid="{00000000-0005-0000-0000-0000E8140000}"/>
    <cellStyle name="Comma 2 2 2 2 3 3 5" xfId="25552" xr:uid="{00000000-0005-0000-0000-0000E9140000}"/>
    <cellStyle name="Comma 2 2 2 2 3 4" xfId="7123" xr:uid="{00000000-0005-0000-0000-0000EA140000}"/>
    <cellStyle name="Comma 2 2 2 2 3 4 2" xfId="13317" xr:uid="{00000000-0005-0000-0000-0000EB140000}"/>
    <cellStyle name="Comma 2 2 2 2 3 4 2 2" xfId="33237" xr:uid="{00000000-0005-0000-0000-0000EC140000}"/>
    <cellStyle name="Comma 2 2 2 2 3 4 3" xfId="19469" xr:uid="{00000000-0005-0000-0000-0000ED140000}"/>
    <cellStyle name="Comma 2 2 2 2 3 4 3 2" xfId="39389" xr:uid="{00000000-0005-0000-0000-0000EE140000}"/>
    <cellStyle name="Comma 2 2 2 2 3 4 4" xfId="27084" xr:uid="{00000000-0005-0000-0000-0000EF140000}"/>
    <cellStyle name="Comma 2 2 2 2 3 5" xfId="10251" xr:uid="{00000000-0005-0000-0000-0000F0140000}"/>
    <cellStyle name="Comma 2 2 2 2 3 5 2" xfId="30171" xr:uid="{00000000-0005-0000-0000-0000F1140000}"/>
    <cellStyle name="Comma 2 2 2 2 3 6" xfId="16403" xr:uid="{00000000-0005-0000-0000-0000F2140000}"/>
    <cellStyle name="Comma 2 2 2 2 3 6 2" xfId="36323" xr:uid="{00000000-0005-0000-0000-0000F3140000}"/>
    <cellStyle name="Comma 2 2 2 2 3 7" xfId="24018" xr:uid="{00000000-0005-0000-0000-0000F4140000}"/>
    <cellStyle name="Comma 2 2 2 2 4" xfId="1502" xr:uid="{00000000-0005-0000-0000-0000F5140000}"/>
    <cellStyle name="Comma 2 2 2 2 4 2" xfId="4717" xr:uid="{00000000-0005-0000-0000-0000F6140000}"/>
    <cellStyle name="Comma 2 2 2 2 4 2 2" xfId="6342" xr:uid="{00000000-0005-0000-0000-0000F7140000}"/>
    <cellStyle name="Comma 2 2 2 2 4 2 2 2" xfId="9428" xr:uid="{00000000-0005-0000-0000-0000F8140000}"/>
    <cellStyle name="Comma 2 2 2 2 4 2 2 2 2" xfId="15621" xr:uid="{00000000-0005-0000-0000-0000F9140000}"/>
    <cellStyle name="Comma 2 2 2 2 4 2 2 2 2 2" xfId="35541" xr:uid="{00000000-0005-0000-0000-0000FA140000}"/>
    <cellStyle name="Comma 2 2 2 2 4 2 2 2 3" xfId="21773" xr:uid="{00000000-0005-0000-0000-0000FB140000}"/>
    <cellStyle name="Comma 2 2 2 2 4 2 2 2 3 2" xfId="41693" xr:uid="{00000000-0005-0000-0000-0000FC140000}"/>
    <cellStyle name="Comma 2 2 2 2 4 2 2 2 4" xfId="29388" xr:uid="{00000000-0005-0000-0000-0000FD140000}"/>
    <cellStyle name="Comma 2 2 2 2 4 2 2 3" xfId="12555" xr:uid="{00000000-0005-0000-0000-0000FE140000}"/>
    <cellStyle name="Comma 2 2 2 2 4 2 2 3 2" xfId="32475" xr:uid="{00000000-0005-0000-0000-0000FF140000}"/>
    <cellStyle name="Comma 2 2 2 2 4 2 2 4" xfId="18707" xr:uid="{00000000-0005-0000-0000-000000150000}"/>
    <cellStyle name="Comma 2 2 2 2 4 2 2 4 2" xfId="38627" xr:uid="{00000000-0005-0000-0000-000001150000}"/>
    <cellStyle name="Comma 2 2 2 2 4 2 2 5" xfId="26322" xr:uid="{00000000-0005-0000-0000-000002150000}"/>
    <cellStyle name="Comma 2 2 2 2 4 2 3" xfId="7893" xr:uid="{00000000-0005-0000-0000-000003150000}"/>
    <cellStyle name="Comma 2 2 2 2 4 2 3 2" xfId="14087" xr:uid="{00000000-0005-0000-0000-000004150000}"/>
    <cellStyle name="Comma 2 2 2 2 4 2 3 2 2" xfId="34007" xr:uid="{00000000-0005-0000-0000-000005150000}"/>
    <cellStyle name="Comma 2 2 2 2 4 2 3 3" xfId="20239" xr:uid="{00000000-0005-0000-0000-000006150000}"/>
    <cellStyle name="Comma 2 2 2 2 4 2 3 3 2" xfId="40159" xr:uid="{00000000-0005-0000-0000-000007150000}"/>
    <cellStyle name="Comma 2 2 2 2 4 2 3 4" xfId="27854" xr:uid="{00000000-0005-0000-0000-000008150000}"/>
    <cellStyle name="Comma 2 2 2 2 4 2 4" xfId="11021" xr:uid="{00000000-0005-0000-0000-000009150000}"/>
    <cellStyle name="Comma 2 2 2 2 4 2 4 2" xfId="30941" xr:uid="{00000000-0005-0000-0000-00000A150000}"/>
    <cellStyle name="Comma 2 2 2 2 4 2 5" xfId="17173" xr:uid="{00000000-0005-0000-0000-00000B150000}"/>
    <cellStyle name="Comma 2 2 2 2 4 2 5 2" xfId="37093" xr:uid="{00000000-0005-0000-0000-00000C150000}"/>
    <cellStyle name="Comma 2 2 2 2 4 2 6" xfId="24788" xr:uid="{00000000-0005-0000-0000-00000D150000}"/>
    <cellStyle name="Comma 2 2 2 2 4 3" xfId="5556" xr:uid="{00000000-0005-0000-0000-00000E150000}"/>
    <cellStyle name="Comma 2 2 2 2 4 3 2" xfId="8659" xr:uid="{00000000-0005-0000-0000-00000F150000}"/>
    <cellStyle name="Comma 2 2 2 2 4 3 2 2" xfId="14852" xr:uid="{00000000-0005-0000-0000-000010150000}"/>
    <cellStyle name="Comma 2 2 2 2 4 3 2 2 2" xfId="34772" xr:uid="{00000000-0005-0000-0000-000011150000}"/>
    <cellStyle name="Comma 2 2 2 2 4 3 2 3" xfId="21004" xr:uid="{00000000-0005-0000-0000-000012150000}"/>
    <cellStyle name="Comma 2 2 2 2 4 3 2 3 2" xfId="40924" xr:uid="{00000000-0005-0000-0000-000013150000}"/>
    <cellStyle name="Comma 2 2 2 2 4 3 2 4" xfId="28619" xr:uid="{00000000-0005-0000-0000-000014150000}"/>
    <cellStyle name="Comma 2 2 2 2 4 3 3" xfId="11786" xr:uid="{00000000-0005-0000-0000-000015150000}"/>
    <cellStyle name="Comma 2 2 2 2 4 3 3 2" xfId="31706" xr:uid="{00000000-0005-0000-0000-000016150000}"/>
    <cellStyle name="Comma 2 2 2 2 4 3 4" xfId="17938" xr:uid="{00000000-0005-0000-0000-000017150000}"/>
    <cellStyle name="Comma 2 2 2 2 4 3 4 2" xfId="37858" xr:uid="{00000000-0005-0000-0000-000018150000}"/>
    <cellStyle name="Comma 2 2 2 2 4 3 5" xfId="25553" xr:uid="{00000000-0005-0000-0000-000019150000}"/>
    <cellStyle name="Comma 2 2 2 2 4 4" xfId="7124" xr:uid="{00000000-0005-0000-0000-00001A150000}"/>
    <cellStyle name="Comma 2 2 2 2 4 4 2" xfId="13318" xr:uid="{00000000-0005-0000-0000-00001B150000}"/>
    <cellStyle name="Comma 2 2 2 2 4 4 2 2" xfId="33238" xr:uid="{00000000-0005-0000-0000-00001C150000}"/>
    <cellStyle name="Comma 2 2 2 2 4 4 3" xfId="19470" xr:uid="{00000000-0005-0000-0000-00001D150000}"/>
    <cellStyle name="Comma 2 2 2 2 4 4 3 2" xfId="39390" xr:uid="{00000000-0005-0000-0000-00001E150000}"/>
    <cellStyle name="Comma 2 2 2 2 4 4 4" xfId="27085" xr:uid="{00000000-0005-0000-0000-00001F150000}"/>
    <cellStyle name="Comma 2 2 2 2 4 5" xfId="10252" xr:uid="{00000000-0005-0000-0000-000020150000}"/>
    <cellStyle name="Comma 2 2 2 2 4 5 2" xfId="30172" xr:uid="{00000000-0005-0000-0000-000021150000}"/>
    <cellStyle name="Comma 2 2 2 2 4 6" xfId="16404" xr:uid="{00000000-0005-0000-0000-000022150000}"/>
    <cellStyle name="Comma 2 2 2 2 4 6 2" xfId="36324" xr:uid="{00000000-0005-0000-0000-000023150000}"/>
    <cellStyle name="Comma 2 2 2 2 4 7" xfId="24019" xr:uid="{00000000-0005-0000-0000-000024150000}"/>
    <cellStyle name="Comma 2 2 2 2 5" xfId="1503" xr:uid="{00000000-0005-0000-0000-000025150000}"/>
    <cellStyle name="Comma 2 2 2 2 5 2" xfId="4718" xr:uid="{00000000-0005-0000-0000-000026150000}"/>
    <cellStyle name="Comma 2 2 2 2 5 2 2" xfId="6343" xr:uid="{00000000-0005-0000-0000-000027150000}"/>
    <cellStyle name="Comma 2 2 2 2 5 2 2 2" xfId="9429" xr:uid="{00000000-0005-0000-0000-000028150000}"/>
    <cellStyle name="Comma 2 2 2 2 5 2 2 2 2" xfId="15622" xr:uid="{00000000-0005-0000-0000-000029150000}"/>
    <cellStyle name="Comma 2 2 2 2 5 2 2 2 2 2" xfId="35542" xr:uid="{00000000-0005-0000-0000-00002A150000}"/>
    <cellStyle name="Comma 2 2 2 2 5 2 2 2 3" xfId="21774" xr:uid="{00000000-0005-0000-0000-00002B150000}"/>
    <cellStyle name="Comma 2 2 2 2 5 2 2 2 3 2" xfId="41694" xr:uid="{00000000-0005-0000-0000-00002C150000}"/>
    <cellStyle name="Comma 2 2 2 2 5 2 2 2 4" xfId="29389" xr:uid="{00000000-0005-0000-0000-00002D150000}"/>
    <cellStyle name="Comma 2 2 2 2 5 2 2 3" xfId="12556" xr:uid="{00000000-0005-0000-0000-00002E150000}"/>
    <cellStyle name="Comma 2 2 2 2 5 2 2 3 2" xfId="32476" xr:uid="{00000000-0005-0000-0000-00002F150000}"/>
    <cellStyle name="Comma 2 2 2 2 5 2 2 4" xfId="18708" xr:uid="{00000000-0005-0000-0000-000030150000}"/>
    <cellStyle name="Comma 2 2 2 2 5 2 2 4 2" xfId="38628" xr:uid="{00000000-0005-0000-0000-000031150000}"/>
    <cellStyle name="Comma 2 2 2 2 5 2 2 5" xfId="26323" xr:uid="{00000000-0005-0000-0000-000032150000}"/>
    <cellStyle name="Comma 2 2 2 2 5 2 3" xfId="7894" xr:uid="{00000000-0005-0000-0000-000033150000}"/>
    <cellStyle name="Comma 2 2 2 2 5 2 3 2" xfId="14088" xr:uid="{00000000-0005-0000-0000-000034150000}"/>
    <cellStyle name="Comma 2 2 2 2 5 2 3 2 2" xfId="34008" xr:uid="{00000000-0005-0000-0000-000035150000}"/>
    <cellStyle name="Comma 2 2 2 2 5 2 3 3" xfId="20240" xr:uid="{00000000-0005-0000-0000-000036150000}"/>
    <cellStyle name="Comma 2 2 2 2 5 2 3 3 2" xfId="40160" xr:uid="{00000000-0005-0000-0000-000037150000}"/>
    <cellStyle name="Comma 2 2 2 2 5 2 3 4" xfId="27855" xr:uid="{00000000-0005-0000-0000-000038150000}"/>
    <cellStyle name="Comma 2 2 2 2 5 2 4" xfId="11022" xr:uid="{00000000-0005-0000-0000-000039150000}"/>
    <cellStyle name="Comma 2 2 2 2 5 2 4 2" xfId="30942" xr:uid="{00000000-0005-0000-0000-00003A150000}"/>
    <cellStyle name="Comma 2 2 2 2 5 2 5" xfId="17174" xr:uid="{00000000-0005-0000-0000-00003B150000}"/>
    <cellStyle name="Comma 2 2 2 2 5 2 5 2" xfId="37094" xr:uid="{00000000-0005-0000-0000-00003C150000}"/>
    <cellStyle name="Comma 2 2 2 2 5 2 6" xfId="24789" xr:uid="{00000000-0005-0000-0000-00003D150000}"/>
    <cellStyle name="Comma 2 2 2 2 5 3" xfId="5557" xr:uid="{00000000-0005-0000-0000-00003E150000}"/>
    <cellStyle name="Comma 2 2 2 2 5 3 2" xfId="8660" xr:uid="{00000000-0005-0000-0000-00003F150000}"/>
    <cellStyle name="Comma 2 2 2 2 5 3 2 2" xfId="14853" xr:uid="{00000000-0005-0000-0000-000040150000}"/>
    <cellStyle name="Comma 2 2 2 2 5 3 2 2 2" xfId="34773" xr:uid="{00000000-0005-0000-0000-000041150000}"/>
    <cellStyle name="Comma 2 2 2 2 5 3 2 3" xfId="21005" xr:uid="{00000000-0005-0000-0000-000042150000}"/>
    <cellStyle name="Comma 2 2 2 2 5 3 2 3 2" xfId="40925" xr:uid="{00000000-0005-0000-0000-000043150000}"/>
    <cellStyle name="Comma 2 2 2 2 5 3 2 4" xfId="28620" xr:uid="{00000000-0005-0000-0000-000044150000}"/>
    <cellStyle name="Comma 2 2 2 2 5 3 3" xfId="11787" xr:uid="{00000000-0005-0000-0000-000045150000}"/>
    <cellStyle name="Comma 2 2 2 2 5 3 3 2" xfId="31707" xr:uid="{00000000-0005-0000-0000-000046150000}"/>
    <cellStyle name="Comma 2 2 2 2 5 3 4" xfId="17939" xr:uid="{00000000-0005-0000-0000-000047150000}"/>
    <cellStyle name="Comma 2 2 2 2 5 3 4 2" xfId="37859" xr:uid="{00000000-0005-0000-0000-000048150000}"/>
    <cellStyle name="Comma 2 2 2 2 5 3 5" xfId="25554" xr:uid="{00000000-0005-0000-0000-000049150000}"/>
    <cellStyle name="Comma 2 2 2 2 5 4" xfId="7125" xr:uid="{00000000-0005-0000-0000-00004A150000}"/>
    <cellStyle name="Comma 2 2 2 2 5 4 2" xfId="13319" xr:uid="{00000000-0005-0000-0000-00004B150000}"/>
    <cellStyle name="Comma 2 2 2 2 5 4 2 2" xfId="33239" xr:uid="{00000000-0005-0000-0000-00004C150000}"/>
    <cellStyle name="Comma 2 2 2 2 5 4 3" xfId="19471" xr:uid="{00000000-0005-0000-0000-00004D150000}"/>
    <cellStyle name="Comma 2 2 2 2 5 4 3 2" xfId="39391" xr:uid="{00000000-0005-0000-0000-00004E150000}"/>
    <cellStyle name="Comma 2 2 2 2 5 4 4" xfId="27086" xr:uid="{00000000-0005-0000-0000-00004F150000}"/>
    <cellStyle name="Comma 2 2 2 2 5 5" xfId="10253" xr:uid="{00000000-0005-0000-0000-000050150000}"/>
    <cellStyle name="Comma 2 2 2 2 5 5 2" xfId="30173" xr:uid="{00000000-0005-0000-0000-000051150000}"/>
    <cellStyle name="Comma 2 2 2 2 5 6" xfId="16405" xr:uid="{00000000-0005-0000-0000-000052150000}"/>
    <cellStyle name="Comma 2 2 2 2 5 6 2" xfId="36325" xr:uid="{00000000-0005-0000-0000-000053150000}"/>
    <cellStyle name="Comma 2 2 2 2 5 7" xfId="24020" xr:uid="{00000000-0005-0000-0000-000054150000}"/>
    <cellStyle name="Comma 2 2 2 2 6" xfId="4714" xr:uid="{00000000-0005-0000-0000-000055150000}"/>
    <cellStyle name="Comma 2 2 2 2 6 2" xfId="6339" xr:uid="{00000000-0005-0000-0000-000056150000}"/>
    <cellStyle name="Comma 2 2 2 2 6 2 2" xfId="9425" xr:uid="{00000000-0005-0000-0000-000057150000}"/>
    <cellStyle name="Comma 2 2 2 2 6 2 2 2" xfId="15618" xr:uid="{00000000-0005-0000-0000-000058150000}"/>
    <cellStyle name="Comma 2 2 2 2 6 2 2 2 2" xfId="35538" xr:uid="{00000000-0005-0000-0000-000059150000}"/>
    <cellStyle name="Comma 2 2 2 2 6 2 2 3" xfId="21770" xr:uid="{00000000-0005-0000-0000-00005A150000}"/>
    <cellStyle name="Comma 2 2 2 2 6 2 2 3 2" xfId="41690" xr:uid="{00000000-0005-0000-0000-00005B150000}"/>
    <cellStyle name="Comma 2 2 2 2 6 2 2 4" xfId="29385" xr:uid="{00000000-0005-0000-0000-00005C150000}"/>
    <cellStyle name="Comma 2 2 2 2 6 2 3" xfId="12552" xr:uid="{00000000-0005-0000-0000-00005D150000}"/>
    <cellStyle name="Comma 2 2 2 2 6 2 3 2" xfId="32472" xr:uid="{00000000-0005-0000-0000-00005E150000}"/>
    <cellStyle name="Comma 2 2 2 2 6 2 4" xfId="18704" xr:uid="{00000000-0005-0000-0000-00005F150000}"/>
    <cellStyle name="Comma 2 2 2 2 6 2 4 2" xfId="38624" xr:uid="{00000000-0005-0000-0000-000060150000}"/>
    <cellStyle name="Comma 2 2 2 2 6 2 5" xfId="26319" xr:uid="{00000000-0005-0000-0000-000061150000}"/>
    <cellStyle name="Comma 2 2 2 2 6 3" xfId="7890" xr:uid="{00000000-0005-0000-0000-000062150000}"/>
    <cellStyle name="Comma 2 2 2 2 6 3 2" xfId="14084" xr:uid="{00000000-0005-0000-0000-000063150000}"/>
    <cellStyle name="Comma 2 2 2 2 6 3 2 2" xfId="34004" xr:uid="{00000000-0005-0000-0000-000064150000}"/>
    <cellStyle name="Comma 2 2 2 2 6 3 3" xfId="20236" xr:uid="{00000000-0005-0000-0000-000065150000}"/>
    <cellStyle name="Comma 2 2 2 2 6 3 3 2" xfId="40156" xr:uid="{00000000-0005-0000-0000-000066150000}"/>
    <cellStyle name="Comma 2 2 2 2 6 3 4" xfId="27851" xr:uid="{00000000-0005-0000-0000-000067150000}"/>
    <cellStyle name="Comma 2 2 2 2 6 4" xfId="11018" xr:uid="{00000000-0005-0000-0000-000068150000}"/>
    <cellStyle name="Comma 2 2 2 2 6 4 2" xfId="30938" xr:uid="{00000000-0005-0000-0000-000069150000}"/>
    <cellStyle name="Comma 2 2 2 2 6 5" xfId="17170" xr:uid="{00000000-0005-0000-0000-00006A150000}"/>
    <cellStyle name="Comma 2 2 2 2 6 5 2" xfId="37090" xr:uid="{00000000-0005-0000-0000-00006B150000}"/>
    <cellStyle name="Comma 2 2 2 2 6 6" xfId="24785" xr:uid="{00000000-0005-0000-0000-00006C150000}"/>
    <cellStyle name="Comma 2 2 2 2 7" xfId="5553" xr:uid="{00000000-0005-0000-0000-00006D150000}"/>
    <cellStyle name="Comma 2 2 2 2 7 2" xfId="8656" xr:uid="{00000000-0005-0000-0000-00006E150000}"/>
    <cellStyle name="Comma 2 2 2 2 7 2 2" xfId="14849" xr:uid="{00000000-0005-0000-0000-00006F150000}"/>
    <cellStyle name="Comma 2 2 2 2 7 2 2 2" xfId="34769" xr:uid="{00000000-0005-0000-0000-000070150000}"/>
    <cellStyle name="Comma 2 2 2 2 7 2 3" xfId="21001" xr:uid="{00000000-0005-0000-0000-000071150000}"/>
    <cellStyle name="Comma 2 2 2 2 7 2 3 2" xfId="40921" xr:uid="{00000000-0005-0000-0000-000072150000}"/>
    <cellStyle name="Comma 2 2 2 2 7 2 4" xfId="28616" xr:uid="{00000000-0005-0000-0000-000073150000}"/>
    <cellStyle name="Comma 2 2 2 2 7 3" xfId="11783" xr:uid="{00000000-0005-0000-0000-000074150000}"/>
    <cellStyle name="Comma 2 2 2 2 7 3 2" xfId="31703" xr:uid="{00000000-0005-0000-0000-000075150000}"/>
    <cellStyle name="Comma 2 2 2 2 7 4" xfId="17935" xr:uid="{00000000-0005-0000-0000-000076150000}"/>
    <cellStyle name="Comma 2 2 2 2 7 4 2" xfId="37855" xr:uid="{00000000-0005-0000-0000-000077150000}"/>
    <cellStyle name="Comma 2 2 2 2 7 5" xfId="25550" xr:uid="{00000000-0005-0000-0000-000078150000}"/>
    <cellStyle name="Comma 2 2 2 2 8" xfId="7121" xr:uid="{00000000-0005-0000-0000-000079150000}"/>
    <cellStyle name="Comma 2 2 2 2 8 2" xfId="13315" xr:uid="{00000000-0005-0000-0000-00007A150000}"/>
    <cellStyle name="Comma 2 2 2 2 8 2 2" xfId="33235" xr:uid="{00000000-0005-0000-0000-00007B150000}"/>
    <cellStyle name="Comma 2 2 2 2 8 3" xfId="19467" xr:uid="{00000000-0005-0000-0000-00007C150000}"/>
    <cellStyle name="Comma 2 2 2 2 8 3 2" xfId="39387" xr:uid="{00000000-0005-0000-0000-00007D150000}"/>
    <cellStyle name="Comma 2 2 2 2 8 4" xfId="27082" xr:uid="{00000000-0005-0000-0000-00007E150000}"/>
    <cellStyle name="Comma 2 2 2 2 9" xfId="10249" xr:uid="{00000000-0005-0000-0000-00007F150000}"/>
    <cellStyle name="Comma 2 2 2 2 9 2" xfId="30169" xr:uid="{00000000-0005-0000-0000-000080150000}"/>
    <cellStyle name="Comma 2 2 2 3" xfId="1504" xr:uid="{00000000-0005-0000-0000-000081150000}"/>
    <cellStyle name="Comma 2 2 2 3 2" xfId="4719" xr:uid="{00000000-0005-0000-0000-000082150000}"/>
    <cellStyle name="Comma 2 2 2 3 2 2" xfId="6344" xr:uid="{00000000-0005-0000-0000-000083150000}"/>
    <cellStyle name="Comma 2 2 2 3 2 2 2" xfId="9430" xr:uid="{00000000-0005-0000-0000-000084150000}"/>
    <cellStyle name="Comma 2 2 2 3 2 2 2 2" xfId="15623" xr:uid="{00000000-0005-0000-0000-000085150000}"/>
    <cellStyle name="Comma 2 2 2 3 2 2 2 2 2" xfId="35543" xr:uid="{00000000-0005-0000-0000-000086150000}"/>
    <cellStyle name="Comma 2 2 2 3 2 2 2 3" xfId="21775" xr:uid="{00000000-0005-0000-0000-000087150000}"/>
    <cellStyle name="Comma 2 2 2 3 2 2 2 3 2" xfId="41695" xr:uid="{00000000-0005-0000-0000-000088150000}"/>
    <cellStyle name="Comma 2 2 2 3 2 2 2 4" xfId="29390" xr:uid="{00000000-0005-0000-0000-000089150000}"/>
    <cellStyle name="Comma 2 2 2 3 2 2 3" xfId="12557" xr:uid="{00000000-0005-0000-0000-00008A150000}"/>
    <cellStyle name="Comma 2 2 2 3 2 2 3 2" xfId="32477" xr:uid="{00000000-0005-0000-0000-00008B150000}"/>
    <cellStyle name="Comma 2 2 2 3 2 2 4" xfId="18709" xr:uid="{00000000-0005-0000-0000-00008C150000}"/>
    <cellStyle name="Comma 2 2 2 3 2 2 4 2" xfId="38629" xr:uid="{00000000-0005-0000-0000-00008D150000}"/>
    <cellStyle name="Comma 2 2 2 3 2 2 5" xfId="26324" xr:uid="{00000000-0005-0000-0000-00008E150000}"/>
    <cellStyle name="Comma 2 2 2 3 2 3" xfId="7895" xr:uid="{00000000-0005-0000-0000-00008F150000}"/>
    <cellStyle name="Comma 2 2 2 3 2 3 2" xfId="14089" xr:uid="{00000000-0005-0000-0000-000090150000}"/>
    <cellStyle name="Comma 2 2 2 3 2 3 2 2" xfId="34009" xr:uid="{00000000-0005-0000-0000-000091150000}"/>
    <cellStyle name="Comma 2 2 2 3 2 3 3" xfId="20241" xr:uid="{00000000-0005-0000-0000-000092150000}"/>
    <cellStyle name="Comma 2 2 2 3 2 3 3 2" xfId="40161" xr:uid="{00000000-0005-0000-0000-000093150000}"/>
    <cellStyle name="Comma 2 2 2 3 2 3 4" xfId="27856" xr:uid="{00000000-0005-0000-0000-000094150000}"/>
    <cellStyle name="Comma 2 2 2 3 2 4" xfId="11023" xr:uid="{00000000-0005-0000-0000-000095150000}"/>
    <cellStyle name="Comma 2 2 2 3 2 4 2" xfId="30943" xr:uid="{00000000-0005-0000-0000-000096150000}"/>
    <cellStyle name="Comma 2 2 2 3 2 5" xfId="17175" xr:uid="{00000000-0005-0000-0000-000097150000}"/>
    <cellStyle name="Comma 2 2 2 3 2 5 2" xfId="37095" xr:uid="{00000000-0005-0000-0000-000098150000}"/>
    <cellStyle name="Comma 2 2 2 3 2 6" xfId="24790" xr:uid="{00000000-0005-0000-0000-000099150000}"/>
    <cellStyle name="Comma 2 2 2 3 3" xfId="5558" xr:uid="{00000000-0005-0000-0000-00009A150000}"/>
    <cellStyle name="Comma 2 2 2 3 3 2" xfId="8661" xr:uid="{00000000-0005-0000-0000-00009B150000}"/>
    <cellStyle name="Comma 2 2 2 3 3 2 2" xfId="14854" xr:uid="{00000000-0005-0000-0000-00009C150000}"/>
    <cellStyle name="Comma 2 2 2 3 3 2 2 2" xfId="34774" xr:uid="{00000000-0005-0000-0000-00009D150000}"/>
    <cellStyle name="Comma 2 2 2 3 3 2 3" xfId="21006" xr:uid="{00000000-0005-0000-0000-00009E150000}"/>
    <cellStyle name="Comma 2 2 2 3 3 2 3 2" xfId="40926" xr:uid="{00000000-0005-0000-0000-00009F150000}"/>
    <cellStyle name="Comma 2 2 2 3 3 2 4" xfId="28621" xr:uid="{00000000-0005-0000-0000-0000A0150000}"/>
    <cellStyle name="Comma 2 2 2 3 3 3" xfId="11788" xr:uid="{00000000-0005-0000-0000-0000A1150000}"/>
    <cellStyle name="Comma 2 2 2 3 3 3 2" xfId="31708" xr:uid="{00000000-0005-0000-0000-0000A2150000}"/>
    <cellStyle name="Comma 2 2 2 3 3 4" xfId="17940" xr:uid="{00000000-0005-0000-0000-0000A3150000}"/>
    <cellStyle name="Comma 2 2 2 3 3 4 2" xfId="37860" xr:uid="{00000000-0005-0000-0000-0000A4150000}"/>
    <cellStyle name="Comma 2 2 2 3 3 5" xfId="25555" xr:uid="{00000000-0005-0000-0000-0000A5150000}"/>
    <cellStyle name="Comma 2 2 2 3 4" xfId="7126" xr:uid="{00000000-0005-0000-0000-0000A6150000}"/>
    <cellStyle name="Comma 2 2 2 3 4 2" xfId="13320" xr:uid="{00000000-0005-0000-0000-0000A7150000}"/>
    <cellStyle name="Comma 2 2 2 3 4 2 2" xfId="33240" xr:uid="{00000000-0005-0000-0000-0000A8150000}"/>
    <cellStyle name="Comma 2 2 2 3 4 3" xfId="19472" xr:uid="{00000000-0005-0000-0000-0000A9150000}"/>
    <cellStyle name="Comma 2 2 2 3 4 3 2" xfId="39392" xr:uid="{00000000-0005-0000-0000-0000AA150000}"/>
    <cellStyle name="Comma 2 2 2 3 4 4" xfId="27087" xr:uid="{00000000-0005-0000-0000-0000AB150000}"/>
    <cellStyle name="Comma 2 2 2 3 5" xfId="10254" xr:uid="{00000000-0005-0000-0000-0000AC150000}"/>
    <cellStyle name="Comma 2 2 2 3 5 2" xfId="30174" xr:uid="{00000000-0005-0000-0000-0000AD150000}"/>
    <cellStyle name="Comma 2 2 2 3 6" xfId="16406" xr:uid="{00000000-0005-0000-0000-0000AE150000}"/>
    <cellStyle name="Comma 2 2 2 3 6 2" xfId="36326" xr:uid="{00000000-0005-0000-0000-0000AF150000}"/>
    <cellStyle name="Comma 2 2 2 3 7" xfId="24021" xr:uid="{00000000-0005-0000-0000-0000B0150000}"/>
    <cellStyle name="Comma 2 2 2 4" xfId="1505" xr:uid="{00000000-0005-0000-0000-0000B1150000}"/>
    <cellStyle name="Comma 2 2 2 4 2" xfId="4720" xr:uid="{00000000-0005-0000-0000-0000B2150000}"/>
    <cellStyle name="Comma 2 2 2 4 2 2" xfId="6345" xr:uid="{00000000-0005-0000-0000-0000B3150000}"/>
    <cellStyle name="Comma 2 2 2 4 2 2 2" xfId="9431" xr:uid="{00000000-0005-0000-0000-0000B4150000}"/>
    <cellStyle name="Comma 2 2 2 4 2 2 2 2" xfId="15624" xr:uid="{00000000-0005-0000-0000-0000B5150000}"/>
    <cellStyle name="Comma 2 2 2 4 2 2 2 2 2" xfId="35544" xr:uid="{00000000-0005-0000-0000-0000B6150000}"/>
    <cellStyle name="Comma 2 2 2 4 2 2 2 3" xfId="21776" xr:uid="{00000000-0005-0000-0000-0000B7150000}"/>
    <cellStyle name="Comma 2 2 2 4 2 2 2 3 2" xfId="41696" xr:uid="{00000000-0005-0000-0000-0000B8150000}"/>
    <cellStyle name="Comma 2 2 2 4 2 2 2 4" xfId="29391" xr:uid="{00000000-0005-0000-0000-0000B9150000}"/>
    <cellStyle name="Comma 2 2 2 4 2 2 3" xfId="12558" xr:uid="{00000000-0005-0000-0000-0000BA150000}"/>
    <cellStyle name="Comma 2 2 2 4 2 2 3 2" xfId="32478" xr:uid="{00000000-0005-0000-0000-0000BB150000}"/>
    <cellStyle name="Comma 2 2 2 4 2 2 4" xfId="18710" xr:uid="{00000000-0005-0000-0000-0000BC150000}"/>
    <cellStyle name="Comma 2 2 2 4 2 2 4 2" xfId="38630" xr:uid="{00000000-0005-0000-0000-0000BD150000}"/>
    <cellStyle name="Comma 2 2 2 4 2 2 5" xfId="26325" xr:uid="{00000000-0005-0000-0000-0000BE150000}"/>
    <cellStyle name="Comma 2 2 2 4 2 3" xfId="7896" xr:uid="{00000000-0005-0000-0000-0000BF150000}"/>
    <cellStyle name="Comma 2 2 2 4 2 3 2" xfId="14090" xr:uid="{00000000-0005-0000-0000-0000C0150000}"/>
    <cellStyle name="Comma 2 2 2 4 2 3 2 2" xfId="34010" xr:uid="{00000000-0005-0000-0000-0000C1150000}"/>
    <cellStyle name="Comma 2 2 2 4 2 3 3" xfId="20242" xr:uid="{00000000-0005-0000-0000-0000C2150000}"/>
    <cellStyle name="Comma 2 2 2 4 2 3 3 2" xfId="40162" xr:uid="{00000000-0005-0000-0000-0000C3150000}"/>
    <cellStyle name="Comma 2 2 2 4 2 3 4" xfId="27857" xr:uid="{00000000-0005-0000-0000-0000C4150000}"/>
    <cellStyle name="Comma 2 2 2 4 2 4" xfId="11024" xr:uid="{00000000-0005-0000-0000-0000C5150000}"/>
    <cellStyle name="Comma 2 2 2 4 2 4 2" xfId="30944" xr:uid="{00000000-0005-0000-0000-0000C6150000}"/>
    <cellStyle name="Comma 2 2 2 4 2 5" xfId="17176" xr:uid="{00000000-0005-0000-0000-0000C7150000}"/>
    <cellStyle name="Comma 2 2 2 4 2 5 2" xfId="37096" xr:uid="{00000000-0005-0000-0000-0000C8150000}"/>
    <cellStyle name="Comma 2 2 2 4 2 6" xfId="24791" xr:uid="{00000000-0005-0000-0000-0000C9150000}"/>
    <cellStyle name="Comma 2 2 2 4 3" xfId="5559" xr:uid="{00000000-0005-0000-0000-0000CA150000}"/>
    <cellStyle name="Comma 2 2 2 4 3 2" xfId="8662" xr:uid="{00000000-0005-0000-0000-0000CB150000}"/>
    <cellStyle name="Comma 2 2 2 4 3 2 2" xfId="14855" xr:uid="{00000000-0005-0000-0000-0000CC150000}"/>
    <cellStyle name="Comma 2 2 2 4 3 2 2 2" xfId="34775" xr:uid="{00000000-0005-0000-0000-0000CD150000}"/>
    <cellStyle name="Comma 2 2 2 4 3 2 3" xfId="21007" xr:uid="{00000000-0005-0000-0000-0000CE150000}"/>
    <cellStyle name="Comma 2 2 2 4 3 2 3 2" xfId="40927" xr:uid="{00000000-0005-0000-0000-0000CF150000}"/>
    <cellStyle name="Comma 2 2 2 4 3 2 4" xfId="28622" xr:uid="{00000000-0005-0000-0000-0000D0150000}"/>
    <cellStyle name="Comma 2 2 2 4 3 3" xfId="11789" xr:uid="{00000000-0005-0000-0000-0000D1150000}"/>
    <cellStyle name="Comma 2 2 2 4 3 3 2" xfId="31709" xr:uid="{00000000-0005-0000-0000-0000D2150000}"/>
    <cellStyle name="Comma 2 2 2 4 3 4" xfId="17941" xr:uid="{00000000-0005-0000-0000-0000D3150000}"/>
    <cellStyle name="Comma 2 2 2 4 3 4 2" xfId="37861" xr:uid="{00000000-0005-0000-0000-0000D4150000}"/>
    <cellStyle name="Comma 2 2 2 4 3 5" xfId="25556" xr:uid="{00000000-0005-0000-0000-0000D5150000}"/>
    <cellStyle name="Comma 2 2 2 4 4" xfId="7127" xr:uid="{00000000-0005-0000-0000-0000D6150000}"/>
    <cellStyle name="Comma 2 2 2 4 4 2" xfId="13321" xr:uid="{00000000-0005-0000-0000-0000D7150000}"/>
    <cellStyle name="Comma 2 2 2 4 4 2 2" xfId="33241" xr:uid="{00000000-0005-0000-0000-0000D8150000}"/>
    <cellStyle name="Comma 2 2 2 4 4 3" xfId="19473" xr:uid="{00000000-0005-0000-0000-0000D9150000}"/>
    <cellStyle name="Comma 2 2 2 4 4 3 2" xfId="39393" xr:uid="{00000000-0005-0000-0000-0000DA150000}"/>
    <cellStyle name="Comma 2 2 2 4 4 4" xfId="27088" xr:uid="{00000000-0005-0000-0000-0000DB150000}"/>
    <cellStyle name="Comma 2 2 2 4 5" xfId="10255" xr:uid="{00000000-0005-0000-0000-0000DC150000}"/>
    <cellStyle name="Comma 2 2 2 4 5 2" xfId="30175" xr:uid="{00000000-0005-0000-0000-0000DD150000}"/>
    <cellStyle name="Comma 2 2 2 4 6" xfId="16407" xr:uid="{00000000-0005-0000-0000-0000DE150000}"/>
    <cellStyle name="Comma 2 2 2 4 6 2" xfId="36327" xr:uid="{00000000-0005-0000-0000-0000DF150000}"/>
    <cellStyle name="Comma 2 2 2 4 7" xfId="24022" xr:uid="{00000000-0005-0000-0000-0000E0150000}"/>
    <cellStyle name="Comma 2 2 2 5" xfId="1506" xr:uid="{00000000-0005-0000-0000-0000E1150000}"/>
    <cellStyle name="Comma 2 2 2 5 2" xfId="4721" xr:uid="{00000000-0005-0000-0000-0000E2150000}"/>
    <cellStyle name="Comma 2 2 2 5 2 2" xfId="6346" xr:uid="{00000000-0005-0000-0000-0000E3150000}"/>
    <cellStyle name="Comma 2 2 2 5 2 2 2" xfId="9432" xr:uid="{00000000-0005-0000-0000-0000E4150000}"/>
    <cellStyle name="Comma 2 2 2 5 2 2 2 2" xfId="15625" xr:uid="{00000000-0005-0000-0000-0000E5150000}"/>
    <cellStyle name="Comma 2 2 2 5 2 2 2 2 2" xfId="35545" xr:uid="{00000000-0005-0000-0000-0000E6150000}"/>
    <cellStyle name="Comma 2 2 2 5 2 2 2 3" xfId="21777" xr:uid="{00000000-0005-0000-0000-0000E7150000}"/>
    <cellStyle name="Comma 2 2 2 5 2 2 2 3 2" xfId="41697" xr:uid="{00000000-0005-0000-0000-0000E8150000}"/>
    <cellStyle name="Comma 2 2 2 5 2 2 2 4" xfId="29392" xr:uid="{00000000-0005-0000-0000-0000E9150000}"/>
    <cellStyle name="Comma 2 2 2 5 2 2 3" xfId="12559" xr:uid="{00000000-0005-0000-0000-0000EA150000}"/>
    <cellStyle name="Comma 2 2 2 5 2 2 3 2" xfId="32479" xr:uid="{00000000-0005-0000-0000-0000EB150000}"/>
    <cellStyle name="Comma 2 2 2 5 2 2 4" xfId="18711" xr:uid="{00000000-0005-0000-0000-0000EC150000}"/>
    <cellStyle name="Comma 2 2 2 5 2 2 4 2" xfId="38631" xr:uid="{00000000-0005-0000-0000-0000ED150000}"/>
    <cellStyle name="Comma 2 2 2 5 2 2 5" xfId="26326" xr:uid="{00000000-0005-0000-0000-0000EE150000}"/>
    <cellStyle name="Comma 2 2 2 5 2 3" xfId="7897" xr:uid="{00000000-0005-0000-0000-0000EF150000}"/>
    <cellStyle name="Comma 2 2 2 5 2 3 2" xfId="14091" xr:uid="{00000000-0005-0000-0000-0000F0150000}"/>
    <cellStyle name="Comma 2 2 2 5 2 3 2 2" xfId="34011" xr:uid="{00000000-0005-0000-0000-0000F1150000}"/>
    <cellStyle name="Comma 2 2 2 5 2 3 3" xfId="20243" xr:uid="{00000000-0005-0000-0000-0000F2150000}"/>
    <cellStyle name="Comma 2 2 2 5 2 3 3 2" xfId="40163" xr:uid="{00000000-0005-0000-0000-0000F3150000}"/>
    <cellStyle name="Comma 2 2 2 5 2 3 4" xfId="27858" xr:uid="{00000000-0005-0000-0000-0000F4150000}"/>
    <cellStyle name="Comma 2 2 2 5 2 4" xfId="11025" xr:uid="{00000000-0005-0000-0000-0000F5150000}"/>
    <cellStyle name="Comma 2 2 2 5 2 4 2" xfId="30945" xr:uid="{00000000-0005-0000-0000-0000F6150000}"/>
    <cellStyle name="Comma 2 2 2 5 2 5" xfId="17177" xr:uid="{00000000-0005-0000-0000-0000F7150000}"/>
    <cellStyle name="Comma 2 2 2 5 2 5 2" xfId="37097" xr:uid="{00000000-0005-0000-0000-0000F8150000}"/>
    <cellStyle name="Comma 2 2 2 5 2 6" xfId="24792" xr:uid="{00000000-0005-0000-0000-0000F9150000}"/>
    <cellStyle name="Comma 2 2 2 5 3" xfId="5560" xr:uid="{00000000-0005-0000-0000-0000FA150000}"/>
    <cellStyle name="Comma 2 2 2 5 3 2" xfId="8663" xr:uid="{00000000-0005-0000-0000-0000FB150000}"/>
    <cellStyle name="Comma 2 2 2 5 3 2 2" xfId="14856" xr:uid="{00000000-0005-0000-0000-0000FC150000}"/>
    <cellStyle name="Comma 2 2 2 5 3 2 2 2" xfId="34776" xr:uid="{00000000-0005-0000-0000-0000FD150000}"/>
    <cellStyle name="Comma 2 2 2 5 3 2 3" xfId="21008" xr:uid="{00000000-0005-0000-0000-0000FE150000}"/>
    <cellStyle name="Comma 2 2 2 5 3 2 3 2" xfId="40928" xr:uid="{00000000-0005-0000-0000-0000FF150000}"/>
    <cellStyle name="Comma 2 2 2 5 3 2 4" xfId="28623" xr:uid="{00000000-0005-0000-0000-000000160000}"/>
    <cellStyle name="Comma 2 2 2 5 3 3" xfId="11790" xr:uid="{00000000-0005-0000-0000-000001160000}"/>
    <cellStyle name="Comma 2 2 2 5 3 3 2" xfId="31710" xr:uid="{00000000-0005-0000-0000-000002160000}"/>
    <cellStyle name="Comma 2 2 2 5 3 4" xfId="17942" xr:uid="{00000000-0005-0000-0000-000003160000}"/>
    <cellStyle name="Comma 2 2 2 5 3 4 2" xfId="37862" xr:uid="{00000000-0005-0000-0000-000004160000}"/>
    <cellStyle name="Comma 2 2 2 5 3 5" xfId="25557" xr:uid="{00000000-0005-0000-0000-000005160000}"/>
    <cellStyle name="Comma 2 2 2 5 4" xfId="7128" xr:uid="{00000000-0005-0000-0000-000006160000}"/>
    <cellStyle name="Comma 2 2 2 5 4 2" xfId="13322" xr:uid="{00000000-0005-0000-0000-000007160000}"/>
    <cellStyle name="Comma 2 2 2 5 4 2 2" xfId="33242" xr:uid="{00000000-0005-0000-0000-000008160000}"/>
    <cellStyle name="Comma 2 2 2 5 4 3" xfId="19474" xr:uid="{00000000-0005-0000-0000-000009160000}"/>
    <cellStyle name="Comma 2 2 2 5 4 3 2" xfId="39394" xr:uid="{00000000-0005-0000-0000-00000A160000}"/>
    <cellStyle name="Comma 2 2 2 5 4 4" xfId="27089" xr:uid="{00000000-0005-0000-0000-00000B160000}"/>
    <cellStyle name="Comma 2 2 2 5 5" xfId="10256" xr:uid="{00000000-0005-0000-0000-00000C160000}"/>
    <cellStyle name="Comma 2 2 2 5 5 2" xfId="30176" xr:uid="{00000000-0005-0000-0000-00000D160000}"/>
    <cellStyle name="Comma 2 2 2 5 6" xfId="16408" xr:uid="{00000000-0005-0000-0000-00000E160000}"/>
    <cellStyle name="Comma 2 2 2 5 6 2" xfId="36328" xr:uid="{00000000-0005-0000-0000-00000F160000}"/>
    <cellStyle name="Comma 2 2 2 5 7" xfId="24023" xr:uid="{00000000-0005-0000-0000-000010160000}"/>
    <cellStyle name="Comma 2 2 2 6" xfId="1507" xr:uid="{00000000-0005-0000-0000-000011160000}"/>
    <cellStyle name="Comma 2 2 2 6 2" xfId="4722" xr:uid="{00000000-0005-0000-0000-000012160000}"/>
    <cellStyle name="Comma 2 2 2 6 2 2" xfId="6347" xr:uid="{00000000-0005-0000-0000-000013160000}"/>
    <cellStyle name="Comma 2 2 2 6 2 2 2" xfId="9433" xr:uid="{00000000-0005-0000-0000-000014160000}"/>
    <cellStyle name="Comma 2 2 2 6 2 2 2 2" xfId="15626" xr:uid="{00000000-0005-0000-0000-000015160000}"/>
    <cellStyle name="Comma 2 2 2 6 2 2 2 2 2" xfId="35546" xr:uid="{00000000-0005-0000-0000-000016160000}"/>
    <cellStyle name="Comma 2 2 2 6 2 2 2 3" xfId="21778" xr:uid="{00000000-0005-0000-0000-000017160000}"/>
    <cellStyle name="Comma 2 2 2 6 2 2 2 3 2" xfId="41698" xr:uid="{00000000-0005-0000-0000-000018160000}"/>
    <cellStyle name="Comma 2 2 2 6 2 2 2 4" xfId="29393" xr:uid="{00000000-0005-0000-0000-000019160000}"/>
    <cellStyle name="Comma 2 2 2 6 2 2 3" xfId="12560" xr:uid="{00000000-0005-0000-0000-00001A160000}"/>
    <cellStyle name="Comma 2 2 2 6 2 2 3 2" xfId="32480" xr:uid="{00000000-0005-0000-0000-00001B160000}"/>
    <cellStyle name="Comma 2 2 2 6 2 2 4" xfId="18712" xr:uid="{00000000-0005-0000-0000-00001C160000}"/>
    <cellStyle name="Comma 2 2 2 6 2 2 4 2" xfId="38632" xr:uid="{00000000-0005-0000-0000-00001D160000}"/>
    <cellStyle name="Comma 2 2 2 6 2 2 5" xfId="26327" xr:uid="{00000000-0005-0000-0000-00001E160000}"/>
    <cellStyle name="Comma 2 2 2 6 2 3" xfId="7898" xr:uid="{00000000-0005-0000-0000-00001F160000}"/>
    <cellStyle name="Comma 2 2 2 6 2 3 2" xfId="14092" xr:uid="{00000000-0005-0000-0000-000020160000}"/>
    <cellStyle name="Comma 2 2 2 6 2 3 2 2" xfId="34012" xr:uid="{00000000-0005-0000-0000-000021160000}"/>
    <cellStyle name="Comma 2 2 2 6 2 3 3" xfId="20244" xr:uid="{00000000-0005-0000-0000-000022160000}"/>
    <cellStyle name="Comma 2 2 2 6 2 3 3 2" xfId="40164" xr:uid="{00000000-0005-0000-0000-000023160000}"/>
    <cellStyle name="Comma 2 2 2 6 2 3 4" xfId="27859" xr:uid="{00000000-0005-0000-0000-000024160000}"/>
    <cellStyle name="Comma 2 2 2 6 2 4" xfId="11026" xr:uid="{00000000-0005-0000-0000-000025160000}"/>
    <cellStyle name="Comma 2 2 2 6 2 4 2" xfId="30946" xr:uid="{00000000-0005-0000-0000-000026160000}"/>
    <cellStyle name="Comma 2 2 2 6 2 5" xfId="17178" xr:uid="{00000000-0005-0000-0000-000027160000}"/>
    <cellStyle name="Comma 2 2 2 6 2 5 2" xfId="37098" xr:uid="{00000000-0005-0000-0000-000028160000}"/>
    <cellStyle name="Comma 2 2 2 6 2 6" xfId="24793" xr:uid="{00000000-0005-0000-0000-000029160000}"/>
    <cellStyle name="Comma 2 2 2 6 3" xfId="5561" xr:uid="{00000000-0005-0000-0000-00002A160000}"/>
    <cellStyle name="Comma 2 2 2 6 3 2" xfId="8664" xr:uid="{00000000-0005-0000-0000-00002B160000}"/>
    <cellStyle name="Comma 2 2 2 6 3 2 2" xfId="14857" xr:uid="{00000000-0005-0000-0000-00002C160000}"/>
    <cellStyle name="Comma 2 2 2 6 3 2 2 2" xfId="34777" xr:uid="{00000000-0005-0000-0000-00002D160000}"/>
    <cellStyle name="Comma 2 2 2 6 3 2 3" xfId="21009" xr:uid="{00000000-0005-0000-0000-00002E160000}"/>
    <cellStyle name="Comma 2 2 2 6 3 2 3 2" xfId="40929" xr:uid="{00000000-0005-0000-0000-00002F160000}"/>
    <cellStyle name="Comma 2 2 2 6 3 2 4" xfId="28624" xr:uid="{00000000-0005-0000-0000-000030160000}"/>
    <cellStyle name="Comma 2 2 2 6 3 3" xfId="11791" xr:uid="{00000000-0005-0000-0000-000031160000}"/>
    <cellStyle name="Comma 2 2 2 6 3 3 2" xfId="31711" xr:uid="{00000000-0005-0000-0000-000032160000}"/>
    <cellStyle name="Comma 2 2 2 6 3 4" xfId="17943" xr:uid="{00000000-0005-0000-0000-000033160000}"/>
    <cellStyle name="Comma 2 2 2 6 3 4 2" xfId="37863" xr:uid="{00000000-0005-0000-0000-000034160000}"/>
    <cellStyle name="Comma 2 2 2 6 3 5" xfId="25558" xr:uid="{00000000-0005-0000-0000-000035160000}"/>
    <cellStyle name="Comma 2 2 2 6 4" xfId="7129" xr:uid="{00000000-0005-0000-0000-000036160000}"/>
    <cellStyle name="Comma 2 2 2 6 4 2" xfId="13323" xr:uid="{00000000-0005-0000-0000-000037160000}"/>
    <cellStyle name="Comma 2 2 2 6 4 2 2" xfId="33243" xr:uid="{00000000-0005-0000-0000-000038160000}"/>
    <cellStyle name="Comma 2 2 2 6 4 3" xfId="19475" xr:uid="{00000000-0005-0000-0000-000039160000}"/>
    <cellStyle name="Comma 2 2 2 6 4 3 2" xfId="39395" xr:uid="{00000000-0005-0000-0000-00003A160000}"/>
    <cellStyle name="Comma 2 2 2 6 4 4" xfId="27090" xr:uid="{00000000-0005-0000-0000-00003B160000}"/>
    <cellStyle name="Comma 2 2 2 6 5" xfId="10257" xr:uid="{00000000-0005-0000-0000-00003C160000}"/>
    <cellStyle name="Comma 2 2 2 6 5 2" xfId="30177" xr:uid="{00000000-0005-0000-0000-00003D160000}"/>
    <cellStyle name="Comma 2 2 2 6 6" xfId="16409" xr:uid="{00000000-0005-0000-0000-00003E160000}"/>
    <cellStyle name="Comma 2 2 2 6 6 2" xfId="36329" xr:uid="{00000000-0005-0000-0000-00003F160000}"/>
    <cellStyle name="Comma 2 2 2 6 7" xfId="24024" xr:uid="{00000000-0005-0000-0000-000040160000}"/>
    <cellStyle name="Comma 2 2 2 7" xfId="1508" xr:uid="{00000000-0005-0000-0000-000041160000}"/>
    <cellStyle name="Comma 2 2 2 8" xfId="1509" xr:uid="{00000000-0005-0000-0000-000042160000}"/>
    <cellStyle name="Comma 2 2 3" xfId="1510" xr:uid="{00000000-0005-0000-0000-000043160000}"/>
    <cellStyle name="Comma 2 2 3 10" xfId="16410" xr:uid="{00000000-0005-0000-0000-000044160000}"/>
    <cellStyle name="Comma 2 2 3 10 2" xfId="36330" xr:uid="{00000000-0005-0000-0000-000045160000}"/>
    <cellStyle name="Comma 2 2 3 11" xfId="24025" xr:uid="{00000000-0005-0000-0000-000046160000}"/>
    <cellStyle name="Comma 2 2 3 2" xfId="1511" xr:uid="{00000000-0005-0000-0000-000047160000}"/>
    <cellStyle name="Comma 2 2 3 2 2" xfId="1512" xr:uid="{00000000-0005-0000-0000-000048160000}"/>
    <cellStyle name="Comma 2 2 3 2 2 2" xfId="4724" xr:uid="{00000000-0005-0000-0000-000049160000}"/>
    <cellStyle name="Comma 2 2 3 2 2 2 2" xfId="6349" xr:uid="{00000000-0005-0000-0000-00004A160000}"/>
    <cellStyle name="Comma 2 2 3 2 2 2 2 2" xfId="9435" xr:uid="{00000000-0005-0000-0000-00004B160000}"/>
    <cellStyle name="Comma 2 2 3 2 2 2 2 2 2" xfId="15628" xr:uid="{00000000-0005-0000-0000-00004C160000}"/>
    <cellStyle name="Comma 2 2 3 2 2 2 2 2 2 2" xfId="35548" xr:uid="{00000000-0005-0000-0000-00004D160000}"/>
    <cellStyle name="Comma 2 2 3 2 2 2 2 2 3" xfId="21780" xr:uid="{00000000-0005-0000-0000-00004E160000}"/>
    <cellStyle name="Comma 2 2 3 2 2 2 2 2 3 2" xfId="41700" xr:uid="{00000000-0005-0000-0000-00004F160000}"/>
    <cellStyle name="Comma 2 2 3 2 2 2 2 2 4" xfId="29395" xr:uid="{00000000-0005-0000-0000-000050160000}"/>
    <cellStyle name="Comma 2 2 3 2 2 2 2 3" xfId="12562" xr:uid="{00000000-0005-0000-0000-000051160000}"/>
    <cellStyle name="Comma 2 2 3 2 2 2 2 3 2" xfId="32482" xr:uid="{00000000-0005-0000-0000-000052160000}"/>
    <cellStyle name="Comma 2 2 3 2 2 2 2 4" xfId="18714" xr:uid="{00000000-0005-0000-0000-000053160000}"/>
    <cellStyle name="Comma 2 2 3 2 2 2 2 4 2" xfId="38634" xr:uid="{00000000-0005-0000-0000-000054160000}"/>
    <cellStyle name="Comma 2 2 3 2 2 2 2 5" xfId="26329" xr:uid="{00000000-0005-0000-0000-000055160000}"/>
    <cellStyle name="Comma 2 2 3 2 2 2 3" xfId="7900" xr:uid="{00000000-0005-0000-0000-000056160000}"/>
    <cellStyle name="Comma 2 2 3 2 2 2 3 2" xfId="14094" xr:uid="{00000000-0005-0000-0000-000057160000}"/>
    <cellStyle name="Comma 2 2 3 2 2 2 3 2 2" xfId="34014" xr:uid="{00000000-0005-0000-0000-000058160000}"/>
    <cellStyle name="Comma 2 2 3 2 2 2 3 3" xfId="20246" xr:uid="{00000000-0005-0000-0000-000059160000}"/>
    <cellStyle name="Comma 2 2 3 2 2 2 3 3 2" xfId="40166" xr:uid="{00000000-0005-0000-0000-00005A160000}"/>
    <cellStyle name="Comma 2 2 3 2 2 2 3 4" xfId="27861" xr:uid="{00000000-0005-0000-0000-00005B160000}"/>
    <cellStyle name="Comma 2 2 3 2 2 2 4" xfId="11028" xr:uid="{00000000-0005-0000-0000-00005C160000}"/>
    <cellStyle name="Comma 2 2 3 2 2 2 4 2" xfId="30948" xr:uid="{00000000-0005-0000-0000-00005D160000}"/>
    <cellStyle name="Comma 2 2 3 2 2 2 5" xfId="17180" xr:uid="{00000000-0005-0000-0000-00005E160000}"/>
    <cellStyle name="Comma 2 2 3 2 2 2 5 2" xfId="37100" xr:uid="{00000000-0005-0000-0000-00005F160000}"/>
    <cellStyle name="Comma 2 2 3 2 2 2 6" xfId="24795" xr:uid="{00000000-0005-0000-0000-000060160000}"/>
    <cellStyle name="Comma 2 2 3 2 2 3" xfId="5563" xr:uid="{00000000-0005-0000-0000-000061160000}"/>
    <cellStyle name="Comma 2 2 3 2 2 3 2" xfId="8666" xr:uid="{00000000-0005-0000-0000-000062160000}"/>
    <cellStyle name="Comma 2 2 3 2 2 3 2 2" xfId="14859" xr:uid="{00000000-0005-0000-0000-000063160000}"/>
    <cellStyle name="Comma 2 2 3 2 2 3 2 2 2" xfId="34779" xr:uid="{00000000-0005-0000-0000-000064160000}"/>
    <cellStyle name="Comma 2 2 3 2 2 3 2 3" xfId="21011" xr:uid="{00000000-0005-0000-0000-000065160000}"/>
    <cellStyle name="Comma 2 2 3 2 2 3 2 3 2" xfId="40931" xr:uid="{00000000-0005-0000-0000-000066160000}"/>
    <cellStyle name="Comma 2 2 3 2 2 3 2 4" xfId="28626" xr:uid="{00000000-0005-0000-0000-000067160000}"/>
    <cellStyle name="Comma 2 2 3 2 2 3 3" xfId="11793" xr:uid="{00000000-0005-0000-0000-000068160000}"/>
    <cellStyle name="Comma 2 2 3 2 2 3 3 2" xfId="31713" xr:uid="{00000000-0005-0000-0000-000069160000}"/>
    <cellStyle name="Comma 2 2 3 2 2 3 4" xfId="17945" xr:uid="{00000000-0005-0000-0000-00006A160000}"/>
    <cellStyle name="Comma 2 2 3 2 2 3 4 2" xfId="37865" xr:uid="{00000000-0005-0000-0000-00006B160000}"/>
    <cellStyle name="Comma 2 2 3 2 2 3 5" xfId="25560" xr:uid="{00000000-0005-0000-0000-00006C160000}"/>
    <cellStyle name="Comma 2 2 3 2 2 4" xfId="7131" xr:uid="{00000000-0005-0000-0000-00006D160000}"/>
    <cellStyle name="Comma 2 2 3 2 2 4 2" xfId="13325" xr:uid="{00000000-0005-0000-0000-00006E160000}"/>
    <cellStyle name="Comma 2 2 3 2 2 4 2 2" xfId="33245" xr:uid="{00000000-0005-0000-0000-00006F160000}"/>
    <cellStyle name="Comma 2 2 3 2 2 4 3" xfId="19477" xr:uid="{00000000-0005-0000-0000-000070160000}"/>
    <cellStyle name="Comma 2 2 3 2 2 4 3 2" xfId="39397" xr:uid="{00000000-0005-0000-0000-000071160000}"/>
    <cellStyle name="Comma 2 2 3 2 2 4 4" xfId="27092" xr:uid="{00000000-0005-0000-0000-000072160000}"/>
    <cellStyle name="Comma 2 2 3 2 2 5" xfId="10259" xr:uid="{00000000-0005-0000-0000-000073160000}"/>
    <cellStyle name="Comma 2 2 3 2 2 5 2" xfId="30179" xr:uid="{00000000-0005-0000-0000-000074160000}"/>
    <cellStyle name="Comma 2 2 3 2 2 6" xfId="16411" xr:uid="{00000000-0005-0000-0000-000075160000}"/>
    <cellStyle name="Comma 2 2 3 2 2 6 2" xfId="36331" xr:uid="{00000000-0005-0000-0000-000076160000}"/>
    <cellStyle name="Comma 2 2 3 2 2 7" xfId="24026" xr:uid="{00000000-0005-0000-0000-000077160000}"/>
    <cellStyle name="Comma 2 2 3 2 3" xfId="1513" xr:uid="{00000000-0005-0000-0000-000078160000}"/>
    <cellStyle name="Comma 2 2 3 2 3 2" xfId="4725" xr:uid="{00000000-0005-0000-0000-000079160000}"/>
    <cellStyle name="Comma 2 2 3 2 3 2 2" xfId="6350" xr:uid="{00000000-0005-0000-0000-00007A160000}"/>
    <cellStyle name="Comma 2 2 3 2 3 2 2 2" xfId="9436" xr:uid="{00000000-0005-0000-0000-00007B160000}"/>
    <cellStyle name="Comma 2 2 3 2 3 2 2 2 2" xfId="15629" xr:uid="{00000000-0005-0000-0000-00007C160000}"/>
    <cellStyle name="Comma 2 2 3 2 3 2 2 2 2 2" xfId="35549" xr:uid="{00000000-0005-0000-0000-00007D160000}"/>
    <cellStyle name="Comma 2 2 3 2 3 2 2 2 3" xfId="21781" xr:uid="{00000000-0005-0000-0000-00007E160000}"/>
    <cellStyle name="Comma 2 2 3 2 3 2 2 2 3 2" xfId="41701" xr:uid="{00000000-0005-0000-0000-00007F160000}"/>
    <cellStyle name="Comma 2 2 3 2 3 2 2 2 4" xfId="29396" xr:uid="{00000000-0005-0000-0000-000080160000}"/>
    <cellStyle name="Comma 2 2 3 2 3 2 2 3" xfId="12563" xr:uid="{00000000-0005-0000-0000-000081160000}"/>
    <cellStyle name="Comma 2 2 3 2 3 2 2 3 2" xfId="32483" xr:uid="{00000000-0005-0000-0000-000082160000}"/>
    <cellStyle name="Comma 2 2 3 2 3 2 2 4" xfId="18715" xr:uid="{00000000-0005-0000-0000-000083160000}"/>
    <cellStyle name="Comma 2 2 3 2 3 2 2 4 2" xfId="38635" xr:uid="{00000000-0005-0000-0000-000084160000}"/>
    <cellStyle name="Comma 2 2 3 2 3 2 2 5" xfId="26330" xr:uid="{00000000-0005-0000-0000-000085160000}"/>
    <cellStyle name="Comma 2 2 3 2 3 2 3" xfId="7901" xr:uid="{00000000-0005-0000-0000-000086160000}"/>
    <cellStyle name="Comma 2 2 3 2 3 2 3 2" xfId="14095" xr:uid="{00000000-0005-0000-0000-000087160000}"/>
    <cellStyle name="Comma 2 2 3 2 3 2 3 2 2" xfId="34015" xr:uid="{00000000-0005-0000-0000-000088160000}"/>
    <cellStyle name="Comma 2 2 3 2 3 2 3 3" xfId="20247" xr:uid="{00000000-0005-0000-0000-000089160000}"/>
    <cellStyle name="Comma 2 2 3 2 3 2 3 3 2" xfId="40167" xr:uid="{00000000-0005-0000-0000-00008A160000}"/>
    <cellStyle name="Comma 2 2 3 2 3 2 3 4" xfId="27862" xr:uid="{00000000-0005-0000-0000-00008B160000}"/>
    <cellStyle name="Comma 2 2 3 2 3 2 4" xfId="11029" xr:uid="{00000000-0005-0000-0000-00008C160000}"/>
    <cellStyle name="Comma 2 2 3 2 3 2 4 2" xfId="30949" xr:uid="{00000000-0005-0000-0000-00008D160000}"/>
    <cellStyle name="Comma 2 2 3 2 3 2 5" xfId="17181" xr:uid="{00000000-0005-0000-0000-00008E160000}"/>
    <cellStyle name="Comma 2 2 3 2 3 2 5 2" xfId="37101" xr:uid="{00000000-0005-0000-0000-00008F160000}"/>
    <cellStyle name="Comma 2 2 3 2 3 2 6" xfId="24796" xr:uid="{00000000-0005-0000-0000-000090160000}"/>
    <cellStyle name="Comma 2 2 3 2 3 3" xfId="5564" xr:uid="{00000000-0005-0000-0000-000091160000}"/>
    <cellStyle name="Comma 2 2 3 2 3 3 2" xfId="8667" xr:uid="{00000000-0005-0000-0000-000092160000}"/>
    <cellStyle name="Comma 2 2 3 2 3 3 2 2" xfId="14860" xr:uid="{00000000-0005-0000-0000-000093160000}"/>
    <cellStyle name="Comma 2 2 3 2 3 3 2 2 2" xfId="34780" xr:uid="{00000000-0005-0000-0000-000094160000}"/>
    <cellStyle name="Comma 2 2 3 2 3 3 2 3" xfId="21012" xr:uid="{00000000-0005-0000-0000-000095160000}"/>
    <cellStyle name="Comma 2 2 3 2 3 3 2 3 2" xfId="40932" xr:uid="{00000000-0005-0000-0000-000096160000}"/>
    <cellStyle name="Comma 2 2 3 2 3 3 2 4" xfId="28627" xr:uid="{00000000-0005-0000-0000-000097160000}"/>
    <cellStyle name="Comma 2 2 3 2 3 3 3" xfId="11794" xr:uid="{00000000-0005-0000-0000-000098160000}"/>
    <cellStyle name="Comma 2 2 3 2 3 3 3 2" xfId="31714" xr:uid="{00000000-0005-0000-0000-000099160000}"/>
    <cellStyle name="Comma 2 2 3 2 3 3 4" xfId="17946" xr:uid="{00000000-0005-0000-0000-00009A160000}"/>
    <cellStyle name="Comma 2 2 3 2 3 3 4 2" xfId="37866" xr:uid="{00000000-0005-0000-0000-00009B160000}"/>
    <cellStyle name="Comma 2 2 3 2 3 3 5" xfId="25561" xr:uid="{00000000-0005-0000-0000-00009C160000}"/>
    <cellStyle name="Comma 2 2 3 2 3 4" xfId="7132" xr:uid="{00000000-0005-0000-0000-00009D160000}"/>
    <cellStyle name="Comma 2 2 3 2 3 4 2" xfId="13326" xr:uid="{00000000-0005-0000-0000-00009E160000}"/>
    <cellStyle name="Comma 2 2 3 2 3 4 2 2" xfId="33246" xr:uid="{00000000-0005-0000-0000-00009F160000}"/>
    <cellStyle name="Comma 2 2 3 2 3 4 3" xfId="19478" xr:uid="{00000000-0005-0000-0000-0000A0160000}"/>
    <cellStyle name="Comma 2 2 3 2 3 4 3 2" xfId="39398" xr:uid="{00000000-0005-0000-0000-0000A1160000}"/>
    <cellStyle name="Comma 2 2 3 2 3 4 4" xfId="27093" xr:uid="{00000000-0005-0000-0000-0000A2160000}"/>
    <cellStyle name="Comma 2 2 3 2 3 5" xfId="10260" xr:uid="{00000000-0005-0000-0000-0000A3160000}"/>
    <cellStyle name="Comma 2 2 3 2 3 5 2" xfId="30180" xr:uid="{00000000-0005-0000-0000-0000A4160000}"/>
    <cellStyle name="Comma 2 2 3 2 3 6" xfId="16412" xr:uid="{00000000-0005-0000-0000-0000A5160000}"/>
    <cellStyle name="Comma 2 2 3 2 3 6 2" xfId="36332" xr:uid="{00000000-0005-0000-0000-0000A6160000}"/>
    <cellStyle name="Comma 2 2 3 2 3 7" xfId="24027" xr:uid="{00000000-0005-0000-0000-0000A7160000}"/>
    <cellStyle name="Comma 2 2 3 2 4" xfId="1514" xr:uid="{00000000-0005-0000-0000-0000A8160000}"/>
    <cellStyle name="Comma 2 2 3 2 4 2" xfId="4726" xr:uid="{00000000-0005-0000-0000-0000A9160000}"/>
    <cellStyle name="Comma 2 2 3 2 4 2 2" xfId="6351" xr:uid="{00000000-0005-0000-0000-0000AA160000}"/>
    <cellStyle name="Comma 2 2 3 2 4 2 2 2" xfId="9437" xr:uid="{00000000-0005-0000-0000-0000AB160000}"/>
    <cellStyle name="Comma 2 2 3 2 4 2 2 2 2" xfId="15630" xr:uid="{00000000-0005-0000-0000-0000AC160000}"/>
    <cellStyle name="Comma 2 2 3 2 4 2 2 2 2 2" xfId="35550" xr:uid="{00000000-0005-0000-0000-0000AD160000}"/>
    <cellStyle name="Comma 2 2 3 2 4 2 2 2 3" xfId="21782" xr:uid="{00000000-0005-0000-0000-0000AE160000}"/>
    <cellStyle name="Comma 2 2 3 2 4 2 2 2 3 2" xfId="41702" xr:uid="{00000000-0005-0000-0000-0000AF160000}"/>
    <cellStyle name="Comma 2 2 3 2 4 2 2 2 4" xfId="29397" xr:uid="{00000000-0005-0000-0000-0000B0160000}"/>
    <cellStyle name="Comma 2 2 3 2 4 2 2 3" xfId="12564" xr:uid="{00000000-0005-0000-0000-0000B1160000}"/>
    <cellStyle name="Comma 2 2 3 2 4 2 2 3 2" xfId="32484" xr:uid="{00000000-0005-0000-0000-0000B2160000}"/>
    <cellStyle name="Comma 2 2 3 2 4 2 2 4" xfId="18716" xr:uid="{00000000-0005-0000-0000-0000B3160000}"/>
    <cellStyle name="Comma 2 2 3 2 4 2 2 4 2" xfId="38636" xr:uid="{00000000-0005-0000-0000-0000B4160000}"/>
    <cellStyle name="Comma 2 2 3 2 4 2 2 5" xfId="26331" xr:uid="{00000000-0005-0000-0000-0000B5160000}"/>
    <cellStyle name="Comma 2 2 3 2 4 2 3" xfId="7902" xr:uid="{00000000-0005-0000-0000-0000B6160000}"/>
    <cellStyle name="Comma 2 2 3 2 4 2 3 2" xfId="14096" xr:uid="{00000000-0005-0000-0000-0000B7160000}"/>
    <cellStyle name="Comma 2 2 3 2 4 2 3 2 2" xfId="34016" xr:uid="{00000000-0005-0000-0000-0000B8160000}"/>
    <cellStyle name="Comma 2 2 3 2 4 2 3 3" xfId="20248" xr:uid="{00000000-0005-0000-0000-0000B9160000}"/>
    <cellStyle name="Comma 2 2 3 2 4 2 3 3 2" xfId="40168" xr:uid="{00000000-0005-0000-0000-0000BA160000}"/>
    <cellStyle name="Comma 2 2 3 2 4 2 3 4" xfId="27863" xr:uid="{00000000-0005-0000-0000-0000BB160000}"/>
    <cellStyle name="Comma 2 2 3 2 4 2 4" xfId="11030" xr:uid="{00000000-0005-0000-0000-0000BC160000}"/>
    <cellStyle name="Comma 2 2 3 2 4 2 4 2" xfId="30950" xr:uid="{00000000-0005-0000-0000-0000BD160000}"/>
    <cellStyle name="Comma 2 2 3 2 4 2 5" xfId="17182" xr:uid="{00000000-0005-0000-0000-0000BE160000}"/>
    <cellStyle name="Comma 2 2 3 2 4 2 5 2" xfId="37102" xr:uid="{00000000-0005-0000-0000-0000BF160000}"/>
    <cellStyle name="Comma 2 2 3 2 4 2 6" xfId="24797" xr:uid="{00000000-0005-0000-0000-0000C0160000}"/>
    <cellStyle name="Comma 2 2 3 2 4 3" xfId="5565" xr:uid="{00000000-0005-0000-0000-0000C1160000}"/>
    <cellStyle name="Comma 2 2 3 2 4 3 2" xfId="8668" xr:uid="{00000000-0005-0000-0000-0000C2160000}"/>
    <cellStyle name="Comma 2 2 3 2 4 3 2 2" xfId="14861" xr:uid="{00000000-0005-0000-0000-0000C3160000}"/>
    <cellStyle name="Comma 2 2 3 2 4 3 2 2 2" xfId="34781" xr:uid="{00000000-0005-0000-0000-0000C4160000}"/>
    <cellStyle name="Comma 2 2 3 2 4 3 2 3" xfId="21013" xr:uid="{00000000-0005-0000-0000-0000C5160000}"/>
    <cellStyle name="Comma 2 2 3 2 4 3 2 3 2" xfId="40933" xr:uid="{00000000-0005-0000-0000-0000C6160000}"/>
    <cellStyle name="Comma 2 2 3 2 4 3 2 4" xfId="28628" xr:uid="{00000000-0005-0000-0000-0000C7160000}"/>
    <cellStyle name="Comma 2 2 3 2 4 3 3" xfId="11795" xr:uid="{00000000-0005-0000-0000-0000C8160000}"/>
    <cellStyle name="Comma 2 2 3 2 4 3 3 2" xfId="31715" xr:uid="{00000000-0005-0000-0000-0000C9160000}"/>
    <cellStyle name="Comma 2 2 3 2 4 3 4" xfId="17947" xr:uid="{00000000-0005-0000-0000-0000CA160000}"/>
    <cellStyle name="Comma 2 2 3 2 4 3 4 2" xfId="37867" xr:uid="{00000000-0005-0000-0000-0000CB160000}"/>
    <cellStyle name="Comma 2 2 3 2 4 3 5" xfId="25562" xr:uid="{00000000-0005-0000-0000-0000CC160000}"/>
    <cellStyle name="Comma 2 2 3 2 4 4" xfId="7133" xr:uid="{00000000-0005-0000-0000-0000CD160000}"/>
    <cellStyle name="Comma 2 2 3 2 4 4 2" xfId="13327" xr:uid="{00000000-0005-0000-0000-0000CE160000}"/>
    <cellStyle name="Comma 2 2 3 2 4 4 2 2" xfId="33247" xr:uid="{00000000-0005-0000-0000-0000CF160000}"/>
    <cellStyle name="Comma 2 2 3 2 4 4 3" xfId="19479" xr:uid="{00000000-0005-0000-0000-0000D0160000}"/>
    <cellStyle name="Comma 2 2 3 2 4 4 3 2" xfId="39399" xr:uid="{00000000-0005-0000-0000-0000D1160000}"/>
    <cellStyle name="Comma 2 2 3 2 4 4 4" xfId="27094" xr:uid="{00000000-0005-0000-0000-0000D2160000}"/>
    <cellStyle name="Comma 2 2 3 2 4 5" xfId="10261" xr:uid="{00000000-0005-0000-0000-0000D3160000}"/>
    <cellStyle name="Comma 2 2 3 2 4 5 2" xfId="30181" xr:uid="{00000000-0005-0000-0000-0000D4160000}"/>
    <cellStyle name="Comma 2 2 3 2 4 6" xfId="16413" xr:uid="{00000000-0005-0000-0000-0000D5160000}"/>
    <cellStyle name="Comma 2 2 3 2 4 6 2" xfId="36333" xr:uid="{00000000-0005-0000-0000-0000D6160000}"/>
    <cellStyle name="Comma 2 2 3 2 4 7" xfId="24028" xr:uid="{00000000-0005-0000-0000-0000D7160000}"/>
    <cellStyle name="Comma 2 2 3 2 5" xfId="1515" xr:uid="{00000000-0005-0000-0000-0000D8160000}"/>
    <cellStyle name="Comma 2 2 3 2 5 2" xfId="4727" xr:uid="{00000000-0005-0000-0000-0000D9160000}"/>
    <cellStyle name="Comma 2 2 3 2 5 2 2" xfId="6352" xr:uid="{00000000-0005-0000-0000-0000DA160000}"/>
    <cellStyle name="Comma 2 2 3 2 5 2 2 2" xfId="9438" xr:uid="{00000000-0005-0000-0000-0000DB160000}"/>
    <cellStyle name="Comma 2 2 3 2 5 2 2 2 2" xfId="15631" xr:uid="{00000000-0005-0000-0000-0000DC160000}"/>
    <cellStyle name="Comma 2 2 3 2 5 2 2 2 2 2" xfId="35551" xr:uid="{00000000-0005-0000-0000-0000DD160000}"/>
    <cellStyle name="Comma 2 2 3 2 5 2 2 2 3" xfId="21783" xr:uid="{00000000-0005-0000-0000-0000DE160000}"/>
    <cellStyle name="Comma 2 2 3 2 5 2 2 2 3 2" xfId="41703" xr:uid="{00000000-0005-0000-0000-0000DF160000}"/>
    <cellStyle name="Comma 2 2 3 2 5 2 2 2 4" xfId="29398" xr:uid="{00000000-0005-0000-0000-0000E0160000}"/>
    <cellStyle name="Comma 2 2 3 2 5 2 2 3" xfId="12565" xr:uid="{00000000-0005-0000-0000-0000E1160000}"/>
    <cellStyle name="Comma 2 2 3 2 5 2 2 3 2" xfId="32485" xr:uid="{00000000-0005-0000-0000-0000E2160000}"/>
    <cellStyle name="Comma 2 2 3 2 5 2 2 4" xfId="18717" xr:uid="{00000000-0005-0000-0000-0000E3160000}"/>
    <cellStyle name="Comma 2 2 3 2 5 2 2 4 2" xfId="38637" xr:uid="{00000000-0005-0000-0000-0000E4160000}"/>
    <cellStyle name="Comma 2 2 3 2 5 2 2 5" xfId="26332" xr:uid="{00000000-0005-0000-0000-0000E5160000}"/>
    <cellStyle name="Comma 2 2 3 2 5 2 3" xfId="7903" xr:uid="{00000000-0005-0000-0000-0000E6160000}"/>
    <cellStyle name="Comma 2 2 3 2 5 2 3 2" xfId="14097" xr:uid="{00000000-0005-0000-0000-0000E7160000}"/>
    <cellStyle name="Comma 2 2 3 2 5 2 3 2 2" xfId="34017" xr:uid="{00000000-0005-0000-0000-0000E8160000}"/>
    <cellStyle name="Comma 2 2 3 2 5 2 3 3" xfId="20249" xr:uid="{00000000-0005-0000-0000-0000E9160000}"/>
    <cellStyle name="Comma 2 2 3 2 5 2 3 3 2" xfId="40169" xr:uid="{00000000-0005-0000-0000-0000EA160000}"/>
    <cellStyle name="Comma 2 2 3 2 5 2 3 4" xfId="27864" xr:uid="{00000000-0005-0000-0000-0000EB160000}"/>
    <cellStyle name="Comma 2 2 3 2 5 2 4" xfId="11031" xr:uid="{00000000-0005-0000-0000-0000EC160000}"/>
    <cellStyle name="Comma 2 2 3 2 5 2 4 2" xfId="30951" xr:uid="{00000000-0005-0000-0000-0000ED160000}"/>
    <cellStyle name="Comma 2 2 3 2 5 2 5" xfId="17183" xr:uid="{00000000-0005-0000-0000-0000EE160000}"/>
    <cellStyle name="Comma 2 2 3 2 5 2 5 2" xfId="37103" xr:uid="{00000000-0005-0000-0000-0000EF160000}"/>
    <cellStyle name="Comma 2 2 3 2 5 2 6" xfId="24798" xr:uid="{00000000-0005-0000-0000-0000F0160000}"/>
    <cellStyle name="Comma 2 2 3 2 5 3" xfId="5566" xr:uid="{00000000-0005-0000-0000-0000F1160000}"/>
    <cellStyle name="Comma 2 2 3 2 5 3 2" xfId="8669" xr:uid="{00000000-0005-0000-0000-0000F2160000}"/>
    <cellStyle name="Comma 2 2 3 2 5 3 2 2" xfId="14862" xr:uid="{00000000-0005-0000-0000-0000F3160000}"/>
    <cellStyle name="Comma 2 2 3 2 5 3 2 2 2" xfId="34782" xr:uid="{00000000-0005-0000-0000-0000F4160000}"/>
    <cellStyle name="Comma 2 2 3 2 5 3 2 3" xfId="21014" xr:uid="{00000000-0005-0000-0000-0000F5160000}"/>
    <cellStyle name="Comma 2 2 3 2 5 3 2 3 2" xfId="40934" xr:uid="{00000000-0005-0000-0000-0000F6160000}"/>
    <cellStyle name="Comma 2 2 3 2 5 3 2 4" xfId="28629" xr:uid="{00000000-0005-0000-0000-0000F7160000}"/>
    <cellStyle name="Comma 2 2 3 2 5 3 3" xfId="11796" xr:uid="{00000000-0005-0000-0000-0000F8160000}"/>
    <cellStyle name="Comma 2 2 3 2 5 3 3 2" xfId="31716" xr:uid="{00000000-0005-0000-0000-0000F9160000}"/>
    <cellStyle name="Comma 2 2 3 2 5 3 4" xfId="17948" xr:uid="{00000000-0005-0000-0000-0000FA160000}"/>
    <cellStyle name="Comma 2 2 3 2 5 3 4 2" xfId="37868" xr:uid="{00000000-0005-0000-0000-0000FB160000}"/>
    <cellStyle name="Comma 2 2 3 2 5 3 5" xfId="25563" xr:uid="{00000000-0005-0000-0000-0000FC160000}"/>
    <cellStyle name="Comma 2 2 3 2 5 4" xfId="7134" xr:uid="{00000000-0005-0000-0000-0000FD160000}"/>
    <cellStyle name="Comma 2 2 3 2 5 4 2" xfId="13328" xr:uid="{00000000-0005-0000-0000-0000FE160000}"/>
    <cellStyle name="Comma 2 2 3 2 5 4 2 2" xfId="33248" xr:uid="{00000000-0005-0000-0000-0000FF160000}"/>
    <cellStyle name="Comma 2 2 3 2 5 4 3" xfId="19480" xr:uid="{00000000-0005-0000-0000-000000170000}"/>
    <cellStyle name="Comma 2 2 3 2 5 4 3 2" xfId="39400" xr:uid="{00000000-0005-0000-0000-000001170000}"/>
    <cellStyle name="Comma 2 2 3 2 5 4 4" xfId="27095" xr:uid="{00000000-0005-0000-0000-000002170000}"/>
    <cellStyle name="Comma 2 2 3 2 5 5" xfId="10262" xr:uid="{00000000-0005-0000-0000-000003170000}"/>
    <cellStyle name="Comma 2 2 3 2 5 5 2" xfId="30182" xr:uid="{00000000-0005-0000-0000-000004170000}"/>
    <cellStyle name="Comma 2 2 3 2 5 6" xfId="16414" xr:uid="{00000000-0005-0000-0000-000005170000}"/>
    <cellStyle name="Comma 2 2 3 2 5 6 2" xfId="36334" xr:uid="{00000000-0005-0000-0000-000006170000}"/>
    <cellStyle name="Comma 2 2 3 2 5 7" xfId="24029" xr:uid="{00000000-0005-0000-0000-000007170000}"/>
    <cellStyle name="Comma 2 2 3 3" xfId="1516" xr:uid="{00000000-0005-0000-0000-000008170000}"/>
    <cellStyle name="Comma 2 2 3 3 2" xfId="4728" xr:uid="{00000000-0005-0000-0000-000009170000}"/>
    <cellStyle name="Comma 2 2 3 3 2 2" xfId="6353" xr:uid="{00000000-0005-0000-0000-00000A170000}"/>
    <cellStyle name="Comma 2 2 3 3 2 2 2" xfId="9439" xr:uid="{00000000-0005-0000-0000-00000B170000}"/>
    <cellStyle name="Comma 2 2 3 3 2 2 2 2" xfId="15632" xr:uid="{00000000-0005-0000-0000-00000C170000}"/>
    <cellStyle name="Comma 2 2 3 3 2 2 2 2 2" xfId="35552" xr:uid="{00000000-0005-0000-0000-00000D170000}"/>
    <cellStyle name="Comma 2 2 3 3 2 2 2 3" xfId="21784" xr:uid="{00000000-0005-0000-0000-00000E170000}"/>
    <cellStyle name="Comma 2 2 3 3 2 2 2 3 2" xfId="41704" xr:uid="{00000000-0005-0000-0000-00000F170000}"/>
    <cellStyle name="Comma 2 2 3 3 2 2 2 4" xfId="29399" xr:uid="{00000000-0005-0000-0000-000010170000}"/>
    <cellStyle name="Comma 2 2 3 3 2 2 3" xfId="12566" xr:uid="{00000000-0005-0000-0000-000011170000}"/>
    <cellStyle name="Comma 2 2 3 3 2 2 3 2" xfId="32486" xr:uid="{00000000-0005-0000-0000-000012170000}"/>
    <cellStyle name="Comma 2 2 3 3 2 2 4" xfId="18718" xr:uid="{00000000-0005-0000-0000-000013170000}"/>
    <cellStyle name="Comma 2 2 3 3 2 2 4 2" xfId="38638" xr:uid="{00000000-0005-0000-0000-000014170000}"/>
    <cellStyle name="Comma 2 2 3 3 2 2 5" xfId="26333" xr:uid="{00000000-0005-0000-0000-000015170000}"/>
    <cellStyle name="Comma 2 2 3 3 2 3" xfId="7904" xr:uid="{00000000-0005-0000-0000-000016170000}"/>
    <cellStyle name="Comma 2 2 3 3 2 3 2" xfId="14098" xr:uid="{00000000-0005-0000-0000-000017170000}"/>
    <cellStyle name="Comma 2 2 3 3 2 3 2 2" xfId="34018" xr:uid="{00000000-0005-0000-0000-000018170000}"/>
    <cellStyle name="Comma 2 2 3 3 2 3 3" xfId="20250" xr:uid="{00000000-0005-0000-0000-000019170000}"/>
    <cellStyle name="Comma 2 2 3 3 2 3 3 2" xfId="40170" xr:uid="{00000000-0005-0000-0000-00001A170000}"/>
    <cellStyle name="Comma 2 2 3 3 2 3 4" xfId="27865" xr:uid="{00000000-0005-0000-0000-00001B170000}"/>
    <cellStyle name="Comma 2 2 3 3 2 4" xfId="11032" xr:uid="{00000000-0005-0000-0000-00001C170000}"/>
    <cellStyle name="Comma 2 2 3 3 2 4 2" xfId="30952" xr:uid="{00000000-0005-0000-0000-00001D170000}"/>
    <cellStyle name="Comma 2 2 3 3 2 5" xfId="17184" xr:uid="{00000000-0005-0000-0000-00001E170000}"/>
    <cellStyle name="Comma 2 2 3 3 2 5 2" xfId="37104" xr:uid="{00000000-0005-0000-0000-00001F170000}"/>
    <cellStyle name="Comma 2 2 3 3 2 6" xfId="24799" xr:uid="{00000000-0005-0000-0000-000020170000}"/>
    <cellStyle name="Comma 2 2 3 3 3" xfId="5567" xr:uid="{00000000-0005-0000-0000-000021170000}"/>
    <cellStyle name="Comma 2 2 3 3 3 2" xfId="8670" xr:uid="{00000000-0005-0000-0000-000022170000}"/>
    <cellStyle name="Comma 2 2 3 3 3 2 2" xfId="14863" xr:uid="{00000000-0005-0000-0000-000023170000}"/>
    <cellStyle name="Comma 2 2 3 3 3 2 2 2" xfId="34783" xr:uid="{00000000-0005-0000-0000-000024170000}"/>
    <cellStyle name="Comma 2 2 3 3 3 2 3" xfId="21015" xr:uid="{00000000-0005-0000-0000-000025170000}"/>
    <cellStyle name="Comma 2 2 3 3 3 2 3 2" xfId="40935" xr:uid="{00000000-0005-0000-0000-000026170000}"/>
    <cellStyle name="Comma 2 2 3 3 3 2 4" xfId="28630" xr:uid="{00000000-0005-0000-0000-000027170000}"/>
    <cellStyle name="Comma 2 2 3 3 3 3" xfId="11797" xr:uid="{00000000-0005-0000-0000-000028170000}"/>
    <cellStyle name="Comma 2 2 3 3 3 3 2" xfId="31717" xr:uid="{00000000-0005-0000-0000-000029170000}"/>
    <cellStyle name="Comma 2 2 3 3 3 4" xfId="17949" xr:uid="{00000000-0005-0000-0000-00002A170000}"/>
    <cellStyle name="Comma 2 2 3 3 3 4 2" xfId="37869" xr:uid="{00000000-0005-0000-0000-00002B170000}"/>
    <cellStyle name="Comma 2 2 3 3 3 5" xfId="25564" xr:uid="{00000000-0005-0000-0000-00002C170000}"/>
    <cellStyle name="Comma 2 2 3 3 4" xfId="7135" xr:uid="{00000000-0005-0000-0000-00002D170000}"/>
    <cellStyle name="Comma 2 2 3 3 4 2" xfId="13329" xr:uid="{00000000-0005-0000-0000-00002E170000}"/>
    <cellStyle name="Comma 2 2 3 3 4 2 2" xfId="33249" xr:uid="{00000000-0005-0000-0000-00002F170000}"/>
    <cellStyle name="Comma 2 2 3 3 4 3" xfId="19481" xr:uid="{00000000-0005-0000-0000-000030170000}"/>
    <cellStyle name="Comma 2 2 3 3 4 3 2" xfId="39401" xr:uid="{00000000-0005-0000-0000-000031170000}"/>
    <cellStyle name="Comma 2 2 3 3 4 4" xfId="27096" xr:uid="{00000000-0005-0000-0000-000032170000}"/>
    <cellStyle name="Comma 2 2 3 3 5" xfId="10263" xr:uid="{00000000-0005-0000-0000-000033170000}"/>
    <cellStyle name="Comma 2 2 3 3 5 2" xfId="30183" xr:uid="{00000000-0005-0000-0000-000034170000}"/>
    <cellStyle name="Comma 2 2 3 3 6" xfId="16415" xr:uid="{00000000-0005-0000-0000-000035170000}"/>
    <cellStyle name="Comma 2 2 3 3 6 2" xfId="36335" xr:uid="{00000000-0005-0000-0000-000036170000}"/>
    <cellStyle name="Comma 2 2 3 3 7" xfId="24030" xr:uid="{00000000-0005-0000-0000-000037170000}"/>
    <cellStyle name="Comma 2 2 3 4" xfId="1517" xr:uid="{00000000-0005-0000-0000-000038170000}"/>
    <cellStyle name="Comma 2 2 3 4 2" xfId="1518" xr:uid="{00000000-0005-0000-0000-000039170000}"/>
    <cellStyle name="Comma 2 2 3 5" xfId="1519" xr:uid="{00000000-0005-0000-0000-00003A170000}"/>
    <cellStyle name="Comma 2 2 3 5 2" xfId="1520" xr:uid="{00000000-0005-0000-0000-00003B170000}"/>
    <cellStyle name="Comma 2 2 3 6" xfId="4723" xr:uid="{00000000-0005-0000-0000-00003C170000}"/>
    <cellStyle name="Comma 2 2 3 6 2" xfId="6348" xr:uid="{00000000-0005-0000-0000-00003D170000}"/>
    <cellStyle name="Comma 2 2 3 6 2 2" xfId="9434" xr:uid="{00000000-0005-0000-0000-00003E170000}"/>
    <cellStyle name="Comma 2 2 3 6 2 2 2" xfId="15627" xr:uid="{00000000-0005-0000-0000-00003F170000}"/>
    <cellStyle name="Comma 2 2 3 6 2 2 2 2" xfId="35547" xr:uid="{00000000-0005-0000-0000-000040170000}"/>
    <cellStyle name="Comma 2 2 3 6 2 2 3" xfId="21779" xr:uid="{00000000-0005-0000-0000-000041170000}"/>
    <cellStyle name="Comma 2 2 3 6 2 2 3 2" xfId="41699" xr:uid="{00000000-0005-0000-0000-000042170000}"/>
    <cellStyle name="Comma 2 2 3 6 2 2 4" xfId="29394" xr:uid="{00000000-0005-0000-0000-000043170000}"/>
    <cellStyle name="Comma 2 2 3 6 2 3" xfId="12561" xr:uid="{00000000-0005-0000-0000-000044170000}"/>
    <cellStyle name="Comma 2 2 3 6 2 3 2" xfId="32481" xr:uid="{00000000-0005-0000-0000-000045170000}"/>
    <cellStyle name="Comma 2 2 3 6 2 4" xfId="18713" xr:uid="{00000000-0005-0000-0000-000046170000}"/>
    <cellStyle name="Comma 2 2 3 6 2 4 2" xfId="38633" xr:uid="{00000000-0005-0000-0000-000047170000}"/>
    <cellStyle name="Comma 2 2 3 6 2 5" xfId="26328" xr:uid="{00000000-0005-0000-0000-000048170000}"/>
    <cellStyle name="Comma 2 2 3 6 3" xfId="7899" xr:uid="{00000000-0005-0000-0000-000049170000}"/>
    <cellStyle name="Comma 2 2 3 6 3 2" xfId="14093" xr:uid="{00000000-0005-0000-0000-00004A170000}"/>
    <cellStyle name="Comma 2 2 3 6 3 2 2" xfId="34013" xr:uid="{00000000-0005-0000-0000-00004B170000}"/>
    <cellStyle name="Comma 2 2 3 6 3 3" xfId="20245" xr:uid="{00000000-0005-0000-0000-00004C170000}"/>
    <cellStyle name="Comma 2 2 3 6 3 3 2" xfId="40165" xr:uid="{00000000-0005-0000-0000-00004D170000}"/>
    <cellStyle name="Comma 2 2 3 6 3 4" xfId="27860" xr:uid="{00000000-0005-0000-0000-00004E170000}"/>
    <cellStyle name="Comma 2 2 3 6 4" xfId="11027" xr:uid="{00000000-0005-0000-0000-00004F170000}"/>
    <cellStyle name="Comma 2 2 3 6 4 2" xfId="30947" xr:uid="{00000000-0005-0000-0000-000050170000}"/>
    <cellStyle name="Comma 2 2 3 6 5" xfId="17179" xr:uid="{00000000-0005-0000-0000-000051170000}"/>
    <cellStyle name="Comma 2 2 3 6 5 2" xfId="37099" xr:uid="{00000000-0005-0000-0000-000052170000}"/>
    <cellStyle name="Comma 2 2 3 6 6" xfId="24794" xr:uid="{00000000-0005-0000-0000-000053170000}"/>
    <cellStyle name="Comma 2 2 3 7" xfId="5562" xr:uid="{00000000-0005-0000-0000-000054170000}"/>
    <cellStyle name="Comma 2 2 3 7 2" xfId="8665" xr:uid="{00000000-0005-0000-0000-000055170000}"/>
    <cellStyle name="Comma 2 2 3 7 2 2" xfId="14858" xr:uid="{00000000-0005-0000-0000-000056170000}"/>
    <cellStyle name="Comma 2 2 3 7 2 2 2" xfId="34778" xr:uid="{00000000-0005-0000-0000-000057170000}"/>
    <cellStyle name="Comma 2 2 3 7 2 3" xfId="21010" xr:uid="{00000000-0005-0000-0000-000058170000}"/>
    <cellStyle name="Comma 2 2 3 7 2 3 2" xfId="40930" xr:uid="{00000000-0005-0000-0000-000059170000}"/>
    <cellStyle name="Comma 2 2 3 7 2 4" xfId="28625" xr:uid="{00000000-0005-0000-0000-00005A170000}"/>
    <cellStyle name="Comma 2 2 3 7 3" xfId="11792" xr:uid="{00000000-0005-0000-0000-00005B170000}"/>
    <cellStyle name="Comma 2 2 3 7 3 2" xfId="31712" xr:uid="{00000000-0005-0000-0000-00005C170000}"/>
    <cellStyle name="Comma 2 2 3 7 4" xfId="17944" xr:uid="{00000000-0005-0000-0000-00005D170000}"/>
    <cellStyle name="Comma 2 2 3 7 4 2" xfId="37864" xr:uid="{00000000-0005-0000-0000-00005E170000}"/>
    <cellStyle name="Comma 2 2 3 7 5" xfId="25559" xr:uid="{00000000-0005-0000-0000-00005F170000}"/>
    <cellStyle name="Comma 2 2 3 8" xfId="7130" xr:uid="{00000000-0005-0000-0000-000060170000}"/>
    <cellStyle name="Comma 2 2 3 8 2" xfId="13324" xr:uid="{00000000-0005-0000-0000-000061170000}"/>
    <cellStyle name="Comma 2 2 3 8 2 2" xfId="33244" xr:uid="{00000000-0005-0000-0000-000062170000}"/>
    <cellStyle name="Comma 2 2 3 8 3" xfId="19476" xr:uid="{00000000-0005-0000-0000-000063170000}"/>
    <cellStyle name="Comma 2 2 3 8 3 2" xfId="39396" xr:uid="{00000000-0005-0000-0000-000064170000}"/>
    <cellStyle name="Comma 2 2 3 8 4" xfId="27091" xr:uid="{00000000-0005-0000-0000-000065170000}"/>
    <cellStyle name="Comma 2 2 3 9" xfId="10258" xr:uid="{00000000-0005-0000-0000-000066170000}"/>
    <cellStyle name="Comma 2 2 3 9 2" xfId="30178" xr:uid="{00000000-0005-0000-0000-000067170000}"/>
    <cellStyle name="Comma 2 2 4" xfId="1521" xr:uid="{00000000-0005-0000-0000-000068170000}"/>
    <cellStyle name="Comma 2 2 4 2" xfId="1522" xr:uid="{00000000-0005-0000-0000-000069170000}"/>
    <cellStyle name="Comma 2 2 4 2 2" xfId="4729" xr:uid="{00000000-0005-0000-0000-00006A170000}"/>
    <cellStyle name="Comma 2 2 4 2 2 2" xfId="6354" xr:uid="{00000000-0005-0000-0000-00006B170000}"/>
    <cellStyle name="Comma 2 2 4 2 2 2 2" xfId="9440" xr:uid="{00000000-0005-0000-0000-00006C170000}"/>
    <cellStyle name="Comma 2 2 4 2 2 2 2 2" xfId="15633" xr:uid="{00000000-0005-0000-0000-00006D170000}"/>
    <cellStyle name="Comma 2 2 4 2 2 2 2 2 2" xfId="35553" xr:uid="{00000000-0005-0000-0000-00006E170000}"/>
    <cellStyle name="Comma 2 2 4 2 2 2 2 3" xfId="21785" xr:uid="{00000000-0005-0000-0000-00006F170000}"/>
    <cellStyle name="Comma 2 2 4 2 2 2 2 3 2" xfId="41705" xr:uid="{00000000-0005-0000-0000-000070170000}"/>
    <cellStyle name="Comma 2 2 4 2 2 2 2 4" xfId="29400" xr:uid="{00000000-0005-0000-0000-000071170000}"/>
    <cellStyle name="Comma 2 2 4 2 2 2 3" xfId="12567" xr:uid="{00000000-0005-0000-0000-000072170000}"/>
    <cellStyle name="Comma 2 2 4 2 2 2 3 2" xfId="32487" xr:uid="{00000000-0005-0000-0000-000073170000}"/>
    <cellStyle name="Comma 2 2 4 2 2 2 4" xfId="18719" xr:uid="{00000000-0005-0000-0000-000074170000}"/>
    <cellStyle name="Comma 2 2 4 2 2 2 4 2" xfId="38639" xr:uid="{00000000-0005-0000-0000-000075170000}"/>
    <cellStyle name="Comma 2 2 4 2 2 2 5" xfId="26334" xr:uid="{00000000-0005-0000-0000-000076170000}"/>
    <cellStyle name="Comma 2 2 4 2 2 3" xfId="7905" xr:uid="{00000000-0005-0000-0000-000077170000}"/>
    <cellStyle name="Comma 2 2 4 2 2 3 2" xfId="14099" xr:uid="{00000000-0005-0000-0000-000078170000}"/>
    <cellStyle name="Comma 2 2 4 2 2 3 2 2" xfId="34019" xr:uid="{00000000-0005-0000-0000-000079170000}"/>
    <cellStyle name="Comma 2 2 4 2 2 3 3" xfId="20251" xr:uid="{00000000-0005-0000-0000-00007A170000}"/>
    <cellStyle name="Comma 2 2 4 2 2 3 3 2" xfId="40171" xr:uid="{00000000-0005-0000-0000-00007B170000}"/>
    <cellStyle name="Comma 2 2 4 2 2 3 4" xfId="27866" xr:uid="{00000000-0005-0000-0000-00007C170000}"/>
    <cellStyle name="Comma 2 2 4 2 2 4" xfId="11033" xr:uid="{00000000-0005-0000-0000-00007D170000}"/>
    <cellStyle name="Comma 2 2 4 2 2 4 2" xfId="30953" xr:uid="{00000000-0005-0000-0000-00007E170000}"/>
    <cellStyle name="Comma 2 2 4 2 2 5" xfId="17185" xr:uid="{00000000-0005-0000-0000-00007F170000}"/>
    <cellStyle name="Comma 2 2 4 2 2 5 2" xfId="37105" xr:uid="{00000000-0005-0000-0000-000080170000}"/>
    <cellStyle name="Comma 2 2 4 2 2 6" xfId="24800" xr:uid="{00000000-0005-0000-0000-000081170000}"/>
    <cellStyle name="Comma 2 2 4 2 3" xfId="5568" xr:uid="{00000000-0005-0000-0000-000082170000}"/>
    <cellStyle name="Comma 2 2 4 2 3 2" xfId="8671" xr:uid="{00000000-0005-0000-0000-000083170000}"/>
    <cellStyle name="Comma 2 2 4 2 3 2 2" xfId="14864" xr:uid="{00000000-0005-0000-0000-000084170000}"/>
    <cellStyle name="Comma 2 2 4 2 3 2 2 2" xfId="34784" xr:uid="{00000000-0005-0000-0000-000085170000}"/>
    <cellStyle name="Comma 2 2 4 2 3 2 3" xfId="21016" xr:uid="{00000000-0005-0000-0000-000086170000}"/>
    <cellStyle name="Comma 2 2 4 2 3 2 3 2" xfId="40936" xr:uid="{00000000-0005-0000-0000-000087170000}"/>
    <cellStyle name="Comma 2 2 4 2 3 2 4" xfId="28631" xr:uid="{00000000-0005-0000-0000-000088170000}"/>
    <cellStyle name="Comma 2 2 4 2 3 3" xfId="11798" xr:uid="{00000000-0005-0000-0000-000089170000}"/>
    <cellStyle name="Comma 2 2 4 2 3 3 2" xfId="31718" xr:uid="{00000000-0005-0000-0000-00008A170000}"/>
    <cellStyle name="Comma 2 2 4 2 3 4" xfId="17950" xr:uid="{00000000-0005-0000-0000-00008B170000}"/>
    <cellStyle name="Comma 2 2 4 2 3 4 2" xfId="37870" xr:uid="{00000000-0005-0000-0000-00008C170000}"/>
    <cellStyle name="Comma 2 2 4 2 3 5" xfId="25565" xr:uid="{00000000-0005-0000-0000-00008D170000}"/>
    <cellStyle name="Comma 2 2 4 2 4" xfId="7136" xr:uid="{00000000-0005-0000-0000-00008E170000}"/>
    <cellStyle name="Comma 2 2 4 2 4 2" xfId="13330" xr:uid="{00000000-0005-0000-0000-00008F170000}"/>
    <cellStyle name="Comma 2 2 4 2 4 2 2" xfId="33250" xr:uid="{00000000-0005-0000-0000-000090170000}"/>
    <cellStyle name="Comma 2 2 4 2 4 3" xfId="19482" xr:uid="{00000000-0005-0000-0000-000091170000}"/>
    <cellStyle name="Comma 2 2 4 2 4 3 2" xfId="39402" xr:uid="{00000000-0005-0000-0000-000092170000}"/>
    <cellStyle name="Comma 2 2 4 2 4 4" xfId="27097" xr:uid="{00000000-0005-0000-0000-000093170000}"/>
    <cellStyle name="Comma 2 2 4 2 5" xfId="10264" xr:uid="{00000000-0005-0000-0000-000094170000}"/>
    <cellStyle name="Comma 2 2 4 2 5 2" xfId="30184" xr:uid="{00000000-0005-0000-0000-000095170000}"/>
    <cellStyle name="Comma 2 2 4 2 6" xfId="16416" xr:uid="{00000000-0005-0000-0000-000096170000}"/>
    <cellStyle name="Comma 2 2 4 2 6 2" xfId="36336" xr:uid="{00000000-0005-0000-0000-000097170000}"/>
    <cellStyle name="Comma 2 2 4 2 7" xfId="24031" xr:uid="{00000000-0005-0000-0000-000098170000}"/>
    <cellStyle name="Comma 2 2 4 3" xfId="1523" xr:uid="{00000000-0005-0000-0000-000099170000}"/>
    <cellStyle name="Comma 2 2 4 4" xfId="1524" xr:uid="{00000000-0005-0000-0000-00009A170000}"/>
    <cellStyle name="Comma 2 2 5" xfId="1525" xr:uid="{00000000-0005-0000-0000-00009B170000}"/>
    <cellStyle name="Comma 2 2 5 2" xfId="4730" xr:uid="{00000000-0005-0000-0000-00009C170000}"/>
    <cellStyle name="Comma 2 2 5 2 2" xfId="6355" xr:uid="{00000000-0005-0000-0000-00009D170000}"/>
    <cellStyle name="Comma 2 2 5 2 2 2" xfId="9441" xr:uid="{00000000-0005-0000-0000-00009E170000}"/>
    <cellStyle name="Comma 2 2 5 2 2 2 2" xfId="15634" xr:uid="{00000000-0005-0000-0000-00009F170000}"/>
    <cellStyle name="Comma 2 2 5 2 2 2 2 2" xfId="35554" xr:uid="{00000000-0005-0000-0000-0000A0170000}"/>
    <cellStyle name="Comma 2 2 5 2 2 2 3" xfId="21786" xr:uid="{00000000-0005-0000-0000-0000A1170000}"/>
    <cellStyle name="Comma 2 2 5 2 2 2 3 2" xfId="41706" xr:uid="{00000000-0005-0000-0000-0000A2170000}"/>
    <cellStyle name="Comma 2 2 5 2 2 2 4" xfId="29401" xr:uid="{00000000-0005-0000-0000-0000A3170000}"/>
    <cellStyle name="Comma 2 2 5 2 2 3" xfId="12568" xr:uid="{00000000-0005-0000-0000-0000A4170000}"/>
    <cellStyle name="Comma 2 2 5 2 2 3 2" xfId="32488" xr:uid="{00000000-0005-0000-0000-0000A5170000}"/>
    <cellStyle name="Comma 2 2 5 2 2 4" xfId="18720" xr:uid="{00000000-0005-0000-0000-0000A6170000}"/>
    <cellStyle name="Comma 2 2 5 2 2 4 2" xfId="38640" xr:uid="{00000000-0005-0000-0000-0000A7170000}"/>
    <cellStyle name="Comma 2 2 5 2 2 5" xfId="26335" xr:uid="{00000000-0005-0000-0000-0000A8170000}"/>
    <cellStyle name="Comma 2 2 5 2 3" xfId="7906" xr:uid="{00000000-0005-0000-0000-0000A9170000}"/>
    <cellStyle name="Comma 2 2 5 2 3 2" xfId="14100" xr:uid="{00000000-0005-0000-0000-0000AA170000}"/>
    <cellStyle name="Comma 2 2 5 2 3 2 2" xfId="34020" xr:uid="{00000000-0005-0000-0000-0000AB170000}"/>
    <cellStyle name="Comma 2 2 5 2 3 3" xfId="20252" xr:uid="{00000000-0005-0000-0000-0000AC170000}"/>
    <cellStyle name="Comma 2 2 5 2 3 3 2" xfId="40172" xr:uid="{00000000-0005-0000-0000-0000AD170000}"/>
    <cellStyle name="Comma 2 2 5 2 3 4" xfId="27867" xr:uid="{00000000-0005-0000-0000-0000AE170000}"/>
    <cellStyle name="Comma 2 2 5 2 4" xfId="11034" xr:uid="{00000000-0005-0000-0000-0000AF170000}"/>
    <cellStyle name="Comma 2 2 5 2 4 2" xfId="30954" xr:uid="{00000000-0005-0000-0000-0000B0170000}"/>
    <cellStyle name="Comma 2 2 5 2 5" xfId="17186" xr:uid="{00000000-0005-0000-0000-0000B1170000}"/>
    <cellStyle name="Comma 2 2 5 2 5 2" xfId="37106" xr:uid="{00000000-0005-0000-0000-0000B2170000}"/>
    <cellStyle name="Comma 2 2 5 2 6" xfId="24801" xr:uid="{00000000-0005-0000-0000-0000B3170000}"/>
    <cellStyle name="Comma 2 2 5 3" xfId="5569" xr:uid="{00000000-0005-0000-0000-0000B4170000}"/>
    <cellStyle name="Comma 2 2 5 3 2" xfId="8672" xr:uid="{00000000-0005-0000-0000-0000B5170000}"/>
    <cellStyle name="Comma 2 2 5 3 2 2" xfId="14865" xr:uid="{00000000-0005-0000-0000-0000B6170000}"/>
    <cellStyle name="Comma 2 2 5 3 2 2 2" xfId="34785" xr:uid="{00000000-0005-0000-0000-0000B7170000}"/>
    <cellStyle name="Comma 2 2 5 3 2 3" xfId="21017" xr:uid="{00000000-0005-0000-0000-0000B8170000}"/>
    <cellStyle name="Comma 2 2 5 3 2 3 2" xfId="40937" xr:uid="{00000000-0005-0000-0000-0000B9170000}"/>
    <cellStyle name="Comma 2 2 5 3 2 4" xfId="28632" xr:uid="{00000000-0005-0000-0000-0000BA170000}"/>
    <cellStyle name="Comma 2 2 5 3 3" xfId="11799" xr:uid="{00000000-0005-0000-0000-0000BB170000}"/>
    <cellStyle name="Comma 2 2 5 3 3 2" xfId="31719" xr:uid="{00000000-0005-0000-0000-0000BC170000}"/>
    <cellStyle name="Comma 2 2 5 3 4" xfId="17951" xr:uid="{00000000-0005-0000-0000-0000BD170000}"/>
    <cellStyle name="Comma 2 2 5 3 4 2" xfId="37871" xr:uid="{00000000-0005-0000-0000-0000BE170000}"/>
    <cellStyle name="Comma 2 2 5 3 5" xfId="25566" xr:uid="{00000000-0005-0000-0000-0000BF170000}"/>
    <cellStyle name="Comma 2 2 5 4" xfId="7137" xr:uid="{00000000-0005-0000-0000-0000C0170000}"/>
    <cellStyle name="Comma 2 2 5 4 2" xfId="13331" xr:uid="{00000000-0005-0000-0000-0000C1170000}"/>
    <cellStyle name="Comma 2 2 5 4 2 2" xfId="33251" xr:uid="{00000000-0005-0000-0000-0000C2170000}"/>
    <cellStyle name="Comma 2 2 5 4 3" xfId="19483" xr:uid="{00000000-0005-0000-0000-0000C3170000}"/>
    <cellStyle name="Comma 2 2 5 4 3 2" xfId="39403" xr:uid="{00000000-0005-0000-0000-0000C4170000}"/>
    <cellStyle name="Comma 2 2 5 4 4" xfId="27098" xr:uid="{00000000-0005-0000-0000-0000C5170000}"/>
    <cellStyle name="Comma 2 2 5 5" xfId="10265" xr:uid="{00000000-0005-0000-0000-0000C6170000}"/>
    <cellStyle name="Comma 2 2 5 5 2" xfId="30185" xr:uid="{00000000-0005-0000-0000-0000C7170000}"/>
    <cellStyle name="Comma 2 2 5 6" xfId="16417" xr:uid="{00000000-0005-0000-0000-0000C8170000}"/>
    <cellStyle name="Comma 2 2 5 6 2" xfId="36337" xr:uid="{00000000-0005-0000-0000-0000C9170000}"/>
    <cellStyle name="Comma 2 2 5 7" xfId="24032" xr:uid="{00000000-0005-0000-0000-0000CA170000}"/>
    <cellStyle name="Comma 2 2 6" xfId="1526" xr:uid="{00000000-0005-0000-0000-0000CB170000}"/>
    <cellStyle name="Comma 2 2 6 2" xfId="4731" xr:uid="{00000000-0005-0000-0000-0000CC170000}"/>
    <cellStyle name="Comma 2 2 6 2 2" xfId="6356" xr:uid="{00000000-0005-0000-0000-0000CD170000}"/>
    <cellStyle name="Comma 2 2 6 2 2 2" xfId="9442" xr:uid="{00000000-0005-0000-0000-0000CE170000}"/>
    <cellStyle name="Comma 2 2 6 2 2 2 2" xfId="15635" xr:uid="{00000000-0005-0000-0000-0000CF170000}"/>
    <cellStyle name="Comma 2 2 6 2 2 2 2 2" xfId="35555" xr:uid="{00000000-0005-0000-0000-0000D0170000}"/>
    <cellStyle name="Comma 2 2 6 2 2 2 3" xfId="21787" xr:uid="{00000000-0005-0000-0000-0000D1170000}"/>
    <cellStyle name="Comma 2 2 6 2 2 2 3 2" xfId="41707" xr:uid="{00000000-0005-0000-0000-0000D2170000}"/>
    <cellStyle name="Comma 2 2 6 2 2 2 4" xfId="29402" xr:uid="{00000000-0005-0000-0000-0000D3170000}"/>
    <cellStyle name="Comma 2 2 6 2 2 3" xfId="12569" xr:uid="{00000000-0005-0000-0000-0000D4170000}"/>
    <cellStyle name="Comma 2 2 6 2 2 3 2" xfId="32489" xr:uid="{00000000-0005-0000-0000-0000D5170000}"/>
    <cellStyle name="Comma 2 2 6 2 2 4" xfId="18721" xr:uid="{00000000-0005-0000-0000-0000D6170000}"/>
    <cellStyle name="Comma 2 2 6 2 2 4 2" xfId="38641" xr:uid="{00000000-0005-0000-0000-0000D7170000}"/>
    <cellStyle name="Comma 2 2 6 2 2 5" xfId="26336" xr:uid="{00000000-0005-0000-0000-0000D8170000}"/>
    <cellStyle name="Comma 2 2 6 2 3" xfId="7907" xr:uid="{00000000-0005-0000-0000-0000D9170000}"/>
    <cellStyle name="Comma 2 2 6 2 3 2" xfId="14101" xr:uid="{00000000-0005-0000-0000-0000DA170000}"/>
    <cellStyle name="Comma 2 2 6 2 3 2 2" xfId="34021" xr:uid="{00000000-0005-0000-0000-0000DB170000}"/>
    <cellStyle name="Comma 2 2 6 2 3 3" xfId="20253" xr:uid="{00000000-0005-0000-0000-0000DC170000}"/>
    <cellStyle name="Comma 2 2 6 2 3 3 2" xfId="40173" xr:uid="{00000000-0005-0000-0000-0000DD170000}"/>
    <cellStyle name="Comma 2 2 6 2 3 4" xfId="27868" xr:uid="{00000000-0005-0000-0000-0000DE170000}"/>
    <cellStyle name="Comma 2 2 6 2 4" xfId="11035" xr:uid="{00000000-0005-0000-0000-0000DF170000}"/>
    <cellStyle name="Comma 2 2 6 2 4 2" xfId="30955" xr:uid="{00000000-0005-0000-0000-0000E0170000}"/>
    <cellStyle name="Comma 2 2 6 2 5" xfId="17187" xr:uid="{00000000-0005-0000-0000-0000E1170000}"/>
    <cellStyle name="Comma 2 2 6 2 5 2" xfId="37107" xr:uid="{00000000-0005-0000-0000-0000E2170000}"/>
    <cellStyle name="Comma 2 2 6 2 6" xfId="24802" xr:uid="{00000000-0005-0000-0000-0000E3170000}"/>
    <cellStyle name="Comma 2 2 6 3" xfId="5570" xr:uid="{00000000-0005-0000-0000-0000E4170000}"/>
    <cellStyle name="Comma 2 2 6 3 2" xfId="8673" xr:uid="{00000000-0005-0000-0000-0000E5170000}"/>
    <cellStyle name="Comma 2 2 6 3 2 2" xfId="14866" xr:uid="{00000000-0005-0000-0000-0000E6170000}"/>
    <cellStyle name="Comma 2 2 6 3 2 2 2" xfId="34786" xr:uid="{00000000-0005-0000-0000-0000E7170000}"/>
    <cellStyle name="Comma 2 2 6 3 2 3" xfId="21018" xr:uid="{00000000-0005-0000-0000-0000E8170000}"/>
    <cellStyle name="Comma 2 2 6 3 2 3 2" xfId="40938" xr:uid="{00000000-0005-0000-0000-0000E9170000}"/>
    <cellStyle name="Comma 2 2 6 3 2 4" xfId="28633" xr:uid="{00000000-0005-0000-0000-0000EA170000}"/>
    <cellStyle name="Comma 2 2 6 3 3" xfId="11800" xr:uid="{00000000-0005-0000-0000-0000EB170000}"/>
    <cellStyle name="Comma 2 2 6 3 3 2" xfId="31720" xr:uid="{00000000-0005-0000-0000-0000EC170000}"/>
    <cellStyle name="Comma 2 2 6 3 4" xfId="17952" xr:uid="{00000000-0005-0000-0000-0000ED170000}"/>
    <cellStyle name="Comma 2 2 6 3 4 2" xfId="37872" xr:uid="{00000000-0005-0000-0000-0000EE170000}"/>
    <cellStyle name="Comma 2 2 6 3 5" xfId="25567" xr:uid="{00000000-0005-0000-0000-0000EF170000}"/>
    <cellStyle name="Comma 2 2 6 4" xfId="7138" xr:uid="{00000000-0005-0000-0000-0000F0170000}"/>
    <cellStyle name="Comma 2 2 6 4 2" xfId="13332" xr:uid="{00000000-0005-0000-0000-0000F1170000}"/>
    <cellStyle name="Comma 2 2 6 4 2 2" xfId="33252" xr:uid="{00000000-0005-0000-0000-0000F2170000}"/>
    <cellStyle name="Comma 2 2 6 4 3" xfId="19484" xr:uid="{00000000-0005-0000-0000-0000F3170000}"/>
    <cellStyle name="Comma 2 2 6 4 3 2" xfId="39404" xr:uid="{00000000-0005-0000-0000-0000F4170000}"/>
    <cellStyle name="Comma 2 2 6 4 4" xfId="27099" xr:uid="{00000000-0005-0000-0000-0000F5170000}"/>
    <cellStyle name="Comma 2 2 6 5" xfId="10266" xr:uid="{00000000-0005-0000-0000-0000F6170000}"/>
    <cellStyle name="Comma 2 2 6 5 2" xfId="30186" xr:uid="{00000000-0005-0000-0000-0000F7170000}"/>
    <cellStyle name="Comma 2 2 6 6" xfId="16418" xr:uid="{00000000-0005-0000-0000-0000F8170000}"/>
    <cellStyle name="Comma 2 2 6 6 2" xfId="36338" xr:uid="{00000000-0005-0000-0000-0000F9170000}"/>
    <cellStyle name="Comma 2 2 6 7" xfId="24033" xr:uid="{00000000-0005-0000-0000-0000FA170000}"/>
    <cellStyle name="Comma 2 2 7" xfId="1527" xr:uid="{00000000-0005-0000-0000-0000FB170000}"/>
    <cellStyle name="Comma 2 2 7 2" xfId="4732" xr:uid="{00000000-0005-0000-0000-0000FC170000}"/>
    <cellStyle name="Comma 2 2 7 2 2" xfId="6357" xr:uid="{00000000-0005-0000-0000-0000FD170000}"/>
    <cellStyle name="Comma 2 2 7 2 2 2" xfId="9443" xr:uid="{00000000-0005-0000-0000-0000FE170000}"/>
    <cellStyle name="Comma 2 2 7 2 2 2 2" xfId="15636" xr:uid="{00000000-0005-0000-0000-0000FF170000}"/>
    <cellStyle name="Comma 2 2 7 2 2 2 2 2" xfId="35556" xr:uid="{00000000-0005-0000-0000-000000180000}"/>
    <cellStyle name="Comma 2 2 7 2 2 2 3" xfId="21788" xr:uid="{00000000-0005-0000-0000-000001180000}"/>
    <cellStyle name="Comma 2 2 7 2 2 2 3 2" xfId="41708" xr:uid="{00000000-0005-0000-0000-000002180000}"/>
    <cellStyle name="Comma 2 2 7 2 2 2 4" xfId="29403" xr:uid="{00000000-0005-0000-0000-000003180000}"/>
    <cellStyle name="Comma 2 2 7 2 2 3" xfId="12570" xr:uid="{00000000-0005-0000-0000-000004180000}"/>
    <cellStyle name="Comma 2 2 7 2 2 3 2" xfId="32490" xr:uid="{00000000-0005-0000-0000-000005180000}"/>
    <cellStyle name="Comma 2 2 7 2 2 4" xfId="18722" xr:uid="{00000000-0005-0000-0000-000006180000}"/>
    <cellStyle name="Comma 2 2 7 2 2 4 2" xfId="38642" xr:uid="{00000000-0005-0000-0000-000007180000}"/>
    <cellStyle name="Comma 2 2 7 2 2 5" xfId="26337" xr:uid="{00000000-0005-0000-0000-000008180000}"/>
    <cellStyle name="Comma 2 2 7 2 3" xfId="7908" xr:uid="{00000000-0005-0000-0000-000009180000}"/>
    <cellStyle name="Comma 2 2 7 2 3 2" xfId="14102" xr:uid="{00000000-0005-0000-0000-00000A180000}"/>
    <cellStyle name="Comma 2 2 7 2 3 2 2" xfId="34022" xr:uid="{00000000-0005-0000-0000-00000B180000}"/>
    <cellStyle name="Comma 2 2 7 2 3 3" xfId="20254" xr:uid="{00000000-0005-0000-0000-00000C180000}"/>
    <cellStyle name="Comma 2 2 7 2 3 3 2" xfId="40174" xr:uid="{00000000-0005-0000-0000-00000D180000}"/>
    <cellStyle name="Comma 2 2 7 2 3 4" xfId="27869" xr:uid="{00000000-0005-0000-0000-00000E180000}"/>
    <cellStyle name="Comma 2 2 7 2 4" xfId="11036" xr:uid="{00000000-0005-0000-0000-00000F180000}"/>
    <cellStyle name="Comma 2 2 7 2 4 2" xfId="30956" xr:uid="{00000000-0005-0000-0000-000010180000}"/>
    <cellStyle name="Comma 2 2 7 2 5" xfId="17188" xr:uid="{00000000-0005-0000-0000-000011180000}"/>
    <cellStyle name="Comma 2 2 7 2 5 2" xfId="37108" xr:uid="{00000000-0005-0000-0000-000012180000}"/>
    <cellStyle name="Comma 2 2 7 2 6" xfId="24803" xr:uid="{00000000-0005-0000-0000-000013180000}"/>
    <cellStyle name="Comma 2 2 7 3" xfId="5571" xr:uid="{00000000-0005-0000-0000-000014180000}"/>
    <cellStyle name="Comma 2 2 7 3 2" xfId="8674" xr:uid="{00000000-0005-0000-0000-000015180000}"/>
    <cellStyle name="Comma 2 2 7 3 2 2" xfId="14867" xr:uid="{00000000-0005-0000-0000-000016180000}"/>
    <cellStyle name="Comma 2 2 7 3 2 2 2" xfId="34787" xr:uid="{00000000-0005-0000-0000-000017180000}"/>
    <cellStyle name="Comma 2 2 7 3 2 3" xfId="21019" xr:uid="{00000000-0005-0000-0000-000018180000}"/>
    <cellStyle name="Comma 2 2 7 3 2 3 2" xfId="40939" xr:uid="{00000000-0005-0000-0000-000019180000}"/>
    <cellStyle name="Comma 2 2 7 3 2 4" xfId="28634" xr:uid="{00000000-0005-0000-0000-00001A180000}"/>
    <cellStyle name="Comma 2 2 7 3 3" xfId="11801" xr:uid="{00000000-0005-0000-0000-00001B180000}"/>
    <cellStyle name="Comma 2 2 7 3 3 2" xfId="31721" xr:uid="{00000000-0005-0000-0000-00001C180000}"/>
    <cellStyle name="Comma 2 2 7 3 4" xfId="17953" xr:uid="{00000000-0005-0000-0000-00001D180000}"/>
    <cellStyle name="Comma 2 2 7 3 4 2" xfId="37873" xr:uid="{00000000-0005-0000-0000-00001E180000}"/>
    <cellStyle name="Comma 2 2 7 3 5" xfId="25568" xr:uid="{00000000-0005-0000-0000-00001F180000}"/>
    <cellStyle name="Comma 2 2 7 4" xfId="7139" xr:uid="{00000000-0005-0000-0000-000020180000}"/>
    <cellStyle name="Comma 2 2 7 4 2" xfId="13333" xr:uid="{00000000-0005-0000-0000-000021180000}"/>
    <cellStyle name="Comma 2 2 7 4 2 2" xfId="33253" xr:uid="{00000000-0005-0000-0000-000022180000}"/>
    <cellStyle name="Comma 2 2 7 4 3" xfId="19485" xr:uid="{00000000-0005-0000-0000-000023180000}"/>
    <cellStyle name="Comma 2 2 7 4 3 2" xfId="39405" xr:uid="{00000000-0005-0000-0000-000024180000}"/>
    <cellStyle name="Comma 2 2 7 4 4" xfId="27100" xr:uid="{00000000-0005-0000-0000-000025180000}"/>
    <cellStyle name="Comma 2 2 7 5" xfId="10267" xr:uid="{00000000-0005-0000-0000-000026180000}"/>
    <cellStyle name="Comma 2 2 7 5 2" xfId="30187" xr:uid="{00000000-0005-0000-0000-000027180000}"/>
    <cellStyle name="Comma 2 2 7 6" xfId="16419" xr:uid="{00000000-0005-0000-0000-000028180000}"/>
    <cellStyle name="Comma 2 2 7 6 2" xfId="36339" xr:uid="{00000000-0005-0000-0000-000029180000}"/>
    <cellStyle name="Comma 2 2 7 7" xfId="24034" xr:uid="{00000000-0005-0000-0000-00002A180000}"/>
    <cellStyle name="Comma 2 2 8" xfId="1528" xr:uid="{00000000-0005-0000-0000-00002B180000}"/>
    <cellStyle name="Comma 2 2 8 2" xfId="4733" xr:uid="{00000000-0005-0000-0000-00002C180000}"/>
    <cellStyle name="Comma 2 2 8 2 2" xfId="6358" xr:uid="{00000000-0005-0000-0000-00002D180000}"/>
    <cellStyle name="Comma 2 2 8 2 2 2" xfId="9444" xr:uid="{00000000-0005-0000-0000-00002E180000}"/>
    <cellStyle name="Comma 2 2 8 2 2 2 2" xfId="15637" xr:uid="{00000000-0005-0000-0000-00002F180000}"/>
    <cellStyle name="Comma 2 2 8 2 2 2 2 2" xfId="35557" xr:uid="{00000000-0005-0000-0000-000030180000}"/>
    <cellStyle name="Comma 2 2 8 2 2 2 3" xfId="21789" xr:uid="{00000000-0005-0000-0000-000031180000}"/>
    <cellStyle name="Comma 2 2 8 2 2 2 3 2" xfId="41709" xr:uid="{00000000-0005-0000-0000-000032180000}"/>
    <cellStyle name="Comma 2 2 8 2 2 2 4" xfId="29404" xr:uid="{00000000-0005-0000-0000-000033180000}"/>
    <cellStyle name="Comma 2 2 8 2 2 3" xfId="12571" xr:uid="{00000000-0005-0000-0000-000034180000}"/>
    <cellStyle name="Comma 2 2 8 2 2 3 2" xfId="32491" xr:uid="{00000000-0005-0000-0000-000035180000}"/>
    <cellStyle name="Comma 2 2 8 2 2 4" xfId="18723" xr:uid="{00000000-0005-0000-0000-000036180000}"/>
    <cellStyle name="Comma 2 2 8 2 2 4 2" xfId="38643" xr:uid="{00000000-0005-0000-0000-000037180000}"/>
    <cellStyle name="Comma 2 2 8 2 2 5" xfId="26338" xr:uid="{00000000-0005-0000-0000-000038180000}"/>
    <cellStyle name="Comma 2 2 8 2 3" xfId="7909" xr:uid="{00000000-0005-0000-0000-000039180000}"/>
    <cellStyle name="Comma 2 2 8 2 3 2" xfId="14103" xr:uid="{00000000-0005-0000-0000-00003A180000}"/>
    <cellStyle name="Comma 2 2 8 2 3 2 2" xfId="34023" xr:uid="{00000000-0005-0000-0000-00003B180000}"/>
    <cellStyle name="Comma 2 2 8 2 3 3" xfId="20255" xr:uid="{00000000-0005-0000-0000-00003C180000}"/>
    <cellStyle name="Comma 2 2 8 2 3 3 2" xfId="40175" xr:uid="{00000000-0005-0000-0000-00003D180000}"/>
    <cellStyle name="Comma 2 2 8 2 3 4" xfId="27870" xr:uid="{00000000-0005-0000-0000-00003E180000}"/>
    <cellStyle name="Comma 2 2 8 2 4" xfId="11037" xr:uid="{00000000-0005-0000-0000-00003F180000}"/>
    <cellStyle name="Comma 2 2 8 2 4 2" xfId="30957" xr:uid="{00000000-0005-0000-0000-000040180000}"/>
    <cellStyle name="Comma 2 2 8 2 5" xfId="17189" xr:uid="{00000000-0005-0000-0000-000041180000}"/>
    <cellStyle name="Comma 2 2 8 2 5 2" xfId="37109" xr:uid="{00000000-0005-0000-0000-000042180000}"/>
    <cellStyle name="Comma 2 2 8 2 6" xfId="24804" xr:uid="{00000000-0005-0000-0000-000043180000}"/>
    <cellStyle name="Comma 2 2 8 3" xfId="5572" xr:uid="{00000000-0005-0000-0000-000044180000}"/>
    <cellStyle name="Comma 2 2 8 3 2" xfId="8675" xr:uid="{00000000-0005-0000-0000-000045180000}"/>
    <cellStyle name="Comma 2 2 8 3 2 2" xfId="14868" xr:uid="{00000000-0005-0000-0000-000046180000}"/>
    <cellStyle name="Comma 2 2 8 3 2 2 2" xfId="34788" xr:uid="{00000000-0005-0000-0000-000047180000}"/>
    <cellStyle name="Comma 2 2 8 3 2 3" xfId="21020" xr:uid="{00000000-0005-0000-0000-000048180000}"/>
    <cellStyle name="Comma 2 2 8 3 2 3 2" xfId="40940" xr:uid="{00000000-0005-0000-0000-000049180000}"/>
    <cellStyle name="Comma 2 2 8 3 2 4" xfId="28635" xr:uid="{00000000-0005-0000-0000-00004A180000}"/>
    <cellStyle name="Comma 2 2 8 3 3" xfId="11802" xr:uid="{00000000-0005-0000-0000-00004B180000}"/>
    <cellStyle name="Comma 2 2 8 3 3 2" xfId="31722" xr:uid="{00000000-0005-0000-0000-00004C180000}"/>
    <cellStyle name="Comma 2 2 8 3 4" xfId="17954" xr:uid="{00000000-0005-0000-0000-00004D180000}"/>
    <cellStyle name="Comma 2 2 8 3 4 2" xfId="37874" xr:uid="{00000000-0005-0000-0000-00004E180000}"/>
    <cellStyle name="Comma 2 2 8 3 5" xfId="25569" xr:uid="{00000000-0005-0000-0000-00004F180000}"/>
    <cellStyle name="Comma 2 2 8 4" xfId="7140" xr:uid="{00000000-0005-0000-0000-000050180000}"/>
    <cellStyle name="Comma 2 2 8 4 2" xfId="13334" xr:uid="{00000000-0005-0000-0000-000051180000}"/>
    <cellStyle name="Comma 2 2 8 4 2 2" xfId="33254" xr:uid="{00000000-0005-0000-0000-000052180000}"/>
    <cellStyle name="Comma 2 2 8 4 3" xfId="19486" xr:uid="{00000000-0005-0000-0000-000053180000}"/>
    <cellStyle name="Comma 2 2 8 4 3 2" xfId="39406" xr:uid="{00000000-0005-0000-0000-000054180000}"/>
    <cellStyle name="Comma 2 2 8 4 4" xfId="27101" xr:uid="{00000000-0005-0000-0000-000055180000}"/>
    <cellStyle name="Comma 2 2 8 5" xfId="10268" xr:uid="{00000000-0005-0000-0000-000056180000}"/>
    <cellStyle name="Comma 2 2 8 5 2" xfId="30188" xr:uid="{00000000-0005-0000-0000-000057180000}"/>
    <cellStyle name="Comma 2 2 8 6" xfId="16420" xr:uid="{00000000-0005-0000-0000-000058180000}"/>
    <cellStyle name="Comma 2 2 8 6 2" xfId="36340" xr:uid="{00000000-0005-0000-0000-000059180000}"/>
    <cellStyle name="Comma 2 2 8 7" xfId="24035" xr:uid="{00000000-0005-0000-0000-00005A180000}"/>
    <cellStyle name="Comma 2 2 9" xfId="1529" xr:uid="{00000000-0005-0000-0000-00005B180000}"/>
    <cellStyle name="Comma 2 2 9 2" xfId="4734" xr:uid="{00000000-0005-0000-0000-00005C180000}"/>
    <cellStyle name="Comma 2 2 9 2 2" xfId="6359" xr:uid="{00000000-0005-0000-0000-00005D180000}"/>
    <cellStyle name="Comma 2 2 9 2 2 2" xfId="9445" xr:uid="{00000000-0005-0000-0000-00005E180000}"/>
    <cellStyle name="Comma 2 2 9 2 2 2 2" xfId="15638" xr:uid="{00000000-0005-0000-0000-00005F180000}"/>
    <cellStyle name="Comma 2 2 9 2 2 2 2 2" xfId="35558" xr:uid="{00000000-0005-0000-0000-000060180000}"/>
    <cellStyle name="Comma 2 2 9 2 2 2 3" xfId="21790" xr:uid="{00000000-0005-0000-0000-000061180000}"/>
    <cellStyle name="Comma 2 2 9 2 2 2 3 2" xfId="41710" xr:uid="{00000000-0005-0000-0000-000062180000}"/>
    <cellStyle name="Comma 2 2 9 2 2 2 4" xfId="29405" xr:uid="{00000000-0005-0000-0000-000063180000}"/>
    <cellStyle name="Comma 2 2 9 2 2 3" xfId="12572" xr:uid="{00000000-0005-0000-0000-000064180000}"/>
    <cellStyle name="Comma 2 2 9 2 2 3 2" xfId="32492" xr:uid="{00000000-0005-0000-0000-000065180000}"/>
    <cellStyle name="Comma 2 2 9 2 2 4" xfId="18724" xr:uid="{00000000-0005-0000-0000-000066180000}"/>
    <cellStyle name="Comma 2 2 9 2 2 4 2" xfId="38644" xr:uid="{00000000-0005-0000-0000-000067180000}"/>
    <cellStyle name="Comma 2 2 9 2 2 5" xfId="26339" xr:uid="{00000000-0005-0000-0000-000068180000}"/>
    <cellStyle name="Comma 2 2 9 2 3" xfId="7910" xr:uid="{00000000-0005-0000-0000-000069180000}"/>
    <cellStyle name="Comma 2 2 9 2 3 2" xfId="14104" xr:uid="{00000000-0005-0000-0000-00006A180000}"/>
    <cellStyle name="Comma 2 2 9 2 3 2 2" xfId="34024" xr:uid="{00000000-0005-0000-0000-00006B180000}"/>
    <cellStyle name="Comma 2 2 9 2 3 3" xfId="20256" xr:uid="{00000000-0005-0000-0000-00006C180000}"/>
    <cellStyle name="Comma 2 2 9 2 3 3 2" xfId="40176" xr:uid="{00000000-0005-0000-0000-00006D180000}"/>
    <cellStyle name="Comma 2 2 9 2 3 4" xfId="27871" xr:uid="{00000000-0005-0000-0000-00006E180000}"/>
    <cellStyle name="Comma 2 2 9 2 4" xfId="11038" xr:uid="{00000000-0005-0000-0000-00006F180000}"/>
    <cellStyle name="Comma 2 2 9 2 4 2" xfId="30958" xr:uid="{00000000-0005-0000-0000-000070180000}"/>
    <cellStyle name="Comma 2 2 9 2 5" xfId="17190" xr:uid="{00000000-0005-0000-0000-000071180000}"/>
    <cellStyle name="Comma 2 2 9 2 5 2" xfId="37110" xr:uid="{00000000-0005-0000-0000-000072180000}"/>
    <cellStyle name="Comma 2 2 9 2 6" xfId="24805" xr:uid="{00000000-0005-0000-0000-000073180000}"/>
    <cellStyle name="Comma 2 2 9 3" xfId="5573" xr:uid="{00000000-0005-0000-0000-000074180000}"/>
    <cellStyle name="Comma 2 2 9 3 2" xfId="8676" xr:uid="{00000000-0005-0000-0000-000075180000}"/>
    <cellStyle name="Comma 2 2 9 3 2 2" xfId="14869" xr:uid="{00000000-0005-0000-0000-000076180000}"/>
    <cellStyle name="Comma 2 2 9 3 2 2 2" xfId="34789" xr:uid="{00000000-0005-0000-0000-000077180000}"/>
    <cellStyle name="Comma 2 2 9 3 2 3" xfId="21021" xr:uid="{00000000-0005-0000-0000-000078180000}"/>
    <cellStyle name="Comma 2 2 9 3 2 3 2" xfId="40941" xr:uid="{00000000-0005-0000-0000-000079180000}"/>
    <cellStyle name="Comma 2 2 9 3 2 4" xfId="28636" xr:uid="{00000000-0005-0000-0000-00007A180000}"/>
    <cellStyle name="Comma 2 2 9 3 3" xfId="11803" xr:uid="{00000000-0005-0000-0000-00007B180000}"/>
    <cellStyle name="Comma 2 2 9 3 3 2" xfId="31723" xr:uid="{00000000-0005-0000-0000-00007C180000}"/>
    <cellStyle name="Comma 2 2 9 3 4" xfId="17955" xr:uid="{00000000-0005-0000-0000-00007D180000}"/>
    <cellStyle name="Comma 2 2 9 3 4 2" xfId="37875" xr:uid="{00000000-0005-0000-0000-00007E180000}"/>
    <cellStyle name="Comma 2 2 9 3 5" xfId="25570" xr:uid="{00000000-0005-0000-0000-00007F180000}"/>
    <cellStyle name="Comma 2 2 9 4" xfId="7141" xr:uid="{00000000-0005-0000-0000-000080180000}"/>
    <cellStyle name="Comma 2 2 9 4 2" xfId="13335" xr:uid="{00000000-0005-0000-0000-000081180000}"/>
    <cellStyle name="Comma 2 2 9 4 2 2" xfId="33255" xr:uid="{00000000-0005-0000-0000-000082180000}"/>
    <cellStyle name="Comma 2 2 9 4 3" xfId="19487" xr:uid="{00000000-0005-0000-0000-000083180000}"/>
    <cellStyle name="Comma 2 2 9 4 3 2" xfId="39407" xr:uid="{00000000-0005-0000-0000-000084180000}"/>
    <cellStyle name="Comma 2 2 9 4 4" xfId="27102" xr:uid="{00000000-0005-0000-0000-000085180000}"/>
    <cellStyle name="Comma 2 2 9 5" xfId="10269" xr:uid="{00000000-0005-0000-0000-000086180000}"/>
    <cellStyle name="Comma 2 2 9 5 2" xfId="30189" xr:uid="{00000000-0005-0000-0000-000087180000}"/>
    <cellStyle name="Comma 2 2 9 6" xfId="16421" xr:uid="{00000000-0005-0000-0000-000088180000}"/>
    <cellStyle name="Comma 2 2 9 6 2" xfId="36341" xr:uid="{00000000-0005-0000-0000-000089180000}"/>
    <cellStyle name="Comma 2 2 9 7" xfId="24036" xr:uid="{00000000-0005-0000-0000-00008A180000}"/>
    <cellStyle name="Comma 2 20" xfId="359" xr:uid="{00000000-0005-0000-0000-00008B180000}"/>
    <cellStyle name="Comma 2 20 2" xfId="1530" xr:uid="{00000000-0005-0000-0000-00008C180000}"/>
    <cellStyle name="Comma 2 21" xfId="372" xr:uid="{00000000-0005-0000-0000-00008D180000}"/>
    <cellStyle name="Comma 2 21 2" xfId="1531" xr:uid="{00000000-0005-0000-0000-00008E180000}"/>
    <cellStyle name="Comma 2 22" xfId="414" xr:uid="{00000000-0005-0000-0000-00008F180000}"/>
    <cellStyle name="Comma 2 22 2" xfId="1532" xr:uid="{00000000-0005-0000-0000-000090180000}"/>
    <cellStyle name="Comma 2 23" xfId="423" xr:uid="{00000000-0005-0000-0000-000091180000}"/>
    <cellStyle name="Comma 2 23 2" xfId="4705" xr:uid="{00000000-0005-0000-0000-000092180000}"/>
    <cellStyle name="Comma 2 23 2 2" xfId="6330" xr:uid="{00000000-0005-0000-0000-000093180000}"/>
    <cellStyle name="Comma 2 23 2 2 2" xfId="9416" xr:uid="{00000000-0005-0000-0000-000094180000}"/>
    <cellStyle name="Comma 2 23 2 2 2 2" xfId="15609" xr:uid="{00000000-0005-0000-0000-000095180000}"/>
    <cellStyle name="Comma 2 23 2 2 2 2 2" xfId="35529" xr:uid="{00000000-0005-0000-0000-000096180000}"/>
    <cellStyle name="Comma 2 23 2 2 2 3" xfId="21761" xr:uid="{00000000-0005-0000-0000-000097180000}"/>
    <cellStyle name="Comma 2 23 2 2 2 3 2" xfId="41681" xr:uid="{00000000-0005-0000-0000-000098180000}"/>
    <cellStyle name="Comma 2 23 2 2 2 4" xfId="29376" xr:uid="{00000000-0005-0000-0000-000099180000}"/>
    <cellStyle name="Comma 2 23 2 2 3" xfId="12543" xr:uid="{00000000-0005-0000-0000-00009A180000}"/>
    <cellStyle name="Comma 2 23 2 2 3 2" xfId="32463" xr:uid="{00000000-0005-0000-0000-00009B180000}"/>
    <cellStyle name="Comma 2 23 2 2 4" xfId="18695" xr:uid="{00000000-0005-0000-0000-00009C180000}"/>
    <cellStyle name="Comma 2 23 2 2 4 2" xfId="38615" xr:uid="{00000000-0005-0000-0000-00009D180000}"/>
    <cellStyle name="Comma 2 23 2 2 5" xfId="26310" xr:uid="{00000000-0005-0000-0000-00009E180000}"/>
    <cellStyle name="Comma 2 23 2 3" xfId="7881" xr:uid="{00000000-0005-0000-0000-00009F180000}"/>
    <cellStyle name="Comma 2 23 2 3 2" xfId="14075" xr:uid="{00000000-0005-0000-0000-0000A0180000}"/>
    <cellStyle name="Comma 2 23 2 3 2 2" xfId="33995" xr:uid="{00000000-0005-0000-0000-0000A1180000}"/>
    <cellStyle name="Comma 2 23 2 3 3" xfId="20227" xr:uid="{00000000-0005-0000-0000-0000A2180000}"/>
    <cellStyle name="Comma 2 23 2 3 3 2" xfId="40147" xr:uid="{00000000-0005-0000-0000-0000A3180000}"/>
    <cellStyle name="Comma 2 23 2 3 4" xfId="27842" xr:uid="{00000000-0005-0000-0000-0000A4180000}"/>
    <cellStyle name="Comma 2 23 2 4" xfId="11009" xr:uid="{00000000-0005-0000-0000-0000A5180000}"/>
    <cellStyle name="Comma 2 23 2 4 2" xfId="30929" xr:uid="{00000000-0005-0000-0000-0000A6180000}"/>
    <cellStyle name="Comma 2 23 2 5" xfId="17161" xr:uid="{00000000-0005-0000-0000-0000A7180000}"/>
    <cellStyle name="Comma 2 23 2 5 2" xfId="37081" xr:uid="{00000000-0005-0000-0000-0000A8180000}"/>
    <cellStyle name="Comma 2 23 2 6" xfId="24776" xr:uid="{00000000-0005-0000-0000-0000A9180000}"/>
    <cellStyle name="Comma 2 23 3" xfId="5544" xr:uid="{00000000-0005-0000-0000-0000AA180000}"/>
    <cellStyle name="Comma 2 23 3 2" xfId="8647" xr:uid="{00000000-0005-0000-0000-0000AB180000}"/>
    <cellStyle name="Comma 2 23 3 2 2" xfId="14840" xr:uid="{00000000-0005-0000-0000-0000AC180000}"/>
    <cellStyle name="Comma 2 23 3 2 2 2" xfId="34760" xr:uid="{00000000-0005-0000-0000-0000AD180000}"/>
    <cellStyle name="Comma 2 23 3 2 3" xfId="20992" xr:uid="{00000000-0005-0000-0000-0000AE180000}"/>
    <cellStyle name="Comma 2 23 3 2 3 2" xfId="40912" xr:uid="{00000000-0005-0000-0000-0000AF180000}"/>
    <cellStyle name="Comma 2 23 3 2 4" xfId="28607" xr:uid="{00000000-0005-0000-0000-0000B0180000}"/>
    <cellStyle name="Comma 2 23 3 3" xfId="11774" xr:uid="{00000000-0005-0000-0000-0000B1180000}"/>
    <cellStyle name="Comma 2 23 3 3 2" xfId="31694" xr:uid="{00000000-0005-0000-0000-0000B2180000}"/>
    <cellStyle name="Comma 2 23 3 4" xfId="17926" xr:uid="{00000000-0005-0000-0000-0000B3180000}"/>
    <cellStyle name="Comma 2 23 3 4 2" xfId="37846" xr:uid="{00000000-0005-0000-0000-0000B4180000}"/>
    <cellStyle name="Comma 2 23 3 5" xfId="25541" xr:uid="{00000000-0005-0000-0000-0000B5180000}"/>
    <cellStyle name="Comma 2 23 4" xfId="7112" xr:uid="{00000000-0005-0000-0000-0000B6180000}"/>
    <cellStyle name="Comma 2 23 4 2" xfId="13306" xr:uid="{00000000-0005-0000-0000-0000B7180000}"/>
    <cellStyle name="Comma 2 23 4 2 2" xfId="33226" xr:uid="{00000000-0005-0000-0000-0000B8180000}"/>
    <cellStyle name="Comma 2 23 4 3" xfId="19458" xr:uid="{00000000-0005-0000-0000-0000B9180000}"/>
    <cellStyle name="Comma 2 23 4 3 2" xfId="39378" xr:uid="{00000000-0005-0000-0000-0000BA180000}"/>
    <cellStyle name="Comma 2 23 4 4" xfId="27073" xr:uid="{00000000-0005-0000-0000-0000BB180000}"/>
    <cellStyle name="Comma 2 23 5" xfId="10240" xr:uid="{00000000-0005-0000-0000-0000BC180000}"/>
    <cellStyle name="Comma 2 23 5 2" xfId="30160" xr:uid="{00000000-0005-0000-0000-0000BD180000}"/>
    <cellStyle name="Comma 2 23 6" xfId="16392" xr:uid="{00000000-0005-0000-0000-0000BE180000}"/>
    <cellStyle name="Comma 2 23 6 2" xfId="36312" xr:uid="{00000000-0005-0000-0000-0000BF180000}"/>
    <cellStyle name="Comma 2 23 7" xfId="1478" xr:uid="{00000000-0005-0000-0000-0000C0180000}"/>
    <cellStyle name="Comma 2 23 7 2" xfId="24007" xr:uid="{00000000-0005-0000-0000-0000C1180000}"/>
    <cellStyle name="Comma 2 24" xfId="505" xr:uid="{00000000-0005-0000-0000-0000C2180000}"/>
    <cellStyle name="Comma 2 24 2" xfId="10105" xr:uid="{00000000-0005-0000-0000-0000C3180000}"/>
    <cellStyle name="Comma 2 25" xfId="557" xr:uid="{00000000-0005-0000-0000-0000C4180000}"/>
    <cellStyle name="Comma 2 26" xfId="559" xr:uid="{00000000-0005-0000-0000-0000C5180000}"/>
    <cellStyle name="Comma 2 27" xfId="457" xr:uid="{00000000-0005-0000-0000-0000C6180000}"/>
    <cellStyle name="Comma 2 28" xfId="579" xr:uid="{00000000-0005-0000-0000-0000C7180000}"/>
    <cellStyle name="Comma 2 29" xfId="611" xr:uid="{00000000-0005-0000-0000-0000C8180000}"/>
    <cellStyle name="Comma 2 3" xfId="87" xr:uid="{00000000-0005-0000-0000-0000C9180000}"/>
    <cellStyle name="Comma 2 3 10" xfId="23016" xr:uid="{00000000-0005-0000-0000-0000CA180000}"/>
    <cellStyle name="Comma 2 3 10 2" xfId="42927" xr:uid="{00000000-0005-0000-0000-0000CB180000}"/>
    <cellStyle name="Comma 2 3 11" xfId="23327" xr:uid="{00000000-0005-0000-0000-0000CC180000}"/>
    <cellStyle name="Comma 2 3 2" xfId="748" xr:uid="{00000000-0005-0000-0000-0000CD180000}"/>
    <cellStyle name="Comma 2 3 2 2" xfId="1534" xr:uid="{00000000-0005-0000-0000-0000CE180000}"/>
    <cellStyle name="Comma 2 3 2 3" xfId="23630" xr:uid="{00000000-0005-0000-0000-0000CF180000}"/>
    <cellStyle name="Comma 2 3 3" xfId="1535" xr:uid="{00000000-0005-0000-0000-0000D0180000}"/>
    <cellStyle name="Comma 2 3 4" xfId="4521" xr:uid="{00000000-0005-0000-0000-0000D1180000}"/>
    <cellStyle name="Comma 2 3 5" xfId="1533" xr:uid="{00000000-0005-0000-0000-0000D2180000}"/>
    <cellStyle name="Comma 2 3 6" xfId="10136" xr:uid="{00000000-0005-0000-0000-0000D3180000}"/>
    <cellStyle name="Comma 2 3 7" xfId="1089" xr:uid="{00000000-0005-0000-0000-0000D4180000}"/>
    <cellStyle name="Comma 2 3 8" xfId="22629" xr:uid="{00000000-0005-0000-0000-0000D5180000}"/>
    <cellStyle name="Comma 2 3 8 2" xfId="42540" xr:uid="{00000000-0005-0000-0000-0000D6180000}"/>
    <cellStyle name="Comma 2 3 9" xfId="22713" xr:uid="{00000000-0005-0000-0000-0000D7180000}"/>
    <cellStyle name="Comma 2 3 9 2" xfId="42624" xr:uid="{00000000-0005-0000-0000-0000D8180000}"/>
    <cellStyle name="Comma 2 30" xfId="637" xr:uid="{00000000-0005-0000-0000-0000D9180000}"/>
    <cellStyle name="Comma 2 4" xfId="124" xr:uid="{00000000-0005-0000-0000-0000DA180000}"/>
    <cellStyle name="Comma 2 4 2" xfId="1537" xr:uid="{00000000-0005-0000-0000-0000DB180000}"/>
    <cellStyle name="Comma 2 4 3" xfId="1538" xr:uid="{00000000-0005-0000-0000-0000DC180000}"/>
    <cellStyle name="Comma 2 4 4" xfId="1539" xr:uid="{00000000-0005-0000-0000-0000DD180000}"/>
    <cellStyle name="Comma 2 4 4 2" xfId="1540" xr:uid="{00000000-0005-0000-0000-0000DE180000}"/>
    <cellStyle name="Comma 2 4 5" xfId="1541" xr:uid="{00000000-0005-0000-0000-0000DF180000}"/>
    <cellStyle name="Comma 2 4 5 2" xfId="1542" xr:uid="{00000000-0005-0000-0000-0000E0180000}"/>
    <cellStyle name="Comma 2 4 6" xfId="1536" xr:uid="{00000000-0005-0000-0000-0000E1180000}"/>
    <cellStyle name="Comma 2 4 7" xfId="1090" xr:uid="{00000000-0005-0000-0000-0000E2180000}"/>
    <cellStyle name="Comma 2 5" xfId="152" xr:uid="{00000000-0005-0000-0000-0000E3180000}"/>
    <cellStyle name="Comma 2 5 2" xfId="1544" xr:uid="{00000000-0005-0000-0000-0000E4180000}"/>
    <cellStyle name="Comma 2 5 3" xfId="1545" xr:uid="{00000000-0005-0000-0000-0000E5180000}"/>
    <cellStyle name="Comma 2 5 4" xfId="4522" xr:uid="{00000000-0005-0000-0000-0000E6180000}"/>
    <cellStyle name="Comma 2 5 5" xfId="1543" xr:uid="{00000000-0005-0000-0000-0000E7180000}"/>
    <cellStyle name="Comma 2 5 6" xfId="1091" xr:uid="{00000000-0005-0000-0000-0000E8180000}"/>
    <cellStyle name="Comma 2 6" xfId="144" xr:uid="{00000000-0005-0000-0000-0000E9180000}"/>
    <cellStyle name="Comma 2 6 2" xfId="1547" xr:uid="{00000000-0005-0000-0000-0000EA180000}"/>
    <cellStyle name="Comma 2 6 3" xfId="1548" xr:uid="{00000000-0005-0000-0000-0000EB180000}"/>
    <cellStyle name="Comma 2 6 4" xfId="1546" xr:uid="{00000000-0005-0000-0000-0000EC180000}"/>
    <cellStyle name="Comma 2 6 5" xfId="1092" xr:uid="{00000000-0005-0000-0000-0000ED180000}"/>
    <cellStyle name="Comma 2 7" xfId="167" xr:uid="{00000000-0005-0000-0000-0000EE180000}"/>
    <cellStyle name="Comma 2 7 2" xfId="4523" xr:uid="{00000000-0005-0000-0000-0000EF180000}"/>
    <cellStyle name="Comma 2 7 3" xfId="1549" xr:uid="{00000000-0005-0000-0000-0000F0180000}"/>
    <cellStyle name="Comma 2 7 4" xfId="1093" xr:uid="{00000000-0005-0000-0000-0000F1180000}"/>
    <cellStyle name="Comma 2 8" xfId="172" xr:uid="{00000000-0005-0000-0000-0000F2180000}"/>
    <cellStyle name="Comma 2 8 2" xfId="4524" xr:uid="{00000000-0005-0000-0000-0000F3180000}"/>
    <cellStyle name="Comma 2 8 3" xfId="1550" xr:uid="{00000000-0005-0000-0000-0000F4180000}"/>
    <cellStyle name="Comma 2 8 4" xfId="1094" xr:uid="{00000000-0005-0000-0000-0000F5180000}"/>
    <cellStyle name="Comma 2 9" xfId="166" xr:uid="{00000000-0005-0000-0000-0000F6180000}"/>
    <cellStyle name="Comma 2 9 2" xfId="4525" xr:uid="{00000000-0005-0000-0000-0000F7180000}"/>
    <cellStyle name="Comma 2 9 3" xfId="1551" xr:uid="{00000000-0005-0000-0000-0000F8180000}"/>
    <cellStyle name="Comma 2 9 4" xfId="1095" xr:uid="{00000000-0005-0000-0000-0000F9180000}"/>
    <cellStyle name="Comma 20" xfId="117" xr:uid="{00000000-0005-0000-0000-0000FA180000}"/>
    <cellStyle name="Comma 20 2" xfId="768" xr:uid="{00000000-0005-0000-0000-0000FB180000}"/>
    <cellStyle name="Comma 20 2 2" xfId="23650" xr:uid="{00000000-0005-0000-0000-0000FC180000}"/>
    <cellStyle name="Comma 20 3" xfId="1552" xr:uid="{00000000-0005-0000-0000-0000FD180000}"/>
    <cellStyle name="Comma 20 4" xfId="22643" xr:uid="{00000000-0005-0000-0000-0000FE180000}"/>
    <cellStyle name="Comma 20 4 2" xfId="42554" xr:uid="{00000000-0005-0000-0000-0000FF180000}"/>
    <cellStyle name="Comma 20 5" xfId="22733" xr:uid="{00000000-0005-0000-0000-000000190000}"/>
    <cellStyle name="Comma 20 5 2" xfId="42644" xr:uid="{00000000-0005-0000-0000-000001190000}"/>
    <cellStyle name="Comma 20 6" xfId="23036" xr:uid="{00000000-0005-0000-0000-000002190000}"/>
    <cellStyle name="Comma 20 6 2" xfId="42947" xr:uid="{00000000-0005-0000-0000-000003190000}"/>
    <cellStyle name="Comma 20 7" xfId="23347" xr:uid="{00000000-0005-0000-0000-000004190000}"/>
    <cellStyle name="Comma 200" xfId="5433" xr:uid="{00000000-0005-0000-0000-000005190000}"/>
    <cellStyle name="Comma 201" xfId="5401" xr:uid="{00000000-0005-0000-0000-000006190000}"/>
    <cellStyle name="Comma 202" xfId="5413" xr:uid="{00000000-0005-0000-0000-000007190000}"/>
    <cellStyle name="Comma 203" xfId="5422" xr:uid="{00000000-0005-0000-0000-000008190000}"/>
    <cellStyle name="Comma 204" xfId="4623" xr:uid="{00000000-0005-0000-0000-000009190000}"/>
    <cellStyle name="Comma 204 2" xfId="6248" xr:uid="{00000000-0005-0000-0000-00000A190000}"/>
    <cellStyle name="Comma 204 2 2" xfId="9334" xr:uid="{00000000-0005-0000-0000-00000B190000}"/>
    <cellStyle name="Comma 204 2 2 2" xfId="15527" xr:uid="{00000000-0005-0000-0000-00000C190000}"/>
    <cellStyle name="Comma 204 2 2 2 2" xfId="35447" xr:uid="{00000000-0005-0000-0000-00000D190000}"/>
    <cellStyle name="Comma 204 2 2 3" xfId="21679" xr:uid="{00000000-0005-0000-0000-00000E190000}"/>
    <cellStyle name="Comma 204 2 2 3 2" xfId="41599" xr:uid="{00000000-0005-0000-0000-00000F190000}"/>
    <cellStyle name="Comma 204 2 2 4" xfId="29294" xr:uid="{00000000-0005-0000-0000-000010190000}"/>
    <cellStyle name="Comma 204 2 3" xfId="12461" xr:uid="{00000000-0005-0000-0000-000011190000}"/>
    <cellStyle name="Comma 204 2 3 2" xfId="32381" xr:uid="{00000000-0005-0000-0000-000012190000}"/>
    <cellStyle name="Comma 204 2 4" xfId="18613" xr:uid="{00000000-0005-0000-0000-000013190000}"/>
    <cellStyle name="Comma 204 2 4 2" xfId="38533" xr:uid="{00000000-0005-0000-0000-000014190000}"/>
    <cellStyle name="Comma 204 2 5" xfId="26228" xr:uid="{00000000-0005-0000-0000-000015190000}"/>
    <cellStyle name="Comma 204 3" xfId="7799" xr:uid="{00000000-0005-0000-0000-000016190000}"/>
    <cellStyle name="Comma 204 3 2" xfId="13993" xr:uid="{00000000-0005-0000-0000-000017190000}"/>
    <cellStyle name="Comma 204 3 2 2" xfId="33913" xr:uid="{00000000-0005-0000-0000-000018190000}"/>
    <cellStyle name="Comma 204 3 3" xfId="20145" xr:uid="{00000000-0005-0000-0000-000019190000}"/>
    <cellStyle name="Comma 204 3 3 2" xfId="40065" xr:uid="{00000000-0005-0000-0000-00001A190000}"/>
    <cellStyle name="Comma 204 3 4" xfId="27760" xr:uid="{00000000-0005-0000-0000-00001B190000}"/>
    <cellStyle name="Comma 204 4" xfId="10927" xr:uid="{00000000-0005-0000-0000-00001C190000}"/>
    <cellStyle name="Comma 204 4 2" xfId="30847" xr:uid="{00000000-0005-0000-0000-00001D190000}"/>
    <cellStyle name="Comma 204 5" xfId="17079" xr:uid="{00000000-0005-0000-0000-00001E190000}"/>
    <cellStyle name="Comma 204 5 2" xfId="36999" xr:uid="{00000000-0005-0000-0000-00001F190000}"/>
    <cellStyle name="Comma 204 6" xfId="24694" xr:uid="{00000000-0005-0000-0000-000020190000}"/>
    <cellStyle name="Comma 205" xfId="5458" xr:uid="{00000000-0005-0000-0000-000021190000}"/>
    <cellStyle name="Comma 205 2" xfId="8562" xr:uid="{00000000-0005-0000-0000-000022190000}"/>
    <cellStyle name="Comma 205 2 2" xfId="14756" xr:uid="{00000000-0005-0000-0000-000023190000}"/>
    <cellStyle name="Comma 205 2 2 2" xfId="34676" xr:uid="{00000000-0005-0000-0000-000024190000}"/>
    <cellStyle name="Comma 205 2 3" xfId="20908" xr:uid="{00000000-0005-0000-0000-000025190000}"/>
    <cellStyle name="Comma 205 2 3 2" xfId="40828" xr:uid="{00000000-0005-0000-0000-000026190000}"/>
    <cellStyle name="Comma 205 2 4" xfId="28523" xr:uid="{00000000-0005-0000-0000-000027190000}"/>
    <cellStyle name="Comma 205 3" xfId="11690" xr:uid="{00000000-0005-0000-0000-000028190000}"/>
    <cellStyle name="Comma 205 3 2" xfId="31610" xr:uid="{00000000-0005-0000-0000-000029190000}"/>
    <cellStyle name="Comma 205 4" xfId="17842" xr:uid="{00000000-0005-0000-0000-00002A190000}"/>
    <cellStyle name="Comma 205 4 2" xfId="37762" xr:uid="{00000000-0005-0000-0000-00002B190000}"/>
    <cellStyle name="Comma 205 5" xfId="25457" xr:uid="{00000000-0005-0000-0000-00002C190000}"/>
    <cellStyle name="Comma 206" xfId="5460" xr:uid="{00000000-0005-0000-0000-00002D190000}"/>
    <cellStyle name="Comma 206 2" xfId="8564" xr:uid="{00000000-0005-0000-0000-00002E190000}"/>
    <cellStyle name="Comma 206 2 2" xfId="14757" xr:uid="{00000000-0005-0000-0000-00002F190000}"/>
    <cellStyle name="Comma 206 2 2 2" xfId="34677" xr:uid="{00000000-0005-0000-0000-000030190000}"/>
    <cellStyle name="Comma 206 2 3" xfId="20909" xr:uid="{00000000-0005-0000-0000-000031190000}"/>
    <cellStyle name="Comma 206 2 3 2" xfId="40829" xr:uid="{00000000-0005-0000-0000-000032190000}"/>
    <cellStyle name="Comma 206 2 4" xfId="28524" xr:uid="{00000000-0005-0000-0000-000033190000}"/>
    <cellStyle name="Comma 206 3" xfId="11691" xr:uid="{00000000-0005-0000-0000-000034190000}"/>
    <cellStyle name="Comma 206 3 2" xfId="31611" xr:uid="{00000000-0005-0000-0000-000035190000}"/>
    <cellStyle name="Comma 206 4" xfId="17843" xr:uid="{00000000-0005-0000-0000-000036190000}"/>
    <cellStyle name="Comma 206 4 2" xfId="37763" xr:uid="{00000000-0005-0000-0000-000037190000}"/>
    <cellStyle name="Comma 206 5" xfId="25458" xr:uid="{00000000-0005-0000-0000-000038190000}"/>
    <cellStyle name="Comma 207" xfId="7027" xr:uid="{00000000-0005-0000-0000-000039190000}"/>
    <cellStyle name="Comma 208" xfId="10098" xr:uid="{00000000-0005-0000-0000-00003A190000}"/>
    <cellStyle name="Comma 209" xfId="10100" xr:uid="{00000000-0005-0000-0000-00003B190000}"/>
    <cellStyle name="Comma 21" xfId="118" xr:uid="{00000000-0005-0000-0000-00003C190000}"/>
    <cellStyle name="Comma 21 2" xfId="769" xr:uid="{00000000-0005-0000-0000-00003D190000}"/>
    <cellStyle name="Comma 21 2 2" xfId="23651" xr:uid="{00000000-0005-0000-0000-00003E190000}"/>
    <cellStyle name="Comma 21 3" xfId="1553" xr:uid="{00000000-0005-0000-0000-00003F190000}"/>
    <cellStyle name="Comma 21 4" xfId="22633" xr:uid="{00000000-0005-0000-0000-000040190000}"/>
    <cellStyle name="Comma 21 4 2" xfId="42544" xr:uid="{00000000-0005-0000-0000-000041190000}"/>
    <cellStyle name="Comma 21 5" xfId="22734" xr:uid="{00000000-0005-0000-0000-000042190000}"/>
    <cellStyle name="Comma 21 5 2" xfId="42645" xr:uid="{00000000-0005-0000-0000-000043190000}"/>
    <cellStyle name="Comma 21 6" xfId="23037" xr:uid="{00000000-0005-0000-0000-000044190000}"/>
    <cellStyle name="Comma 21 6 2" xfId="42948" xr:uid="{00000000-0005-0000-0000-000045190000}"/>
    <cellStyle name="Comma 21 7" xfId="23348" xr:uid="{00000000-0005-0000-0000-000046190000}"/>
    <cellStyle name="Comma 210" xfId="10155" xr:uid="{00000000-0005-0000-0000-000047190000}"/>
    <cellStyle name="Comma 211" xfId="1063" xr:uid="{00000000-0005-0000-0000-000048190000}"/>
    <cellStyle name="Comma 212" xfId="1072" xr:uid="{00000000-0005-0000-0000-000049190000}"/>
    <cellStyle name="Comma 213" xfId="22466" xr:uid="{00000000-0005-0000-0000-00004A190000}"/>
    <cellStyle name="Comma 214" xfId="22464" xr:uid="{00000000-0005-0000-0000-00004B190000}"/>
    <cellStyle name="Comma 215" xfId="22469" xr:uid="{00000000-0005-0000-0000-00004C190000}"/>
    <cellStyle name="Comma 216" xfId="1037" xr:uid="{00000000-0005-0000-0000-00004D190000}"/>
    <cellStyle name="Comma 216 2" xfId="23918" xr:uid="{00000000-0005-0000-0000-00004E190000}"/>
    <cellStyle name="Comma 217" xfId="1044" xr:uid="{00000000-0005-0000-0000-00004F190000}"/>
    <cellStyle name="Comma 217 2" xfId="23923" xr:uid="{00000000-0005-0000-0000-000050190000}"/>
    <cellStyle name="Comma 218" xfId="22510" xr:uid="{00000000-0005-0000-0000-000051190000}"/>
    <cellStyle name="Comma 218 2" xfId="42421" xr:uid="{00000000-0005-0000-0000-000052190000}"/>
    <cellStyle name="Comma 219" xfId="22521" xr:uid="{00000000-0005-0000-0000-000053190000}"/>
    <cellStyle name="Comma 219 2" xfId="42432" xr:uid="{00000000-0005-0000-0000-000054190000}"/>
    <cellStyle name="Comma 22" xfId="114" xr:uid="{00000000-0005-0000-0000-000055190000}"/>
    <cellStyle name="Comma 22 2" xfId="765" xr:uid="{00000000-0005-0000-0000-000056190000}"/>
    <cellStyle name="Comma 22 2 2" xfId="23647" xr:uid="{00000000-0005-0000-0000-000057190000}"/>
    <cellStyle name="Comma 22 3" xfId="1554" xr:uid="{00000000-0005-0000-0000-000058190000}"/>
    <cellStyle name="Comma 22 4" xfId="22518" xr:uid="{00000000-0005-0000-0000-000059190000}"/>
    <cellStyle name="Comma 22 4 2" xfId="42429" xr:uid="{00000000-0005-0000-0000-00005A190000}"/>
    <cellStyle name="Comma 22 5" xfId="22730" xr:uid="{00000000-0005-0000-0000-00005B190000}"/>
    <cellStyle name="Comma 22 5 2" xfId="42641" xr:uid="{00000000-0005-0000-0000-00005C190000}"/>
    <cellStyle name="Comma 22 6" xfId="23033" xr:uid="{00000000-0005-0000-0000-00005D190000}"/>
    <cellStyle name="Comma 22 6 2" xfId="42944" xr:uid="{00000000-0005-0000-0000-00005E190000}"/>
    <cellStyle name="Comma 22 7" xfId="23344" xr:uid="{00000000-0005-0000-0000-00005F190000}"/>
    <cellStyle name="Comma 220" xfId="22635" xr:uid="{00000000-0005-0000-0000-000060190000}"/>
    <cellStyle name="Comma 220 2" xfId="42546" xr:uid="{00000000-0005-0000-0000-000061190000}"/>
    <cellStyle name="Comma 221" xfId="22644" xr:uid="{00000000-0005-0000-0000-000062190000}"/>
    <cellStyle name="Comma 221 2" xfId="42555" xr:uid="{00000000-0005-0000-0000-000063190000}"/>
    <cellStyle name="Comma 222" xfId="22555" xr:uid="{00000000-0005-0000-0000-000064190000}"/>
    <cellStyle name="Comma 222 2" xfId="42466" xr:uid="{00000000-0005-0000-0000-000065190000}"/>
    <cellStyle name="Comma 223" xfId="22499" xr:uid="{00000000-0005-0000-0000-000066190000}"/>
    <cellStyle name="Comma 223 2" xfId="42410" xr:uid="{00000000-0005-0000-0000-000067190000}"/>
    <cellStyle name="Comma 224" xfId="23303" xr:uid="{00000000-0005-0000-0000-000068190000}"/>
    <cellStyle name="Comma 225" xfId="23304" xr:uid="{00000000-0005-0000-0000-000069190000}"/>
    <cellStyle name="Comma 226" xfId="23305" xr:uid="{00000000-0005-0000-0000-00006A190000}"/>
    <cellStyle name="Comma 227" xfId="23320" xr:uid="{00000000-0005-0000-0000-00006B190000}"/>
    <cellStyle name="Comma 228" xfId="23306" xr:uid="{00000000-0005-0000-0000-00006C190000}"/>
    <cellStyle name="Comma 229" xfId="43215" xr:uid="{00000000-0005-0000-0000-00006D190000}"/>
    <cellStyle name="Comma 23" xfId="119" xr:uid="{00000000-0005-0000-0000-00006E190000}"/>
    <cellStyle name="Comma 23 2" xfId="770" xr:uid="{00000000-0005-0000-0000-00006F190000}"/>
    <cellStyle name="Comma 23 2 2" xfId="23652" xr:uid="{00000000-0005-0000-0000-000070190000}"/>
    <cellStyle name="Comma 23 3" xfId="1555" xr:uid="{00000000-0005-0000-0000-000071190000}"/>
    <cellStyle name="Comma 23 4" xfId="22685" xr:uid="{00000000-0005-0000-0000-000072190000}"/>
    <cellStyle name="Comma 23 4 2" xfId="42596" xr:uid="{00000000-0005-0000-0000-000073190000}"/>
    <cellStyle name="Comma 23 5" xfId="22735" xr:uid="{00000000-0005-0000-0000-000074190000}"/>
    <cellStyle name="Comma 23 5 2" xfId="42646" xr:uid="{00000000-0005-0000-0000-000075190000}"/>
    <cellStyle name="Comma 23 6" xfId="23038" xr:uid="{00000000-0005-0000-0000-000076190000}"/>
    <cellStyle name="Comma 23 6 2" xfId="42949" xr:uid="{00000000-0005-0000-0000-000077190000}"/>
    <cellStyle name="Comma 23 7" xfId="23349" xr:uid="{00000000-0005-0000-0000-000078190000}"/>
    <cellStyle name="Comma 230" xfId="43217" xr:uid="{00000000-0005-0000-0000-000079190000}"/>
    <cellStyle name="Comma 231" xfId="43219" xr:uid="{00000000-0005-0000-0000-00007A190000}"/>
    <cellStyle name="Comma 232" xfId="43221" xr:uid="{00000000-0005-0000-0000-00007B190000}"/>
    <cellStyle name="Comma 233" xfId="43223" xr:uid="{00000000-0005-0000-0000-00007C190000}"/>
    <cellStyle name="Comma 234" xfId="43225" xr:uid="{00000000-0005-0000-0000-00007D190000}"/>
    <cellStyle name="Comma 235" xfId="43227" xr:uid="{00000000-0005-0000-0000-00007E190000}"/>
    <cellStyle name="Comma 24" xfId="1556" xr:uid="{00000000-0005-0000-0000-00007F190000}"/>
    <cellStyle name="Comma 25" xfId="1557" xr:uid="{00000000-0005-0000-0000-000080190000}"/>
    <cellStyle name="Comma 26" xfId="1558" xr:uid="{00000000-0005-0000-0000-000081190000}"/>
    <cellStyle name="Comma 27" xfId="1559" xr:uid="{00000000-0005-0000-0000-000082190000}"/>
    <cellStyle name="Comma 28" xfId="1560" xr:uid="{00000000-0005-0000-0000-000083190000}"/>
    <cellStyle name="Comma 29" xfId="1561" xr:uid="{00000000-0005-0000-0000-000084190000}"/>
    <cellStyle name="Comma 3" xfId="11" xr:uid="{00000000-0005-0000-0000-000085190000}"/>
    <cellStyle name="Comma 3 10" xfId="266" xr:uid="{00000000-0005-0000-0000-000086190000}"/>
    <cellStyle name="Comma 3 10 2" xfId="4735" xr:uid="{00000000-0005-0000-0000-000087190000}"/>
    <cellStyle name="Comma 3 10 2 2" xfId="6360" xr:uid="{00000000-0005-0000-0000-000088190000}"/>
    <cellStyle name="Comma 3 10 2 2 2" xfId="9446" xr:uid="{00000000-0005-0000-0000-000089190000}"/>
    <cellStyle name="Comma 3 10 2 2 2 2" xfId="15639" xr:uid="{00000000-0005-0000-0000-00008A190000}"/>
    <cellStyle name="Comma 3 10 2 2 2 2 2" xfId="35559" xr:uid="{00000000-0005-0000-0000-00008B190000}"/>
    <cellStyle name="Comma 3 10 2 2 2 3" xfId="21791" xr:uid="{00000000-0005-0000-0000-00008C190000}"/>
    <cellStyle name="Comma 3 10 2 2 2 3 2" xfId="41711" xr:uid="{00000000-0005-0000-0000-00008D190000}"/>
    <cellStyle name="Comma 3 10 2 2 2 4" xfId="29406" xr:uid="{00000000-0005-0000-0000-00008E190000}"/>
    <cellStyle name="Comma 3 10 2 2 3" xfId="12573" xr:uid="{00000000-0005-0000-0000-00008F190000}"/>
    <cellStyle name="Comma 3 10 2 2 3 2" xfId="32493" xr:uid="{00000000-0005-0000-0000-000090190000}"/>
    <cellStyle name="Comma 3 10 2 2 4" xfId="18725" xr:uid="{00000000-0005-0000-0000-000091190000}"/>
    <cellStyle name="Comma 3 10 2 2 4 2" xfId="38645" xr:uid="{00000000-0005-0000-0000-000092190000}"/>
    <cellStyle name="Comma 3 10 2 2 5" xfId="26340" xr:uid="{00000000-0005-0000-0000-000093190000}"/>
    <cellStyle name="Comma 3 10 2 3" xfId="7911" xr:uid="{00000000-0005-0000-0000-000094190000}"/>
    <cellStyle name="Comma 3 10 2 3 2" xfId="14105" xr:uid="{00000000-0005-0000-0000-000095190000}"/>
    <cellStyle name="Comma 3 10 2 3 2 2" xfId="34025" xr:uid="{00000000-0005-0000-0000-000096190000}"/>
    <cellStyle name="Comma 3 10 2 3 3" xfId="20257" xr:uid="{00000000-0005-0000-0000-000097190000}"/>
    <cellStyle name="Comma 3 10 2 3 3 2" xfId="40177" xr:uid="{00000000-0005-0000-0000-000098190000}"/>
    <cellStyle name="Comma 3 10 2 3 4" xfId="27872" xr:uid="{00000000-0005-0000-0000-000099190000}"/>
    <cellStyle name="Comma 3 10 2 4" xfId="11039" xr:uid="{00000000-0005-0000-0000-00009A190000}"/>
    <cellStyle name="Comma 3 10 2 4 2" xfId="30959" xr:uid="{00000000-0005-0000-0000-00009B190000}"/>
    <cellStyle name="Comma 3 10 2 5" xfId="17191" xr:uid="{00000000-0005-0000-0000-00009C190000}"/>
    <cellStyle name="Comma 3 10 2 5 2" xfId="37111" xr:uid="{00000000-0005-0000-0000-00009D190000}"/>
    <cellStyle name="Comma 3 10 2 6" xfId="24806" xr:uid="{00000000-0005-0000-0000-00009E190000}"/>
    <cellStyle name="Comma 3 10 3" xfId="5574" xr:uid="{00000000-0005-0000-0000-00009F190000}"/>
    <cellStyle name="Comma 3 10 3 2" xfId="8677" xr:uid="{00000000-0005-0000-0000-0000A0190000}"/>
    <cellStyle name="Comma 3 10 3 2 2" xfId="14870" xr:uid="{00000000-0005-0000-0000-0000A1190000}"/>
    <cellStyle name="Comma 3 10 3 2 2 2" xfId="34790" xr:uid="{00000000-0005-0000-0000-0000A2190000}"/>
    <cellStyle name="Comma 3 10 3 2 3" xfId="21022" xr:uid="{00000000-0005-0000-0000-0000A3190000}"/>
    <cellStyle name="Comma 3 10 3 2 3 2" xfId="40942" xr:uid="{00000000-0005-0000-0000-0000A4190000}"/>
    <cellStyle name="Comma 3 10 3 2 4" xfId="28637" xr:uid="{00000000-0005-0000-0000-0000A5190000}"/>
    <cellStyle name="Comma 3 10 3 3" xfId="11804" xr:uid="{00000000-0005-0000-0000-0000A6190000}"/>
    <cellStyle name="Comma 3 10 3 3 2" xfId="31724" xr:uid="{00000000-0005-0000-0000-0000A7190000}"/>
    <cellStyle name="Comma 3 10 3 4" xfId="17956" xr:uid="{00000000-0005-0000-0000-0000A8190000}"/>
    <cellStyle name="Comma 3 10 3 4 2" xfId="37876" xr:uid="{00000000-0005-0000-0000-0000A9190000}"/>
    <cellStyle name="Comma 3 10 3 5" xfId="25571" xr:uid="{00000000-0005-0000-0000-0000AA190000}"/>
    <cellStyle name="Comma 3 10 4" xfId="7142" xr:uid="{00000000-0005-0000-0000-0000AB190000}"/>
    <cellStyle name="Comma 3 10 4 2" xfId="13336" xr:uid="{00000000-0005-0000-0000-0000AC190000}"/>
    <cellStyle name="Comma 3 10 4 2 2" xfId="33256" xr:uid="{00000000-0005-0000-0000-0000AD190000}"/>
    <cellStyle name="Comma 3 10 4 3" xfId="19488" xr:uid="{00000000-0005-0000-0000-0000AE190000}"/>
    <cellStyle name="Comma 3 10 4 3 2" xfId="39408" xr:uid="{00000000-0005-0000-0000-0000AF190000}"/>
    <cellStyle name="Comma 3 10 4 4" xfId="27103" xr:uid="{00000000-0005-0000-0000-0000B0190000}"/>
    <cellStyle name="Comma 3 10 5" xfId="10270" xr:uid="{00000000-0005-0000-0000-0000B1190000}"/>
    <cellStyle name="Comma 3 10 5 2" xfId="30190" xr:uid="{00000000-0005-0000-0000-0000B2190000}"/>
    <cellStyle name="Comma 3 10 6" xfId="16422" xr:uid="{00000000-0005-0000-0000-0000B3190000}"/>
    <cellStyle name="Comma 3 10 6 2" xfId="36342" xr:uid="{00000000-0005-0000-0000-0000B4190000}"/>
    <cellStyle name="Comma 3 10 7" xfId="1562" xr:uid="{00000000-0005-0000-0000-0000B5190000}"/>
    <cellStyle name="Comma 3 10 7 2" xfId="24037" xr:uid="{00000000-0005-0000-0000-0000B6190000}"/>
    <cellStyle name="Comma 3 11" xfId="281" xr:uid="{00000000-0005-0000-0000-0000B7190000}"/>
    <cellStyle name="Comma 3 11 2" xfId="4736" xr:uid="{00000000-0005-0000-0000-0000B8190000}"/>
    <cellStyle name="Comma 3 11 2 2" xfId="6361" xr:uid="{00000000-0005-0000-0000-0000B9190000}"/>
    <cellStyle name="Comma 3 11 2 2 2" xfId="9447" xr:uid="{00000000-0005-0000-0000-0000BA190000}"/>
    <cellStyle name="Comma 3 11 2 2 2 2" xfId="15640" xr:uid="{00000000-0005-0000-0000-0000BB190000}"/>
    <cellStyle name="Comma 3 11 2 2 2 2 2" xfId="35560" xr:uid="{00000000-0005-0000-0000-0000BC190000}"/>
    <cellStyle name="Comma 3 11 2 2 2 3" xfId="21792" xr:uid="{00000000-0005-0000-0000-0000BD190000}"/>
    <cellStyle name="Comma 3 11 2 2 2 3 2" xfId="41712" xr:uid="{00000000-0005-0000-0000-0000BE190000}"/>
    <cellStyle name="Comma 3 11 2 2 2 4" xfId="29407" xr:uid="{00000000-0005-0000-0000-0000BF190000}"/>
    <cellStyle name="Comma 3 11 2 2 3" xfId="12574" xr:uid="{00000000-0005-0000-0000-0000C0190000}"/>
    <cellStyle name="Comma 3 11 2 2 3 2" xfId="32494" xr:uid="{00000000-0005-0000-0000-0000C1190000}"/>
    <cellStyle name="Comma 3 11 2 2 4" xfId="18726" xr:uid="{00000000-0005-0000-0000-0000C2190000}"/>
    <cellStyle name="Comma 3 11 2 2 4 2" xfId="38646" xr:uid="{00000000-0005-0000-0000-0000C3190000}"/>
    <cellStyle name="Comma 3 11 2 2 5" xfId="26341" xr:uid="{00000000-0005-0000-0000-0000C4190000}"/>
    <cellStyle name="Comma 3 11 2 3" xfId="7912" xr:uid="{00000000-0005-0000-0000-0000C5190000}"/>
    <cellStyle name="Comma 3 11 2 3 2" xfId="14106" xr:uid="{00000000-0005-0000-0000-0000C6190000}"/>
    <cellStyle name="Comma 3 11 2 3 2 2" xfId="34026" xr:uid="{00000000-0005-0000-0000-0000C7190000}"/>
    <cellStyle name="Comma 3 11 2 3 3" xfId="20258" xr:uid="{00000000-0005-0000-0000-0000C8190000}"/>
    <cellStyle name="Comma 3 11 2 3 3 2" xfId="40178" xr:uid="{00000000-0005-0000-0000-0000C9190000}"/>
    <cellStyle name="Comma 3 11 2 3 4" xfId="27873" xr:uid="{00000000-0005-0000-0000-0000CA190000}"/>
    <cellStyle name="Comma 3 11 2 4" xfId="11040" xr:uid="{00000000-0005-0000-0000-0000CB190000}"/>
    <cellStyle name="Comma 3 11 2 4 2" xfId="30960" xr:uid="{00000000-0005-0000-0000-0000CC190000}"/>
    <cellStyle name="Comma 3 11 2 5" xfId="17192" xr:uid="{00000000-0005-0000-0000-0000CD190000}"/>
    <cellStyle name="Comma 3 11 2 5 2" xfId="37112" xr:uid="{00000000-0005-0000-0000-0000CE190000}"/>
    <cellStyle name="Comma 3 11 2 6" xfId="24807" xr:uid="{00000000-0005-0000-0000-0000CF190000}"/>
    <cellStyle name="Comma 3 11 3" xfId="5575" xr:uid="{00000000-0005-0000-0000-0000D0190000}"/>
    <cellStyle name="Comma 3 11 3 2" xfId="8678" xr:uid="{00000000-0005-0000-0000-0000D1190000}"/>
    <cellStyle name="Comma 3 11 3 2 2" xfId="14871" xr:uid="{00000000-0005-0000-0000-0000D2190000}"/>
    <cellStyle name="Comma 3 11 3 2 2 2" xfId="34791" xr:uid="{00000000-0005-0000-0000-0000D3190000}"/>
    <cellStyle name="Comma 3 11 3 2 3" xfId="21023" xr:uid="{00000000-0005-0000-0000-0000D4190000}"/>
    <cellStyle name="Comma 3 11 3 2 3 2" xfId="40943" xr:uid="{00000000-0005-0000-0000-0000D5190000}"/>
    <cellStyle name="Comma 3 11 3 2 4" xfId="28638" xr:uid="{00000000-0005-0000-0000-0000D6190000}"/>
    <cellStyle name="Comma 3 11 3 3" xfId="11805" xr:uid="{00000000-0005-0000-0000-0000D7190000}"/>
    <cellStyle name="Comma 3 11 3 3 2" xfId="31725" xr:uid="{00000000-0005-0000-0000-0000D8190000}"/>
    <cellStyle name="Comma 3 11 3 4" xfId="17957" xr:uid="{00000000-0005-0000-0000-0000D9190000}"/>
    <cellStyle name="Comma 3 11 3 4 2" xfId="37877" xr:uid="{00000000-0005-0000-0000-0000DA190000}"/>
    <cellStyle name="Comma 3 11 3 5" xfId="25572" xr:uid="{00000000-0005-0000-0000-0000DB190000}"/>
    <cellStyle name="Comma 3 11 4" xfId="7143" xr:uid="{00000000-0005-0000-0000-0000DC190000}"/>
    <cellStyle name="Comma 3 11 4 2" xfId="13337" xr:uid="{00000000-0005-0000-0000-0000DD190000}"/>
    <cellStyle name="Comma 3 11 4 2 2" xfId="33257" xr:uid="{00000000-0005-0000-0000-0000DE190000}"/>
    <cellStyle name="Comma 3 11 4 3" xfId="19489" xr:uid="{00000000-0005-0000-0000-0000DF190000}"/>
    <cellStyle name="Comma 3 11 4 3 2" xfId="39409" xr:uid="{00000000-0005-0000-0000-0000E0190000}"/>
    <cellStyle name="Comma 3 11 4 4" xfId="27104" xr:uid="{00000000-0005-0000-0000-0000E1190000}"/>
    <cellStyle name="Comma 3 11 5" xfId="10271" xr:uid="{00000000-0005-0000-0000-0000E2190000}"/>
    <cellStyle name="Comma 3 11 5 2" xfId="30191" xr:uid="{00000000-0005-0000-0000-0000E3190000}"/>
    <cellStyle name="Comma 3 11 6" xfId="16423" xr:uid="{00000000-0005-0000-0000-0000E4190000}"/>
    <cellStyle name="Comma 3 11 6 2" xfId="36343" xr:uid="{00000000-0005-0000-0000-0000E5190000}"/>
    <cellStyle name="Comma 3 11 7" xfId="1563" xr:uid="{00000000-0005-0000-0000-0000E6190000}"/>
    <cellStyle name="Comma 3 11 7 2" xfId="24038" xr:uid="{00000000-0005-0000-0000-0000E7190000}"/>
    <cellStyle name="Comma 3 12" xfId="293" xr:uid="{00000000-0005-0000-0000-0000E8190000}"/>
    <cellStyle name="Comma 3 12 2" xfId="4737" xr:uid="{00000000-0005-0000-0000-0000E9190000}"/>
    <cellStyle name="Comma 3 12 2 2" xfId="6362" xr:uid="{00000000-0005-0000-0000-0000EA190000}"/>
    <cellStyle name="Comma 3 12 2 2 2" xfId="9448" xr:uid="{00000000-0005-0000-0000-0000EB190000}"/>
    <cellStyle name="Comma 3 12 2 2 2 2" xfId="15641" xr:uid="{00000000-0005-0000-0000-0000EC190000}"/>
    <cellStyle name="Comma 3 12 2 2 2 2 2" xfId="35561" xr:uid="{00000000-0005-0000-0000-0000ED190000}"/>
    <cellStyle name="Comma 3 12 2 2 2 3" xfId="21793" xr:uid="{00000000-0005-0000-0000-0000EE190000}"/>
    <cellStyle name="Comma 3 12 2 2 2 3 2" xfId="41713" xr:uid="{00000000-0005-0000-0000-0000EF190000}"/>
    <cellStyle name="Comma 3 12 2 2 2 4" xfId="29408" xr:uid="{00000000-0005-0000-0000-0000F0190000}"/>
    <cellStyle name="Comma 3 12 2 2 3" xfId="12575" xr:uid="{00000000-0005-0000-0000-0000F1190000}"/>
    <cellStyle name="Comma 3 12 2 2 3 2" xfId="32495" xr:uid="{00000000-0005-0000-0000-0000F2190000}"/>
    <cellStyle name="Comma 3 12 2 2 4" xfId="18727" xr:uid="{00000000-0005-0000-0000-0000F3190000}"/>
    <cellStyle name="Comma 3 12 2 2 4 2" xfId="38647" xr:uid="{00000000-0005-0000-0000-0000F4190000}"/>
    <cellStyle name="Comma 3 12 2 2 5" xfId="26342" xr:uid="{00000000-0005-0000-0000-0000F5190000}"/>
    <cellStyle name="Comma 3 12 2 3" xfId="7913" xr:uid="{00000000-0005-0000-0000-0000F6190000}"/>
    <cellStyle name="Comma 3 12 2 3 2" xfId="14107" xr:uid="{00000000-0005-0000-0000-0000F7190000}"/>
    <cellStyle name="Comma 3 12 2 3 2 2" xfId="34027" xr:uid="{00000000-0005-0000-0000-0000F8190000}"/>
    <cellStyle name="Comma 3 12 2 3 3" xfId="20259" xr:uid="{00000000-0005-0000-0000-0000F9190000}"/>
    <cellStyle name="Comma 3 12 2 3 3 2" xfId="40179" xr:uid="{00000000-0005-0000-0000-0000FA190000}"/>
    <cellStyle name="Comma 3 12 2 3 4" xfId="27874" xr:uid="{00000000-0005-0000-0000-0000FB190000}"/>
    <cellStyle name="Comma 3 12 2 4" xfId="11041" xr:uid="{00000000-0005-0000-0000-0000FC190000}"/>
    <cellStyle name="Comma 3 12 2 4 2" xfId="30961" xr:uid="{00000000-0005-0000-0000-0000FD190000}"/>
    <cellStyle name="Comma 3 12 2 5" xfId="17193" xr:uid="{00000000-0005-0000-0000-0000FE190000}"/>
    <cellStyle name="Comma 3 12 2 5 2" xfId="37113" xr:uid="{00000000-0005-0000-0000-0000FF190000}"/>
    <cellStyle name="Comma 3 12 2 6" xfId="24808" xr:uid="{00000000-0005-0000-0000-0000001A0000}"/>
    <cellStyle name="Comma 3 12 3" xfId="5576" xr:uid="{00000000-0005-0000-0000-0000011A0000}"/>
    <cellStyle name="Comma 3 12 3 2" xfId="8679" xr:uid="{00000000-0005-0000-0000-0000021A0000}"/>
    <cellStyle name="Comma 3 12 3 2 2" xfId="14872" xr:uid="{00000000-0005-0000-0000-0000031A0000}"/>
    <cellStyle name="Comma 3 12 3 2 2 2" xfId="34792" xr:uid="{00000000-0005-0000-0000-0000041A0000}"/>
    <cellStyle name="Comma 3 12 3 2 3" xfId="21024" xr:uid="{00000000-0005-0000-0000-0000051A0000}"/>
    <cellStyle name="Comma 3 12 3 2 3 2" xfId="40944" xr:uid="{00000000-0005-0000-0000-0000061A0000}"/>
    <cellStyle name="Comma 3 12 3 2 4" xfId="28639" xr:uid="{00000000-0005-0000-0000-0000071A0000}"/>
    <cellStyle name="Comma 3 12 3 3" xfId="11806" xr:uid="{00000000-0005-0000-0000-0000081A0000}"/>
    <cellStyle name="Comma 3 12 3 3 2" xfId="31726" xr:uid="{00000000-0005-0000-0000-0000091A0000}"/>
    <cellStyle name="Comma 3 12 3 4" xfId="17958" xr:uid="{00000000-0005-0000-0000-00000A1A0000}"/>
    <cellStyle name="Comma 3 12 3 4 2" xfId="37878" xr:uid="{00000000-0005-0000-0000-00000B1A0000}"/>
    <cellStyle name="Comma 3 12 3 5" xfId="25573" xr:uid="{00000000-0005-0000-0000-00000C1A0000}"/>
    <cellStyle name="Comma 3 12 4" xfId="7144" xr:uid="{00000000-0005-0000-0000-00000D1A0000}"/>
    <cellStyle name="Comma 3 12 4 2" xfId="13338" xr:uid="{00000000-0005-0000-0000-00000E1A0000}"/>
    <cellStyle name="Comma 3 12 4 2 2" xfId="33258" xr:uid="{00000000-0005-0000-0000-00000F1A0000}"/>
    <cellStyle name="Comma 3 12 4 3" xfId="19490" xr:uid="{00000000-0005-0000-0000-0000101A0000}"/>
    <cellStyle name="Comma 3 12 4 3 2" xfId="39410" xr:uid="{00000000-0005-0000-0000-0000111A0000}"/>
    <cellStyle name="Comma 3 12 4 4" xfId="27105" xr:uid="{00000000-0005-0000-0000-0000121A0000}"/>
    <cellStyle name="Comma 3 12 5" xfId="10272" xr:uid="{00000000-0005-0000-0000-0000131A0000}"/>
    <cellStyle name="Comma 3 12 5 2" xfId="30192" xr:uid="{00000000-0005-0000-0000-0000141A0000}"/>
    <cellStyle name="Comma 3 12 6" xfId="16424" xr:uid="{00000000-0005-0000-0000-0000151A0000}"/>
    <cellStyle name="Comma 3 12 6 2" xfId="36344" xr:uid="{00000000-0005-0000-0000-0000161A0000}"/>
    <cellStyle name="Comma 3 12 7" xfId="1564" xr:uid="{00000000-0005-0000-0000-0000171A0000}"/>
    <cellStyle name="Comma 3 12 7 2" xfId="24039" xr:uid="{00000000-0005-0000-0000-0000181A0000}"/>
    <cellStyle name="Comma 3 13" xfId="305" xr:uid="{00000000-0005-0000-0000-0000191A0000}"/>
    <cellStyle name="Comma 3 13 2" xfId="4738" xr:uid="{00000000-0005-0000-0000-00001A1A0000}"/>
    <cellStyle name="Comma 3 13 2 2" xfId="6363" xr:uid="{00000000-0005-0000-0000-00001B1A0000}"/>
    <cellStyle name="Comma 3 13 2 2 2" xfId="9449" xr:uid="{00000000-0005-0000-0000-00001C1A0000}"/>
    <cellStyle name="Comma 3 13 2 2 2 2" xfId="15642" xr:uid="{00000000-0005-0000-0000-00001D1A0000}"/>
    <cellStyle name="Comma 3 13 2 2 2 2 2" xfId="35562" xr:uid="{00000000-0005-0000-0000-00001E1A0000}"/>
    <cellStyle name="Comma 3 13 2 2 2 3" xfId="21794" xr:uid="{00000000-0005-0000-0000-00001F1A0000}"/>
    <cellStyle name="Comma 3 13 2 2 2 3 2" xfId="41714" xr:uid="{00000000-0005-0000-0000-0000201A0000}"/>
    <cellStyle name="Comma 3 13 2 2 2 4" xfId="29409" xr:uid="{00000000-0005-0000-0000-0000211A0000}"/>
    <cellStyle name="Comma 3 13 2 2 3" xfId="12576" xr:uid="{00000000-0005-0000-0000-0000221A0000}"/>
    <cellStyle name="Comma 3 13 2 2 3 2" xfId="32496" xr:uid="{00000000-0005-0000-0000-0000231A0000}"/>
    <cellStyle name="Comma 3 13 2 2 4" xfId="18728" xr:uid="{00000000-0005-0000-0000-0000241A0000}"/>
    <cellStyle name="Comma 3 13 2 2 4 2" xfId="38648" xr:uid="{00000000-0005-0000-0000-0000251A0000}"/>
    <cellStyle name="Comma 3 13 2 2 5" xfId="26343" xr:uid="{00000000-0005-0000-0000-0000261A0000}"/>
    <cellStyle name="Comma 3 13 2 3" xfId="7914" xr:uid="{00000000-0005-0000-0000-0000271A0000}"/>
    <cellStyle name="Comma 3 13 2 3 2" xfId="14108" xr:uid="{00000000-0005-0000-0000-0000281A0000}"/>
    <cellStyle name="Comma 3 13 2 3 2 2" xfId="34028" xr:uid="{00000000-0005-0000-0000-0000291A0000}"/>
    <cellStyle name="Comma 3 13 2 3 3" xfId="20260" xr:uid="{00000000-0005-0000-0000-00002A1A0000}"/>
    <cellStyle name="Comma 3 13 2 3 3 2" xfId="40180" xr:uid="{00000000-0005-0000-0000-00002B1A0000}"/>
    <cellStyle name="Comma 3 13 2 3 4" xfId="27875" xr:uid="{00000000-0005-0000-0000-00002C1A0000}"/>
    <cellStyle name="Comma 3 13 2 4" xfId="11042" xr:uid="{00000000-0005-0000-0000-00002D1A0000}"/>
    <cellStyle name="Comma 3 13 2 4 2" xfId="30962" xr:uid="{00000000-0005-0000-0000-00002E1A0000}"/>
    <cellStyle name="Comma 3 13 2 5" xfId="17194" xr:uid="{00000000-0005-0000-0000-00002F1A0000}"/>
    <cellStyle name="Comma 3 13 2 5 2" xfId="37114" xr:uid="{00000000-0005-0000-0000-0000301A0000}"/>
    <cellStyle name="Comma 3 13 2 6" xfId="24809" xr:uid="{00000000-0005-0000-0000-0000311A0000}"/>
    <cellStyle name="Comma 3 13 3" xfId="5577" xr:uid="{00000000-0005-0000-0000-0000321A0000}"/>
    <cellStyle name="Comma 3 13 3 2" xfId="8680" xr:uid="{00000000-0005-0000-0000-0000331A0000}"/>
    <cellStyle name="Comma 3 13 3 2 2" xfId="14873" xr:uid="{00000000-0005-0000-0000-0000341A0000}"/>
    <cellStyle name="Comma 3 13 3 2 2 2" xfId="34793" xr:uid="{00000000-0005-0000-0000-0000351A0000}"/>
    <cellStyle name="Comma 3 13 3 2 3" xfId="21025" xr:uid="{00000000-0005-0000-0000-0000361A0000}"/>
    <cellStyle name="Comma 3 13 3 2 3 2" xfId="40945" xr:uid="{00000000-0005-0000-0000-0000371A0000}"/>
    <cellStyle name="Comma 3 13 3 2 4" xfId="28640" xr:uid="{00000000-0005-0000-0000-0000381A0000}"/>
    <cellStyle name="Comma 3 13 3 3" xfId="11807" xr:uid="{00000000-0005-0000-0000-0000391A0000}"/>
    <cellStyle name="Comma 3 13 3 3 2" xfId="31727" xr:uid="{00000000-0005-0000-0000-00003A1A0000}"/>
    <cellStyle name="Comma 3 13 3 4" xfId="17959" xr:uid="{00000000-0005-0000-0000-00003B1A0000}"/>
    <cellStyle name="Comma 3 13 3 4 2" xfId="37879" xr:uid="{00000000-0005-0000-0000-00003C1A0000}"/>
    <cellStyle name="Comma 3 13 3 5" xfId="25574" xr:uid="{00000000-0005-0000-0000-00003D1A0000}"/>
    <cellStyle name="Comma 3 13 4" xfId="7145" xr:uid="{00000000-0005-0000-0000-00003E1A0000}"/>
    <cellStyle name="Comma 3 13 4 2" xfId="13339" xr:uid="{00000000-0005-0000-0000-00003F1A0000}"/>
    <cellStyle name="Comma 3 13 4 2 2" xfId="33259" xr:uid="{00000000-0005-0000-0000-0000401A0000}"/>
    <cellStyle name="Comma 3 13 4 3" xfId="19491" xr:uid="{00000000-0005-0000-0000-0000411A0000}"/>
    <cellStyle name="Comma 3 13 4 3 2" xfId="39411" xr:uid="{00000000-0005-0000-0000-0000421A0000}"/>
    <cellStyle name="Comma 3 13 4 4" xfId="27106" xr:uid="{00000000-0005-0000-0000-0000431A0000}"/>
    <cellStyle name="Comma 3 13 5" xfId="10273" xr:uid="{00000000-0005-0000-0000-0000441A0000}"/>
    <cellStyle name="Comma 3 13 5 2" xfId="30193" xr:uid="{00000000-0005-0000-0000-0000451A0000}"/>
    <cellStyle name="Comma 3 13 6" xfId="16425" xr:uid="{00000000-0005-0000-0000-0000461A0000}"/>
    <cellStyle name="Comma 3 13 6 2" xfId="36345" xr:uid="{00000000-0005-0000-0000-0000471A0000}"/>
    <cellStyle name="Comma 3 13 7" xfId="1565" xr:uid="{00000000-0005-0000-0000-0000481A0000}"/>
    <cellStyle name="Comma 3 13 7 2" xfId="24040" xr:uid="{00000000-0005-0000-0000-0000491A0000}"/>
    <cellStyle name="Comma 3 14" xfId="317" xr:uid="{00000000-0005-0000-0000-00004A1A0000}"/>
    <cellStyle name="Comma 3 14 2" xfId="4739" xr:uid="{00000000-0005-0000-0000-00004B1A0000}"/>
    <cellStyle name="Comma 3 14 2 2" xfId="6364" xr:uid="{00000000-0005-0000-0000-00004C1A0000}"/>
    <cellStyle name="Comma 3 14 2 2 2" xfId="9450" xr:uid="{00000000-0005-0000-0000-00004D1A0000}"/>
    <cellStyle name="Comma 3 14 2 2 2 2" xfId="15643" xr:uid="{00000000-0005-0000-0000-00004E1A0000}"/>
    <cellStyle name="Comma 3 14 2 2 2 2 2" xfId="35563" xr:uid="{00000000-0005-0000-0000-00004F1A0000}"/>
    <cellStyle name="Comma 3 14 2 2 2 3" xfId="21795" xr:uid="{00000000-0005-0000-0000-0000501A0000}"/>
    <cellStyle name="Comma 3 14 2 2 2 3 2" xfId="41715" xr:uid="{00000000-0005-0000-0000-0000511A0000}"/>
    <cellStyle name="Comma 3 14 2 2 2 4" xfId="29410" xr:uid="{00000000-0005-0000-0000-0000521A0000}"/>
    <cellStyle name="Comma 3 14 2 2 3" xfId="12577" xr:uid="{00000000-0005-0000-0000-0000531A0000}"/>
    <cellStyle name="Comma 3 14 2 2 3 2" xfId="32497" xr:uid="{00000000-0005-0000-0000-0000541A0000}"/>
    <cellStyle name="Comma 3 14 2 2 4" xfId="18729" xr:uid="{00000000-0005-0000-0000-0000551A0000}"/>
    <cellStyle name="Comma 3 14 2 2 4 2" xfId="38649" xr:uid="{00000000-0005-0000-0000-0000561A0000}"/>
    <cellStyle name="Comma 3 14 2 2 5" xfId="26344" xr:uid="{00000000-0005-0000-0000-0000571A0000}"/>
    <cellStyle name="Comma 3 14 2 3" xfId="7915" xr:uid="{00000000-0005-0000-0000-0000581A0000}"/>
    <cellStyle name="Comma 3 14 2 3 2" xfId="14109" xr:uid="{00000000-0005-0000-0000-0000591A0000}"/>
    <cellStyle name="Comma 3 14 2 3 2 2" xfId="34029" xr:uid="{00000000-0005-0000-0000-00005A1A0000}"/>
    <cellStyle name="Comma 3 14 2 3 3" xfId="20261" xr:uid="{00000000-0005-0000-0000-00005B1A0000}"/>
    <cellStyle name="Comma 3 14 2 3 3 2" xfId="40181" xr:uid="{00000000-0005-0000-0000-00005C1A0000}"/>
    <cellStyle name="Comma 3 14 2 3 4" xfId="27876" xr:uid="{00000000-0005-0000-0000-00005D1A0000}"/>
    <cellStyle name="Comma 3 14 2 4" xfId="11043" xr:uid="{00000000-0005-0000-0000-00005E1A0000}"/>
    <cellStyle name="Comma 3 14 2 4 2" xfId="30963" xr:uid="{00000000-0005-0000-0000-00005F1A0000}"/>
    <cellStyle name="Comma 3 14 2 5" xfId="17195" xr:uid="{00000000-0005-0000-0000-0000601A0000}"/>
    <cellStyle name="Comma 3 14 2 5 2" xfId="37115" xr:uid="{00000000-0005-0000-0000-0000611A0000}"/>
    <cellStyle name="Comma 3 14 2 6" xfId="24810" xr:uid="{00000000-0005-0000-0000-0000621A0000}"/>
    <cellStyle name="Comma 3 14 3" xfId="5578" xr:uid="{00000000-0005-0000-0000-0000631A0000}"/>
    <cellStyle name="Comma 3 14 3 2" xfId="8681" xr:uid="{00000000-0005-0000-0000-0000641A0000}"/>
    <cellStyle name="Comma 3 14 3 2 2" xfId="14874" xr:uid="{00000000-0005-0000-0000-0000651A0000}"/>
    <cellStyle name="Comma 3 14 3 2 2 2" xfId="34794" xr:uid="{00000000-0005-0000-0000-0000661A0000}"/>
    <cellStyle name="Comma 3 14 3 2 3" xfId="21026" xr:uid="{00000000-0005-0000-0000-0000671A0000}"/>
    <cellStyle name="Comma 3 14 3 2 3 2" xfId="40946" xr:uid="{00000000-0005-0000-0000-0000681A0000}"/>
    <cellStyle name="Comma 3 14 3 2 4" xfId="28641" xr:uid="{00000000-0005-0000-0000-0000691A0000}"/>
    <cellStyle name="Comma 3 14 3 3" xfId="11808" xr:uid="{00000000-0005-0000-0000-00006A1A0000}"/>
    <cellStyle name="Comma 3 14 3 3 2" xfId="31728" xr:uid="{00000000-0005-0000-0000-00006B1A0000}"/>
    <cellStyle name="Comma 3 14 3 4" xfId="17960" xr:uid="{00000000-0005-0000-0000-00006C1A0000}"/>
    <cellStyle name="Comma 3 14 3 4 2" xfId="37880" xr:uid="{00000000-0005-0000-0000-00006D1A0000}"/>
    <cellStyle name="Comma 3 14 3 5" xfId="25575" xr:uid="{00000000-0005-0000-0000-00006E1A0000}"/>
    <cellStyle name="Comma 3 14 4" xfId="7146" xr:uid="{00000000-0005-0000-0000-00006F1A0000}"/>
    <cellStyle name="Comma 3 14 4 2" xfId="13340" xr:uid="{00000000-0005-0000-0000-0000701A0000}"/>
    <cellStyle name="Comma 3 14 4 2 2" xfId="33260" xr:uid="{00000000-0005-0000-0000-0000711A0000}"/>
    <cellStyle name="Comma 3 14 4 3" xfId="19492" xr:uid="{00000000-0005-0000-0000-0000721A0000}"/>
    <cellStyle name="Comma 3 14 4 3 2" xfId="39412" xr:uid="{00000000-0005-0000-0000-0000731A0000}"/>
    <cellStyle name="Comma 3 14 4 4" xfId="27107" xr:uid="{00000000-0005-0000-0000-0000741A0000}"/>
    <cellStyle name="Comma 3 14 5" xfId="10274" xr:uid="{00000000-0005-0000-0000-0000751A0000}"/>
    <cellStyle name="Comma 3 14 5 2" xfId="30194" xr:uid="{00000000-0005-0000-0000-0000761A0000}"/>
    <cellStyle name="Comma 3 14 6" xfId="16426" xr:uid="{00000000-0005-0000-0000-0000771A0000}"/>
    <cellStyle name="Comma 3 14 6 2" xfId="36346" xr:uid="{00000000-0005-0000-0000-0000781A0000}"/>
    <cellStyle name="Comma 3 14 7" xfId="1566" xr:uid="{00000000-0005-0000-0000-0000791A0000}"/>
    <cellStyle name="Comma 3 14 7 2" xfId="24041" xr:uid="{00000000-0005-0000-0000-00007A1A0000}"/>
    <cellStyle name="Comma 3 15" xfId="338" xr:uid="{00000000-0005-0000-0000-00007B1A0000}"/>
    <cellStyle name="Comma 3 15 2" xfId="4740" xr:uid="{00000000-0005-0000-0000-00007C1A0000}"/>
    <cellStyle name="Comma 3 15 2 2" xfId="6365" xr:uid="{00000000-0005-0000-0000-00007D1A0000}"/>
    <cellStyle name="Comma 3 15 2 2 2" xfId="9451" xr:uid="{00000000-0005-0000-0000-00007E1A0000}"/>
    <cellStyle name="Comma 3 15 2 2 2 2" xfId="15644" xr:uid="{00000000-0005-0000-0000-00007F1A0000}"/>
    <cellStyle name="Comma 3 15 2 2 2 2 2" xfId="35564" xr:uid="{00000000-0005-0000-0000-0000801A0000}"/>
    <cellStyle name="Comma 3 15 2 2 2 3" xfId="21796" xr:uid="{00000000-0005-0000-0000-0000811A0000}"/>
    <cellStyle name="Comma 3 15 2 2 2 3 2" xfId="41716" xr:uid="{00000000-0005-0000-0000-0000821A0000}"/>
    <cellStyle name="Comma 3 15 2 2 2 4" xfId="29411" xr:uid="{00000000-0005-0000-0000-0000831A0000}"/>
    <cellStyle name="Comma 3 15 2 2 3" xfId="12578" xr:uid="{00000000-0005-0000-0000-0000841A0000}"/>
    <cellStyle name="Comma 3 15 2 2 3 2" xfId="32498" xr:uid="{00000000-0005-0000-0000-0000851A0000}"/>
    <cellStyle name="Comma 3 15 2 2 4" xfId="18730" xr:uid="{00000000-0005-0000-0000-0000861A0000}"/>
    <cellStyle name="Comma 3 15 2 2 4 2" xfId="38650" xr:uid="{00000000-0005-0000-0000-0000871A0000}"/>
    <cellStyle name="Comma 3 15 2 2 5" xfId="26345" xr:uid="{00000000-0005-0000-0000-0000881A0000}"/>
    <cellStyle name="Comma 3 15 2 3" xfId="7916" xr:uid="{00000000-0005-0000-0000-0000891A0000}"/>
    <cellStyle name="Comma 3 15 2 3 2" xfId="14110" xr:uid="{00000000-0005-0000-0000-00008A1A0000}"/>
    <cellStyle name="Comma 3 15 2 3 2 2" xfId="34030" xr:uid="{00000000-0005-0000-0000-00008B1A0000}"/>
    <cellStyle name="Comma 3 15 2 3 3" xfId="20262" xr:uid="{00000000-0005-0000-0000-00008C1A0000}"/>
    <cellStyle name="Comma 3 15 2 3 3 2" xfId="40182" xr:uid="{00000000-0005-0000-0000-00008D1A0000}"/>
    <cellStyle name="Comma 3 15 2 3 4" xfId="27877" xr:uid="{00000000-0005-0000-0000-00008E1A0000}"/>
    <cellStyle name="Comma 3 15 2 4" xfId="11044" xr:uid="{00000000-0005-0000-0000-00008F1A0000}"/>
    <cellStyle name="Comma 3 15 2 4 2" xfId="30964" xr:uid="{00000000-0005-0000-0000-0000901A0000}"/>
    <cellStyle name="Comma 3 15 2 5" xfId="17196" xr:uid="{00000000-0005-0000-0000-0000911A0000}"/>
    <cellStyle name="Comma 3 15 2 5 2" xfId="37116" xr:uid="{00000000-0005-0000-0000-0000921A0000}"/>
    <cellStyle name="Comma 3 15 2 6" xfId="24811" xr:uid="{00000000-0005-0000-0000-0000931A0000}"/>
    <cellStyle name="Comma 3 15 3" xfId="5579" xr:uid="{00000000-0005-0000-0000-0000941A0000}"/>
    <cellStyle name="Comma 3 15 3 2" xfId="8682" xr:uid="{00000000-0005-0000-0000-0000951A0000}"/>
    <cellStyle name="Comma 3 15 3 2 2" xfId="14875" xr:uid="{00000000-0005-0000-0000-0000961A0000}"/>
    <cellStyle name="Comma 3 15 3 2 2 2" xfId="34795" xr:uid="{00000000-0005-0000-0000-0000971A0000}"/>
    <cellStyle name="Comma 3 15 3 2 3" xfId="21027" xr:uid="{00000000-0005-0000-0000-0000981A0000}"/>
    <cellStyle name="Comma 3 15 3 2 3 2" xfId="40947" xr:uid="{00000000-0005-0000-0000-0000991A0000}"/>
    <cellStyle name="Comma 3 15 3 2 4" xfId="28642" xr:uid="{00000000-0005-0000-0000-00009A1A0000}"/>
    <cellStyle name="Comma 3 15 3 3" xfId="11809" xr:uid="{00000000-0005-0000-0000-00009B1A0000}"/>
    <cellStyle name="Comma 3 15 3 3 2" xfId="31729" xr:uid="{00000000-0005-0000-0000-00009C1A0000}"/>
    <cellStyle name="Comma 3 15 3 4" xfId="17961" xr:uid="{00000000-0005-0000-0000-00009D1A0000}"/>
    <cellStyle name="Comma 3 15 3 4 2" xfId="37881" xr:uid="{00000000-0005-0000-0000-00009E1A0000}"/>
    <cellStyle name="Comma 3 15 3 5" xfId="25576" xr:uid="{00000000-0005-0000-0000-00009F1A0000}"/>
    <cellStyle name="Comma 3 15 4" xfId="7147" xr:uid="{00000000-0005-0000-0000-0000A01A0000}"/>
    <cellStyle name="Comma 3 15 4 2" xfId="13341" xr:uid="{00000000-0005-0000-0000-0000A11A0000}"/>
    <cellStyle name="Comma 3 15 4 2 2" xfId="33261" xr:uid="{00000000-0005-0000-0000-0000A21A0000}"/>
    <cellStyle name="Comma 3 15 4 3" xfId="19493" xr:uid="{00000000-0005-0000-0000-0000A31A0000}"/>
    <cellStyle name="Comma 3 15 4 3 2" xfId="39413" xr:uid="{00000000-0005-0000-0000-0000A41A0000}"/>
    <cellStyle name="Comma 3 15 4 4" xfId="27108" xr:uid="{00000000-0005-0000-0000-0000A51A0000}"/>
    <cellStyle name="Comma 3 15 5" xfId="10275" xr:uid="{00000000-0005-0000-0000-0000A61A0000}"/>
    <cellStyle name="Comma 3 15 5 2" xfId="30195" xr:uid="{00000000-0005-0000-0000-0000A71A0000}"/>
    <cellStyle name="Comma 3 15 6" xfId="16427" xr:uid="{00000000-0005-0000-0000-0000A81A0000}"/>
    <cellStyle name="Comma 3 15 6 2" xfId="36347" xr:uid="{00000000-0005-0000-0000-0000A91A0000}"/>
    <cellStyle name="Comma 3 15 7" xfId="1567" xr:uid="{00000000-0005-0000-0000-0000AA1A0000}"/>
    <cellStyle name="Comma 3 15 7 2" xfId="24042" xr:uid="{00000000-0005-0000-0000-0000AB1A0000}"/>
    <cellStyle name="Comma 3 16" xfId="355" xr:uid="{00000000-0005-0000-0000-0000AC1A0000}"/>
    <cellStyle name="Comma 3 16 2" xfId="4741" xr:uid="{00000000-0005-0000-0000-0000AD1A0000}"/>
    <cellStyle name="Comma 3 16 2 2" xfId="6366" xr:uid="{00000000-0005-0000-0000-0000AE1A0000}"/>
    <cellStyle name="Comma 3 16 2 2 2" xfId="9452" xr:uid="{00000000-0005-0000-0000-0000AF1A0000}"/>
    <cellStyle name="Comma 3 16 2 2 2 2" xfId="15645" xr:uid="{00000000-0005-0000-0000-0000B01A0000}"/>
    <cellStyle name="Comma 3 16 2 2 2 2 2" xfId="35565" xr:uid="{00000000-0005-0000-0000-0000B11A0000}"/>
    <cellStyle name="Comma 3 16 2 2 2 3" xfId="21797" xr:uid="{00000000-0005-0000-0000-0000B21A0000}"/>
    <cellStyle name="Comma 3 16 2 2 2 3 2" xfId="41717" xr:uid="{00000000-0005-0000-0000-0000B31A0000}"/>
    <cellStyle name="Comma 3 16 2 2 2 4" xfId="29412" xr:uid="{00000000-0005-0000-0000-0000B41A0000}"/>
    <cellStyle name="Comma 3 16 2 2 3" xfId="12579" xr:uid="{00000000-0005-0000-0000-0000B51A0000}"/>
    <cellStyle name="Comma 3 16 2 2 3 2" xfId="32499" xr:uid="{00000000-0005-0000-0000-0000B61A0000}"/>
    <cellStyle name="Comma 3 16 2 2 4" xfId="18731" xr:uid="{00000000-0005-0000-0000-0000B71A0000}"/>
    <cellStyle name="Comma 3 16 2 2 4 2" xfId="38651" xr:uid="{00000000-0005-0000-0000-0000B81A0000}"/>
    <cellStyle name="Comma 3 16 2 2 5" xfId="26346" xr:uid="{00000000-0005-0000-0000-0000B91A0000}"/>
    <cellStyle name="Comma 3 16 2 3" xfId="7917" xr:uid="{00000000-0005-0000-0000-0000BA1A0000}"/>
    <cellStyle name="Comma 3 16 2 3 2" xfId="14111" xr:uid="{00000000-0005-0000-0000-0000BB1A0000}"/>
    <cellStyle name="Comma 3 16 2 3 2 2" xfId="34031" xr:uid="{00000000-0005-0000-0000-0000BC1A0000}"/>
    <cellStyle name="Comma 3 16 2 3 3" xfId="20263" xr:uid="{00000000-0005-0000-0000-0000BD1A0000}"/>
    <cellStyle name="Comma 3 16 2 3 3 2" xfId="40183" xr:uid="{00000000-0005-0000-0000-0000BE1A0000}"/>
    <cellStyle name="Comma 3 16 2 3 4" xfId="27878" xr:uid="{00000000-0005-0000-0000-0000BF1A0000}"/>
    <cellStyle name="Comma 3 16 2 4" xfId="11045" xr:uid="{00000000-0005-0000-0000-0000C01A0000}"/>
    <cellStyle name="Comma 3 16 2 4 2" xfId="30965" xr:uid="{00000000-0005-0000-0000-0000C11A0000}"/>
    <cellStyle name="Comma 3 16 2 5" xfId="17197" xr:uid="{00000000-0005-0000-0000-0000C21A0000}"/>
    <cellStyle name="Comma 3 16 2 5 2" xfId="37117" xr:uid="{00000000-0005-0000-0000-0000C31A0000}"/>
    <cellStyle name="Comma 3 16 2 6" xfId="24812" xr:uid="{00000000-0005-0000-0000-0000C41A0000}"/>
    <cellStyle name="Comma 3 16 3" xfId="5580" xr:uid="{00000000-0005-0000-0000-0000C51A0000}"/>
    <cellStyle name="Comma 3 16 3 2" xfId="8683" xr:uid="{00000000-0005-0000-0000-0000C61A0000}"/>
    <cellStyle name="Comma 3 16 3 2 2" xfId="14876" xr:uid="{00000000-0005-0000-0000-0000C71A0000}"/>
    <cellStyle name="Comma 3 16 3 2 2 2" xfId="34796" xr:uid="{00000000-0005-0000-0000-0000C81A0000}"/>
    <cellStyle name="Comma 3 16 3 2 3" xfId="21028" xr:uid="{00000000-0005-0000-0000-0000C91A0000}"/>
    <cellStyle name="Comma 3 16 3 2 3 2" xfId="40948" xr:uid="{00000000-0005-0000-0000-0000CA1A0000}"/>
    <cellStyle name="Comma 3 16 3 2 4" xfId="28643" xr:uid="{00000000-0005-0000-0000-0000CB1A0000}"/>
    <cellStyle name="Comma 3 16 3 3" xfId="11810" xr:uid="{00000000-0005-0000-0000-0000CC1A0000}"/>
    <cellStyle name="Comma 3 16 3 3 2" xfId="31730" xr:uid="{00000000-0005-0000-0000-0000CD1A0000}"/>
    <cellStyle name="Comma 3 16 3 4" xfId="17962" xr:uid="{00000000-0005-0000-0000-0000CE1A0000}"/>
    <cellStyle name="Comma 3 16 3 4 2" xfId="37882" xr:uid="{00000000-0005-0000-0000-0000CF1A0000}"/>
    <cellStyle name="Comma 3 16 3 5" xfId="25577" xr:uid="{00000000-0005-0000-0000-0000D01A0000}"/>
    <cellStyle name="Comma 3 16 4" xfId="7148" xr:uid="{00000000-0005-0000-0000-0000D11A0000}"/>
    <cellStyle name="Comma 3 16 4 2" xfId="13342" xr:uid="{00000000-0005-0000-0000-0000D21A0000}"/>
    <cellStyle name="Comma 3 16 4 2 2" xfId="33262" xr:uid="{00000000-0005-0000-0000-0000D31A0000}"/>
    <cellStyle name="Comma 3 16 4 3" xfId="19494" xr:uid="{00000000-0005-0000-0000-0000D41A0000}"/>
    <cellStyle name="Comma 3 16 4 3 2" xfId="39414" xr:uid="{00000000-0005-0000-0000-0000D51A0000}"/>
    <cellStyle name="Comma 3 16 4 4" xfId="27109" xr:uid="{00000000-0005-0000-0000-0000D61A0000}"/>
    <cellStyle name="Comma 3 16 5" xfId="10276" xr:uid="{00000000-0005-0000-0000-0000D71A0000}"/>
    <cellStyle name="Comma 3 16 5 2" xfId="30196" xr:uid="{00000000-0005-0000-0000-0000D81A0000}"/>
    <cellStyle name="Comma 3 16 6" xfId="16428" xr:uid="{00000000-0005-0000-0000-0000D91A0000}"/>
    <cellStyle name="Comma 3 16 6 2" xfId="36348" xr:uid="{00000000-0005-0000-0000-0000DA1A0000}"/>
    <cellStyle name="Comma 3 16 7" xfId="1568" xr:uid="{00000000-0005-0000-0000-0000DB1A0000}"/>
    <cellStyle name="Comma 3 16 7 2" xfId="24043" xr:uid="{00000000-0005-0000-0000-0000DC1A0000}"/>
    <cellStyle name="Comma 3 17" xfId="369" xr:uid="{00000000-0005-0000-0000-0000DD1A0000}"/>
    <cellStyle name="Comma 3 17 2" xfId="4742" xr:uid="{00000000-0005-0000-0000-0000DE1A0000}"/>
    <cellStyle name="Comma 3 17 2 2" xfId="6367" xr:uid="{00000000-0005-0000-0000-0000DF1A0000}"/>
    <cellStyle name="Comma 3 17 2 2 2" xfId="9453" xr:uid="{00000000-0005-0000-0000-0000E01A0000}"/>
    <cellStyle name="Comma 3 17 2 2 2 2" xfId="15646" xr:uid="{00000000-0005-0000-0000-0000E11A0000}"/>
    <cellStyle name="Comma 3 17 2 2 2 2 2" xfId="35566" xr:uid="{00000000-0005-0000-0000-0000E21A0000}"/>
    <cellStyle name="Comma 3 17 2 2 2 3" xfId="21798" xr:uid="{00000000-0005-0000-0000-0000E31A0000}"/>
    <cellStyle name="Comma 3 17 2 2 2 3 2" xfId="41718" xr:uid="{00000000-0005-0000-0000-0000E41A0000}"/>
    <cellStyle name="Comma 3 17 2 2 2 4" xfId="29413" xr:uid="{00000000-0005-0000-0000-0000E51A0000}"/>
    <cellStyle name="Comma 3 17 2 2 3" xfId="12580" xr:uid="{00000000-0005-0000-0000-0000E61A0000}"/>
    <cellStyle name="Comma 3 17 2 2 3 2" xfId="32500" xr:uid="{00000000-0005-0000-0000-0000E71A0000}"/>
    <cellStyle name="Comma 3 17 2 2 4" xfId="18732" xr:uid="{00000000-0005-0000-0000-0000E81A0000}"/>
    <cellStyle name="Comma 3 17 2 2 4 2" xfId="38652" xr:uid="{00000000-0005-0000-0000-0000E91A0000}"/>
    <cellStyle name="Comma 3 17 2 2 5" xfId="26347" xr:uid="{00000000-0005-0000-0000-0000EA1A0000}"/>
    <cellStyle name="Comma 3 17 2 3" xfId="7918" xr:uid="{00000000-0005-0000-0000-0000EB1A0000}"/>
    <cellStyle name="Comma 3 17 2 3 2" xfId="14112" xr:uid="{00000000-0005-0000-0000-0000EC1A0000}"/>
    <cellStyle name="Comma 3 17 2 3 2 2" xfId="34032" xr:uid="{00000000-0005-0000-0000-0000ED1A0000}"/>
    <cellStyle name="Comma 3 17 2 3 3" xfId="20264" xr:uid="{00000000-0005-0000-0000-0000EE1A0000}"/>
    <cellStyle name="Comma 3 17 2 3 3 2" xfId="40184" xr:uid="{00000000-0005-0000-0000-0000EF1A0000}"/>
    <cellStyle name="Comma 3 17 2 3 4" xfId="27879" xr:uid="{00000000-0005-0000-0000-0000F01A0000}"/>
    <cellStyle name="Comma 3 17 2 4" xfId="11046" xr:uid="{00000000-0005-0000-0000-0000F11A0000}"/>
    <cellStyle name="Comma 3 17 2 4 2" xfId="30966" xr:uid="{00000000-0005-0000-0000-0000F21A0000}"/>
    <cellStyle name="Comma 3 17 2 5" xfId="17198" xr:uid="{00000000-0005-0000-0000-0000F31A0000}"/>
    <cellStyle name="Comma 3 17 2 5 2" xfId="37118" xr:uid="{00000000-0005-0000-0000-0000F41A0000}"/>
    <cellStyle name="Comma 3 17 2 6" xfId="24813" xr:uid="{00000000-0005-0000-0000-0000F51A0000}"/>
    <cellStyle name="Comma 3 17 3" xfId="5581" xr:uid="{00000000-0005-0000-0000-0000F61A0000}"/>
    <cellStyle name="Comma 3 17 3 2" xfId="8684" xr:uid="{00000000-0005-0000-0000-0000F71A0000}"/>
    <cellStyle name="Comma 3 17 3 2 2" xfId="14877" xr:uid="{00000000-0005-0000-0000-0000F81A0000}"/>
    <cellStyle name="Comma 3 17 3 2 2 2" xfId="34797" xr:uid="{00000000-0005-0000-0000-0000F91A0000}"/>
    <cellStyle name="Comma 3 17 3 2 3" xfId="21029" xr:uid="{00000000-0005-0000-0000-0000FA1A0000}"/>
    <cellStyle name="Comma 3 17 3 2 3 2" xfId="40949" xr:uid="{00000000-0005-0000-0000-0000FB1A0000}"/>
    <cellStyle name="Comma 3 17 3 2 4" xfId="28644" xr:uid="{00000000-0005-0000-0000-0000FC1A0000}"/>
    <cellStyle name="Comma 3 17 3 3" xfId="11811" xr:uid="{00000000-0005-0000-0000-0000FD1A0000}"/>
    <cellStyle name="Comma 3 17 3 3 2" xfId="31731" xr:uid="{00000000-0005-0000-0000-0000FE1A0000}"/>
    <cellStyle name="Comma 3 17 3 4" xfId="17963" xr:uid="{00000000-0005-0000-0000-0000FF1A0000}"/>
    <cellStyle name="Comma 3 17 3 4 2" xfId="37883" xr:uid="{00000000-0005-0000-0000-0000001B0000}"/>
    <cellStyle name="Comma 3 17 3 5" xfId="25578" xr:uid="{00000000-0005-0000-0000-0000011B0000}"/>
    <cellStyle name="Comma 3 17 4" xfId="7149" xr:uid="{00000000-0005-0000-0000-0000021B0000}"/>
    <cellStyle name="Comma 3 17 4 2" xfId="13343" xr:uid="{00000000-0005-0000-0000-0000031B0000}"/>
    <cellStyle name="Comma 3 17 4 2 2" xfId="33263" xr:uid="{00000000-0005-0000-0000-0000041B0000}"/>
    <cellStyle name="Comma 3 17 4 3" xfId="19495" xr:uid="{00000000-0005-0000-0000-0000051B0000}"/>
    <cellStyle name="Comma 3 17 4 3 2" xfId="39415" xr:uid="{00000000-0005-0000-0000-0000061B0000}"/>
    <cellStyle name="Comma 3 17 4 4" xfId="27110" xr:uid="{00000000-0005-0000-0000-0000071B0000}"/>
    <cellStyle name="Comma 3 17 5" xfId="10277" xr:uid="{00000000-0005-0000-0000-0000081B0000}"/>
    <cellStyle name="Comma 3 17 5 2" xfId="30197" xr:uid="{00000000-0005-0000-0000-0000091B0000}"/>
    <cellStyle name="Comma 3 17 6" xfId="16429" xr:uid="{00000000-0005-0000-0000-00000A1B0000}"/>
    <cellStyle name="Comma 3 17 6 2" xfId="36349" xr:uid="{00000000-0005-0000-0000-00000B1B0000}"/>
    <cellStyle name="Comma 3 17 7" xfId="1569" xr:uid="{00000000-0005-0000-0000-00000C1B0000}"/>
    <cellStyle name="Comma 3 17 7 2" xfId="24044" xr:uid="{00000000-0005-0000-0000-00000D1B0000}"/>
    <cellStyle name="Comma 3 18" xfId="411" xr:uid="{00000000-0005-0000-0000-00000E1B0000}"/>
    <cellStyle name="Comma 3 18 2" xfId="4743" xr:uid="{00000000-0005-0000-0000-00000F1B0000}"/>
    <cellStyle name="Comma 3 18 2 2" xfId="6368" xr:uid="{00000000-0005-0000-0000-0000101B0000}"/>
    <cellStyle name="Comma 3 18 2 2 2" xfId="9454" xr:uid="{00000000-0005-0000-0000-0000111B0000}"/>
    <cellStyle name="Comma 3 18 2 2 2 2" xfId="15647" xr:uid="{00000000-0005-0000-0000-0000121B0000}"/>
    <cellStyle name="Comma 3 18 2 2 2 2 2" xfId="35567" xr:uid="{00000000-0005-0000-0000-0000131B0000}"/>
    <cellStyle name="Comma 3 18 2 2 2 3" xfId="21799" xr:uid="{00000000-0005-0000-0000-0000141B0000}"/>
    <cellStyle name="Comma 3 18 2 2 2 3 2" xfId="41719" xr:uid="{00000000-0005-0000-0000-0000151B0000}"/>
    <cellStyle name="Comma 3 18 2 2 2 4" xfId="29414" xr:uid="{00000000-0005-0000-0000-0000161B0000}"/>
    <cellStyle name="Comma 3 18 2 2 3" xfId="12581" xr:uid="{00000000-0005-0000-0000-0000171B0000}"/>
    <cellStyle name="Comma 3 18 2 2 3 2" xfId="32501" xr:uid="{00000000-0005-0000-0000-0000181B0000}"/>
    <cellStyle name="Comma 3 18 2 2 4" xfId="18733" xr:uid="{00000000-0005-0000-0000-0000191B0000}"/>
    <cellStyle name="Comma 3 18 2 2 4 2" xfId="38653" xr:uid="{00000000-0005-0000-0000-00001A1B0000}"/>
    <cellStyle name="Comma 3 18 2 2 5" xfId="26348" xr:uid="{00000000-0005-0000-0000-00001B1B0000}"/>
    <cellStyle name="Comma 3 18 2 3" xfId="7919" xr:uid="{00000000-0005-0000-0000-00001C1B0000}"/>
    <cellStyle name="Comma 3 18 2 3 2" xfId="14113" xr:uid="{00000000-0005-0000-0000-00001D1B0000}"/>
    <cellStyle name="Comma 3 18 2 3 2 2" xfId="34033" xr:uid="{00000000-0005-0000-0000-00001E1B0000}"/>
    <cellStyle name="Comma 3 18 2 3 3" xfId="20265" xr:uid="{00000000-0005-0000-0000-00001F1B0000}"/>
    <cellStyle name="Comma 3 18 2 3 3 2" xfId="40185" xr:uid="{00000000-0005-0000-0000-0000201B0000}"/>
    <cellStyle name="Comma 3 18 2 3 4" xfId="27880" xr:uid="{00000000-0005-0000-0000-0000211B0000}"/>
    <cellStyle name="Comma 3 18 2 4" xfId="11047" xr:uid="{00000000-0005-0000-0000-0000221B0000}"/>
    <cellStyle name="Comma 3 18 2 4 2" xfId="30967" xr:uid="{00000000-0005-0000-0000-0000231B0000}"/>
    <cellStyle name="Comma 3 18 2 5" xfId="17199" xr:uid="{00000000-0005-0000-0000-0000241B0000}"/>
    <cellStyle name="Comma 3 18 2 5 2" xfId="37119" xr:uid="{00000000-0005-0000-0000-0000251B0000}"/>
    <cellStyle name="Comma 3 18 2 6" xfId="24814" xr:uid="{00000000-0005-0000-0000-0000261B0000}"/>
    <cellStyle name="Comma 3 18 3" xfId="5582" xr:uid="{00000000-0005-0000-0000-0000271B0000}"/>
    <cellStyle name="Comma 3 18 3 2" xfId="8685" xr:uid="{00000000-0005-0000-0000-0000281B0000}"/>
    <cellStyle name="Comma 3 18 3 2 2" xfId="14878" xr:uid="{00000000-0005-0000-0000-0000291B0000}"/>
    <cellStyle name="Comma 3 18 3 2 2 2" xfId="34798" xr:uid="{00000000-0005-0000-0000-00002A1B0000}"/>
    <cellStyle name="Comma 3 18 3 2 3" xfId="21030" xr:uid="{00000000-0005-0000-0000-00002B1B0000}"/>
    <cellStyle name="Comma 3 18 3 2 3 2" xfId="40950" xr:uid="{00000000-0005-0000-0000-00002C1B0000}"/>
    <cellStyle name="Comma 3 18 3 2 4" xfId="28645" xr:uid="{00000000-0005-0000-0000-00002D1B0000}"/>
    <cellStyle name="Comma 3 18 3 3" xfId="11812" xr:uid="{00000000-0005-0000-0000-00002E1B0000}"/>
    <cellStyle name="Comma 3 18 3 3 2" xfId="31732" xr:uid="{00000000-0005-0000-0000-00002F1B0000}"/>
    <cellStyle name="Comma 3 18 3 4" xfId="17964" xr:uid="{00000000-0005-0000-0000-0000301B0000}"/>
    <cellStyle name="Comma 3 18 3 4 2" xfId="37884" xr:uid="{00000000-0005-0000-0000-0000311B0000}"/>
    <cellStyle name="Comma 3 18 3 5" xfId="25579" xr:uid="{00000000-0005-0000-0000-0000321B0000}"/>
    <cellStyle name="Comma 3 18 4" xfId="7150" xr:uid="{00000000-0005-0000-0000-0000331B0000}"/>
    <cellStyle name="Comma 3 18 4 2" xfId="13344" xr:uid="{00000000-0005-0000-0000-0000341B0000}"/>
    <cellStyle name="Comma 3 18 4 2 2" xfId="33264" xr:uid="{00000000-0005-0000-0000-0000351B0000}"/>
    <cellStyle name="Comma 3 18 4 3" xfId="19496" xr:uid="{00000000-0005-0000-0000-0000361B0000}"/>
    <cellStyle name="Comma 3 18 4 3 2" xfId="39416" xr:uid="{00000000-0005-0000-0000-0000371B0000}"/>
    <cellStyle name="Comma 3 18 4 4" xfId="27111" xr:uid="{00000000-0005-0000-0000-0000381B0000}"/>
    <cellStyle name="Comma 3 18 5" xfId="10278" xr:uid="{00000000-0005-0000-0000-0000391B0000}"/>
    <cellStyle name="Comma 3 18 5 2" xfId="30198" xr:uid="{00000000-0005-0000-0000-00003A1B0000}"/>
    <cellStyle name="Comma 3 18 6" xfId="16430" xr:uid="{00000000-0005-0000-0000-00003B1B0000}"/>
    <cellStyle name="Comma 3 18 6 2" xfId="36350" xr:uid="{00000000-0005-0000-0000-00003C1B0000}"/>
    <cellStyle name="Comma 3 18 7" xfId="1570" xr:uid="{00000000-0005-0000-0000-00003D1B0000}"/>
    <cellStyle name="Comma 3 18 7 2" xfId="24045" xr:uid="{00000000-0005-0000-0000-00003E1B0000}"/>
    <cellStyle name="Comma 3 19" xfId="438" xr:uid="{00000000-0005-0000-0000-00003F1B0000}"/>
    <cellStyle name="Comma 3 19 2" xfId="4744" xr:uid="{00000000-0005-0000-0000-0000401B0000}"/>
    <cellStyle name="Comma 3 19 2 2" xfId="6369" xr:uid="{00000000-0005-0000-0000-0000411B0000}"/>
    <cellStyle name="Comma 3 19 2 2 2" xfId="9455" xr:uid="{00000000-0005-0000-0000-0000421B0000}"/>
    <cellStyle name="Comma 3 19 2 2 2 2" xfId="15648" xr:uid="{00000000-0005-0000-0000-0000431B0000}"/>
    <cellStyle name="Comma 3 19 2 2 2 2 2" xfId="35568" xr:uid="{00000000-0005-0000-0000-0000441B0000}"/>
    <cellStyle name="Comma 3 19 2 2 2 3" xfId="21800" xr:uid="{00000000-0005-0000-0000-0000451B0000}"/>
    <cellStyle name="Comma 3 19 2 2 2 3 2" xfId="41720" xr:uid="{00000000-0005-0000-0000-0000461B0000}"/>
    <cellStyle name="Comma 3 19 2 2 2 4" xfId="29415" xr:uid="{00000000-0005-0000-0000-0000471B0000}"/>
    <cellStyle name="Comma 3 19 2 2 3" xfId="12582" xr:uid="{00000000-0005-0000-0000-0000481B0000}"/>
    <cellStyle name="Comma 3 19 2 2 3 2" xfId="32502" xr:uid="{00000000-0005-0000-0000-0000491B0000}"/>
    <cellStyle name="Comma 3 19 2 2 4" xfId="18734" xr:uid="{00000000-0005-0000-0000-00004A1B0000}"/>
    <cellStyle name="Comma 3 19 2 2 4 2" xfId="38654" xr:uid="{00000000-0005-0000-0000-00004B1B0000}"/>
    <cellStyle name="Comma 3 19 2 2 5" xfId="26349" xr:uid="{00000000-0005-0000-0000-00004C1B0000}"/>
    <cellStyle name="Comma 3 19 2 3" xfId="7920" xr:uid="{00000000-0005-0000-0000-00004D1B0000}"/>
    <cellStyle name="Comma 3 19 2 3 2" xfId="14114" xr:uid="{00000000-0005-0000-0000-00004E1B0000}"/>
    <cellStyle name="Comma 3 19 2 3 2 2" xfId="34034" xr:uid="{00000000-0005-0000-0000-00004F1B0000}"/>
    <cellStyle name="Comma 3 19 2 3 3" xfId="20266" xr:uid="{00000000-0005-0000-0000-0000501B0000}"/>
    <cellStyle name="Comma 3 19 2 3 3 2" xfId="40186" xr:uid="{00000000-0005-0000-0000-0000511B0000}"/>
    <cellStyle name="Comma 3 19 2 3 4" xfId="27881" xr:uid="{00000000-0005-0000-0000-0000521B0000}"/>
    <cellStyle name="Comma 3 19 2 4" xfId="11048" xr:uid="{00000000-0005-0000-0000-0000531B0000}"/>
    <cellStyle name="Comma 3 19 2 4 2" xfId="30968" xr:uid="{00000000-0005-0000-0000-0000541B0000}"/>
    <cellStyle name="Comma 3 19 2 5" xfId="17200" xr:uid="{00000000-0005-0000-0000-0000551B0000}"/>
    <cellStyle name="Comma 3 19 2 5 2" xfId="37120" xr:uid="{00000000-0005-0000-0000-0000561B0000}"/>
    <cellStyle name="Comma 3 19 2 6" xfId="24815" xr:uid="{00000000-0005-0000-0000-0000571B0000}"/>
    <cellStyle name="Comma 3 19 3" xfId="5583" xr:uid="{00000000-0005-0000-0000-0000581B0000}"/>
    <cellStyle name="Comma 3 19 3 2" xfId="8686" xr:uid="{00000000-0005-0000-0000-0000591B0000}"/>
    <cellStyle name="Comma 3 19 3 2 2" xfId="14879" xr:uid="{00000000-0005-0000-0000-00005A1B0000}"/>
    <cellStyle name="Comma 3 19 3 2 2 2" xfId="34799" xr:uid="{00000000-0005-0000-0000-00005B1B0000}"/>
    <cellStyle name="Comma 3 19 3 2 3" xfId="21031" xr:uid="{00000000-0005-0000-0000-00005C1B0000}"/>
    <cellStyle name="Comma 3 19 3 2 3 2" xfId="40951" xr:uid="{00000000-0005-0000-0000-00005D1B0000}"/>
    <cellStyle name="Comma 3 19 3 2 4" xfId="28646" xr:uid="{00000000-0005-0000-0000-00005E1B0000}"/>
    <cellStyle name="Comma 3 19 3 3" xfId="11813" xr:uid="{00000000-0005-0000-0000-00005F1B0000}"/>
    <cellStyle name="Comma 3 19 3 3 2" xfId="31733" xr:uid="{00000000-0005-0000-0000-0000601B0000}"/>
    <cellStyle name="Comma 3 19 3 4" xfId="17965" xr:uid="{00000000-0005-0000-0000-0000611B0000}"/>
    <cellStyle name="Comma 3 19 3 4 2" xfId="37885" xr:uid="{00000000-0005-0000-0000-0000621B0000}"/>
    <cellStyle name="Comma 3 19 3 5" xfId="25580" xr:uid="{00000000-0005-0000-0000-0000631B0000}"/>
    <cellStyle name="Comma 3 19 4" xfId="7151" xr:uid="{00000000-0005-0000-0000-0000641B0000}"/>
    <cellStyle name="Comma 3 19 4 2" xfId="13345" xr:uid="{00000000-0005-0000-0000-0000651B0000}"/>
    <cellStyle name="Comma 3 19 4 2 2" xfId="33265" xr:uid="{00000000-0005-0000-0000-0000661B0000}"/>
    <cellStyle name="Comma 3 19 4 3" xfId="19497" xr:uid="{00000000-0005-0000-0000-0000671B0000}"/>
    <cellStyle name="Comma 3 19 4 3 2" xfId="39417" xr:uid="{00000000-0005-0000-0000-0000681B0000}"/>
    <cellStyle name="Comma 3 19 4 4" xfId="27112" xr:uid="{00000000-0005-0000-0000-0000691B0000}"/>
    <cellStyle name="Comma 3 19 5" xfId="10279" xr:uid="{00000000-0005-0000-0000-00006A1B0000}"/>
    <cellStyle name="Comma 3 19 5 2" xfId="30199" xr:uid="{00000000-0005-0000-0000-00006B1B0000}"/>
    <cellStyle name="Comma 3 19 6" xfId="16431" xr:uid="{00000000-0005-0000-0000-00006C1B0000}"/>
    <cellStyle name="Comma 3 19 6 2" xfId="36351" xr:uid="{00000000-0005-0000-0000-00006D1B0000}"/>
    <cellStyle name="Comma 3 19 7" xfId="1571" xr:uid="{00000000-0005-0000-0000-00006E1B0000}"/>
    <cellStyle name="Comma 3 19 7 2" xfId="24046" xr:uid="{00000000-0005-0000-0000-00006F1B0000}"/>
    <cellStyle name="Comma 3 2" xfId="18" xr:uid="{00000000-0005-0000-0000-0000701B0000}"/>
    <cellStyle name="Comma 3 2 2" xfId="129" xr:uid="{00000000-0005-0000-0000-0000711B0000}"/>
    <cellStyle name="Comma 3 2 2 2" xfId="4745" xr:uid="{00000000-0005-0000-0000-0000721B0000}"/>
    <cellStyle name="Comma 3 2 2 2 2" xfId="6370" xr:uid="{00000000-0005-0000-0000-0000731B0000}"/>
    <cellStyle name="Comma 3 2 2 2 2 2" xfId="9456" xr:uid="{00000000-0005-0000-0000-0000741B0000}"/>
    <cellStyle name="Comma 3 2 2 2 2 2 2" xfId="15649" xr:uid="{00000000-0005-0000-0000-0000751B0000}"/>
    <cellStyle name="Comma 3 2 2 2 2 2 2 2" xfId="35569" xr:uid="{00000000-0005-0000-0000-0000761B0000}"/>
    <cellStyle name="Comma 3 2 2 2 2 2 3" xfId="21801" xr:uid="{00000000-0005-0000-0000-0000771B0000}"/>
    <cellStyle name="Comma 3 2 2 2 2 2 3 2" xfId="41721" xr:uid="{00000000-0005-0000-0000-0000781B0000}"/>
    <cellStyle name="Comma 3 2 2 2 2 2 4" xfId="29416" xr:uid="{00000000-0005-0000-0000-0000791B0000}"/>
    <cellStyle name="Comma 3 2 2 2 2 3" xfId="12583" xr:uid="{00000000-0005-0000-0000-00007A1B0000}"/>
    <cellStyle name="Comma 3 2 2 2 2 3 2" xfId="32503" xr:uid="{00000000-0005-0000-0000-00007B1B0000}"/>
    <cellStyle name="Comma 3 2 2 2 2 4" xfId="18735" xr:uid="{00000000-0005-0000-0000-00007C1B0000}"/>
    <cellStyle name="Comma 3 2 2 2 2 4 2" xfId="38655" xr:uid="{00000000-0005-0000-0000-00007D1B0000}"/>
    <cellStyle name="Comma 3 2 2 2 2 5" xfId="26350" xr:uid="{00000000-0005-0000-0000-00007E1B0000}"/>
    <cellStyle name="Comma 3 2 2 2 3" xfId="7921" xr:uid="{00000000-0005-0000-0000-00007F1B0000}"/>
    <cellStyle name="Comma 3 2 2 2 3 2" xfId="14115" xr:uid="{00000000-0005-0000-0000-0000801B0000}"/>
    <cellStyle name="Comma 3 2 2 2 3 2 2" xfId="34035" xr:uid="{00000000-0005-0000-0000-0000811B0000}"/>
    <cellStyle name="Comma 3 2 2 2 3 3" xfId="20267" xr:uid="{00000000-0005-0000-0000-0000821B0000}"/>
    <cellStyle name="Comma 3 2 2 2 3 3 2" xfId="40187" xr:uid="{00000000-0005-0000-0000-0000831B0000}"/>
    <cellStyle name="Comma 3 2 2 2 3 4" xfId="27882" xr:uid="{00000000-0005-0000-0000-0000841B0000}"/>
    <cellStyle name="Comma 3 2 2 2 4" xfId="11049" xr:uid="{00000000-0005-0000-0000-0000851B0000}"/>
    <cellStyle name="Comma 3 2 2 2 4 2" xfId="30969" xr:uid="{00000000-0005-0000-0000-0000861B0000}"/>
    <cellStyle name="Comma 3 2 2 2 5" xfId="17201" xr:uid="{00000000-0005-0000-0000-0000871B0000}"/>
    <cellStyle name="Comma 3 2 2 2 5 2" xfId="37121" xr:uid="{00000000-0005-0000-0000-0000881B0000}"/>
    <cellStyle name="Comma 3 2 2 2 6" xfId="24816" xr:uid="{00000000-0005-0000-0000-0000891B0000}"/>
    <cellStyle name="Comma 3 2 2 3" xfId="5584" xr:uid="{00000000-0005-0000-0000-00008A1B0000}"/>
    <cellStyle name="Comma 3 2 2 3 2" xfId="8687" xr:uid="{00000000-0005-0000-0000-00008B1B0000}"/>
    <cellStyle name="Comma 3 2 2 3 2 2" xfId="14880" xr:uid="{00000000-0005-0000-0000-00008C1B0000}"/>
    <cellStyle name="Comma 3 2 2 3 2 2 2" xfId="34800" xr:uid="{00000000-0005-0000-0000-00008D1B0000}"/>
    <cellStyle name="Comma 3 2 2 3 2 3" xfId="21032" xr:uid="{00000000-0005-0000-0000-00008E1B0000}"/>
    <cellStyle name="Comma 3 2 2 3 2 3 2" xfId="40952" xr:uid="{00000000-0005-0000-0000-00008F1B0000}"/>
    <cellStyle name="Comma 3 2 2 3 2 4" xfId="28647" xr:uid="{00000000-0005-0000-0000-0000901B0000}"/>
    <cellStyle name="Comma 3 2 2 3 3" xfId="11814" xr:uid="{00000000-0005-0000-0000-0000911B0000}"/>
    <cellStyle name="Comma 3 2 2 3 3 2" xfId="31734" xr:uid="{00000000-0005-0000-0000-0000921B0000}"/>
    <cellStyle name="Comma 3 2 2 3 4" xfId="17966" xr:uid="{00000000-0005-0000-0000-0000931B0000}"/>
    <cellStyle name="Comma 3 2 2 3 4 2" xfId="37886" xr:uid="{00000000-0005-0000-0000-0000941B0000}"/>
    <cellStyle name="Comma 3 2 2 3 5" xfId="25581" xr:uid="{00000000-0005-0000-0000-0000951B0000}"/>
    <cellStyle name="Comma 3 2 2 4" xfId="7152" xr:uid="{00000000-0005-0000-0000-0000961B0000}"/>
    <cellStyle name="Comma 3 2 2 4 2" xfId="13346" xr:uid="{00000000-0005-0000-0000-0000971B0000}"/>
    <cellStyle name="Comma 3 2 2 4 2 2" xfId="33266" xr:uid="{00000000-0005-0000-0000-0000981B0000}"/>
    <cellStyle name="Comma 3 2 2 4 3" xfId="19498" xr:uid="{00000000-0005-0000-0000-0000991B0000}"/>
    <cellStyle name="Comma 3 2 2 4 3 2" xfId="39418" xr:uid="{00000000-0005-0000-0000-00009A1B0000}"/>
    <cellStyle name="Comma 3 2 2 4 4" xfId="27113" xr:uid="{00000000-0005-0000-0000-00009B1B0000}"/>
    <cellStyle name="Comma 3 2 2 5" xfId="10280" xr:uid="{00000000-0005-0000-0000-00009C1B0000}"/>
    <cellStyle name="Comma 3 2 2 5 2" xfId="30200" xr:uid="{00000000-0005-0000-0000-00009D1B0000}"/>
    <cellStyle name="Comma 3 2 2 6" xfId="16432" xr:uid="{00000000-0005-0000-0000-00009E1B0000}"/>
    <cellStyle name="Comma 3 2 2 6 2" xfId="36352" xr:uid="{00000000-0005-0000-0000-00009F1B0000}"/>
    <cellStyle name="Comma 3 2 2 7" xfId="1573" xr:uid="{00000000-0005-0000-0000-0000A01B0000}"/>
    <cellStyle name="Comma 3 2 2 7 2" xfId="24047" xr:uid="{00000000-0005-0000-0000-0000A11B0000}"/>
    <cellStyle name="Comma 3 2 3" xfId="1574" xr:uid="{00000000-0005-0000-0000-0000A21B0000}"/>
    <cellStyle name="Comma 3 2 3 2" xfId="4746" xr:uid="{00000000-0005-0000-0000-0000A31B0000}"/>
    <cellStyle name="Comma 3 2 3 2 2" xfId="6371" xr:uid="{00000000-0005-0000-0000-0000A41B0000}"/>
    <cellStyle name="Comma 3 2 3 2 2 2" xfId="9457" xr:uid="{00000000-0005-0000-0000-0000A51B0000}"/>
    <cellStyle name="Comma 3 2 3 2 2 2 2" xfId="15650" xr:uid="{00000000-0005-0000-0000-0000A61B0000}"/>
    <cellStyle name="Comma 3 2 3 2 2 2 2 2" xfId="35570" xr:uid="{00000000-0005-0000-0000-0000A71B0000}"/>
    <cellStyle name="Comma 3 2 3 2 2 2 3" xfId="21802" xr:uid="{00000000-0005-0000-0000-0000A81B0000}"/>
    <cellStyle name="Comma 3 2 3 2 2 2 3 2" xfId="41722" xr:uid="{00000000-0005-0000-0000-0000A91B0000}"/>
    <cellStyle name="Comma 3 2 3 2 2 2 4" xfId="29417" xr:uid="{00000000-0005-0000-0000-0000AA1B0000}"/>
    <cellStyle name="Comma 3 2 3 2 2 3" xfId="12584" xr:uid="{00000000-0005-0000-0000-0000AB1B0000}"/>
    <cellStyle name="Comma 3 2 3 2 2 3 2" xfId="32504" xr:uid="{00000000-0005-0000-0000-0000AC1B0000}"/>
    <cellStyle name="Comma 3 2 3 2 2 4" xfId="18736" xr:uid="{00000000-0005-0000-0000-0000AD1B0000}"/>
    <cellStyle name="Comma 3 2 3 2 2 4 2" xfId="38656" xr:uid="{00000000-0005-0000-0000-0000AE1B0000}"/>
    <cellStyle name="Comma 3 2 3 2 2 5" xfId="26351" xr:uid="{00000000-0005-0000-0000-0000AF1B0000}"/>
    <cellStyle name="Comma 3 2 3 2 3" xfId="7922" xr:uid="{00000000-0005-0000-0000-0000B01B0000}"/>
    <cellStyle name="Comma 3 2 3 2 3 2" xfId="14116" xr:uid="{00000000-0005-0000-0000-0000B11B0000}"/>
    <cellStyle name="Comma 3 2 3 2 3 2 2" xfId="34036" xr:uid="{00000000-0005-0000-0000-0000B21B0000}"/>
    <cellStyle name="Comma 3 2 3 2 3 3" xfId="20268" xr:uid="{00000000-0005-0000-0000-0000B31B0000}"/>
    <cellStyle name="Comma 3 2 3 2 3 3 2" xfId="40188" xr:uid="{00000000-0005-0000-0000-0000B41B0000}"/>
    <cellStyle name="Comma 3 2 3 2 3 4" xfId="27883" xr:uid="{00000000-0005-0000-0000-0000B51B0000}"/>
    <cellStyle name="Comma 3 2 3 2 4" xfId="11050" xr:uid="{00000000-0005-0000-0000-0000B61B0000}"/>
    <cellStyle name="Comma 3 2 3 2 4 2" xfId="30970" xr:uid="{00000000-0005-0000-0000-0000B71B0000}"/>
    <cellStyle name="Comma 3 2 3 2 5" xfId="17202" xr:uid="{00000000-0005-0000-0000-0000B81B0000}"/>
    <cellStyle name="Comma 3 2 3 2 5 2" xfId="37122" xr:uid="{00000000-0005-0000-0000-0000B91B0000}"/>
    <cellStyle name="Comma 3 2 3 2 6" xfId="24817" xr:uid="{00000000-0005-0000-0000-0000BA1B0000}"/>
    <cellStyle name="Comma 3 2 3 3" xfId="5585" xr:uid="{00000000-0005-0000-0000-0000BB1B0000}"/>
    <cellStyle name="Comma 3 2 3 3 2" xfId="8688" xr:uid="{00000000-0005-0000-0000-0000BC1B0000}"/>
    <cellStyle name="Comma 3 2 3 3 2 2" xfId="14881" xr:uid="{00000000-0005-0000-0000-0000BD1B0000}"/>
    <cellStyle name="Comma 3 2 3 3 2 2 2" xfId="34801" xr:uid="{00000000-0005-0000-0000-0000BE1B0000}"/>
    <cellStyle name="Comma 3 2 3 3 2 3" xfId="21033" xr:uid="{00000000-0005-0000-0000-0000BF1B0000}"/>
    <cellStyle name="Comma 3 2 3 3 2 3 2" xfId="40953" xr:uid="{00000000-0005-0000-0000-0000C01B0000}"/>
    <cellStyle name="Comma 3 2 3 3 2 4" xfId="28648" xr:uid="{00000000-0005-0000-0000-0000C11B0000}"/>
    <cellStyle name="Comma 3 2 3 3 3" xfId="11815" xr:uid="{00000000-0005-0000-0000-0000C21B0000}"/>
    <cellStyle name="Comma 3 2 3 3 3 2" xfId="31735" xr:uid="{00000000-0005-0000-0000-0000C31B0000}"/>
    <cellStyle name="Comma 3 2 3 3 4" xfId="17967" xr:uid="{00000000-0005-0000-0000-0000C41B0000}"/>
    <cellStyle name="Comma 3 2 3 3 4 2" xfId="37887" xr:uid="{00000000-0005-0000-0000-0000C51B0000}"/>
    <cellStyle name="Comma 3 2 3 3 5" xfId="25582" xr:uid="{00000000-0005-0000-0000-0000C61B0000}"/>
    <cellStyle name="Comma 3 2 3 4" xfId="7153" xr:uid="{00000000-0005-0000-0000-0000C71B0000}"/>
    <cellStyle name="Comma 3 2 3 4 2" xfId="13347" xr:uid="{00000000-0005-0000-0000-0000C81B0000}"/>
    <cellStyle name="Comma 3 2 3 4 2 2" xfId="33267" xr:uid="{00000000-0005-0000-0000-0000C91B0000}"/>
    <cellStyle name="Comma 3 2 3 4 3" xfId="19499" xr:uid="{00000000-0005-0000-0000-0000CA1B0000}"/>
    <cellStyle name="Comma 3 2 3 4 3 2" xfId="39419" xr:uid="{00000000-0005-0000-0000-0000CB1B0000}"/>
    <cellStyle name="Comma 3 2 3 4 4" xfId="27114" xr:uid="{00000000-0005-0000-0000-0000CC1B0000}"/>
    <cellStyle name="Comma 3 2 3 5" xfId="10281" xr:uid="{00000000-0005-0000-0000-0000CD1B0000}"/>
    <cellStyle name="Comma 3 2 3 5 2" xfId="30201" xr:uid="{00000000-0005-0000-0000-0000CE1B0000}"/>
    <cellStyle name="Comma 3 2 3 6" xfId="16433" xr:uid="{00000000-0005-0000-0000-0000CF1B0000}"/>
    <cellStyle name="Comma 3 2 3 6 2" xfId="36353" xr:uid="{00000000-0005-0000-0000-0000D01B0000}"/>
    <cellStyle name="Comma 3 2 3 7" xfId="24048" xr:uid="{00000000-0005-0000-0000-0000D11B0000}"/>
    <cellStyle name="Comma 3 2 4" xfId="1575" xr:uid="{00000000-0005-0000-0000-0000D21B0000}"/>
    <cellStyle name="Comma 3 2 4 2" xfId="4747" xr:uid="{00000000-0005-0000-0000-0000D31B0000}"/>
    <cellStyle name="Comma 3 2 4 2 2" xfId="6372" xr:uid="{00000000-0005-0000-0000-0000D41B0000}"/>
    <cellStyle name="Comma 3 2 4 2 2 2" xfId="9458" xr:uid="{00000000-0005-0000-0000-0000D51B0000}"/>
    <cellStyle name="Comma 3 2 4 2 2 2 2" xfId="15651" xr:uid="{00000000-0005-0000-0000-0000D61B0000}"/>
    <cellStyle name="Comma 3 2 4 2 2 2 2 2" xfId="35571" xr:uid="{00000000-0005-0000-0000-0000D71B0000}"/>
    <cellStyle name="Comma 3 2 4 2 2 2 3" xfId="21803" xr:uid="{00000000-0005-0000-0000-0000D81B0000}"/>
    <cellStyle name="Comma 3 2 4 2 2 2 3 2" xfId="41723" xr:uid="{00000000-0005-0000-0000-0000D91B0000}"/>
    <cellStyle name="Comma 3 2 4 2 2 2 4" xfId="29418" xr:uid="{00000000-0005-0000-0000-0000DA1B0000}"/>
    <cellStyle name="Comma 3 2 4 2 2 3" xfId="12585" xr:uid="{00000000-0005-0000-0000-0000DB1B0000}"/>
    <cellStyle name="Comma 3 2 4 2 2 3 2" xfId="32505" xr:uid="{00000000-0005-0000-0000-0000DC1B0000}"/>
    <cellStyle name="Comma 3 2 4 2 2 4" xfId="18737" xr:uid="{00000000-0005-0000-0000-0000DD1B0000}"/>
    <cellStyle name="Comma 3 2 4 2 2 4 2" xfId="38657" xr:uid="{00000000-0005-0000-0000-0000DE1B0000}"/>
    <cellStyle name="Comma 3 2 4 2 2 5" xfId="26352" xr:uid="{00000000-0005-0000-0000-0000DF1B0000}"/>
    <cellStyle name="Comma 3 2 4 2 3" xfId="7923" xr:uid="{00000000-0005-0000-0000-0000E01B0000}"/>
    <cellStyle name="Comma 3 2 4 2 3 2" xfId="14117" xr:uid="{00000000-0005-0000-0000-0000E11B0000}"/>
    <cellStyle name="Comma 3 2 4 2 3 2 2" xfId="34037" xr:uid="{00000000-0005-0000-0000-0000E21B0000}"/>
    <cellStyle name="Comma 3 2 4 2 3 3" xfId="20269" xr:uid="{00000000-0005-0000-0000-0000E31B0000}"/>
    <cellStyle name="Comma 3 2 4 2 3 3 2" xfId="40189" xr:uid="{00000000-0005-0000-0000-0000E41B0000}"/>
    <cellStyle name="Comma 3 2 4 2 3 4" xfId="27884" xr:uid="{00000000-0005-0000-0000-0000E51B0000}"/>
    <cellStyle name="Comma 3 2 4 2 4" xfId="11051" xr:uid="{00000000-0005-0000-0000-0000E61B0000}"/>
    <cellStyle name="Comma 3 2 4 2 4 2" xfId="30971" xr:uid="{00000000-0005-0000-0000-0000E71B0000}"/>
    <cellStyle name="Comma 3 2 4 2 5" xfId="17203" xr:uid="{00000000-0005-0000-0000-0000E81B0000}"/>
    <cellStyle name="Comma 3 2 4 2 5 2" xfId="37123" xr:uid="{00000000-0005-0000-0000-0000E91B0000}"/>
    <cellStyle name="Comma 3 2 4 2 6" xfId="24818" xr:uid="{00000000-0005-0000-0000-0000EA1B0000}"/>
    <cellStyle name="Comma 3 2 4 3" xfId="5586" xr:uid="{00000000-0005-0000-0000-0000EB1B0000}"/>
    <cellStyle name="Comma 3 2 4 3 2" xfId="8689" xr:uid="{00000000-0005-0000-0000-0000EC1B0000}"/>
    <cellStyle name="Comma 3 2 4 3 2 2" xfId="14882" xr:uid="{00000000-0005-0000-0000-0000ED1B0000}"/>
    <cellStyle name="Comma 3 2 4 3 2 2 2" xfId="34802" xr:uid="{00000000-0005-0000-0000-0000EE1B0000}"/>
    <cellStyle name="Comma 3 2 4 3 2 3" xfId="21034" xr:uid="{00000000-0005-0000-0000-0000EF1B0000}"/>
    <cellStyle name="Comma 3 2 4 3 2 3 2" xfId="40954" xr:uid="{00000000-0005-0000-0000-0000F01B0000}"/>
    <cellStyle name="Comma 3 2 4 3 2 4" xfId="28649" xr:uid="{00000000-0005-0000-0000-0000F11B0000}"/>
    <cellStyle name="Comma 3 2 4 3 3" xfId="11816" xr:uid="{00000000-0005-0000-0000-0000F21B0000}"/>
    <cellStyle name="Comma 3 2 4 3 3 2" xfId="31736" xr:uid="{00000000-0005-0000-0000-0000F31B0000}"/>
    <cellStyle name="Comma 3 2 4 3 4" xfId="17968" xr:uid="{00000000-0005-0000-0000-0000F41B0000}"/>
    <cellStyle name="Comma 3 2 4 3 4 2" xfId="37888" xr:uid="{00000000-0005-0000-0000-0000F51B0000}"/>
    <cellStyle name="Comma 3 2 4 3 5" xfId="25583" xr:uid="{00000000-0005-0000-0000-0000F61B0000}"/>
    <cellStyle name="Comma 3 2 4 4" xfId="7154" xr:uid="{00000000-0005-0000-0000-0000F71B0000}"/>
    <cellStyle name="Comma 3 2 4 4 2" xfId="13348" xr:uid="{00000000-0005-0000-0000-0000F81B0000}"/>
    <cellStyle name="Comma 3 2 4 4 2 2" xfId="33268" xr:uid="{00000000-0005-0000-0000-0000F91B0000}"/>
    <cellStyle name="Comma 3 2 4 4 3" xfId="19500" xr:uid="{00000000-0005-0000-0000-0000FA1B0000}"/>
    <cellStyle name="Comma 3 2 4 4 3 2" xfId="39420" xr:uid="{00000000-0005-0000-0000-0000FB1B0000}"/>
    <cellStyle name="Comma 3 2 4 4 4" xfId="27115" xr:uid="{00000000-0005-0000-0000-0000FC1B0000}"/>
    <cellStyle name="Comma 3 2 4 5" xfId="10282" xr:uid="{00000000-0005-0000-0000-0000FD1B0000}"/>
    <cellStyle name="Comma 3 2 4 5 2" xfId="30202" xr:uid="{00000000-0005-0000-0000-0000FE1B0000}"/>
    <cellStyle name="Comma 3 2 4 6" xfId="16434" xr:uid="{00000000-0005-0000-0000-0000FF1B0000}"/>
    <cellStyle name="Comma 3 2 4 6 2" xfId="36354" xr:uid="{00000000-0005-0000-0000-0000001C0000}"/>
    <cellStyle name="Comma 3 2 4 7" xfId="24049" xr:uid="{00000000-0005-0000-0000-0000011C0000}"/>
    <cellStyle name="Comma 3 2 5" xfId="1576" xr:uid="{00000000-0005-0000-0000-0000021C0000}"/>
    <cellStyle name="Comma 3 2 5 2" xfId="4748" xr:uid="{00000000-0005-0000-0000-0000031C0000}"/>
    <cellStyle name="Comma 3 2 5 2 2" xfId="6373" xr:uid="{00000000-0005-0000-0000-0000041C0000}"/>
    <cellStyle name="Comma 3 2 5 2 2 2" xfId="9459" xr:uid="{00000000-0005-0000-0000-0000051C0000}"/>
    <cellStyle name="Comma 3 2 5 2 2 2 2" xfId="15652" xr:uid="{00000000-0005-0000-0000-0000061C0000}"/>
    <cellStyle name="Comma 3 2 5 2 2 2 2 2" xfId="35572" xr:uid="{00000000-0005-0000-0000-0000071C0000}"/>
    <cellStyle name="Comma 3 2 5 2 2 2 3" xfId="21804" xr:uid="{00000000-0005-0000-0000-0000081C0000}"/>
    <cellStyle name="Comma 3 2 5 2 2 2 3 2" xfId="41724" xr:uid="{00000000-0005-0000-0000-0000091C0000}"/>
    <cellStyle name="Comma 3 2 5 2 2 2 4" xfId="29419" xr:uid="{00000000-0005-0000-0000-00000A1C0000}"/>
    <cellStyle name="Comma 3 2 5 2 2 3" xfId="12586" xr:uid="{00000000-0005-0000-0000-00000B1C0000}"/>
    <cellStyle name="Comma 3 2 5 2 2 3 2" xfId="32506" xr:uid="{00000000-0005-0000-0000-00000C1C0000}"/>
    <cellStyle name="Comma 3 2 5 2 2 4" xfId="18738" xr:uid="{00000000-0005-0000-0000-00000D1C0000}"/>
    <cellStyle name="Comma 3 2 5 2 2 4 2" xfId="38658" xr:uid="{00000000-0005-0000-0000-00000E1C0000}"/>
    <cellStyle name="Comma 3 2 5 2 2 5" xfId="26353" xr:uid="{00000000-0005-0000-0000-00000F1C0000}"/>
    <cellStyle name="Comma 3 2 5 2 3" xfId="7924" xr:uid="{00000000-0005-0000-0000-0000101C0000}"/>
    <cellStyle name="Comma 3 2 5 2 3 2" xfId="14118" xr:uid="{00000000-0005-0000-0000-0000111C0000}"/>
    <cellStyle name="Comma 3 2 5 2 3 2 2" xfId="34038" xr:uid="{00000000-0005-0000-0000-0000121C0000}"/>
    <cellStyle name="Comma 3 2 5 2 3 3" xfId="20270" xr:uid="{00000000-0005-0000-0000-0000131C0000}"/>
    <cellStyle name="Comma 3 2 5 2 3 3 2" xfId="40190" xr:uid="{00000000-0005-0000-0000-0000141C0000}"/>
    <cellStyle name="Comma 3 2 5 2 3 4" xfId="27885" xr:uid="{00000000-0005-0000-0000-0000151C0000}"/>
    <cellStyle name="Comma 3 2 5 2 4" xfId="11052" xr:uid="{00000000-0005-0000-0000-0000161C0000}"/>
    <cellStyle name="Comma 3 2 5 2 4 2" xfId="30972" xr:uid="{00000000-0005-0000-0000-0000171C0000}"/>
    <cellStyle name="Comma 3 2 5 2 5" xfId="17204" xr:uid="{00000000-0005-0000-0000-0000181C0000}"/>
    <cellStyle name="Comma 3 2 5 2 5 2" xfId="37124" xr:uid="{00000000-0005-0000-0000-0000191C0000}"/>
    <cellStyle name="Comma 3 2 5 2 6" xfId="24819" xr:uid="{00000000-0005-0000-0000-00001A1C0000}"/>
    <cellStyle name="Comma 3 2 5 3" xfId="5587" xr:uid="{00000000-0005-0000-0000-00001B1C0000}"/>
    <cellStyle name="Comma 3 2 5 3 2" xfId="8690" xr:uid="{00000000-0005-0000-0000-00001C1C0000}"/>
    <cellStyle name="Comma 3 2 5 3 2 2" xfId="14883" xr:uid="{00000000-0005-0000-0000-00001D1C0000}"/>
    <cellStyle name="Comma 3 2 5 3 2 2 2" xfId="34803" xr:uid="{00000000-0005-0000-0000-00001E1C0000}"/>
    <cellStyle name="Comma 3 2 5 3 2 3" xfId="21035" xr:uid="{00000000-0005-0000-0000-00001F1C0000}"/>
    <cellStyle name="Comma 3 2 5 3 2 3 2" xfId="40955" xr:uid="{00000000-0005-0000-0000-0000201C0000}"/>
    <cellStyle name="Comma 3 2 5 3 2 4" xfId="28650" xr:uid="{00000000-0005-0000-0000-0000211C0000}"/>
    <cellStyle name="Comma 3 2 5 3 3" xfId="11817" xr:uid="{00000000-0005-0000-0000-0000221C0000}"/>
    <cellStyle name="Comma 3 2 5 3 3 2" xfId="31737" xr:uid="{00000000-0005-0000-0000-0000231C0000}"/>
    <cellStyle name="Comma 3 2 5 3 4" xfId="17969" xr:uid="{00000000-0005-0000-0000-0000241C0000}"/>
    <cellStyle name="Comma 3 2 5 3 4 2" xfId="37889" xr:uid="{00000000-0005-0000-0000-0000251C0000}"/>
    <cellStyle name="Comma 3 2 5 3 5" xfId="25584" xr:uid="{00000000-0005-0000-0000-0000261C0000}"/>
    <cellStyle name="Comma 3 2 5 4" xfId="7155" xr:uid="{00000000-0005-0000-0000-0000271C0000}"/>
    <cellStyle name="Comma 3 2 5 4 2" xfId="13349" xr:uid="{00000000-0005-0000-0000-0000281C0000}"/>
    <cellStyle name="Comma 3 2 5 4 2 2" xfId="33269" xr:uid="{00000000-0005-0000-0000-0000291C0000}"/>
    <cellStyle name="Comma 3 2 5 4 3" xfId="19501" xr:uid="{00000000-0005-0000-0000-00002A1C0000}"/>
    <cellStyle name="Comma 3 2 5 4 3 2" xfId="39421" xr:uid="{00000000-0005-0000-0000-00002B1C0000}"/>
    <cellStyle name="Comma 3 2 5 4 4" xfId="27116" xr:uid="{00000000-0005-0000-0000-00002C1C0000}"/>
    <cellStyle name="Comma 3 2 5 5" xfId="10283" xr:uid="{00000000-0005-0000-0000-00002D1C0000}"/>
    <cellStyle name="Comma 3 2 5 5 2" xfId="30203" xr:uid="{00000000-0005-0000-0000-00002E1C0000}"/>
    <cellStyle name="Comma 3 2 5 6" xfId="16435" xr:uid="{00000000-0005-0000-0000-00002F1C0000}"/>
    <cellStyle name="Comma 3 2 5 6 2" xfId="36355" xr:uid="{00000000-0005-0000-0000-0000301C0000}"/>
    <cellStyle name="Comma 3 2 5 7" xfId="24050" xr:uid="{00000000-0005-0000-0000-0000311C0000}"/>
    <cellStyle name="Comma 3 2 6" xfId="1577" xr:uid="{00000000-0005-0000-0000-0000321C0000}"/>
    <cellStyle name="Comma 3 2 7" xfId="1578" xr:uid="{00000000-0005-0000-0000-0000331C0000}"/>
    <cellStyle name="Comma 3 2 7 2" xfId="1579" xr:uid="{00000000-0005-0000-0000-0000341C0000}"/>
    <cellStyle name="Comma 3 2 7 3" xfId="1580" xr:uid="{00000000-0005-0000-0000-0000351C0000}"/>
    <cellStyle name="Comma 3 2 7 4" xfId="1581" xr:uid="{00000000-0005-0000-0000-0000361C0000}"/>
    <cellStyle name="Comma 3 2 8" xfId="1572" xr:uid="{00000000-0005-0000-0000-0000371C0000}"/>
    <cellStyle name="Comma 3 20" xfId="465" xr:uid="{00000000-0005-0000-0000-0000381C0000}"/>
    <cellStyle name="Comma 3 20 2" xfId="4749" xr:uid="{00000000-0005-0000-0000-0000391C0000}"/>
    <cellStyle name="Comma 3 20 2 2" xfId="6374" xr:uid="{00000000-0005-0000-0000-00003A1C0000}"/>
    <cellStyle name="Comma 3 20 2 2 2" xfId="9460" xr:uid="{00000000-0005-0000-0000-00003B1C0000}"/>
    <cellStyle name="Comma 3 20 2 2 2 2" xfId="15653" xr:uid="{00000000-0005-0000-0000-00003C1C0000}"/>
    <cellStyle name="Comma 3 20 2 2 2 2 2" xfId="35573" xr:uid="{00000000-0005-0000-0000-00003D1C0000}"/>
    <cellStyle name="Comma 3 20 2 2 2 3" xfId="21805" xr:uid="{00000000-0005-0000-0000-00003E1C0000}"/>
    <cellStyle name="Comma 3 20 2 2 2 3 2" xfId="41725" xr:uid="{00000000-0005-0000-0000-00003F1C0000}"/>
    <cellStyle name="Comma 3 20 2 2 2 4" xfId="29420" xr:uid="{00000000-0005-0000-0000-0000401C0000}"/>
    <cellStyle name="Comma 3 20 2 2 3" xfId="12587" xr:uid="{00000000-0005-0000-0000-0000411C0000}"/>
    <cellStyle name="Comma 3 20 2 2 3 2" xfId="32507" xr:uid="{00000000-0005-0000-0000-0000421C0000}"/>
    <cellStyle name="Comma 3 20 2 2 4" xfId="18739" xr:uid="{00000000-0005-0000-0000-0000431C0000}"/>
    <cellStyle name="Comma 3 20 2 2 4 2" xfId="38659" xr:uid="{00000000-0005-0000-0000-0000441C0000}"/>
    <cellStyle name="Comma 3 20 2 2 5" xfId="26354" xr:uid="{00000000-0005-0000-0000-0000451C0000}"/>
    <cellStyle name="Comma 3 20 2 3" xfId="7925" xr:uid="{00000000-0005-0000-0000-0000461C0000}"/>
    <cellStyle name="Comma 3 20 2 3 2" xfId="14119" xr:uid="{00000000-0005-0000-0000-0000471C0000}"/>
    <cellStyle name="Comma 3 20 2 3 2 2" xfId="34039" xr:uid="{00000000-0005-0000-0000-0000481C0000}"/>
    <cellStyle name="Comma 3 20 2 3 3" xfId="20271" xr:uid="{00000000-0005-0000-0000-0000491C0000}"/>
    <cellStyle name="Comma 3 20 2 3 3 2" xfId="40191" xr:uid="{00000000-0005-0000-0000-00004A1C0000}"/>
    <cellStyle name="Comma 3 20 2 3 4" xfId="27886" xr:uid="{00000000-0005-0000-0000-00004B1C0000}"/>
    <cellStyle name="Comma 3 20 2 4" xfId="11053" xr:uid="{00000000-0005-0000-0000-00004C1C0000}"/>
    <cellStyle name="Comma 3 20 2 4 2" xfId="30973" xr:uid="{00000000-0005-0000-0000-00004D1C0000}"/>
    <cellStyle name="Comma 3 20 2 5" xfId="17205" xr:uid="{00000000-0005-0000-0000-00004E1C0000}"/>
    <cellStyle name="Comma 3 20 2 5 2" xfId="37125" xr:uid="{00000000-0005-0000-0000-00004F1C0000}"/>
    <cellStyle name="Comma 3 20 2 6" xfId="24820" xr:uid="{00000000-0005-0000-0000-0000501C0000}"/>
    <cellStyle name="Comma 3 20 3" xfId="5588" xr:uid="{00000000-0005-0000-0000-0000511C0000}"/>
    <cellStyle name="Comma 3 20 3 2" xfId="8691" xr:uid="{00000000-0005-0000-0000-0000521C0000}"/>
    <cellStyle name="Comma 3 20 3 2 2" xfId="14884" xr:uid="{00000000-0005-0000-0000-0000531C0000}"/>
    <cellStyle name="Comma 3 20 3 2 2 2" xfId="34804" xr:uid="{00000000-0005-0000-0000-0000541C0000}"/>
    <cellStyle name="Comma 3 20 3 2 3" xfId="21036" xr:uid="{00000000-0005-0000-0000-0000551C0000}"/>
    <cellStyle name="Comma 3 20 3 2 3 2" xfId="40956" xr:uid="{00000000-0005-0000-0000-0000561C0000}"/>
    <cellStyle name="Comma 3 20 3 2 4" xfId="28651" xr:uid="{00000000-0005-0000-0000-0000571C0000}"/>
    <cellStyle name="Comma 3 20 3 3" xfId="11818" xr:uid="{00000000-0005-0000-0000-0000581C0000}"/>
    <cellStyle name="Comma 3 20 3 3 2" xfId="31738" xr:uid="{00000000-0005-0000-0000-0000591C0000}"/>
    <cellStyle name="Comma 3 20 3 4" xfId="17970" xr:uid="{00000000-0005-0000-0000-00005A1C0000}"/>
    <cellStyle name="Comma 3 20 3 4 2" xfId="37890" xr:uid="{00000000-0005-0000-0000-00005B1C0000}"/>
    <cellStyle name="Comma 3 20 3 5" xfId="25585" xr:uid="{00000000-0005-0000-0000-00005C1C0000}"/>
    <cellStyle name="Comma 3 20 4" xfId="7156" xr:uid="{00000000-0005-0000-0000-00005D1C0000}"/>
    <cellStyle name="Comma 3 20 4 2" xfId="13350" xr:uid="{00000000-0005-0000-0000-00005E1C0000}"/>
    <cellStyle name="Comma 3 20 4 2 2" xfId="33270" xr:uid="{00000000-0005-0000-0000-00005F1C0000}"/>
    <cellStyle name="Comma 3 20 4 3" xfId="19502" xr:uid="{00000000-0005-0000-0000-0000601C0000}"/>
    <cellStyle name="Comma 3 20 4 3 2" xfId="39422" xr:uid="{00000000-0005-0000-0000-0000611C0000}"/>
    <cellStyle name="Comma 3 20 4 4" xfId="27117" xr:uid="{00000000-0005-0000-0000-0000621C0000}"/>
    <cellStyle name="Comma 3 20 5" xfId="10284" xr:uid="{00000000-0005-0000-0000-0000631C0000}"/>
    <cellStyle name="Comma 3 20 5 2" xfId="30204" xr:uid="{00000000-0005-0000-0000-0000641C0000}"/>
    <cellStyle name="Comma 3 20 6" xfId="16436" xr:uid="{00000000-0005-0000-0000-0000651C0000}"/>
    <cellStyle name="Comma 3 20 6 2" xfId="36356" xr:uid="{00000000-0005-0000-0000-0000661C0000}"/>
    <cellStyle name="Comma 3 20 7" xfId="1582" xr:uid="{00000000-0005-0000-0000-0000671C0000}"/>
    <cellStyle name="Comma 3 20 7 2" xfId="24051" xr:uid="{00000000-0005-0000-0000-0000681C0000}"/>
    <cellStyle name="Comma 3 21" xfId="487" xr:uid="{00000000-0005-0000-0000-0000691C0000}"/>
    <cellStyle name="Comma 3 21 2" xfId="4750" xr:uid="{00000000-0005-0000-0000-00006A1C0000}"/>
    <cellStyle name="Comma 3 21 2 2" xfId="6375" xr:uid="{00000000-0005-0000-0000-00006B1C0000}"/>
    <cellStyle name="Comma 3 21 2 2 2" xfId="9461" xr:uid="{00000000-0005-0000-0000-00006C1C0000}"/>
    <cellStyle name="Comma 3 21 2 2 2 2" xfId="15654" xr:uid="{00000000-0005-0000-0000-00006D1C0000}"/>
    <cellStyle name="Comma 3 21 2 2 2 2 2" xfId="35574" xr:uid="{00000000-0005-0000-0000-00006E1C0000}"/>
    <cellStyle name="Comma 3 21 2 2 2 3" xfId="21806" xr:uid="{00000000-0005-0000-0000-00006F1C0000}"/>
    <cellStyle name="Comma 3 21 2 2 2 3 2" xfId="41726" xr:uid="{00000000-0005-0000-0000-0000701C0000}"/>
    <cellStyle name="Comma 3 21 2 2 2 4" xfId="29421" xr:uid="{00000000-0005-0000-0000-0000711C0000}"/>
    <cellStyle name="Comma 3 21 2 2 3" xfId="12588" xr:uid="{00000000-0005-0000-0000-0000721C0000}"/>
    <cellStyle name="Comma 3 21 2 2 3 2" xfId="32508" xr:uid="{00000000-0005-0000-0000-0000731C0000}"/>
    <cellStyle name="Comma 3 21 2 2 4" xfId="18740" xr:uid="{00000000-0005-0000-0000-0000741C0000}"/>
    <cellStyle name="Comma 3 21 2 2 4 2" xfId="38660" xr:uid="{00000000-0005-0000-0000-0000751C0000}"/>
    <cellStyle name="Comma 3 21 2 2 5" xfId="26355" xr:uid="{00000000-0005-0000-0000-0000761C0000}"/>
    <cellStyle name="Comma 3 21 2 3" xfId="7926" xr:uid="{00000000-0005-0000-0000-0000771C0000}"/>
    <cellStyle name="Comma 3 21 2 3 2" xfId="14120" xr:uid="{00000000-0005-0000-0000-0000781C0000}"/>
    <cellStyle name="Comma 3 21 2 3 2 2" xfId="34040" xr:uid="{00000000-0005-0000-0000-0000791C0000}"/>
    <cellStyle name="Comma 3 21 2 3 3" xfId="20272" xr:uid="{00000000-0005-0000-0000-00007A1C0000}"/>
    <cellStyle name="Comma 3 21 2 3 3 2" xfId="40192" xr:uid="{00000000-0005-0000-0000-00007B1C0000}"/>
    <cellStyle name="Comma 3 21 2 3 4" xfId="27887" xr:uid="{00000000-0005-0000-0000-00007C1C0000}"/>
    <cellStyle name="Comma 3 21 2 4" xfId="11054" xr:uid="{00000000-0005-0000-0000-00007D1C0000}"/>
    <cellStyle name="Comma 3 21 2 4 2" xfId="30974" xr:uid="{00000000-0005-0000-0000-00007E1C0000}"/>
    <cellStyle name="Comma 3 21 2 5" xfId="17206" xr:uid="{00000000-0005-0000-0000-00007F1C0000}"/>
    <cellStyle name="Comma 3 21 2 5 2" xfId="37126" xr:uid="{00000000-0005-0000-0000-0000801C0000}"/>
    <cellStyle name="Comma 3 21 2 6" xfId="24821" xr:uid="{00000000-0005-0000-0000-0000811C0000}"/>
    <cellStyle name="Comma 3 21 3" xfId="5589" xr:uid="{00000000-0005-0000-0000-0000821C0000}"/>
    <cellStyle name="Comma 3 21 3 2" xfId="8692" xr:uid="{00000000-0005-0000-0000-0000831C0000}"/>
    <cellStyle name="Comma 3 21 3 2 2" xfId="14885" xr:uid="{00000000-0005-0000-0000-0000841C0000}"/>
    <cellStyle name="Comma 3 21 3 2 2 2" xfId="34805" xr:uid="{00000000-0005-0000-0000-0000851C0000}"/>
    <cellStyle name="Comma 3 21 3 2 3" xfId="21037" xr:uid="{00000000-0005-0000-0000-0000861C0000}"/>
    <cellStyle name="Comma 3 21 3 2 3 2" xfId="40957" xr:uid="{00000000-0005-0000-0000-0000871C0000}"/>
    <cellStyle name="Comma 3 21 3 2 4" xfId="28652" xr:uid="{00000000-0005-0000-0000-0000881C0000}"/>
    <cellStyle name="Comma 3 21 3 3" xfId="11819" xr:uid="{00000000-0005-0000-0000-0000891C0000}"/>
    <cellStyle name="Comma 3 21 3 3 2" xfId="31739" xr:uid="{00000000-0005-0000-0000-00008A1C0000}"/>
    <cellStyle name="Comma 3 21 3 4" xfId="17971" xr:uid="{00000000-0005-0000-0000-00008B1C0000}"/>
    <cellStyle name="Comma 3 21 3 4 2" xfId="37891" xr:uid="{00000000-0005-0000-0000-00008C1C0000}"/>
    <cellStyle name="Comma 3 21 3 5" xfId="25586" xr:uid="{00000000-0005-0000-0000-00008D1C0000}"/>
    <cellStyle name="Comma 3 21 4" xfId="7157" xr:uid="{00000000-0005-0000-0000-00008E1C0000}"/>
    <cellStyle name="Comma 3 21 4 2" xfId="13351" xr:uid="{00000000-0005-0000-0000-00008F1C0000}"/>
    <cellStyle name="Comma 3 21 4 2 2" xfId="33271" xr:uid="{00000000-0005-0000-0000-0000901C0000}"/>
    <cellStyle name="Comma 3 21 4 3" xfId="19503" xr:uid="{00000000-0005-0000-0000-0000911C0000}"/>
    <cellStyle name="Comma 3 21 4 3 2" xfId="39423" xr:uid="{00000000-0005-0000-0000-0000921C0000}"/>
    <cellStyle name="Comma 3 21 4 4" xfId="27118" xr:uid="{00000000-0005-0000-0000-0000931C0000}"/>
    <cellStyle name="Comma 3 21 5" xfId="10285" xr:uid="{00000000-0005-0000-0000-0000941C0000}"/>
    <cellStyle name="Comma 3 21 5 2" xfId="30205" xr:uid="{00000000-0005-0000-0000-0000951C0000}"/>
    <cellStyle name="Comma 3 21 6" xfId="16437" xr:uid="{00000000-0005-0000-0000-0000961C0000}"/>
    <cellStyle name="Comma 3 21 6 2" xfId="36357" xr:uid="{00000000-0005-0000-0000-0000971C0000}"/>
    <cellStyle name="Comma 3 21 7" xfId="1583" xr:uid="{00000000-0005-0000-0000-0000981C0000}"/>
    <cellStyle name="Comma 3 21 7 2" xfId="24052" xr:uid="{00000000-0005-0000-0000-0000991C0000}"/>
    <cellStyle name="Comma 3 22" xfId="518" xr:uid="{00000000-0005-0000-0000-00009A1C0000}"/>
    <cellStyle name="Comma 3 22 2" xfId="1584" xr:uid="{00000000-0005-0000-0000-00009B1C0000}"/>
    <cellStyle name="Comma 3 23" xfId="552" xr:uid="{00000000-0005-0000-0000-00009C1C0000}"/>
    <cellStyle name="Comma 3 23 2" xfId="1585" xr:uid="{00000000-0005-0000-0000-00009D1C0000}"/>
    <cellStyle name="Comma 3 24" xfId="576" xr:uid="{00000000-0005-0000-0000-00009E1C0000}"/>
    <cellStyle name="Comma 3 25" xfId="608" xr:uid="{00000000-0005-0000-0000-00009F1C0000}"/>
    <cellStyle name="Comma 3 26" xfId="634" xr:uid="{00000000-0005-0000-0000-0000A01C0000}"/>
    <cellStyle name="Comma 3 27" xfId="660" xr:uid="{00000000-0005-0000-0000-0000A11C0000}"/>
    <cellStyle name="Comma 3 28" xfId="684" xr:uid="{00000000-0005-0000-0000-0000A21C0000}"/>
    <cellStyle name="Comma 3 29" xfId="729" xr:uid="{00000000-0005-0000-0000-0000A31C0000}"/>
    <cellStyle name="Comma 3 3" xfId="90" xr:uid="{00000000-0005-0000-0000-0000A41C0000}"/>
    <cellStyle name="Comma 3 3 10" xfId="16438" xr:uid="{00000000-0005-0000-0000-0000A51C0000}"/>
    <cellStyle name="Comma 3 3 10 2" xfId="36358" xr:uid="{00000000-0005-0000-0000-0000A61C0000}"/>
    <cellStyle name="Comma 3 3 11" xfId="1586" xr:uid="{00000000-0005-0000-0000-0000A71C0000}"/>
    <cellStyle name="Comma 3 3 11 2" xfId="24053" xr:uid="{00000000-0005-0000-0000-0000A81C0000}"/>
    <cellStyle name="Comma 3 3 2" xfId="154" xr:uid="{00000000-0005-0000-0000-0000A91C0000}"/>
    <cellStyle name="Comma 3 3 2 2" xfId="4752" xr:uid="{00000000-0005-0000-0000-0000AA1C0000}"/>
    <cellStyle name="Comma 3 3 2 2 2" xfId="6377" xr:uid="{00000000-0005-0000-0000-0000AB1C0000}"/>
    <cellStyle name="Comma 3 3 2 2 2 2" xfId="9463" xr:uid="{00000000-0005-0000-0000-0000AC1C0000}"/>
    <cellStyle name="Comma 3 3 2 2 2 2 2" xfId="15656" xr:uid="{00000000-0005-0000-0000-0000AD1C0000}"/>
    <cellStyle name="Comma 3 3 2 2 2 2 2 2" xfId="35576" xr:uid="{00000000-0005-0000-0000-0000AE1C0000}"/>
    <cellStyle name="Comma 3 3 2 2 2 2 3" xfId="21808" xr:uid="{00000000-0005-0000-0000-0000AF1C0000}"/>
    <cellStyle name="Comma 3 3 2 2 2 2 3 2" xfId="41728" xr:uid="{00000000-0005-0000-0000-0000B01C0000}"/>
    <cellStyle name="Comma 3 3 2 2 2 2 4" xfId="29423" xr:uid="{00000000-0005-0000-0000-0000B11C0000}"/>
    <cellStyle name="Comma 3 3 2 2 2 3" xfId="12590" xr:uid="{00000000-0005-0000-0000-0000B21C0000}"/>
    <cellStyle name="Comma 3 3 2 2 2 3 2" xfId="32510" xr:uid="{00000000-0005-0000-0000-0000B31C0000}"/>
    <cellStyle name="Comma 3 3 2 2 2 4" xfId="18742" xr:uid="{00000000-0005-0000-0000-0000B41C0000}"/>
    <cellStyle name="Comma 3 3 2 2 2 4 2" xfId="38662" xr:uid="{00000000-0005-0000-0000-0000B51C0000}"/>
    <cellStyle name="Comma 3 3 2 2 2 5" xfId="26357" xr:uid="{00000000-0005-0000-0000-0000B61C0000}"/>
    <cellStyle name="Comma 3 3 2 2 3" xfId="7928" xr:uid="{00000000-0005-0000-0000-0000B71C0000}"/>
    <cellStyle name="Comma 3 3 2 2 3 2" xfId="14122" xr:uid="{00000000-0005-0000-0000-0000B81C0000}"/>
    <cellStyle name="Comma 3 3 2 2 3 2 2" xfId="34042" xr:uid="{00000000-0005-0000-0000-0000B91C0000}"/>
    <cellStyle name="Comma 3 3 2 2 3 3" xfId="20274" xr:uid="{00000000-0005-0000-0000-0000BA1C0000}"/>
    <cellStyle name="Comma 3 3 2 2 3 3 2" xfId="40194" xr:uid="{00000000-0005-0000-0000-0000BB1C0000}"/>
    <cellStyle name="Comma 3 3 2 2 3 4" xfId="27889" xr:uid="{00000000-0005-0000-0000-0000BC1C0000}"/>
    <cellStyle name="Comma 3 3 2 2 4" xfId="11056" xr:uid="{00000000-0005-0000-0000-0000BD1C0000}"/>
    <cellStyle name="Comma 3 3 2 2 4 2" xfId="30976" xr:uid="{00000000-0005-0000-0000-0000BE1C0000}"/>
    <cellStyle name="Comma 3 3 2 2 5" xfId="17208" xr:uid="{00000000-0005-0000-0000-0000BF1C0000}"/>
    <cellStyle name="Comma 3 3 2 2 5 2" xfId="37128" xr:uid="{00000000-0005-0000-0000-0000C01C0000}"/>
    <cellStyle name="Comma 3 3 2 2 6" xfId="24823" xr:uid="{00000000-0005-0000-0000-0000C11C0000}"/>
    <cellStyle name="Comma 3 3 2 3" xfId="5591" xr:uid="{00000000-0005-0000-0000-0000C21C0000}"/>
    <cellStyle name="Comma 3 3 2 3 2" xfId="8694" xr:uid="{00000000-0005-0000-0000-0000C31C0000}"/>
    <cellStyle name="Comma 3 3 2 3 2 2" xfId="14887" xr:uid="{00000000-0005-0000-0000-0000C41C0000}"/>
    <cellStyle name="Comma 3 3 2 3 2 2 2" xfId="34807" xr:uid="{00000000-0005-0000-0000-0000C51C0000}"/>
    <cellStyle name="Comma 3 3 2 3 2 3" xfId="21039" xr:uid="{00000000-0005-0000-0000-0000C61C0000}"/>
    <cellStyle name="Comma 3 3 2 3 2 3 2" xfId="40959" xr:uid="{00000000-0005-0000-0000-0000C71C0000}"/>
    <cellStyle name="Comma 3 3 2 3 2 4" xfId="28654" xr:uid="{00000000-0005-0000-0000-0000C81C0000}"/>
    <cellStyle name="Comma 3 3 2 3 3" xfId="11821" xr:uid="{00000000-0005-0000-0000-0000C91C0000}"/>
    <cellStyle name="Comma 3 3 2 3 3 2" xfId="31741" xr:uid="{00000000-0005-0000-0000-0000CA1C0000}"/>
    <cellStyle name="Comma 3 3 2 3 4" xfId="17973" xr:uid="{00000000-0005-0000-0000-0000CB1C0000}"/>
    <cellStyle name="Comma 3 3 2 3 4 2" xfId="37893" xr:uid="{00000000-0005-0000-0000-0000CC1C0000}"/>
    <cellStyle name="Comma 3 3 2 3 5" xfId="25588" xr:uid="{00000000-0005-0000-0000-0000CD1C0000}"/>
    <cellStyle name="Comma 3 3 2 4" xfId="7159" xr:uid="{00000000-0005-0000-0000-0000CE1C0000}"/>
    <cellStyle name="Comma 3 3 2 4 2" xfId="13353" xr:uid="{00000000-0005-0000-0000-0000CF1C0000}"/>
    <cellStyle name="Comma 3 3 2 4 2 2" xfId="33273" xr:uid="{00000000-0005-0000-0000-0000D01C0000}"/>
    <cellStyle name="Comma 3 3 2 4 3" xfId="19505" xr:uid="{00000000-0005-0000-0000-0000D11C0000}"/>
    <cellStyle name="Comma 3 3 2 4 3 2" xfId="39425" xr:uid="{00000000-0005-0000-0000-0000D21C0000}"/>
    <cellStyle name="Comma 3 3 2 4 4" xfId="27120" xr:uid="{00000000-0005-0000-0000-0000D31C0000}"/>
    <cellStyle name="Comma 3 3 2 5" xfId="10287" xr:uid="{00000000-0005-0000-0000-0000D41C0000}"/>
    <cellStyle name="Comma 3 3 2 5 2" xfId="30207" xr:uid="{00000000-0005-0000-0000-0000D51C0000}"/>
    <cellStyle name="Comma 3 3 2 6" xfId="16439" xr:uid="{00000000-0005-0000-0000-0000D61C0000}"/>
    <cellStyle name="Comma 3 3 2 6 2" xfId="36359" xr:uid="{00000000-0005-0000-0000-0000D71C0000}"/>
    <cellStyle name="Comma 3 3 2 7" xfId="1587" xr:uid="{00000000-0005-0000-0000-0000D81C0000}"/>
    <cellStyle name="Comma 3 3 2 7 2" xfId="24054" xr:uid="{00000000-0005-0000-0000-0000D91C0000}"/>
    <cellStyle name="Comma 3 3 3" xfId="1588" xr:uid="{00000000-0005-0000-0000-0000DA1C0000}"/>
    <cellStyle name="Comma 3 3 3 2" xfId="4753" xr:uid="{00000000-0005-0000-0000-0000DB1C0000}"/>
    <cellStyle name="Comma 3 3 3 2 2" xfId="6378" xr:uid="{00000000-0005-0000-0000-0000DC1C0000}"/>
    <cellStyle name="Comma 3 3 3 2 2 2" xfId="9464" xr:uid="{00000000-0005-0000-0000-0000DD1C0000}"/>
    <cellStyle name="Comma 3 3 3 2 2 2 2" xfId="15657" xr:uid="{00000000-0005-0000-0000-0000DE1C0000}"/>
    <cellStyle name="Comma 3 3 3 2 2 2 2 2" xfId="35577" xr:uid="{00000000-0005-0000-0000-0000DF1C0000}"/>
    <cellStyle name="Comma 3 3 3 2 2 2 3" xfId="21809" xr:uid="{00000000-0005-0000-0000-0000E01C0000}"/>
    <cellStyle name="Comma 3 3 3 2 2 2 3 2" xfId="41729" xr:uid="{00000000-0005-0000-0000-0000E11C0000}"/>
    <cellStyle name="Comma 3 3 3 2 2 2 4" xfId="29424" xr:uid="{00000000-0005-0000-0000-0000E21C0000}"/>
    <cellStyle name="Comma 3 3 3 2 2 3" xfId="12591" xr:uid="{00000000-0005-0000-0000-0000E31C0000}"/>
    <cellStyle name="Comma 3 3 3 2 2 3 2" xfId="32511" xr:uid="{00000000-0005-0000-0000-0000E41C0000}"/>
    <cellStyle name="Comma 3 3 3 2 2 4" xfId="18743" xr:uid="{00000000-0005-0000-0000-0000E51C0000}"/>
    <cellStyle name="Comma 3 3 3 2 2 4 2" xfId="38663" xr:uid="{00000000-0005-0000-0000-0000E61C0000}"/>
    <cellStyle name="Comma 3 3 3 2 2 5" xfId="26358" xr:uid="{00000000-0005-0000-0000-0000E71C0000}"/>
    <cellStyle name="Comma 3 3 3 2 3" xfId="7929" xr:uid="{00000000-0005-0000-0000-0000E81C0000}"/>
    <cellStyle name="Comma 3 3 3 2 3 2" xfId="14123" xr:uid="{00000000-0005-0000-0000-0000E91C0000}"/>
    <cellStyle name="Comma 3 3 3 2 3 2 2" xfId="34043" xr:uid="{00000000-0005-0000-0000-0000EA1C0000}"/>
    <cellStyle name="Comma 3 3 3 2 3 3" xfId="20275" xr:uid="{00000000-0005-0000-0000-0000EB1C0000}"/>
    <cellStyle name="Comma 3 3 3 2 3 3 2" xfId="40195" xr:uid="{00000000-0005-0000-0000-0000EC1C0000}"/>
    <cellStyle name="Comma 3 3 3 2 3 4" xfId="27890" xr:uid="{00000000-0005-0000-0000-0000ED1C0000}"/>
    <cellStyle name="Comma 3 3 3 2 4" xfId="11057" xr:uid="{00000000-0005-0000-0000-0000EE1C0000}"/>
    <cellStyle name="Comma 3 3 3 2 4 2" xfId="30977" xr:uid="{00000000-0005-0000-0000-0000EF1C0000}"/>
    <cellStyle name="Comma 3 3 3 2 5" xfId="17209" xr:uid="{00000000-0005-0000-0000-0000F01C0000}"/>
    <cellStyle name="Comma 3 3 3 2 5 2" xfId="37129" xr:uid="{00000000-0005-0000-0000-0000F11C0000}"/>
    <cellStyle name="Comma 3 3 3 2 6" xfId="24824" xr:uid="{00000000-0005-0000-0000-0000F21C0000}"/>
    <cellStyle name="Comma 3 3 3 3" xfId="5592" xr:uid="{00000000-0005-0000-0000-0000F31C0000}"/>
    <cellStyle name="Comma 3 3 3 3 2" xfId="8695" xr:uid="{00000000-0005-0000-0000-0000F41C0000}"/>
    <cellStyle name="Comma 3 3 3 3 2 2" xfId="14888" xr:uid="{00000000-0005-0000-0000-0000F51C0000}"/>
    <cellStyle name="Comma 3 3 3 3 2 2 2" xfId="34808" xr:uid="{00000000-0005-0000-0000-0000F61C0000}"/>
    <cellStyle name="Comma 3 3 3 3 2 3" xfId="21040" xr:uid="{00000000-0005-0000-0000-0000F71C0000}"/>
    <cellStyle name="Comma 3 3 3 3 2 3 2" xfId="40960" xr:uid="{00000000-0005-0000-0000-0000F81C0000}"/>
    <cellStyle name="Comma 3 3 3 3 2 4" xfId="28655" xr:uid="{00000000-0005-0000-0000-0000F91C0000}"/>
    <cellStyle name="Comma 3 3 3 3 3" xfId="11822" xr:uid="{00000000-0005-0000-0000-0000FA1C0000}"/>
    <cellStyle name="Comma 3 3 3 3 3 2" xfId="31742" xr:uid="{00000000-0005-0000-0000-0000FB1C0000}"/>
    <cellStyle name="Comma 3 3 3 3 4" xfId="17974" xr:uid="{00000000-0005-0000-0000-0000FC1C0000}"/>
    <cellStyle name="Comma 3 3 3 3 4 2" xfId="37894" xr:uid="{00000000-0005-0000-0000-0000FD1C0000}"/>
    <cellStyle name="Comma 3 3 3 3 5" xfId="25589" xr:uid="{00000000-0005-0000-0000-0000FE1C0000}"/>
    <cellStyle name="Comma 3 3 3 4" xfId="7160" xr:uid="{00000000-0005-0000-0000-0000FF1C0000}"/>
    <cellStyle name="Comma 3 3 3 4 2" xfId="13354" xr:uid="{00000000-0005-0000-0000-0000001D0000}"/>
    <cellStyle name="Comma 3 3 3 4 2 2" xfId="33274" xr:uid="{00000000-0005-0000-0000-0000011D0000}"/>
    <cellStyle name="Comma 3 3 3 4 3" xfId="19506" xr:uid="{00000000-0005-0000-0000-0000021D0000}"/>
    <cellStyle name="Comma 3 3 3 4 3 2" xfId="39426" xr:uid="{00000000-0005-0000-0000-0000031D0000}"/>
    <cellStyle name="Comma 3 3 3 4 4" xfId="27121" xr:uid="{00000000-0005-0000-0000-0000041D0000}"/>
    <cellStyle name="Comma 3 3 3 5" xfId="10288" xr:uid="{00000000-0005-0000-0000-0000051D0000}"/>
    <cellStyle name="Comma 3 3 3 5 2" xfId="30208" xr:uid="{00000000-0005-0000-0000-0000061D0000}"/>
    <cellStyle name="Comma 3 3 3 6" xfId="16440" xr:uid="{00000000-0005-0000-0000-0000071D0000}"/>
    <cellStyle name="Comma 3 3 3 6 2" xfId="36360" xr:uid="{00000000-0005-0000-0000-0000081D0000}"/>
    <cellStyle name="Comma 3 3 3 7" xfId="24055" xr:uid="{00000000-0005-0000-0000-0000091D0000}"/>
    <cellStyle name="Comma 3 3 4" xfId="1589" xr:uid="{00000000-0005-0000-0000-00000A1D0000}"/>
    <cellStyle name="Comma 3 3 4 2" xfId="4754" xr:uid="{00000000-0005-0000-0000-00000B1D0000}"/>
    <cellStyle name="Comma 3 3 4 2 2" xfId="6379" xr:uid="{00000000-0005-0000-0000-00000C1D0000}"/>
    <cellStyle name="Comma 3 3 4 2 2 2" xfId="9465" xr:uid="{00000000-0005-0000-0000-00000D1D0000}"/>
    <cellStyle name="Comma 3 3 4 2 2 2 2" xfId="15658" xr:uid="{00000000-0005-0000-0000-00000E1D0000}"/>
    <cellStyle name="Comma 3 3 4 2 2 2 2 2" xfId="35578" xr:uid="{00000000-0005-0000-0000-00000F1D0000}"/>
    <cellStyle name="Comma 3 3 4 2 2 2 3" xfId="21810" xr:uid="{00000000-0005-0000-0000-0000101D0000}"/>
    <cellStyle name="Comma 3 3 4 2 2 2 3 2" xfId="41730" xr:uid="{00000000-0005-0000-0000-0000111D0000}"/>
    <cellStyle name="Comma 3 3 4 2 2 2 4" xfId="29425" xr:uid="{00000000-0005-0000-0000-0000121D0000}"/>
    <cellStyle name="Comma 3 3 4 2 2 3" xfId="12592" xr:uid="{00000000-0005-0000-0000-0000131D0000}"/>
    <cellStyle name="Comma 3 3 4 2 2 3 2" xfId="32512" xr:uid="{00000000-0005-0000-0000-0000141D0000}"/>
    <cellStyle name="Comma 3 3 4 2 2 4" xfId="18744" xr:uid="{00000000-0005-0000-0000-0000151D0000}"/>
    <cellStyle name="Comma 3 3 4 2 2 4 2" xfId="38664" xr:uid="{00000000-0005-0000-0000-0000161D0000}"/>
    <cellStyle name="Comma 3 3 4 2 2 5" xfId="26359" xr:uid="{00000000-0005-0000-0000-0000171D0000}"/>
    <cellStyle name="Comma 3 3 4 2 3" xfId="7930" xr:uid="{00000000-0005-0000-0000-0000181D0000}"/>
    <cellStyle name="Comma 3 3 4 2 3 2" xfId="14124" xr:uid="{00000000-0005-0000-0000-0000191D0000}"/>
    <cellStyle name="Comma 3 3 4 2 3 2 2" xfId="34044" xr:uid="{00000000-0005-0000-0000-00001A1D0000}"/>
    <cellStyle name="Comma 3 3 4 2 3 3" xfId="20276" xr:uid="{00000000-0005-0000-0000-00001B1D0000}"/>
    <cellStyle name="Comma 3 3 4 2 3 3 2" xfId="40196" xr:uid="{00000000-0005-0000-0000-00001C1D0000}"/>
    <cellStyle name="Comma 3 3 4 2 3 4" xfId="27891" xr:uid="{00000000-0005-0000-0000-00001D1D0000}"/>
    <cellStyle name="Comma 3 3 4 2 4" xfId="11058" xr:uid="{00000000-0005-0000-0000-00001E1D0000}"/>
    <cellStyle name="Comma 3 3 4 2 4 2" xfId="30978" xr:uid="{00000000-0005-0000-0000-00001F1D0000}"/>
    <cellStyle name="Comma 3 3 4 2 5" xfId="17210" xr:uid="{00000000-0005-0000-0000-0000201D0000}"/>
    <cellStyle name="Comma 3 3 4 2 5 2" xfId="37130" xr:uid="{00000000-0005-0000-0000-0000211D0000}"/>
    <cellStyle name="Comma 3 3 4 2 6" xfId="24825" xr:uid="{00000000-0005-0000-0000-0000221D0000}"/>
    <cellStyle name="Comma 3 3 4 3" xfId="5593" xr:uid="{00000000-0005-0000-0000-0000231D0000}"/>
    <cellStyle name="Comma 3 3 4 3 2" xfId="8696" xr:uid="{00000000-0005-0000-0000-0000241D0000}"/>
    <cellStyle name="Comma 3 3 4 3 2 2" xfId="14889" xr:uid="{00000000-0005-0000-0000-0000251D0000}"/>
    <cellStyle name="Comma 3 3 4 3 2 2 2" xfId="34809" xr:uid="{00000000-0005-0000-0000-0000261D0000}"/>
    <cellStyle name="Comma 3 3 4 3 2 3" xfId="21041" xr:uid="{00000000-0005-0000-0000-0000271D0000}"/>
    <cellStyle name="Comma 3 3 4 3 2 3 2" xfId="40961" xr:uid="{00000000-0005-0000-0000-0000281D0000}"/>
    <cellStyle name="Comma 3 3 4 3 2 4" xfId="28656" xr:uid="{00000000-0005-0000-0000-0000291D0000}"/>
    <cellStyle name="Comma 3 3 4 3 3" xfId="11823" xr:uid="{00000000-0005-0000-0000-00002A1D0000}"/>
    <cellStyle name="Comma 3 3 4 3 3 2" xfId="31743" xr:uid="{00000000-0005-0000-0000-00002B1D0000}"/>
    <cellStyle name="Comma 3 3 4 3 4" xfId="17975" xr:uid="{00000000-0005-0000-0000-00002C1D0000}"/>
    <cellStyle name="Comma 3 3 4 3 4 2" xfId="37895" xr:uid="{00000000-0005-0000-0000-00002D1D0000}"/>
    <cellStyle name="Comma 3 3 4 3 5" xfId="25590" xr:uid="{00000000-0005-0000-0000-00002E1D0000}"/>
    <cellStyle name="Comma 3 3 4 4" xfId="7161" xr:uid="{00000000-0005-0000-0000-00002F1D0000}"/>
    <cellStyle name="Comma 3 3 4 4 2" xfId="13355" xr:uid="{00000000-0005-0000-0000-0000301D0000}"/>
    <cellStyle name="Comma 3 3 4 4 2 2" xfId="33275" xr:uid="{00000000-0005-0000-0000-0000311D0000}"/>
    <cellStyle name="Comma 3 3 4 4 3" xfId="19507" xr:uid="{00000000-0005-0000-0000-0000321D0000}"/>
    <cellStyle name="Comma 3 3 4 4 3 2" xfId="39427" xr:uid="{00000000-0005-0000-0000-0000331D0000}"/>
    <cellStyle name="Comma 3 3 4 4 4" xfId="27122" xr:uid="{00000000-0005-0000-0000-0000341D0000}"/>
    <cellStyle name="Comma 3 3 4 5" xfId="10289" xr:uid="{00000000-0005-0000-0000-0000351D0000}"/>
    <cellStyle name="Comma 3 3 4 5 2" xfId="30209" xr:uid="{00000000-0005-0000-0000-0000361D0000}"/>
    <cellStyle name="Comma 3 3 4 6" xfId="16441" xr:uid="{00000000-0005-0000-0000-0000371D0000}"/>
    <cellStyle name="Comma 3 3 4 6 2" xfId="36361" xr:uid="{00000000-0005-0000-0000-0000381D0000}"/>
    <cellStyle name="Comma 3 3 4 7" xfId="24056" xr:uid="{00000000-0005-0000-0000-0000391D0000}"/>
    <cellStyle name="Comma 3 3 5" xfId="1590" xr:uid="{00000000-0005-0000-0000-00003A1D0000}"/>
    <cellStyle name="Comma 3 3 5 2" xfId="4755" xr:uid="{00000000-0005-0000-0000-00003B1D0000}"/>
    <cellStyle name="Comma 3 3 5 2 2" xfId="6380" xr:uid="{00000000-0005-0000-0000-00003C1D0000}"/>
    <cellStyle name="Comma 3 3 5 2 2 2" xfId="9466" xr:uid="{00000000-0005-0000-0000-00003D1D0000}"/>
    <cellStyle name="Comma 3 3 5 2 2 2 2" xfId="15659" xr:uid="{00000000-0005-0000-0000-00003E1D0000}"/>
    <cellStyle name="Comma 3 3 5 2 2 2 2 2" xfId="35579" xr:uid="{00000000-0005-0000-0000-00003F1D0000}"/>
    <cellStyle name="Comma 3 3 5 2 2 2 3" xfId="21811" xr:uid="{00000000-0005-0000-0000-0000401D0000}"/>
    <cellStyle name="Comma 3 3 5 2 2 2 3 2" xfId="41731" xr:uid="{00000000-0005-0000-0000-0000411D0000}"/>
    <cellStyle name="Comma 3 3 5 2 2 2 4" xfId="29426" xr:uid="{00000000-0005-0000-0000-0000421D0000}"/>
    <cellStyle name="Comma 3 3 5 2 2 3" xfId="12593" xr:uid="{00000000-0005-0000-0000-0000431D0000}"/>
    <cellStyle name="Comma 3 3 5 2 2 3 2" xfId="32513" xr:uid="{00000000-0005-0000-0000-0000441D0000}"/>
    <cellStyle name="Comma 3 3 5 2 2 4" xfId="18745" xr:uid="{00000000-0005-0000-0000-0000451D0000}"/>
    <cellStyle name="Comma 3 3 5 2 2 4 2" xfId="38665" xr:uid="{00000000-0005-0000-0000-0000461D0000}"/>
    <cellStyle name="Comma 3 3 5 2 2 5" xfId="26360" xr:uid="{00000000-0005-0000-0000-0000471D0000}"/>
    <cellStyle name="Comma 3 3 5 2 3" xfId="7931" xr:uid="{00000000-0005-0000-0000-0000481D0000}"/>
    <cellStyle name="Comma 3 3 5 2 3 2" xfId="14125" xr:uid="{00000000-0005-0000-0000-0000491D0000}"/>
    <cellStyle name="Comma 3 3 5 2 3 2 2" xfId="34045" xr:uid="{00000000-0005-0000-0000-00004A1D0000}"/>
    <cellStyle name="Comma 3 3 5 2 3 3" xfId="20277" xr:uid="{00000000-0005-0000-0000-00004B1D0000}"/>
    <cellStyle name="Comma 3 3 5 2 3 3 2" xfId="40197" xr:uid="{00000000-0005-0000-0000-00004C1D0000}"/>
    <cellStyle name="Comma 3 3 5 2 3 4" xfId="27892" xr:uid="{00000000-0005-0000-0000-00004D1D0000}"/>
    <cellStyle name="Comma 3 3 5 2 4" xfId="11059" xr:uid="{00000000-0005-0000-0000-00004E1D0000}"/>
    <cellStyle name="Comma 3 3 5 2 4 2" xfId="30979" xr:uid="{00000000-0005-0000-0000-00004F1D0000}"/>
    <cellStyle name="Comma 3 3 5 2 5" xfId="17211" xr:uid="{00000000-0005-0000-0000-0000501D0000}"/>
    <cellStyle name="Comma 3 3 5 2 5 2" xfId="37131" xr:uid="{00000000-0005-0000-0000-0000511D0000}"/>
    <cellStyle name="Comma 3 3 5 2 6" xfId="24826" xr:uid="{00000000-0005-0000-0000-0000521D0000}"/>
    <cellStyle name="Comma 3 3 5 3" xfId="5594" xr:uid="{00000000-0005-0000-0000-0000531D0000}"/>
    <cellStyle name="Comma 3 3 5 3 2" xfId="8697" xr:uid="{00000000-0005-0000-0000-0000541D0000}"/>
    <cellStyle name="Comma 3 3 5 3 2 2" xfId="14890" xr:uid="{00000000-0005-0000-0000-0000551D0000}"/>
    <cellStyle name="Comma 3 3 5 3 2 2 2" xfId="34810" xr:uid="{00000000-0005-0000-0000-0000561D0000}"/>
    <cellStyle name="Comma 3 3 5 3 2 3" xfId="21042" xr:uid="{00000000-0005-0000-0000-0000571D0000}"/>
    <cellStyle name="Comma 3 3 5 3 2 3 2" xfId="40962" xr:uid="{00000000-0005-0000-0000-0000581D0000}"/>
    <cellStyle name="Comma 3 3 5 3 2 4" xfId="28657" xr:uid="{00000000-0005-0000-0000-0000591D0000}"/>
    <cellStyle name="Comma 3 3 5 3 3" xfId="11824" xr:uid="{00000000-0005-0000-0000-00005A1D0000}"/>
    <cellStyle name="Comma 3 3 5 3 3 2" xfId="31744" xr:uid="{00000000-0005-0000-0000-00005B1D0000}"/>
    <cellStyle name="Comma 3 3 5 3 4" xfId="17976" xr:uid="{00000000-0005-0000-0000-00005C1D0000}"/>
    <cellStyle name="Comma 3 3 5 3 4 2" xfId="37896" xr:uid="{00000000-0005-0000-0000-00005D1D0000}"/>
    <cellStyle name="Comma 3 3 5 3 5" xfId="25591" xr:uid="{00000000-0005-0000-0000-00005E1D0000}"/>
    <cellStyle name="Comma 3 3 5 4" xfId="7162" xr:uid="{00000000-0005-0000-0000-00005F1D0000}"/>
    <cellStyle name="Comma 3 3 5 4 2" xfId="13356" xr:uid="{00000000-0005-0000-0000-0000601D0000}"/>
    <cellStyle name="Comma 3 3 5 4 2 2" xfId="33276" xr:uid="{00000000-0005-0000-0000-0000611D0000}"/>
    <cellStyle name="Comma 3 3 5 4 3" xfId="19508" xr:uid="{00000000-0005-0000-0000-0000621D0000}"/>
    <cellStyle name="Comma 3 3 5 4 3 2" xfId="39428" xr:uid="{00000000-0005-0000-0000-0000631D0000}"/>
    <cellStyle name="Comma 3 3 5 4 4" xfId="27123" xr:uid="{00000000-0005-0000-0000-0000641D0000}"/>
    <cellStyle name="Comma 3 3 5 5" xfId="10290" xr:uid="{00000000-0005-0000-0000-0000651D0000}"/>
    <cellStyle name="Comma 3 3 5 5 2" xfId="30210" xr:uid="{00000000-0005-0000-0000-0000661D0000}"/>
    <cellStyle name="Comma 3 3 5 6" xfId="16442" xr:uid="{00000000-0005-0000-0000-0000671D0000}"/>
    <cellStyle name="Comma 3 3 5 6 2" xfId="36362" xr:uid="{00000000-0005-0000-0000-0000681D0000}"/>
    <cellStyle name="Comma 3 3 5 7" xfId="24057" xr:uid="{00000000-0005-0000-0000-0000691D0000}"/>
    <cellStyle name="Comma 3 3 6" xfId="4751" xr:uid="{00000000-0005-0000-0000-00006A1D0000}"/>
    <cellStyle name="Comma 3 3 6 2" xfId="6376" xr:uid="{00000000-0005-0000-0000-00006B1D0000}"/>
    <cellStyle name="Comma 3 3 6 2 2" xfId="9462" xr:uid="{00000000-0005-0000-0000-00006C1D0000}"/>
    <cellStyle name="Comma 3 3 6 2 2 2" xfId="15655" xr:uid="{00000000-0005-0000-0000-00006D1D0000}"/>
    <cellStyle name="Comma 3 3 6 2 2 2 2" xfId="35575" xr:uid="{00000000-0005-0000-0000-00006E1D0000}"/>
    <cellStyle name="Comma 3 3 6 2 2 3" xfId="21807" xr:uid="{00000000-0005-0000-0000-00006F1D0000}"/>
    <cellStyle name="Comma 3 3 6 2 2 3 2" xfId="41727" xr:uid="{00000000-0005-0000-0000-0000701D0000}"/>
    <cellStyle name="Comma 3 3 6 2 2 4" xfId="29422" xr:uid="{00000000-0005-0000-0000-0000711D0000}"/>
    <cellStyle name="Comma 3 3 6 2 3" xfId="12589" xr:uid="{00000000-0005-0000-0000-0000721D0000}"/>
    <cellStyle name="Comma 3 3 6 2 3 2" xfId="32509" xr:uid="{00000000-0005-0000-0000-0000731D0000}"/>
    <cellStyle name="Comma 3 3 6 2 4" xfId="18741" xr:uid="{00000000-0005-0000-0000-0000741D0000}"/>
    <cellStyle name="Comma 3 3 6 2 4 2" xfId="38661" xr:uid="{00000000-0005-0000-0000-0000751D0000}"/>
    <cellStyle name="Comma 3 3 6 2 5" xfId="26356" xr:uid="{00000000-0005-0000-0000-0000761D0000}"/>
    <cellStyle name="Comma 3 3 6 3" xfId="7927" xr:uid="{00000000-0005-0000-0000-0000771D0000}"/>
    <cellStyle name="Comma 3 3 6 3 2" xfId="14121" xr:uid="{00000000-0005-0000-0000-0000781D0000}"/>
    <cellStyle name="Comma 3 3 6 3 2 2" xfId="34041" xr:uid="{00000000-0005-0000-0000-0000791D0000}"/>
    <cellStyle name="Comma 3 3 6 3 3" xfId="20273" xr:uid="{00000000-0005-0000-0000-00007A1D0000}"/>
    <cellStyle name="Comma 3 3 6 3 3 2" xfId="40193" xr:uid="{00000000-0005-0000-0000-00007B1D0000}"/>
    <cellStyle name="Comma 3 3 6 3 4" xfId="27888" xr:uid="{00000000-0005-0000-0000-00007C1D0000}"/>
    <cellStyle name="Comma 3 3 6 4" xfId="11055" xr:uid="{00000000-0005-0000-0000-00007D1D0000}"/>
    <cellStyle name="Comma 3 3 6 4 2" xfId="30975" xr:uid="{00000000-0005-0000-0000-00007E1D0000}"/>
    <cellStyle name="Comma 3 3 6 5" xfId="17207" xr:uid="{00000000-0005-0000-0000-00007F1D0000}"/>
    <cellStyle name="Comma 3 3 6 5 2" xfId="37127" xr:uid="{00000000-0005-0000-0000-0000801D0000}"/>
    <cellStyle name="Comma 3 3 6 6" xfId="24822" xr:uid="{00000000-0005-0000-0000-0000811D0000}"/>
    <cellStyle name="Comma 3 3 7" xfId="5590" xr:uid="{00000000-0005-0000-0000-0000821D0000}"/>
    <cellStyle name="Comma 3 3 7 2" xfId="8693" xr:uid="{00000000-0005-0000-0000-0000831D0000}"/>
    <cellStyle name="Comma 3 3 7 2 2" xfId="14886" xr:uid="{00000000-0005-0000-0000-0000841D0000}"/>
    <cellStyle name="Comma 3 3 7 2 2 2" xfId="34806" xr:uid="{00000000-0005-0000-0000-0000851D0000}"/>
    <cellStyle name="Comma 3 3 7 2 3" xfId="21038" xr:uid="{00000000-0005-0000-0000-0000861D0000}"/>
    <cellStyle name="Comma 3 3 7 2 3 2" xfId="40958" xr:uid="{00000000-0005-0000-0000-0000871D0000}"/>
    <cellStyle name="Comma 3 3 7 2 4" xfId="28653" xr:uid="{00000000-0005-0000-0000-0000881D0000}"/>
    <cellStyle name="Comma 3 3 7 3" xfId="11820" xr:uid="{00000000-0005-0000-0000-0000891D0000}"/>
    <cellStyle name="Comma 3 3 7 3 2" xfId="31740" xr:uid="{00000000-0005-0000-0000-00008A1D0000}"/>
    <cellStyle name="Comma 3 3 7 4" xfId="17972" xr:uid="{00000000-0005-0000-0000-00008B1D0000}"/>
    <cellStyle name="Comma 3 3 7 4 2" xfId="37892" xr:uid="{00000000-0005-0000-0000-00008C1D0000}"/>
    <cellStyle name="Comma 3 3 7 5" xfId="25587" xr:uid="{00000000-0005-0000-0000-00008D1D0000}"/>
    <cellStyle name="Comma 3 3 8" xfId="7158" xr:uid="{00000000-0005-0000-0000-00008E1D0000}"/>
    <cellStyle name="Comma 3 3 8 2" xfId="13352" xr:uid="{00000000-0005-0000-0000-00008F1D0000}"/>
    <cellStyle name="Comma 3 3 8 2 2" xfId="33272" xr:uid="{00000000-0005-0000-0000-0000901D0000}"/>
    <cellStyle name="Comma 3 3 8 3" xfId="19504" xr:uid="{00000000-0005-0000-0000-0000911D0000}"/>
    <cellStyle name="Comma 3 3 8 3 2" xfId="39424" xr:uid="{00000000-0005-0000-0000-0000921D0000}"/>
    <cellStyle name="Comma 3 3 8 4" xfId="27119" xr:uid="{00000000-0005-0000-0000-0000931D0000}"/>
    <cellStyle name="Comma 3 3 9" xfId="10286" xr:uid="{00000000-0005-0000-0000-0000941D0000}"/>
    <cellStyle name="Comma 3 3 9 2" xfId="30206" xr:uid="{00000000-0005-0000-0000-0000951D0000}"/>
    <cellStyle name="Comma 3 30" xfId="732" xr:uid="{00000000-0005-0000-0000-0000961D0000}"/>
    <cellStyle name="Comma 3 30 2" xfId="23614" xr:uid="{00000000-0005-0000-0000-0000971D0000}"/>
    <cellStyle name="Comma 3 31" xfId="22697" xr:uid="{00000000-0005-0000-0000-0000981D0000}"/>
    <cellStyle name="Comma 3 31 2" xfId="42608" xr:uid="{00000000-0005-0000-0000-0000991D0000}"/>
    <cellStyle name="Comma 3 32" xfId="23000" xr:uid="{00000000-0005-0000-0000-00009A1D0000}"/>
    <cellStyle name="Comma 3 32 2" xfId="42911" xr:uid="{00000000-0005-0000-0000-00009B1D0000}"/>
    <cellStyle name="Comma 3 33" xfId="23323" xr:uid="{00000000-0005-0000-0000-00009C1D0000}"/>
    <cellStyle name="Comma 3 36" xfId="43229" xr:uid="{2908A2B6-3DCD-4055-B24A-FD28AE8ED070}"/>
    <cellStyle name="Comma 3 4" xfId="161" xr:uid="{00000000-0005-0000-0000-00009D1D0000}"/>
    <cellStyle name="Comma 3 4 2" xfId="1592" xr:uid="{00000000-0005-0000-0000-00009E1D0000}"/>
    <cellStyle name="Comma 3 4 2 2" xfId="4757" xr:uid="{00000000-0005-0000-0000-00009F1D0000}"/>
    <cellStyle name="Comma 3 4 2 2 2" xfId="6382" xr:uid="{00000000-0005-0000-0000-0000A01D0000}"/>
    <cellStyle name="Comma 3 4 2 2 2 2" xfId="9468" xr:uid="{00000000-0005-0000-0000-0000A11D0000}"/>
    <cellStyle name="Comma 3 4 2 2 2 2 2" xfId="15661" xr:uid="{00000000-0005-0000-0000-0000A21D0000}"/>
    <cellStyle name="Comma 3 4 2 2 2 2 2 2" xfId="35581" xr:uid="{00000000-0005-0000-0000-0000A31D0000}"/>
    <cellStyle name="Comma 3 4 2 2 2 2 3" xfId="21813" xr:uid="{00000000-0005-0000-0000-0000A41D0000}"/>
    <cellStyle name="Comma 3 4 2 2 2 2 3 2" xfId="41733" xr:uid="{00000000-0005-0000-0000-0000A51D0000}"/>
    <cellStyle name="Comma 3 4 2 2 2 2 4" xfId="29428" xr:uid="{00000000-0005-0000-0000-0000A61D0000}"/>
    <cellStyle name="Comma 3 4 2 2 2 3" xfId="12595" xr:uid="{00000000-0005-0000-0000-0000A71D0000}"/>
    <cellStyle name="Comma 3 4 2 2 2 3 2" xfId="32515" xr:uid="{00000000-0005-0000-0000-0000A81D0000}"/>
    <cellStyle name="Comma 3 4 2 2 2 4" xfId="18747" xr:uid="{00000000-0005-0000-0000-0000A91D0000}"/>
    <cellStyle name="Comma 3 4 2 2 2 4 2" xfId="38667" xr:uid="{00000000-0005-0000-0000-0000AA1D0000}"/>
    <cellStyle name="Comma 3 4 2 2 2 5" xfId="26362" xr:uid="{00000000-0005-0000-0000-0000AB1D0000}"/>
    <cellStyle name="Comma 3 4 2 2 3" xfId="7933" xr:uid="{00000000-0005-0000-0000-0000AC1D0000}"/>
    <cellStyle name="Comma 3 4 2 2 3 2" xfId="14127" xr:uid="{00000000-0005-0000-0000-0000AD1D0000}"/>
    <cellStyle name="Comma 3 4 2 2 3 2 2" xfId="34047" xr:uid="{00000000-0005-0000-0000-0000AE1D0000}"/>
    <cellStyle name="Comma 3 4 2 2 3 3" xfId="20279" xr:uid="{00000000-0005-0000-0000-0000AF1D0000}"/>
    <cellStyle name="Comma 3 4 2 2 3 3 2" xfId="40199" xr:uid="{00000000-0005-0000-0000-0000B01D0000}"/>
    <cellStyle name="Comma 3 4 2 2 3 4" xfId="27894" xr:uid="{00000000-0005-0000-0000-0000B11D0000}"/>
    <cellStyle name="Comma 3 4 2 2 4" xfId="11061" xr:uid="{00000000-0005-0000-0000-0000B21D0000}"/>
    <cellStyle name="Comma 3 4 2 2 4 2" xfId="30981" xr:uid="{00000000-0005-0000-0000-0000B31D0000}"/>
    <cellStyle name="Comma 3 4 2 2 5" xfId="17213" xr:uid="{00000000-0005-0000-0000-0000B41D0000}"/>
    <cellStyle name="Comma 3 4 2 2 5 2" xfId="37133" xr:uid="{00000000-0005-0000-0000-0000B51D0000}"/>
    <cellStyle name="Comma 3 4 2 2 6" xfId="24828" xr:uid="{00000000-0005-0000-0000-0000B61D0000}"/>
    <cellStyle name="Comma 3 4 2 3" xfId="5596" xr:uid="{00000000-0005-0000-0000-0000B71D0000}"/>
    <cellStyle name="Comma 3 4 2 3 2" xfId="8699" xr:uid="{00000000-0005-0000-0000-0000B81D0000}"/>
    <cellStyle name="Comma 3 4 2 3 2 2" xfId="14892" xr:uid="{00000000-0005-0000-0000-0000B91D0000}"/>
    <cellStyle name="Comma 3 4 2 3 2 2 2" xfId="34812" xr:uid="{00000000-0005-0000-0000-0000BA1D0000}"/>
    <cellStyle name="Comma 3 4 2 3 2 3" xfId="21044" xr:uid="{00000000-0005-0000-0000-0000BB1D0000}"/>
    <cellStyle name="Comma 3 4 2 3 2 3 2" xfId="40964" xr:uid="{00000000-0005-0000-0000-0000BC1D0000}"/>
    <cellStyle name="Comma 3 4 2 3 2 4" xfId="28659" xr:uid="{00000000-0005-0000-0000-0000BD1D0000}"/>
    <cellStyle name="Comma 3 4 2 3 3" xfId="11826" xr:uid="{00000000-0005-0000-0000-0000BE1D0000}"/>
    <cellStyle name="Comma 3 4 2 3 3 2" xfId="31746" xr:uid="{00000000-0005-0000-0000-0000BF1D0000}"/>
    <cellStyle name="Comma 3 4 2 3 4" xfId="17978" xr:uid="{00000000-0005-0000-0000-0000C01D0000}"/>
    <cellStyle name="Comma 3 4 2 3 4 2" xfId="37898" xr:uid="{00000000-0005-0000-0000-0000C11D0000}"/>
    <cellStyle name="Comma 3 4 2 3 5" xfId="25593" xr:uid="{00000000-0005-0000-0000-0000C21D0000}"/>
    <cellStyle name="Comma 3 4 2 4" xfId="7164" xr:uid="{00000000-0005-0000-0000-0000C31D0000}"/>
    <cellStyle name="Comma 3 4 2 4 2" xfId="13358" xr:uid="{00000000-0005-0000-0000-0000C41D0000}"/>
    <cellStyle name="Comma 3 4 2 4 2 2" xfId="33278" xr:uid="{00000000-0005-0000-0000-0000C51D0000}"/>
    <cellStyle name="Comma 3 4 2 4 3" xfId="19510" xr:uid="{00000000-0005-0000-0000-0000C61D0000}"/>
    <cellStyle name="Comma 3 4 2 4 3 2" xfId="39430" xr:uid="{00000000-0005-0000-0000-0000C71D0000}"/>
    <cellStyle name="Comma 3 4 2 4 4" xfId="27125" xr:uid="{00000000-0005-0000-0000-0000C81D0000}"/>
    <cellStyle name="Comma 3 4 2 5" xfId="10292" xr:uid="{00000000-0005-0000-0000-0000C91D0000}"/>
    <cellStyle name="Comma 3 4 2 5 2" xfId="30212" xr:uid="{00000000-0005-0000-0000-0000CA1D0000}"/>
    <cellStyle name="Comma 3 4 2 6" xfId="16444" xr:uid="{00000000-0005-0000-0000-0000CB1D0000}"/>
    <cellStyle name="Comma 3 4 2 6 2" xfId="36364" xr:uid="{00000000-0005-0000-0000-0000CC1D0000}"/>
    <cellStyle name="Comma 3 4 2 7" xfId="24059" xr:uid="{00000000-0005-0000-0000-0000CD1D0000}"/>
    <cellStyle name="Comma 3 4 3" xfId="4756" xr:uid="{00000000-0005-0000-0000-0000CE1D0000}"/>
    <cellStyle name="Comma 3 4 3 2" xfId="6381" xr:uid="{00000000-0005-0000-0000-0000CF1D0000}"/>
    <cellStyle name="Comma 3 4 3 2 2" xfId="9467" xr:uid="{00000000-0005-0000-0000-0000D01D0000}"/>
    <cellStyle name="Comma 3 4 3 2 2 2" xfId="15660" xr:uid="{00000000-0005-0000-0000-0000D11D0000}"/>
    <cellStyle name="Comma 3 4 3 2 2 2 2" xfId="35580" xr:uid="{00000000-0005-0000-0000-0000D21D0000}"/>
    <cellStyle name="Comma 3 4 3 2 2 3" xfId="21812" xr:uid="{00000000-0005-0000-0000-0000D31D0000}"/>
    <cellStyle name="Comma 3 4 3 2 2 3 2" xfId="41732" xr:uid="{00000000-0005-0000-0000-0000D41D0000}"/>
    <cellStyle name="Comma 3 4 3 2 2 4" xfId="29427" xr:uid="{00000000-0005-0000-0000-0000D51D0000}"/>
    <cellStyle name="Comma 3 4 3 2 3" xfId="12594" xr:uid="{00000000-0005-0000-0000-0000D61D0000}"/>
    <cellStyle name="Comma 3 4 3 2 3 2" xfId="32514" xr:uid="{00000000-0005-0000-0000-0000D71D0000}"/>
    <cellStyle name="Comma 3 4 3 2 4" xfId="18746" xr:uid="{00000000-0005-0000-0000-0000D81D0000}"/>
    <cellStyle name="Comma 3 4 3 2 4 2" xfId="38666" xr:uid="{00000000-0005-0000-0000-0000D91D0000}"/>
    <cellStyle name="Comma 3 4 3 2 5" xfId="26361" xr:uid="{00000000-0005-0000-0000-0000DA1D0000}"/>
    <cellStyle name="Comma 3 4 3 3" xfId="7932" xr:uid="{00000000-0005-0000-0000-0000DB1D0000}"/>
    <cellStyle name="Comma 3 4 3 3 2" xfId="14126" xr:uid="{00000000-0005-0000-0000-0000DC1D0000}"/>
    <cellStyle name="Comma 3 4 3 3 2 2" xfId="34046" xr:uid="{00000000-0005-0000-0000-0000DD1D0000}"/>
    <cellStyle name="Comma 3 4 3 3 3" xfId="20278" xr:uid="{00000000-0005-0000-0000-0000DE1D0000}"/>
    <cellStyle name="Comma 3 4 3 3 3 2" xfId="40198" xr:uid="{00000000-0005-0000-0000-0000DF1D0000}"/>
    <cellStyle name="Comma 3 4 3 3 4" xfId="27893" xr:uid="{00000000-0005-0000-0000-0000E01D0000}"/>
    <cellStyle name="Comma 3 4 3 4" xfId="11060" xr:uid="{00000000-0005-0000-0000-0000E11D0000}"/>
    <cellStyle name="Comma 3 4 3 4 2" xfId="30980" xr:uid="{00000000-0005-0000-0000-0000E21D0000}"/>
    <cellStyle name="Comma 3 4 3 5" xfId="17212" xr:uid="{00000000-0005-0000-0000-0000E31D0000}"/>
    <cellStyle name="Comma 3 4 3 5 2" xfId="37132" xr:uid="{00000000-0005-0000-0000-0000E41D0000}"/>
    <cellStyle name="Comma 3 4 3 6" xfId="24827" xr:uid="{00000000-0005-0000-0000-0000E51D0000}"/>
    <cellStyle name="Comma 3 4 4" xfId="5595" xr:uid="{00000000-0005-0000-0000-0000E61D0000}"/>
    <cellStyle name="Comma 3 4 4 2" xfId="8698" xr:uid="{00000000-0005-0000-0000-0000E71D0000}"/>
    <cellStyle name="Comma 3 4 4 2 2" xfId="14891" xr:uid="{00000000-0005-0000-0000-0000E81D0000}"/>
    <cellStyle name="Comma 3 4 4 2 2 2" xfId="34811" xr:uid="{00000000-0005-0000-0000-0000E91D0000}"/>
    <cellStyle name="Comma 3 4 4 2 3" xfId="21043" xr:uid="{00000000-0005-0000-0000-0000EA1D0000}"/>
    <cellStyle name="Comma 3 4 4 2 3 2" xfId="40963" xr:uid="{00000000-0005-0000-0000-0000EB1D0000}"/>
    <cellStyle name="Comma 3 4 4 2 4" xfId="28658" xr:uid="{00000000-0005-0000-0000-0000EC1D0000}"/>
    <cellStyle name="Comma 3 4 4 3" xfId="11825" xr:uid="{00000000-0005-0000-0000-0000ED1D0000}"/>
    <cellStyle name="Comma 3 4 4 3 2" xfId="31745" xr:uid="{00000000-0005-0000-0000-0000EE1D0000}"/>
    <cellStyle name="Comma 3 4 4 4" xfId="17977" xr:uid="{00000000-0005-0000-0000-0000EF1D0000}"/>
    <cellStyle name="Comma 3 4 4 4 2" xfId="37897" xr:uid="{00000000-0005-0000-0000-0000F01D0000}"/>
    <cellStyle name="Comma 3 4 4 5" xfId="25592" xr:uid="{00000000-0005-0000-0000-0000F11D0000}"/>
    <cellStyle name="Comma 3 4 5" xfId="7163" xr:uid="{00000000-0005-0000-0000-0000F21D0000}"/>
    <cellStyle name="Comma 3 4 5 2" xfId="13357" xr:uid="{00000000-0005-0000-0000-0000F31D0000}"/>
    <cellStyle name="Comma 3 4 5 2 2" xfId="33277" xr:uid="{00000000-0005-0000-0000-0000F41D0000}"/>
    <cellStyle name="Comma 3 4 5 3" xfId="19509" xr:uid="{00000000-0005-0000-0000-0000F51D0000}"/>
    <cellStyle name="Comma 3 4 5 3 2" xfId="39429" xr:uid="{00000000-0005-0000-0000-0000F61D0000}"/>
    <cellStyle name="Comma 3 4 5 4" xfId="27124" xr:uid="{00000000-0005-0000-0000-0000F71D0000}"/>
    <cellStyle name="Comma 3 4 6" xfId="10291" xr:uid="{00000000-0005-0000-0000-0000F81D0000}"/>
    <cellStyle name="Comma 3 4 6 2" xfId="30211" xr:uid="{00000000-0005-0000-0000-0000F91D0000}"/>
    <cellStyle name="Comma 3 4 7" xfId="16443" xr:uid="{00000000-0005-0000-0000-0000FA1D0000}"/>
    <cellStyle name="Comma 3 4 7 2" xfId="36363" xr:uid="{00000000-0005-0000-0000-0000FB1D0000}"/>
    <cellStyle name="Comma 3 4 8" xfId="1591" xr:uid="{00000000-0005-0000-0000-0000FC1D0000}"/>
    <cellStyle name="Comma 3 4 8 2" xfId="24058" xr:uid="{00000000-0005-0000-0000-0000FD1D0000}"/>
    <cellStyle name="Comma 3 5" xfId="174" xr:uid="{00000000-0005-0000-0000-0000FE1D0000}"/>
    <cellStyle name="Comma 3 5 2" xfId="1594" xr:uid="{00000000-0005-0000-0000-0000FF1D0000}"/>
    <cellStyle name="Comma 3 5 2 2" xfId="4759" xr:uid="{00000000-0005-0000-0000-0000001E0000}"/>
    <cellStyle name="Comma 3 5 2 2 2" xfId="6384" xr:uid="{00000000-0005-0000-0000-0000011E0000}"/>
    <cellStyle name="Comma 3 5 2 2 2 2" xfId="9470" xr:uid="{00000000-0005-0000-0000-0000021E0000}"/>
    <cellStyle name="Comma 3 5 2 2 2 2 2" xfId="15663" xr:uid="{00000000-0005-0000-0000-0000031E0000}"/>
    <cellStyle name="Comma 3 5 2 2 2 2 2 2" xfId="35583" xr:uid="{00000000-0005-0000-0000-0000041E0000}"/>
    <cellStyle name="Comma 3 5 2 2 2 2 3" xfId="21815" xr:uid="{00000000-0005-0000-0000-0000051E0000}"/>
    <cellStyle name="Comma 3 5 2 2 2 2 3 2" xfId="41735" xr:uid="{00000000-0005-0000-0000-0000061E0000}"/>
    <cellStyle name="Comma 3 5 2 2 2 2 4" xfId="29430" xr:uid="{00000000-0005-0000-0000-0000071E0000}"/>
    <cellStyle name="Comma 3 5 2 2 2 3" xfId="12597" xr:uid="{00000000-0005-0000-0000-0000081E0000}"/>
    <cellStyle name="Comma 3 5 2 2 2 3 2" xfId="32517" xr:uid="{00000000-0005-0000-0000-0000091E0000}"/>
    <cellStyle name="Comma 3 5 2 2 2 4" xfId="18749" xr:uid="{00000000-0005-0000-0000-00000A1E0000}"/>
    <cellStyle name="Comma 3 5 2 2 2 4 2" xfId="38669" xr:uid="{00000000-0005-0000-0000-00000B1E0000}"/>
    <cellStyle name="Comma 3 5 2 2 2 5" xfId="26364" xr:uid="{00000000-0005-0000-0000-00000C1E0000}"/>
    <cellStyle name="Comma 3 5 2 2 3" xfId="7935" xr:uid="{00000000-0005-0000-0000-00000D1E0000}"/>
    <cellStyle name="Comma 3 5 2 2 3 2" xfId="14129" xr:uid="{00000000-0005-0000-0000-00000E1E0000}"/>
    <cellStyle name="Comma 3 5 2 2 3 2 2" xfId="34049" xr:uid="{00000000-0005-0000-0000-00000F1E0000}"/>
    <cellStyle name="Comma 3 5 2 2 3 3" xfId="20281" xr:uid="{00000000-0005-0000-0000-0000101E0000}"/>
    <cellStyle name="Comma 3 5 2 2 3 3 2" xfId="40201" xr:uid="{00000000-0005-0000-0000-0000111E0000}"/>
    <cellStyle name="Comma 3 5 2 2 3 4" xfId="27896" xr:uid="{00000000-0005-0000-0000-0000121E0000}"/>
    <cellStyle name="Comma 3 5 2 2 4" xfId="11063" xr:uid="{00000000-0005-0000-0000-0000131E0000}"/>
    <cellStyle name="Comma 3 5 2 2 4 2" xfId="30983" xr:uid="{00000000-0005-0000-0000-0000141E0000}"/>
    <cellStyle name="Comma 3 5 2 2 5" xfId="17215" xr:uid="{00000000-0005-0000-0000-0000151E0000}"/>
    <cellStyle name="Comma 3 5 2 2 5 2" xfId="37135" xr:uid="{00000000-0005-0000-0000-0000161E0000}"/>
    <cellStyle name="Comma 3 5 2 2 6" xfId="24830" xr:uid="{00000000-0005-0000-0000-0000171E0000}"/>
    <cellStyle name="Comma 3 5 2 3" xfId="5598" xr:uid="{00000000-0005-0000-0000-0000181E0000}"/>
    <cellStyle name="Comma 3 5 2 3 2" xfId="8701" xr:uid="{00000000-0005-0000-0000-0000191E0000}"/>
    <cellStyle name="Comma 3 5 2 3 2 2" xfId="14894" xr:uid="{00000000-0005-0000-0000-00001A1E0000}"/>
    <cellStyle name="Comma 3 5 2 3 2 2 2" xfId="34814" xr:uid="{00000000-0005-0000-0000-00001B1E0000}"/>
    <cellStyle name="Comma 3 5 2 3 2 3" xfId="21046" xr:uid="{00000000-0005-0000-0000-00001C1E0000}"/>
    <cellStyle name="Comma 3 5 2 3 2 3 2" xfId="40966" xr:uid="{00000000-0005-0000-0000-00001D1E0000}"/>
    <cellStyle name="Comma 3 5 2 3 2 4" xfId="28661" xr:uid="{00000000-0005-0000-0000-00001E1E0000}"/>
    <cellStyle name="Comma 3 5 2 3 3" xfId="11828" xr:uid="{00000000-0005-0000-0000-00001F1E0000}"/>
    <cellStyle name="Comma 3 5 2 3 3 2" xfId="31748" xr:uid="{00000000-0005-0000-0000-0000201E0000}"/>
    <cellStyle name="Comma 3 5 2 3 4" xfId="17980" xr:uid="{00000000-0005-0000-0000-0000211E0000}"/>
    <cellStyle name="Comma 3 5 2 3 4 2" xfId="37900" xr:uid="{00000000-0005-0000-0000-0000221E0000}"/>
    <cellStyle name="Comma 3 5 2 3 5" xfId="25595" xr:uid="{00000000-0005-0000-0000-0000231E0000}"/>
    <cellStyle name="Comma 3 5 2 4" xfId="7166" xr:uid="{00000000-0005-0000-0000-0000241E0000}"/>
    <cellStyle name="Comma 3 5 2 4 2" xfId="13360" xr:uid="{00000000-0005-0000-0000-0000251E0000}"/>
    <cellStyle name="Comma 3 5 2 4 2 2" xfId="33280" xr:uid="{00000000-0005-0000-0000-0000261E0000}"/>
    <cellStyle name="Comma 3 5 2 4 3" xfId="19512" xr:uid="{00000000-0005-0000-0000-0000271E0000}"/>
    <cellStyle name="Comma 3 5 2 4 3 2" xfId="39432" xr:uid="{00000000-0005-0000-0000-0000281E0000}"/>
    <cellStyle name="Comma 3 5 2 4 4" xfId="27127" xr:uid="{00000000-0005-0000-0000-0000291E0000}"/>
    <cellStyle name="Comma 3 5 2 5" xfId="10294" xr:uid="{00000000-0005-0000-0000-00002A1E0000}"/>
    <cellStyle name="Comma 3 5 2 5 2" xfId="30214" xr:uid="{00000000-0005-0000-0000-00002B1E0000}"/>
    <cellStyle name="Comma 3 5 2 6" xfId="16446" xr:uid="{00000000-0005-0000-0000-00002C1E0000}"/>
    <cellStyle name="Comma 3 5 2 6 2" xfId="36366" xr:uid="{00000000-0005-0000-0000-00002D1E0000}"/>
    <cellStyle name="Comma 3 5 2 7" xfId="24061" xr:uid="{00000000-0005-0000-0000-00002E1E0000}"/>
    <cellStyle name="Comma 3 5 3" xfId="4758" xr:uid="{00000000-0005-0000-0000-00002F1E0000}"/>
    <cellStyle name="Comma 3 5 3 2" xfId="6383" xr:uid="{00000000-0005-0000-0000-0000301E0000}"/>
    <cellStyle name="Comma 3 5 3 2 2" xfId="9469" xr:uid="{00000000-0005-0000-0000-0000311E0000}"/>
    <cellStyle name="Comma 3 5 3 2 2 2" xfId="15662" xr:uid="{00000000-0005-0000-0000-0000321E0000}"/>
    <cellStyle name="Comma 3 5 3 2 2 2 2" xfId="35582" xr:uid="{00000000-0005-0000-0000-0000331E0000}"/>
    <cellStyle name="Comma 3 5 3 2 2 3" xfId="21814" xr:uid="{00000000-0005-0000-0000-0000341E0000}"/>
    <cellStyle name="Comma 3 5 3 2 2 3 2" xfId="41734" xr:uid="{00000000-0005-0000-0000-0000351E0000}"/>
    <cellStyle name="Comma 3 5 3 2 2 4" xfId="29429" xr:uid="{00000000-0005-0000-0000-0000361E0000}"/>
    <cellStyle name="Comma 3 5 3 2 3" xfId="12596" xr:uid="{00000000-0005-0000-0000-0000371E0000}"/>
    <cellStyle name="Comma 3 5 3 2 3 2" xfId="32516" xr:uid="{00000000-0005-0000-0000-0000381E0000}"/>
    <cellStyle name="Comma 3 5 3 2 4" xfId="18748" xr:uid="{00000000-0005-0000-0000-0000391E0000}"/>
    <cellStyle name="Comma 3 5 3 2 4 2" xfId="38668" xr:uid="{00000000-0005-0000-0000-00003A1E0000}"/>
    <cellStyle name="Comma 3 5 3 2 5" xfId="26363" xr:uid="{00000000-0005-0000-0000-00003B1E0000}"/>
    <cellStyle name="Comma 3 5 3 3" xfId="7934" xr:uid="{00000000-0005-0000-0000-00003C1E0000}"/>
    <cellStyle name="Comma 3 5 3 3 2" xfId="14128" xr:uid="{00000000-0005-0000-0000-00003D1E0000}"/>
    <cellStyle name="Comma 3 5 3 3 2 2" xfId="34048" xr:uid="{00000000-0005-0000-0000-00003E1E0000}"/>
    <cellStyle name="Comma 3 5 3 3 3" xfId="20280" xr:uid="{00000000-0005-0000-0000-00003F1E0000}"/>
    <cellStyle name="Comma 3 5 3 3 3 2" xfId="40200" xr:uid="{00000000-0005-0000-0000-0000401E0000}"/>
    <cellStyle name="Comma 3 5 3 3 4" xfId="27895" xr:uid="{00000000-0005-0000-0000-0000411E0000}"/>
    <cellStyle name="Comma 3 5 3 4" xfId="11062" xr:uid="{00000000-0005-0000-0000-0000421E0000}"/>
    <cellStyle name="Comma 3 5 3 4 2" xfId="30982" xr:uid="{00000000-0005-0000-0000-0000431E0000}"/>
    <cellStyle name="Comma 3 5 3 5" xfId="17214" xr:uid="{00000000-0005-0000-0000-0000441E0000}"/>
    <cellStyle name="Comma 3 5 3 5 2" xfId="37134" xr:uid="{00000000-0005-0000-0000-0000451E0000}"/>
    <cellStyle name="Comma 3 5 3 6" xfId="24829" xr:uid="{00000000-0005-0000-0000-0000461E0000}"/>
    <cellStyle name="Comma 3 5 4" xfId="5597" xr:uid="{00000000-0005-0000-0000-0000471E0000}"/>
    <cellStyle name="Comma 3 5 4 2" xfId="8700" xr:uid="{00000000-0005-0000-0000-0000481E0000}"/>
    <cellStyle name="Comma 3 5 4 2 2" xfId="14893" xr:uid="{00000000-0005-0000-0000-0000491E0000}"/>
    <cellStyle name="Comma 3 5 4 2 2 2" xfId="34813" xr:uid="{00000000-0005-0000-0000-00004A1E0000}"/>
    <cellStyle name="Comma 3 5 4 2 3" xfId="21045" xr:uid="{00000000-0005-0000-0000-00004B1E0000}"/>
    <cellStyle name="Comma 3 5 4 2 3 2" xfId="40965" xr:uid="{00000000-0005-0000-0000-00004C1E0000}"/>
    <cellStyle name="Comma 3 5 4 2 4" xfId="28660" xr:uid="{00000000-0005-0000-0000-00004D1E0000}"/>
    <cellStyle name="Comma 3 5 4 3" xfId="11827" xr:uid="{00000000-0005-0000-0000-00004E1E0000}"/>
    <cellStyle name="Comma 3 5 4 3 2" xfId="31747" xr:uid="{00000000-0005-0000-0000-00004F1E0000}"/>
    <cellStyle name="Comma 3 5 4 4" xfId="17979" xr:uid="{00000000-0005-0000-0000-0000501E0000}"/>
    <cellStyle name="Comma 3 5 4 4 2" xfId="37899" xr:uid="{00000000-0005-0000-0000-0000511E0000}"/>
    <cellStyle name="Comma 3 5 4 5" xfId="25594" xr:uid="{00000000-0005-0000-0000-0000521E0000}"/>
    <cellStyle name="Comma 3 5 5" xfId="7165" xr:uid="{00000000-0005-0000-0000-0000531E0000}"/>
    <cellStyle name="Comma 3 5 5 2" xfId="13359" xr:uid="{00000000-0005-0000-0000-0000541E0000}"/>
    <cellStyle name="Comma 3 5 5 2 2" xfId="33279" xr:uid="{00000000-0005-0000-0000-0000551E0000}"/>
    <cellStyle name="Comma 3 5 5 3" xfId="19511" xr:uid="{00000000-0005-0000-0000-0000561E0000}"/>
    <cellStyle name="Comma 3 5 5 3 2" xfId="39431" xr:uid="{00000000-0005-0000-0000-0000571E0000}"/>
    <cellStyle name="Comma 3 5 5 4" xfId="27126" xr:uid="{00000000-0005-0000-0000-0000581E0000}"/>
    <cellStyle name="Comma 3 5 6" xfId="10293" xr:uid="{00000000-0005-0000-0000-0000591E0000}"/>
    <cellStyle name="Comma 3 5 6 2" xfId="30213" xr:uid="{00000000-0005-0000-0000-00005A1E0000}"/>
    <cellStyle name="Comma 3 5 7" xfId="16445" xr:uid="{00000000-0005-0000-0000-00005B1E0000}"/>
    <cellStyle name="Comma 3 5 7 2" xfId="36365" xr:uid="{00000000-0005-0000-0000-00005C1E0000}"/>
    <cellStyle name="Comma 3 5 8" xfId="1593" xr:uid="{00000000-0005-0000-0000-00005D1E0000}"/>
    <cellStyle name="Comma 3 5 8 2" xfId="24060" xr:uid="{00000000-0005-0000-0000-00005E1E0000}"/>
    <cellStyle name="Comma 3 6" xfId="182" xr:uid="{00000000-0005-0000-0000-00005F1E0000}"/>
    <cellStyle name="Comma 3 6 2" xfId="1596" xr:uid="{00000000-0005-0000-0000-0000601E0000}"/>
    <cellStyle name="Comma 3 6 2 2" xfId="4761" xr:uid="{00000000-0005-0000-0000-0000611E0000}"/>
    <cellStyle name="Comma 3 6 2 2 2" xfId="6386" xr:uid="{00000000-0005-0000-0000-0000621E0000}"/>
    <cellStyle name="Comma 3 6 2 2 2 2" xfId="9472" xr:uid="{00000000-0005-0000-0000-0000631E0000}"/>
    <cellStyle name="Comma 3 6 2 2 2 2 2" xfId="15665" xr:uid="{00000000-0005-0000-0000-0000641E0000}"/>
    <cellStyle name="Comma 3 6 2 2 2 2 2 2" xfId="35585" xr:uid="{00000000-0005-0000-0000-0000651E0000}"/>
    <cellStyle name="Comma 3 6 2 2 2 2 3" xfId="21817" xr:uid="{00000000-0005-0000-0000-0000661E0000}"/>
    <cellStyle name="Comma 3 6 2 2 2 2 3 2" xfId="41737" xr:uid="{00000000-0005-0000-0000-0000671E0000}"/>
    <cellStyle name="Comma 3 6 2 2 2 2 4" xfId="29432" xr:uid="{00000000-0005-0000-0000-0000681E0000}"/>
    <cellStyle name="Comma 3 6 2 2 2 3" xfId="12599" xr:uid="{00000000-0005-0000-0000-0000691E0000}"/>
    <cellStyle name="Comma 3 6 2 2 2 3 2" xfId="32519" xr:uid="{00000000-0005-0000-0000-00006A1E0000}"/>
    <cellStyle name="Comma 3 6 2 2 2 4" xfId="18751" xr:uid="{00000000-0005-0000-0000-00006B1E0000}"/>
    <cellStyle name="Comma 3 6 2 2 2 4 2" xfId="38671" xr:uid="{00000000-0005-0000-0000-00006C1E0000}"/>
    <cellStyle name="Comma 3 6 2 2 2 5" xfId="26366" xr:uid="{00000000-0005-0000-0000-00006D1E0000}"/>
    <cellStyle name="Comma 3 6 2 2 3" xfId="7937" xr:uid="{00000000-0005-0000-0000-00006E1E0000}"/>
    <cellStyle name="Comma 3 6 2 2 3 2" xfId="14131" xr:uid="{00000000-0005-0000-0000-00006F1E0000}"/>
    <cellStyle name="Comma 3 6 2 2 3 2 2" xfId="34051" xr:uid="{00000000-0005-0000-0000-0000701E0000}"/>
    <cellStyle name="Comma 3 6 2 2 3 3" xfId="20283" xr:uid="{00000000-0005-0000-0000-0000711E0000}"/>
    <cellStyle name="Comma 3 6 2 2 3 3 2" xfId="40203" xr:uid="{00000000-0005-0000-0000-0000721E0000}"/>
    <cellStyle name="Comma 3 6 2 2 3 4" xfId="27898" xr:uid="{00000000-0005-0000-0000-0000731E0000}"/>
    <cellStyle name="Comma 3 6 2 2 4" xfId="11065" xr:uid="{00000000-0005-0000-0000-0000741E0000}"/>
    <cellStyle name="Comma 3 6 2 2 4 2" xfId="30985" xr:uid="{00000000-0005-0000-0000-0000751E0000}"/>
    <cellStyle name="Comma 3 6 2 2 5" xfId="17217" xr:uid="{00000000-0005-0000-0000-0000761E0000}"/>
    <cellStyle name="Comma 3 6 2 2 5 2" xfId="37137" xr:uid="{00000000-0005-0000-0000-0000771E0000}"/>
    <cellStyle name="Comma 3 6 2 2 6" xfId="24832" xr:uid="{00000000-0005-0000-0000-0000781E0000}"/>
    <cellStyle name="Comma 3 6 2 3" xfId="5600" xr:uid="{00000000-0005-0000-0000-0000791E0000}"/>
    <cellStyle name="Comma 3 6 2 3 2" xfId="8703" xr:uid="{00000000-0005-0000-0000-00007A1E0000}"/>
    <cellStyle name="Comma 3 6 2 3 2 2" xfId="14896" xr:uid="{00000000-0005-0000-0000-00007B1E0000}"/>
    <cellStyle name="Comma 3 6 2 3 2 2 2" xfId="34816" xr:uid="{00000000-0005-0000-0000-00007C1E0000}"/>
    <cellStyle name="Comma 3 6 2 3 2 3" xfId="21048" xr:uid="{00000000-0005-0000-0000-00007D1E0000}"/>
    <cellStyle name="Comma 3 6 2 3 2 3 2" xfId="40968" xr:uid="{00000000-0005-0000-0000-00007E1E0000}"/>
    <cellStyle name="Comma 3 6 2 3 2 4" xfId="28663" xr:uid="{00000000-0005-0000-0000-00007F1E0000}"/>
    <cellStyle name="Comma 3 6 2 3 3" xfId="11830" xr:uid="{00000000-0005-0000-0000-0000801E0000}"/>
    <cellStyle name="Comma 3 6 2 3 3 2" xfId="31750" xr:uid="{00000000-0005-0000-0000-0000811E0000}"/>
    <cellStyle name="Comma 3 6 2 3 4" xfId="17982" xr:uid="{00000000-0005-0000-0000-0000821E0000}"/>
    <cellStyle name="Comma 3 6 2 3 4 2" xfId="37902" xr:uid="{00000000-0005-0000-0000-0000831E0000}"/>
    <cellStyle name="Comma 3 6 2 3 5" xfId="25597" xr:uid="{00000000-0005-0000-0000-0000841E0000}"/>
    <cellStyle name="Comma 3 6 2 4" xfId="7168" xr:uid="{00000000-0005-0000-0000-0000851E0000}"/>
    <cellStyle name="Comma 3 6 2 4 2" xfId="13362" xr:uid="{00000000-0005-0000-0000-0000861E0000}"/>
    <cellStyle name="Comma 3 6 2 4 2 2" xfId="33282" xr:uid="{00000000-0005-0000-0000-0000871E0000}"/>
    <cellStyle name="Comma 3 6 2 4 3" xfId="19514" xr:uid="{00000000-0005-0000-0000-0000881E0000}"/>
    <cellStyle name="Comma 3 6 2 4 3 2" xfId="39434" xr:uid="{00000000-0005-0000-0000-0000891E0000}"/>
    <cellStyle name="Comma 3 6 2 4 4" xfId="27129" xr:uid="{00000000-0005-0000-0000-00008A1E0000}"/>
    <cellStyle name="Comma 3 6 2 5" xfId="10296" xr:uid="{00000000-0005-0000-0000-00008B1E0000}"/>
    <cellStyle name="Comma 3 6 2 5 2" xfId="30216" xr:uid="{00000000-0005-0000-0000-00008C1E0000}"/>
    <cellStyle name="Comma 3 6 2 6" xfId="16448" xr:uid="{00000000-0005-0000-0000-00008D1E0000}"/>
    <cellStyle name="Comma 3 6 2 6 2" xfId="36368" xr:uid="{00000000-0005-0000-0000-00008E1E0000}"/>
    <cellStyle name="Comma 3 6 2 7" xfId="24063" xr:uid="{00000000-0005-0000-0000-00008F1E0000}"/>
    <cellStyle name="Comma 3 6 3" xfId="4760" xr:uid="{00000000-0005-0000-0000-0000901E0000}"/>
    <cellStyle name="Comma 3 6 3 2" xfId="6385" xr:uid="{00000000-0005-0000-0000-0000911E0000}"/>
    <cellStyle name="Comma 3 6 3 2 2" xfId="9471" xr:uid="{00000000-0005-0000-0000-0000921E0000}"/>
    <cellStyle name="Comma 3 6 3 2 2 2" xfId="15664" xr:uid="{00000000-0005-0000-0000-0000931E0000}"/>
    <cellStyle name="Comma 3 6 3 2 2 2 2" xfId="35584" xr:uid="{00000000-0005-0000-0000-0000941E0000}"/>
    <cellStyle name="Comma 3 6 3 2 2 3" xfId="21816" xr:uid="{00000000-0005-0000-0000-0000951E0000}"/>
    <cellStyle name="Comma 3 6 3 2 2 3 2" xfId="41736" xr:uid="{00000000-0005-0000-0000-0000961E0000}"/>
    <cellStyle name="Comma 3 6 3 2 2 4" xfId="29431" xr:uid="{00000000-0005-0000-0000-0000971E0000}"/>
    <cellStyle name="Comma 3 6 3 2 3" xfId="12598" xr:uid="{00000000-0005-0000-0000-0000981E0000}"/>
    <cellStyle name="Comma 3 6 3 2 3 2" xfId="32518" xr:uid="{00000000-0005-0000-0000-0000991E0000}"/>
    <cellStyle name="Comma 3 6 3 2 4" xfId="18750" xr:uid="{00000000-0005-0000-0000-00009A1E0000}"/>
    <cellStyle name="Comma 3 6 3 2 4 2" xfId="38670" xr:uid="{00000000-0005-0000-0000-00009B1E0000}"/>
    <cellStyle name="Comma 3 6 3 2 5" xfId="26365" xr:uid="{00000000-0005-0000-0000-00009C1E0000}"/>
    <cellStyle name="Comma 3 6 3 3" xfId="7936" xr:uid="{00000000-0005-0000-0000-00009D1E0000}"/>
    <cellStyle name="Comma 3 6 3 3 2" xfId="14130" xr:uid="{00000000-0005-0000-0000-00009E1E0000}"/>
    <cellStyle name="Comma 3 6 3 3 2 2" xfId="34050" xr:uid="{00000000-0005-0000-0000-00009F1E0000}"/>
    <cellStyle name="Comma 3 6 3 3 3" xfId="20282" xr:uid="{00000000-0005-0000-0000-0000A01E0000}"/>
    <cellStyle name="Comma 3 6 3 3 3 2" xfId="40202" xr:uid="{00000000-0005-0000-0000-0000A11E0000}"/>
    <cellStyle name="Comma 3 6 3 3 4" xfId="27897" xr:uid="{00000000-0005-0000-0000-0000A21E0000}"/>
    <cellStyle name="Comma 3 6 3 4" xfId="11064" xr:uid="{00000000-0005-0000-0000-0000A31E0000}"/>
    <cellStyle name="Comma 3 6 3 4 2" xfId="30984" xr:uid="{00000000-0005-0000-0000-0000A41E0000}"/>
    <cellStyle name="Comma 3 6 3 5" xfId="17216" xr:uid="{00000000-0005-0000-0000-0000A51E0000}"/>
    <cellStyle name="Comma 3 6 3 5 2" xfId="37136" xr:uid="{00000000-0005-0000-0000-0000A61E0000}"/>
    <cellStyle name="Comma 3 6 3 6" xfId="24831" xr:uid="{00000000-0005-0000-0000-0000A71E0000}"/>
    <cellStyle name="Comma 3 6 4" xfId="5599" xr:uid="{00000000-0005-0000-0000-0000A81E0000}"/>
    <cellStyle name="Comma 3 6 4 2" xfId="8702" xr:uid="{00000000-0005-0000-0000-0000A91E0000}"/>
    <cellStyle name="Comma 3 6 4 2 2" xfId="14895" xr:uid="{00000000-0005-0000-0000-0000AA1E0000}"/>
    <cellStyle name="Comma 3 6 4 2 2 2" xfId="34815" xr:uid="{00000000-0005-0000-0000-0000AB1E0000}"/>
    <cellStyle name="Comma 3 6 4 2 3" xfId="21047" xr:uid="{00000000-0005-0000-0000-0000AC1E0000}"/>
    <cellStyle name="Comma 3 6 4 2 3 2" xfId="40967" xr:uid="{00000000-0005-0000-0000-0000AD1E0000}"/>
    <cellStyle name="Comma 3 6 4 2 4" xfId="28662" xr:uid="{00000000-0005-0000-0000-0000AE1E0000}"/>
    <cellStyle name="Comma 3 6 4 3" xfId="11829" xr:uid="{00000000-0005-0000-0000-0000AF1E0000}"/>
    <cellStyle name="Comma 3 6 4 3 2" xfId="31749" xr:uid="{00000000-0005-0000-0000-0000B01E0000}"/>
    <cellStyle name="Comma 3 6 4 4" xfId="17981" xr:uid="{00000000-0005-0000-0000-0000B11E0000}"/>
    <cellStyle name="Comma 3 6 4 4 2" xfId="37901" xr:uid="{00000000-0005-0000-0000-0000B21E0000}"/>
    <cellStyle name="Comma 3 6 4 5" xfId="25596" xr:uid="{00000000-0005-0000-0000-0000B31E0000}"/>
    <cellStyle name="Comma 3 6 5" xfId="7167" xr:uid="{00000000-0005-0000-0000-0000B41E0000}"/>
    <cellStyle name="Comma 3 6 5 2" xfId="13361" xr:uid="{00000000-0005-0000-0000-0000B51E0000}"/>
    <cellStyle name="Comma 3 6 5 2 2" xfId="33281" xr:uid="{00000000-0005-0000-0000-0000B61E0000}"/>
    <cellStyle name="Comma 3 6 5 3" xfId="19513" xr:uid="{00000000-0005-0000-0000-0000B71E0000}"/>
    <cellStyle name="Comma 3 6 5 3 2" xfId="39433" xr:uid="{00000000-0005-0000-0000-0000B81E0000}"/>
    <cellStyle name="Comma 3 6 5 4" xfId="27128" xr:uid="{00000000-0005-0000-0000-0000B91E0000}"/>
    <cellStyle name="Comma 3 6 6" xfId="10295" xr:uid="{00000000-0005-0000-0000-0000BA1E0000}"/>
    <cellStyle name="Comma 3 6 6 2" xfId="30215" xr:uid="{00000000-0005-0000-0000-0000BB1E0000}"/>
    <cellStyle name="Comma 3 6 7" xfId="16447" xr:uid="{00000000-0005-0000-0000-0000BC1E0000}"/>
    <cellStyle name="Comma 3 6 7 2" xfId="36367" xr:uid="{00000000-0005-0000-0000-0000BD1E0000}"/>
    <cellStyle name="Comma 3 6 8" xfId="1595" xr:uid="{00000000-0005-0000-0000-0000BE1E0000}"/>
    <cellStyle name="Comma 3 6 8 2" xfId="24062" xr:uid="{00000000-0005-0000-0000-0000BF1E0000}"/>
    <cellStyle name="Comma 3 7" xfId="217" xr:uid="{00000000-0005-0000-0000-0000C01E0000}"/>
    <cellStyle name="Comma 3 7 2" xfId="4762" xr:uid="{00000000-0005-0000-0000-0000C11E0000}"/>
    <cellStyle name="Comma 3 7 2 2" xfId="6387" xr:uid="{00000000-0005-0000-0000-0000C21E0000}"/>
    <cellStyle name="Comma 3 7 2 2 2" xfId="9473" xr:uid="{00000000-0005-0000-0000-0000C31E0000}"/>
    <cellStyle name="Comma 3 7 2 2 2 2" xfId="15666" xr:uid="{00000000-0005-0000-0000-0000C41E0000}"/>
    <cellStyle name="Comma 3 7 2 2 2 2 2" xfId="35586" xr:uid="{00000000-0005-0000-0000-0000C51E0000}"/>
    <cellStyle name="Comma 3 7 2 2 2 3" xfId="21818" xr:uid="{00000000-0005-0000-0000-0000C61E0000}"/>
    <cellStyle name="Comma 3 7 2 2 2 3 2" xfId="41738" xr:uid="{00000000-0005-0000-0000-0000C71E0000}"/>
    <cellStyle name="Comma 3 7 2 2 2 4" xfId="29433" xr:uid="{00000000-0005-0000-0000-0000C81E0000}"/>
    <cellStyle name="Comma 3 7 2 2 3" xfId="12600" xr:uid="{00000000-0005-0000-0000-0000C91E0000}"/>
    <cellStyle name="Comma 3 7 2 2 3 2" xfId="32520" xr:uid="{00000000-0005-0000-0000-0000CA1E0000}"/>
    <cellStyle name="Comma 3 7 2 2 4" xfId="18752" xr:uid="{00000000-0005-0000-0000-0000CB1E0000}"/>
    <cellStyle name="Comma 3 7 2 2 4 2" xfId="38672" xr:uid="{00000000-0005-0000-0000-0000CC1E0000}"/>
    <cellStyle name="Comma 3 7 2 2 5" xfId="26367" xr:uid="{00000000-0005-0000-0000-0000CD1E0000}"/>
    <cellStyle name="Comma 3 7 2 3" xfId="7938" xr:uid="{00000000-0005-0000-0000-0000CE1E0000}"/>
    <cellStyle name="Comma 3 7 2 3 2" xfId="14132" xr:uid="{00000000-0005-0000-0000-0000CF1E0000}"/>
    <cellStyle name="Comma 3 7 2 3 2 2" xfId="34052" xr:uid="{00000000-0005-0000-0000-0000D01E0000}"/>
    <cellStyle name="Comma 3 7 2 3 3" xfId="20284" xr:uid="{00000000-0005-0000-0000-0000D11E0000}"/>
    <cellStyle name="Comma 3 7 2 3 3 2" xfId="40204" xr:uid="{00000000-0005-0000-0000-0000D21E0000}"/>
    <cellStyle name="Comma 3 7 2 3 4" xfId="27899" xr:uid="{00000000-0005-0000-0000-0000D31E0000}"/>
    <cellStyle name="Comma 3 7 2 4" xfId="11066" xr:uid="{00000000-0005-0000-0000-0000D41E0000}"/>
    <cellStyle name="Comma 3 7 2 4 2" xfId="30986" xr:uid="{00000000-0005-0000-0000-0000D51E0000}"/>
    <cellStyle name="Comma 3 7 2 5" xfId="17218" xr:uid="{00000000-0005-0000-0000-0000D61E0000}"/>
    <cellStyle name="Comma 3 7 2 5 2" xfId="37138" xr:uid="{00000000-0005-0000-0000-0000D71E0000}"/>
    <cellStyle name="Comma 3 7 2 6" xfId="24833" xr:uid="{00000000-0005-0000-0000-0000D81E0000}"/>
    <cellStyle name="Comma 3 7 3" xfId="5601" xr:uid="{00000000-0005-0000-0000-0000D91E0000}"/>
    <cellStyle name="Comma 3 7 3 2" xfId="8704" xr:uid="{00000000-0005-0000-0000-0000DA1E0000}"/>
    <cellStyle name="Comma 3 7 3 2 2" xfId="14897" xr:uid="{00000000-0005-0000-0000-0000DB1E0000}"/>
    <cellStyle name="Comma 3 7 3 2 2 2" xfId="34817" xr:uid="{00000000-0005-0000-0000-0000DC1E0000}"/>
    <cellStyle name="Comma 3 7 3 2 3" xfId="21049" xr:uid="{00000000-0005-0000-0000-0000DD1E0000}"/>
    <cellStyle name="Comma 3 7 3 2 3 2" xfId="40969" xr:uid="{00000000-0005-0000-0000-0000DE1E0000}"/>
    <cellStyle name="Comma 3 7 3 2 4" xfId="28664" xr:uid="{00000000-0005-0000-0000-0000DF1E0000}"/>
    <cellStyle name="Comma 3 7 3 3" xfId="11831" xr:uid="{00000000-0005-0000-0000-0000E01E0000}"/>
    <cellStyle name="Comma 3 7 3 3 2" xfId="31751" xr:uid="{00000000-0005-0000-0000-0000E11E0000}"/>
    <cellStyle name="Comma 3 7 3 4" xfId="17983" xr:uid="{00000000-0005-0000-0000-0000E21E0000}"/>
    <cellStyle name="Comma 3 7 3 4 2" xfId="37903" xr:uid="{00000000-0005-0000-0000-0000E31E0000}"/>
    <cellStyle name="Comma 3 7 3 5" xfId="25598" xr:uid="{00000000-0005-0000-0000-0000E41E0000}"/>
    <cellStyle name="Comma 3 7 4" xfId="7169" xr:uid="{00000000-0005-0000-0000-0000E51E0000}"/>
    <cellStyle name="Comma 3 7 4 2" xfId="13363" xr:uid="{00000000-0005-0000-0000-0000E61E0000}"/>
    <cellStyle name="Comma 3 7 4 2 2" xfId="33283" xr:uid="{00000000-0005-0000-0000-0000E71E0000}"/>
    <cellStyle name="Comma 3 7 4 3" xfId="19515" xr:uid="{00000000-0005-0000-0000-0000E81E0000}"/>
    <cellStyle name="Comma 3 7 4 3 2" xfId="39435" xr:uid="{00000000-0005-0000-0000-0000E91E0000}"/>
    <cellStyle name="Comma 3 7 4 4" xfId="27130" xr:uid="{00000000-0005-0000-0000-0000EA1E0000}"/>
    <cellStyle name="Comma 3 7 5" xfId="10297" xr:uid="{00000000-0005-0000-0000-0000EB1E0000}"/>
    <cellStyle name="Comma 3 7 5 2" xfId="30217" xr:uid="{00000000-0005-0000-0000-0000EC1E0000}"/>
    <cellStyle name="Comma 3 7 6" xfId="16449" xr:uid="{00000000-0005-0000-0000-0000ED1E0000}"/>
    <cellStyle name="Comma 3 7 6 2" xfId="36369" xr:uid="{00000000-0005-0000-0000-0000EE1E0000}"/>
    <cellStyle name="Comma 3 7 7" xfId="1597" xr:uid="{00000000-0005-0000-0000-0000EF1E0000}"/>
    <cellStyle name="Comma 3 7 7 2" xfId="24064" xr:uid="{00000000-0005-0000-0000-0000F01E0000}"/>
    <cellStyle name="Comma 3 8" xfId="236" xr:uid="{00000000-0005-0000-0000-0000F11E0000}"/>
    <cellStyle name="Comma 3 8 2" xfId="4763" xr:uid="{00000000-0005-0000-0000-0000F21E0000}"/>
    <cellStyle name="Comma 3 8 2 2" xfId="6388" xr:uid="{00000000-0005-0000-0000-0000F31E0000}"/>
    <cellStyle name="Comma 3 8 2 2 2" xfId="9474" xr:uid="{00000000-0005-0000-0000-0000F41E0000}"/>
    <cellStyle name="Comma 3 8 2 2 2 2" xfId="15667" xr:uid="{00000000-0005-0000-0000-0000F51E0000}"/>
    <cellStyle name="Comma 3 8 2 2 2 2 2" xfId="35587" xr:uid="{00000000-0005-0000-0000-0000F61E0000}"/>
    <cellStyle name="Comma 3 8 2 2 2 3" xfId="21819" xr:uid="{00000000-0005-0000-0000-0000F71E0000}"/>
    <cellStyle name="Comma 3 8 2 2 2 3 2" xfId="41739" xr:uid="{00000000-0005-0000-0000-0000F81E0000}"/>
    <cellStyle name="Comma 3 8 2 2 2 4" xfId="29434" xr:uid="{00000000-0005-0000-0000-0000F91E0000}"/>
    <cellStyle name="Comma 3 8 2 2 3" xfId="12601" xr:uid="{00000000-0005-0000-0000-0000FA1E0000}"/>
    <cellStyle name="Comma 3 8 2 2 3 2" xfId="32521" xr:uid="{00000000-0005-0000-0000-0000FB1E0000}"/>
    <cellStyle name="Comma 3 8 2 2 4" xfId="18753" xr:uid="{00000000-0005-0000-0000-0000FC1E0000}"/>
    <cellStyle name="Comma 3 8 2 2 4 2" xfId="38673" xr:uid="{00000000-0005-0000-0000-0000FD1E0000}"/>
    <cellStyle name="Comma 3 8 2 2 5" xfId="26368" xr:uid="{00000000-0005-0000-0000-0000FE1E0000}"/>
    <cellStyle name="Comma 3 8 2 3" xfId="7939" xr:uid="{00000000-0005-0000-0000-0000FF1E0000}"/>
    <cellStyle name="Comma 3 8 2 3 2" xfId="14133" xr:uid="{00000000-0005-0000-0000-0000001F0000}"/>
    <cellStyle name="Comma 3 8 2 3 2 2" xfId="34053" xr:uid="{00000000-0005-0000-0000-0000011F0000}"/>
    <cellStyle name="Comma 3 8 2 3 3" xfId="20285" xr:uid="{00000000-0005-0000-0000-0000021F0000}"/>
    <cellStyle name="Comma 3 8 2 3 3 2" xfId="40205" xr:uid="{00000000-0005-0000-0000-0000031F0000}"/>
    <cellStyle name="Comma 3 8 2 3 4" xfId="27900" xr:uid="{00000000-0005-0000-0000-0000041F0000}"/>
    <cellStyle name="Comma 3 8 2 4" xfId="11067" xr:uid="{00000000-0005-0000-0000-0000051F0000}"/>
    <cellStyle name="Comma 3 8 2 4 2" xfId="30987" xr:uid="{00000000-0005-0000-0000-0000061F0000}"/>
    <cellStyle name="Comma 3 8 2 5" xfId="17219" xr:uid="{00000000-0005-0000-0000-0000071F0000}"/>
    <cellStyle name="Comma 3 8 2 5 2" xfId="37139" xr:uid="{00000000-0005-0000-0000-0000081F0000}"/>
    <cellStyle name="Comma 3 8 2 6" xfId="24834" xr:uid="{00000000-0005-0000-0000-0000091F0000}"/>
    <cellStyle name="Comma 3 8 3" xfId="5602" xr:uid="{00000000-0005-0000-0000-00000A1F0000}"/>
    <cellStyle name="Comma 3 8 3 2" xfId="8705" xr:uid="{00000000-0005-0000-0000-00000B1F0000}"/>
    <cellStyle name="Comma 3 8 3 2 2" xfId="14898" xr:uid="{00000000-0005-0000-0000-00000C1F0000}"/>
    <cellStyle name="Comma 3 8 3 2 2 2" xfId="34818" xr:uid="{00000000-0005-0000-0000-00000D1F0000}"/>
    <cellStyle name="Comma 3 8 3 2 3" xfId="21050" xr:uid="{00000000-0005-0000-0000-00000E1F0000}"/>
    <cellStyle name="Comma 3 8 3 2 3 2" xfId="40970" xr:uid="{00000000-0005-0000-0000-00000F1F0000}"/>
    <cellStyle name="Comma 3 8 3 2 4" xfId="28665" xr:uid="{00000000-0005-0000-0000-0000101F0000}"/>
    <cellStyle name="Comma 3 8 3 3" xfId="11832" xr:uid="{00000000-0005-0000-0000-0000111F0000}"/>
    <cellStyle name="Comma 3 8 3 3 2" xfId="31752" xr:uid="{00000000-0005-0000-0000-0000121F0000}"/>
    <cellStyle name="Comma 3 8 3 4" xfId="17984" xr:uid="{00000000-0005-0000-0000-0000131F0000}"/>
    <cellStyle name="Comma 3 8 3 4 2" xfId="37904" xr:uid="{00000000-0005-0000-0000-0000141F0000}"/>
    <cellStyle name="Comma 3 8 3 5" xfId="25599" xr:uid="{00000000-0005-0000-0000-0000151F0000}"/>
    <cellStyle name="Comma 3 8 4" xfId="7170" xr:uid="{00000000-0005-0000-0000-0000161F0000}"/>
    <cellStyle name="Comma 3 8 4 2" xfId="13364" xr:uid="{00000000-0005-0000-0000-0000171F0000}"/>
    <cellStyle name="Comma 3 8 4 2 2" xfId="33284" xr:uid="{00000000-0005-0000-0000-0000181F0000}"/>
    <cellStyle name="Comma 3 8 4 3" xfId="19516" xr:uid="{00000000-0005-0000-0000-0000191F0000}"/>
    <cellStyle name="Comma 3 8 4 3 2" xfId="39436" xr:uid="{00000000-0005-0000-0000-00001A1F0000}"/>
    <cellStyle name="Comma 3 8 4 4" xfId="27131" xr:uid="{00000000-0005-0000-0000-00001B1F0000}"/>
    <cellStyle name="Comma 3 8 5" xfId="10298" xr:uid="{00000000-0005-0000-0000-00001C1F0000}"/>
    <cellStyle name="Comma 3 8 5 2" xfId="30218" xr:uid="{00000000-0005-0000-0000-00001D1F0000}"/>
    <cellStyle name="Comma 3 8 6" xfId="16450" xr:uid="{00000000-0005-0000-0000-00001E1F0000}"/>
    <cellStyle name="Comma 3 8 6 2" xfId="36370" xr:uid="{00000000-0005-0000-0000-00001F1F0000}"/>
    <cellStyle name="Comma 3 8 7" xfId="1598" xr:uid="{00000000-0005-0000-0000-0000201F0000}"/>
    <cellStyle name="Comma 3 8 7 2" xfId="24065" xr:uid="{00000000-0005-0000-0000-0000211F0000}"/>
    <cellStyle name="Comma 3 9" xfId="251" xr:uid="{00000000-0005-0000-0000-0000221F0000}"/>
    <cellStyle name="Comma 3 9 2" xfId="4764" xr:uid="{00000000-0005-0000-0000-0000231F0000}"/>
    <cellStyle name="Comma 3 9 2 2" xfId="6389" xr:uid="{00000000-0005-0000-0000-0000241F0000}"/>
    <cellStyle name="Comma 3 9 2 2 2" xfId="9475" xr:uid="{00000000-0005-0000-0000-0000251F0000}"/>
    <cellStyle name="Comma 3 9 2 2 2 2" xfId="15668" xr:uid="{00000000-0005-0000-0000-0000261F0000}"/>
    <cellStyle name="Comma 3 9 2 2 2 2 2" xfId="35588" xr:uid="{00000000-0005-0000-0000-0000271F0000}"/>
    <cellStyle name="Comma 3 9 2 2 2 3" xfId="21820" xr:uid="{00000000-0005-0000-0000-0000281F0000}"/>
    <cellStyle name="Comma 3 9 2 2 2 3 2" xfId="41740" xr:uid="{00000000-0005-0000-0000-0000291F0000}"/>
    <cellStyle name="Comma 3 9 2 2 2 4" xfId="29435" xr:uid="{00000000-0005-0000-0000-00002A1F0000}"/>
    <cellStyle name="Comma 3 9 2 2 3" xfId="12602" xr:uid="{00000000-0005-0000-0000-00002B1F0000}"/>
    <cellStyle name="Comma 3 9 2 2 3 2" xfId="32522" xr:uid="{00000000-0005-0000-0000-00002C1F0000}"/>
    <cellStyle name="Comma 3 9 2 2 4" xfId="18754" xr:uid="{00000000-0005-0000-0000-00002D1F0000}"/>
    <cellStyle name="Comma 3 9 2 2 4 2" xfId="38674" xr:uid="{00000000-0005-0000-0000-00002E1F0000}"/>
    <cellStyle name="Comma 3 9 2 2 5" xfId="26369" xr:uid="{00000000-0005-0000-0000-00002F1F0000}"/>
    <cellStyle name="Comma 3 9 2 3" xfId="7940" xr:uid="{00000000-0005-0000-0000-0000301F0000}"/>
    <cellStyle name="Comma 3 9 2 3 2" xfId="14134" xr:uid="{00000000-0005-0000-0000-0000311F0000}"/>
    <cellStyle name="Comma 3 9 2 3 2 2" xfId="34054" xr:uid="{00000000-0005-0000-0000-0000321F0000}"/>
    <cellStyle name="Comma 3 9 2 3 3" xfId="20286" xr:uid="{00000000-0005-0000-0000-0000331F0000}"/>
    <cellStyle name="Comma 3 9 2 3 3 2" xfId="40206" xr:uid="{00000000-0005-0000-0000-0000341F0000}"/>
    <cellStyle name="Comma 3 9 2 3 4" xfId="27901" xr:uid="{00000000-0005-0000-0000-0000351F0000}"/>
    <cellStyle name="Comma 3 9 2 4" xfId="11068" xr:uid="{00000000-0005-0000-0000-0000361F0000}"/>
    <cellStyle name="Comma 3 9 2 4 2" xfId="30988" xr:uid="{00000000-0005-0000-0000-0000371F0000}"/>
    <cellStyle name="Comma 3 9 2 5" xfId="17220" xr:uid="{00000000-0005-0000-0000-0000381F0000}"/>
    <cellStyle name="Comma 3 9 2 5 2" xfId="37140" xr:uid="{00000000-0005-0000-0000-0000391F0000}"/>
    <cellStyle name="Comma 3 9 2 6" xfId="24835" xr:uid="{00000000-0005-0000-0000-00003A1F0000}"/>
    <cellStyle name="Comma 3 9 3" xfId="5603" xr:uid="{00000000-0005-0000-0000-00003B1F0000}"/>
    <cellStyle name="Comma 3 9 3 2" xfId="8706" xr:uid="{00000000-0005-0000-0000-00003C1F0000}"/>
    <cellStyle name="Comma 3 9 3 2 2" xfId="14899" xr:uid="{00000000-0005-0000-0000-00003D1F0000}"/>
    <cellStyle name="Comma 3 9 3 2 2 2" xfId="34819" xr:uid="{00000000-0005-0000-0000-00003E1F0000}"/>
    <cellStyle name="Comma 3 9 3 2 3" xfId="21051" xr:uid="{00000000-0005-0000-0000-00003F1F0000}"/>
    <cellStyle name="Comma 3 9 3 2 3 2" xfId="40971" xr:uid="{00000000-0005-0000-0000-0000401F0000}"/>
    <cellStyle name="Comma 3 9 3 2 4" xfId="28666" xr:uid="{00000000-0005-0000-0000-0000411F0000}"/>
    <cellStyle name="Comma 3 9 3 3" xfId="11833" xr:uid="{00000000-0005-0000-0000-0000421F0000}"/>
    <cellStyle name="Comma 3 9 3 3 2" xfId="31753" xr:uid="{00000000-0005-0000-0000-0000431F0000}"/>
    <cellStyle name="Comma 3 9 3 4" xfId="17985" xr:uid="{00000000-0005-0000-0000-0000441F0000}"/>
    <cellStyle name="Comma 3 9 3 4 2" xfId="37905" xr:uid="{00000000-0005-0000-0000-0000451F0000}"/>
    <cellStyle name="Comma 3 9 3 5" xfId="25600" xr:uid="{00000000-0005-0000-0000-0000461F0000}"/>
    <cellStyle name="Comma 3 9 4" xfId="7171" xr:uid="{00000000-0005-0000-0000-0000471F0000}"/>
    <cellStyle name="Comma 3 9 4 2" xfId="13365" xr:uid="{00000000-0005-0000-0000-0000481F0000}"/>
    <cellStyle name="Comma 3 9 4 2 2" xfId="33285" xr:uid="{00000000-0005-0000-0000-0000491F0000}"/>
    <cellStyle name="Comma 3 9 4 3" xfId="19517" xr:uid="{00000000-0005-0000-0000-00004A1F0000}"/>
    <cellStyle name="Comma 3 9 4 3 2" xfId="39437" xr:uid="{00000000-0005-0000-0000-00004B1F0000}"/>
    <cellStyle name="Comma 3 9 4 4" xfId="27132" xr:uid="{00000000-0005-0000-0000-00004C1F0000}"/>
    <cellStyle name="Comma 3 9 5" xfId="10299" xr:uid="{00000000-0005-0000-0000-00004D1F0000}"/>
    <cellStyle name="Comma 3 9 5 2" xfId="30219" xr:uid="{00000000-0005-0000-0000-00004E1F0000}"/>
    <cellStyle name="Comma 3 9 6" xfId="16451" xr:uid="{00000000-0005-0000-0000-00004F1F0000}"/>
    <cellStyle name="Comma 3 9 6 2" xfId="36371" xr:uid="{00000000-0005-0000-0000-0000501F0000}"/>
    <cellStyle name="Comma 3 9 7" xfId="1599" xr:uid="{00000000-0005-0000-0000-0000511F0000}"/>
    <cellStyle name="Comma 3 9 7 2" xfId="24066" xr:uid="{00000000-0005-0000-0000-0000521F0000}"/>
    <cellStyle name="Comma 30" xfId="1600" xr:uid="{00000000-0005-0000-0000-0000531F0000}"/>
    <cellStyle name="Comma 31" xfId="1601" xr:uid="{00000000-0005-0000-0000-0000541F0000}"/>
    <cellStyle name="Comma 32" xfId="1602" xr:uid="{00000000-0005-0000-0000-0000551F0000}"/>
    <cellStyle name="Comma 33" xfId="1603" xr:uid="{00000000-0005-0000-0000-0000561F0000}"/>
    <cellStyle name="Comma 34" xfId="1604" xr:uid="{00000000-0005-0000-0000-0000571F0000}"/>
    <cellStyle name="Comma 35" xfId="1605" xr:uid="{00000000-0005-0000-0000-0000581F0000}"/>
    <cellStyle name="Comma 36" xfId="1606" xr:uid="{00000000-0005-0000-0000-0000591F0000}"/>
    <cellStyle name="Comma 37" xfId="1607" xr:uid="{00000000-0005-0000-0000-00005A1F0000}"/>
    <cellStyle name="Comma 38" xfId="1608" xr:uid="{00000000-0005-0000-0000-00005B1F0000}"/>
    <cellStyle name="Comma 39" xfId="1609" xr:uid="{00000000-0005-0000-0000-00005C1F0000}"/>
    <cellStyle name="Comma 4" xfId="94" xr:uid="{00000000-0005-0000-0000-00005D1F0000}"/>
    <cellStyle name="Comma 4 10" xfId="253" xr:uid="{00000000-0005-0000-0000-00005E1F0000}"/>
    <cellStyle name="Comma 4 11" xfId="269" xr:uid="{00000000-0005-0000-0000-00005F1F0000}"/>
    <cellStyle name="Comma 4 12" xfId="283" xr:uid="{00000000-0005-0000-0000-0000601F0000}"/>
    <cellStyle name="Comma 4 13" xfId="295" xr:uid="{00000000-0005-0000-0000-0000611F0000}"/>
    <cellStyle name="Comma 4 14" xfId="314" xr:uid="{00000000-0005-0000-0000-0000621F0000}"/>
    <cellStyle name="Comma 4 15" xfId="341" xr:uid="{00000000-0005-0000-0000-0000631F0000}"/>
    <cellStyle name="Comma 4 16" xfId="345" xr:uid="{00000000-0005-0000-0000-0000641F0000}"/>
    <cellStyle name="Comma 4 17" xfId="388" xr:uid="{00000000-0005-0000-0000-0000651F0000}"/>
    <cellStyle name="Comma 4 18" xfId="403" xr:uid="{00000000-0005-0000-0000-0000661F0000}"/>
    <cellStyle name="Comma 4 19" xfId="430" xr:uid="{00000000-0005-0000-0000-0000671F0000}"/>
    <cellStyle name="Comma 4 2" xfId="132" xr:uid="{00000000-0005-0000-0000-0000681F0000}"/>
    <cellStyle name="Comma 4 2 2" xfId="1611" xr:uid="{00000000-0005-0000-0000-0000691F0000}"/>
    <cellStyle name="Comma 4 2 2 2" xfId="1612" xr:uid="{00000000-0005-0000-0000-00006A1F0000}"/>
    <cellStyle name="Comma 4 2 2 3" xfId="1613" xr:uid="{00000000-0005-0000-0000-00006B1F0000}"/>
    <cellStyle name="Comma 4 2 3" xfId="10126" xr:uid="{00000000-0005-0000-0000-00006C1F0000}"/>
    <cellStyle name="Comma 4 2 3 2" xfId="16298" xr:uid="{00000000-0005-0000-0000-00006D1F0000}"/>
    <cellStyle name="Comma 4 2 3 2 2" xfId="36218" xr:uid="{00000000-0005-0000-0000-00006E1F0000}"/>
    <cellStyle name="Comma 4 2 3 3" xfId="22450" xr:uid="{00000000-0005-0000-0000-00006F1F0000}"/>
    <cellStyle name="Comma 4 2 3 3 2" xfId="42370" xr:uid="{00000000-0005-0000-0000-0000701F0000}"/>
    <cellStyle name="Comma 4 2 3 4" xfId="30065" xr:uid="{00000000-0005-0000-0000-0000711F0000}"/>
    <cellStyle name="Comma 4 2 4" xfId="1610" xr:uid="{00000000-0005-0000-0000-0000721F0000}"/>
    <cellStyle name="Comma 4 20" xfId="458" xr:uid="{00000000-0005-0000-0000-0000731F0000}"/>
    <cellStyle name="Comma 4 21" xfId="454" xr:uid="{00000000-0005-0000-0000-0000741F0000}"/>
    <cellStyle name="Comma 4 22" xfId="540" xr:uid="{00000000-0005-0000-0000-0000751F0000}"/>
    <cellStyle name="Comma 4 23" xfId="547" xr:uid="{00000000-0005-0000-0000-0000761F0000}"/>
    <cellStyle name="Comma 4 24" xfId="568" xr:uid="{00000000-0005-0000-0000-0000771F0000}"/>
    <cellStyle name="Comma 4 25" xfId="600" xr:uid="{00000000-0005-0000-0000-0000781F0000}"/>
    <cellStyle name="Comma 4 26" xfId="627" xr:uid="{00000000-0005-0000-0000-0000791F0000}"/>
    <cellStyle name="Comma 4 27" xfId="653" xr:uid="{00000000-0005-0000-0000-00007A1F0000}"/>
    <cellStyle name="Comma 4 28" xfId="677" xr:uid="{00000000-0005-0000-0000-00007B1F0000}"/>
    <cellStyle name="Comma 4 29" xfId="751" xr:uid="{00000000-0005-0000-0000-00007C1F0000}"/>
    <cellStyle name="Comma 4 29 2" xfId="23633" xr:uid="{00000000-0005-0000-0000-00007D1F0000}"/>
    <cellStyle name="Comma 4 3" xfId="153" xr:uid="{00000000-0005-0000-0000-00007E1F0000}"/>
    <cellStyle name="Comma 4 30" xfId="1046" xr:uid="{00000000-0005-0000-0000-00007F1F0000}"/>
    <cellStyle name="Comma 4 31" xfId="22716" xr:uid="{00000000-0005-0000-0000-0000801F0000}"/>
    <cellStyle name="Comma 4 31 2" xfId="42627" xr:uid="{00000000-0005-0000-0000-0000811F0000}"/>
    <cellStyle name="Comma 4 32" xfId="23019" xr:uid="{00000000-0005-0000-0000-0000821F0000}"/>
    <cellStyle name="Comma 4 32 2" xfId="42930" xr:uid="{00000000-0005-0000-0000-0000831F0000}"/>
    <cellStyle name="Comma 4 33" xfId="23330" xr:uid="{00000000-0005-0000-0000-0000841F0000}"/>
    <cellStyle name="Comma 4 4" xfId="171" xr:uid="{00000000-0005-0000-0000-0000851F0000}"/>
    <cellStyle name="Comma 4 4 2" xfId="1614" xr:uid="{00000000-0005-0000-0000-0000861F0000}"/>
    <cellStyle name="Comma 4 5" xfId="173" xr:uid="{00000000-0005-0000-0000-0000871F0000}"/>
    <cellStyle name="Comma 4 5 2" xfId="4526" xr:uid="{00000000-0005-0000-0000-0000881F0000}"/>
    <cellStyle name="Comma 4 6" xfId="205" xr:uid="{00000000-0005-0000-0000-0000891F0000}"/>
    <cellStyle name="Comma 4 7" xfId="202" xr:uid="{00000000-0005-0000-0000-00008A1F0000}"/>
    <cellStyle name="Comma 4 7 2" xfId="16289" xr:uid="{00000000-0005-0000-0000-00008B1F0000}"/>
    <cellStyle name="Comma 4 7 2 2" xfId="36209" xr:uid="{00000000-0005-0000-0000-00008C1F0000}"/>
    <cellStyle name="Comma 4 7 3" xfId="22441" xr:uid="{00000000-0005-0000-0000-00008D1F0000}"/>
    <cellStyle name="Comma 4 7 3 2" xfId="42361" xr:uid="{00000000-0005-0000-0000-00008E1F0000}"/>
    <cellStyle name="Comma 4 7 4" xfId="10106" xr:uid="{00000000-0005-0000-0000-00008F1F0000}"/>
    <cellStyle name="Comma 4 7 4 2" xfId="30056" xr:uid="{00000000-0005-0000-0000-0000901F0000}"/>
    <cellStyle name="Comma 4 8" xfId="219" xr:uid="{00000000-0005-0000-0000-0000911F0000}"/>
    <cellStyle name="Comma 4 8 2" xfId="1096" xr:uid="{00000000-0005-0000-0000-0000921F0000}"/>
    <cellStyle name="Comma 4 9" xfId="238" xr:uid="{00000000-0005-0000-0000-0000931F0000}"/>
    <cellStyle name="Comma 40" xfId="1615" xr:uid="{00000000-0005-0000-0000-0000941F0000}"/>
    <cellStyle name="Comma 41" xfId="1616" xr:uid="{00000000-0005-0000-0000-0000951F0000}"/>
    <cellStyle name="Comma 42" xfId="1617" xr:uid="{00000000-0005-0000-0000-0000961F0000}"/>
    <cellStyle name="Comma 43" xfId="1618" xr:uid="{00000000-0005-0000-0000-0000971F0000}"/>
    <cellStyle name="Comma 43 10" xfId="1619" xr:uid="{00000000-0005-0000-0000-0000981F0000}"/>
    <cellStyle name="Comma 43 10 2" xfId="1620" xr:uid="{00000000-0005-0000-0000-0000991F0000}"/>
    <cellStyle name="Comma 43 11" xfId="1621" xr:uid="{00000000-0005-0000-0000-00009A1F0000}"/>
    <cellStyle name="Comma 43 11 2" xfId="1622" xr:uid="{00000000-0005-0000-0000-00009B1F0000}"/>
    <cellStyle name="Comma 43 12" xfId="1623" xr:uid="{00000000-0005-0000-0000-00009C1F0000}"/>
    <cellStyle name="Comma 43 2" xfId="1624" xr:uid="{00000000-0005-0000-0000-00009D1F0000}"/>
    <cellStyle name="Comma 43 2 2" xfId="1625" xr:uid="{00000000-0005-0000-0000-00009E1F0000}"/>
    <cellStyle name="Comma 43 2 2 2" xfId="1626" xr:uid="{00000000-0005-0000-0000-00009F1F0000}"/>
    <cellStyle name="Comma 43 2 2 2 2" xfId="1627" xr:uid="{00000000-0005-0000-0000-0000A01F0000}"/>
    <cellStyle name="Comma 43 2 2 3" xfId="1628" xr:uid="{00000000-0005-0000-0000-0000A11F0000}"/>
    <cellStyle name="Comma 43 2 3" xfId="1629" xr:uid="{00000000-0005-0000-0000-0000A21F0000}"/>
    <cellStyle name="Comma 43 2 3 2" xfId="1630" xr:uid="{00000000-0005-0000-0000-0000A31F0000}"/>
    <cellStyle name="Comma 43 2 4" xfId="1631" xr:uid="{00000000-0005-0000-0000-0000A41F0000}"/>
    <cellStyle name="Comma 43 2 4 2" xfId="1632" xr:uid="{00000000-0005-0000-0000-0000A51F0000}"/>
    <cellStyle name="Comma 43 2 5" xfId="1633" xr:uid="{00000000-0005-0000-0000-0000A61F0000}"/>
    <cellStyle name="Comma 43 3" xfId="1634" xr:uid="{00000000-0005-0000-0000-0000A71F0000}"/>
    <cellStyle name="Comma 43 3 2" xfId="1635" xr:uid="{00000000-0005-0000-0000-0000A81F0000}"/>
    <cellStyle name="Comma 43 3 2 2" xfId="1636" xr:uid="{00000000-0005-0000-0000-0000A91F0000}"/>
    <cellStyle name="Comma 43 3 2 2 2" xfId="1637" xr:uid="{00000000-0005-0000-0000-0000AA1F0000}"/>
    <cellStyle name="Comma 43 3 2 3" xfId="1638" xr:uid="{00000000-0005-0000-0000-0000AB1F0000}"/>
    <cellStyle name="Comma 43 3 3" xfId="1639" xr:uid="{00000000-0005-0000-0000-0000AC1F0000}"/>
    <cellStyle name="Comma 43 3 3 2" xfId="1640" xr:uid="{00000000-0005-0000-0000-0000AD1F0000}"/>
    <cellStyle name="Comma 43 3 4" xfId="1641" xr:uid="{00000000-0005-0000-0000-0000AE1F0000}"/>
    <cellStyle name="Comma 43 3 4 2" xfId="1642" xr:uid="{00000000-0005-0000-0000-0000AF1F0000}"/>
    <cellStyle name="Comma 43 3 5" xfId="1643" xr:uid="{00000000-0005-0000-0000-0000B01F0000}"/>
    <cellStyle name="Comma 43 4" xfId="1644" xr:uid="{00000000-0005-0000-0000-0000B11F0000}"/>
    <cellStyle name="Comma 43 4 2" xfId="1645" xr:uid="{00000000-0005-0000-0000-0000B21F0000}"/>
    <cellStyle name="Comma 43 4 2 2" xfId="1646" xr:uid="{00000000-0005-0000-0000-0000B31F0000}"/>
    <cellStyle name="Comma 43 4 2 2 2" xfId="1647" xr:uid="{00000000-0005-0000-0000-0000B41F0000}"/>
    <cellStyle name="Comma 43 4 2 3" xfId="1648" xr:uid="{00000000-0005-0000-0000-0000B51F0000}"/>
    <cellStyle name="Comma 43 4 3" xfId="1649" xr:uid="{00000000-0005-0000-0000-0000B61F0000}"/>
    <cellStyle name="Comma 43 4 3 2" xfId="1650" xr:uid="{00000000-0005-0000-0000-0000B71F0000}"/>
    <cellStyle name="Comma 43 4 4" xfId="1651" xr:uid="{00000000-0005-0000-0000-0000B81F0000}"/>
    <cellStyle name="Comma 43 4 4 2" xfId="1652" xr:uid="{00000000-0005-0000-0000-0000B91F0000}"/>
    <cellStyle name="Comma 43 4 5" xfId="1653" xr:uid="{00000000-0005-0000-0000-0000BA1F0000}"/>
    <cellStyle name="Comma 43 5" xfId="1654" xr:uid="{00000000-0005-0000-0000-0000BB1F0000}"/>
    <cellStyle name="Comma 43 5 2" xfId="1655" xr:uid="{00000000-0005-0000-0000-0000BC1F0000}"/>
    <cellStyle name="Comma 43 5 2 2" xfId="1656" xr:uid="{00000000-0005-0000-0000-0000BD1F0000}"/>
    <cellStyle name="Comma 43 5 2 2 2" xfId="1657" xr:uid="{00000000-0005-0000-0000-0000BE1F0000}"/>
    <cellStyle name="Comma 43 5 2 3" xfId="1658" xr:uid="{00000000-0005-0000-0000-0000BF1F0000}"/>
    <cellStyle name="Comma 43 5 3" xfId="1659" xr:uid="{00000000-0005-0000-0000-0000C01F0000}"/>
    <cellStyle name="Comma 43 5 3 2" xfId="1660" xr:uid="{00000000-0005-0000-0000-0000C11F0000}"/>
    <cellStyle name="Comma 43 5 4" xfId="1661" xr:uid="{00000000-0005-0000-0000-0000C21F0000}"/>
    <cellStyle name="Comma 43 5 4 2" xfId="1662" xr:uid="{00000000-0005-0000-0000-0000C31F0000}"/>
    <cellStyle name="Comma 43 5 5" xfId="1663" xr:uid="{00000000-0005-0000-0000-0000C41F0000}"/>
    <cellStyle name="Comma 43 6" xfId="1664" xr:uid="{00000000-0005-0000-0000-0000C51F0000}"/>
    <cellStyle name="Comma 43 6 2" xfId="1665" xr:uid="{00000000-0005-0000-0000-0000C61F0000}"/>
    <cellStyle name="Comma 43 6 2 2" xfId="1666" xr:uid="{00000000-0005-0000-0000-0000C71F0000}"/>
    <cellStyle name="Comma 43 6 2 2 2" xfId="1667" xr:uid="{00000000-0005-0000-0000-0000C81F0000}"/>
    <cellStyle name="Comma 43 6 2 3" xfId="1668" xr:uid="{00000000-0005-0000-0000-0000C91F0000}"/>
    <cellStyle name="Comma 43 6 3" xfId="1669" xr:uid="{00000000-0005-0000-0000-0000CA1F0000}"/>
    <cellStyle name="Comma 43 6 3 2" xfId="1670" xr:uid="{00000000-0005-0000-0000-0000CB1F0000}"/>
    <cellStyle name="Comma 43 6 4" xfId="1671" xr:uid="{00000000-0005-0000-0000-0000CC1F0000}"/>
    <cellStyle name="Comma 43 6 4 2" xfId="1672" xr:uid="{00000000-0005-0000-0000-0000CD1F0000}"/>
    <cellStyle name="Comma 43 6 5" xfId="1673" xr:uid="{00000000-0005-0000-0000-0000CE1F0000}"/>
    <cellStyle name="Comma 43 7" xfId="1674" xr:uid="{00000000-0005-0000-0000-0000CF1F0000}"/>
    <cellStyle name="Comma 43 7 2" xfId="1675" xr:uid="{00000000-0005-0000-0000-0000D01F0000}"/>
    <cellStyle name="Comma 43 7 2 2" xfId="1676" xr:uid="{00000000-0005-0000-0000-0000D11F0000}"/>
    <cellStyle name="Comma 43 7 2 2 2" xfId="1677" xr:uid="{00000000-0005-0000-0000-0000D21F0000}"/>
    <cellStyle name="Comma 43 7 2 3" xfId="1678" xr:uid="{00000000-0005-0000-0000-0000D31F0000}"/>
    <cellStyle name="Comma 43 7 3" xfId="1679" xr:uid="{00000000-0005-0000-0000-0000D41F0000}"/>
    <cellStyle name="Comma 43 7 3 2" xfId="1680" xr:uid="{00000000-0005-0000-0000-0000D51F0000}"/>
    <cellStyle name="Comma 43 7 4" xfId="1681" xr:uid="{00000000-0005-0000-0000-0000D61F0000}"/>
    <cellStyle name="Comma 43 8" xfId="1682" xr:uid="{00000000-0005-0000-0000-0000D71F0000}"/>
    <cellStyle name="Comma 43 8 2" xfId="1683" xr:uid="{00000000-0005-0000-0000-0000D81F0000}"/>
    <cellStyle name="Comma 43 8 2 2" xfId="1684" xr:uid="{00000000-0005-0000-0000-0000D91F0000}"/>
    <cellStyle name="Comma 43 8 2 2 2" xfId="1685" xr:uid="{00000000-0005-0000-0000-0000DA1F0000}"/>
    <cellStyle name="Comma 43 8 2 3" xfId="1686" xr:uid="{00000000-0005-0000-0000-0000DB1F0000}"/>
    <cellStyle name="Comma 43 8 3" xfId="1687" xr:uid="{00000000-0005-0000-0000-0000DC1F0000}"/>
    <cellStyle name="Comma 43 8 3 2" xfId="1688" xr:uid="{00000000-0005-0000-0000-0000DD1F0000}"/>
    <cellStyle name="Comma 43 8 4" xfId="1689" xr:uid="{00000000-0005-0000-0000-0000DE1F0000}"/>
    <cellStyle name="Comma 43 9" xfId="1690" xr:uid="{00000000-0005-0000-0000-0000DF1F0000}"/>
    <cellStyle name="Comma 43 9 2" xfId="1691" xr:uid="{00000000-0005-0000-0000-0000E01F0000}"/>
    <cellStyle name="Comma 43 9 2 2" xfId="1692" xr:uid="{00000000-0005-0000-0000-0000E11F0000}"/>
    <cellStyle name="Comma 43 9 3" xfId="1693" xr:uid="{00000000-0005-0000-0000-0000E21F0000}"/>
    <cellStyle name="Comma 44" xfId="1694" xr:uid="{00000000-0005-0000-0000-0000E31F0000}"/>
    <cellStyle name="Comma 44 10" xfId="1695" xr:uid="{00000000-0005-0000-0000-0000E41F0000}"/>
    <cellStyle name="Comma 44 10 2" xfId="1696" xr:uid="{00000000-0005-0000-0000-0000E51F0000}"/>
    <cellStyle name="Comma 44 11" xfId="1697" xr:uid="{00000000-0005-0000-0000-0000E61F0000}"/>
    <cellStyle name="Comma 44 11 2" xfId="1698" xr:uid="{00000000-0005-0000-0000-0000E71F0000}"/>
    <cellStyle name="Comma 44 12" xfId="1699" xr:uid="{00000000-0005-0000-0000-0000E81F0000}"/>
    <cellStyle name="Comma 44 2" xfId="1700" xr:uid="{00000000-0005-0000-0000-0000E91F0000}"/>
    <cellStyle name="Comma 44 2 2" xfId="1701" xr:uid="{00000000-0005-0000-0000-0000EA1F0000}"/>
    <cellStyle name="Comma 44 2 2 2" xfId="1702" xr:uid="{00000000-0005-0000-0000-0000EB1F0000}"/>
    <cellStyle name="Comma 44 2 2 2 2" xfId="1703" xr:uid="{00000000-0005-0000-0000-0000EC1F0000}"/>
    <cellStyle name="Comma 44 2 2 3" xfId="1704" xr:uid="{00000000-0005-0000-0000-0000ED1F0000}"/>
    <cellStyle name="Comma 44 2 3" xfId="1705" xr:uid="{00000000-0005-0000-0000-0000EE1F0000}"/>
    <cellStyle name="Comma 44 2 3 2" xfId="1706" xr:uid="{00000000-0005-0000-0000-0000EF1F0000}"/>
    <cellStyle name="Comma 44 2 4" xfId="1707" xr:uid="{00000000-0005-0000-0000-0000F01F0000}"/>
    <cellStyle name="Comma 44 2 4 2" xfId="1708" xr:uid="{00000000-0005-0000-0000-0000F11F0000}"/>
    <cellStyle name="Comma 44 2 5" xfId="1709" xr:uid="{00000000-0005-0000-0000-0000F21F0000}"/>
    <cellStyle name="Comma 44 3" xfId="1710" xr:uid="{00000000-0005-0000-0000-0000F31F0000}"/>
    <cellStyle name="Comma 44 3 2" xfId="1711" xr:uid="{00000000-0005-0000-0000-0000F41F0000}"/>
    <cellStyle name="Comma 44 3 2 2" xfId="1712" xr:uid="{00000000-0005-0000-0000-0000F51F0000}"/>
    <cellStyle name="Comma 44 3 2 2 2" xfId="1713" xr:uid="{00000000-0005-0000-0000-0000F61F0000}"/>
    <cellStyle name="Comma 44 3 2 3" xfId="1714" xr:uid="{00000000-0005-0000-0000-0000F71F0000}"/>
    <cellStyle name="Comma 44 3 3" xfId="1715" xr:uid="{00000000-0005-0000-0000-0000F81F0000}"/>
    <cellStyle name="Comma 44 3 3 2" xfId="1716" xr:uid="{00000000-0005-0000-0000-0000F91F0000}"/>
    <cellStyle name="Comma 44 3 4" xfId="1717" xr:uid="{00000000-0005-0000-0000-0000FA1F0000}"/>
    <cellStyle name="Comma 44 3 4 2" xfId="1718" xr:uid="{00000000-0005-0000-0000-0000FB1F0000}"/>
    <cellStyle name="Comma 44 3 5" xfId="1719" xr:uid="{00000000-0005-0000-0000-0000FC1F0000}"/>
    <cellStyle name="Comma 44 4" xfId="1720" xr:uid="{00000000-0005-0000-0000-0000FD1F0000}"/>
    <cellStyle name="Comma 44 4 2" xfId="1721" xr:uid="{00000000-0005-0000-0000-0000FE1F0000}"/>
    <cellStyle name="Comma 44 4 2 2" xfId="1722" xr:uid="{00000000-0005-0000-0000-0000FF1F0000}"/>
    <cellStyle name="Comma 44 4 2 2 2" xfId="1723" xr:uid="{00000000-0005-0000-0000-000000200000}"/>
    <cellStyle name="Comma 44 4 2 3" xfId="1724" xr:uid="{00000000-0005-0000-0000-000001200000}"/>
    <cellStyle name="Comma 44 4 3" xfId="1725" xr:uid="{00000000-0005-0000-0000-000002200000}"/>
    <cellStyle name="Comma 44 4 3 2" xfId="1726" xr:uid="{00000000-0005-0000-0000-000003200000}"/>
    <cellStyle name="Comma 44 4 4" xfId="1727" xr:uid="{00000000-0005-0000-0000-000004200000}"/>
    <cellStyle name="Comma 44 4 4 2" xfId="1728" xr:uid="{00000000-0005-0000-0000-000005200000}"/>
    <cellStyle name="Comma 44 4 5" xfId="1729" xr:uid="{00000000-0005-0000-0000-000006200000}"/>
    <cellStyle name="Comma 44 5" xfId="1730" xr:uid="{00000000-0005-0000-0000-000007200000}"/>
    <cellStyle name="Comma 44 5 2" xfId="1731" xr:uid="{00000000-0005-0000-0000-000008200000}"/>
    <cellStyle name="Comma 44 5 2 2" xfId="1732" xr:uid="{00000000-0005-0000-0000-000009200000}"/>
    <cellStyle name="Comma 44 5 2 2 2" xfId="1733" xr:uid="{00000000-0005-0000-0000-00000A200000}"/>
    <cellStyle name="Comma 44 5 2 3" xfId="1734" xr:uid="{00000000-0005-0000-0000-00000B200000}"/>
    <cellStyle name="Comma 44 5 3" xfId="1735" xr:uid="{00000000-0005-0000-0000-00000C200000}"/>
    <cellStyle name="Comma 44 5 3 2" xfId="1736" xr:uid="{00000000-0005-0000-0000-00000D200000}"/>
    <cellStyle name="Comma 44 5 4" xfId="1737" xr:uid="{00000000-0005-0000-0000-00000E200000}"/>
    <cellStyle name="Comma 44 5 4 2" xfId="1738" xr:uid="{00000000-0005-0000-0000-00000F200000}"/>
    <cellStyle name="Comma 44 5 5" xfId="1739" xr:uid="{00000000-0005-0000-0000-000010200000}"/>
    <cellStyle name="Comma 44 6" xfId="1740" xr:uid="{00000000-0005-0000-0000-000011200000}"/>
    <cellStyle name="Comma 44 6 2" xfId="1741" xr:uid="{00000000-0005-0000-0000-000012200000}"/>
    <cellStyle name="Comma 44 6 2 2" xfId="1742" xr:uid="{00000000-0005-0000-0000-000013200000}"/>
    <cellStyle name="Comma 44 6 2 2 2" xfId="1743" xr:uid="{00000000-0005-0000-0000-000014200000}"/>
    <cellStyle name="Comma 44 6 2 3" xfId="1744" xr:uid="{00000000-0005-0000-0000-000015200000}"/>
    <cellStyle name="Comma 44 6 3" xfId="1745" xr:uid="{00000000-0005-0000-0000-000016200000}"/>
    <cellStyle name="Comma 44 6 3 2" xfId="1746" xr:uid="{00000000-0005-0000-0000-000017200000}"/>
    <cellStyle name="Comma 44 6 4" xfId="1747" xr:uid="{00000000-0005-0000-0000-000018200000}"/>
    <cellStyle name="Comma 44 6 4 2" xfId="1748" xr:uid="{00000000-0005-0000-0000-000019200000}"/>
    <cellStyle name="Comma 44 6 5" xfId="1749" xr:uid="{00000000-0005-0000-0000-00001A200000}"/>
    <cellStyle name="Comma 44 7" xfId="1750" xr:uid="{00000000-0005-0000-0000-00001B200000}"/>
    <cellStyle name="Comma 44 7 2" xfId="1751" xr:uid="{00000000-0005-0000-0000-00001C200000}"/>
    <cellStyle name="Comma 44 7 2 2" xfId="1752" xr:uid="{00000000-0005-0000-0000-00001D200000}"/>
    <cellStyle name="Comma 44 7 2 2 2" xfId="1753" xr:uid="{00000000-0005-0000-0000-00001E200000}"/>
    <cellStyle name="Comma 44 7 2 3" xfId="1754" xr:uid="{00000000-0005-0000-0000-00001F200000}"/>
    <cellStyle name="Comma 44 7 3" xfId="1755" xr:uid="{00000000-0005-0000-0000-000020200000}"/>
    <cellStyle name="Comma 44 7 3 2" xfId="1756" xr:uid="{00000000-0005-0000-0000-000021200000}"/>
    <cellStyle name="Comma 44 7 4" xfId="1757" xr:uid="{00000000-0005-0000-0000-000022200000}"/>
    <cellStyle name="Comma 44 8" xfId="1758" xr:uid="{00000000-0005-0000-0000-000023200000}"/>
    <cellStyle name="Comma 44 8 2" xfId="1759" xr:uid="{00000000-0005-0000-0000-000024200000}"/>
    <cellStyle name="Comma 44 8 2 2" xfId="1760" xr:uid="{00000000-0005-0000-0000-000025200000}"/>
    <cellStyle name="Comma 44 8 2 2 2" xfId="1761" xr:uid="{00000000-0005-0000-0000-000026200000}"/>
    <cellStyle name="Comma 44 8 2 3" xfId="1762" xr:uid="{00000000-0005-0000-0000-000027200000}"/>
    <cellStyle name="Comma 44 8 3" xfId="1763" xr:uid="{00000000-0005-0000-0000-000028200000}"/>
    <cellStyle name="Comma 44 8 3 2" xfId="1764" xr:uid="{00000000-0005-0000-0000-000029200000}"/>
    <cellStyle name="Comma 44 8 4" xfId="1765" xr:uid="{00000000-0005-0000-0000-00002A200000}"/>
    <cellStyle name="Comma 44 9" xfId="1766" xr:uid="{00000000-0005-0000-0000-00002B200000}"/>
    <cellStyle name="Comma 44 9 2" xfId="1767" xr:uid="{00000000-0005-0000-0000-00002C200000}"/>
    <cellStyle name="Comma 44 9 2 2" xfId="1768" xr:uid="{00000000-0005-0000-0000-00002D200000}"/>
    <cellStyle name="Comma 44 9 3" xfId="1769" xr:uid="{00000000-0005-0000-0000-00002E200000}"/>
    <cellStyle name="Comma 45" xfId="1770" xr:uid="{00000000-0005-0000-0000-00002F200000}"/>
    <cellStyle name="Comma 45 10" xfId="1771" xr:uid="{00000000-0005-0000-0000-000030200000}"/>
    <cellStyle name="Comma 45 10 2" xfId="1772" xr:uid="{00000000-0005-0000-0000-000031200000}"/>
    <cellStyle name="Comma 45 11" xfId="1773" xr:uid="{00000000-0005-0000-0000-000032200000}"/>
    <cellStyle name="Comma 45 11 2" xfId="1774" xr:uid="{00000000-0005-0000-0000-000033200000}"/>
    <cellStyle name="Comma 45 12" xfId="1775" xr:uid="{00000000-0005-0000-0000-000034200000}"/>
    <cellStyle name="Comma 45 2" xfId="1776" xr:uid="{00000000-0005-0000-0000-000035200000}"/>
    <cellStyle name="Comma 45 2 2" xfId="1777" xr:uid="{00000000-0005-0000-0000-000036200000}"/>
    <cellStyle name="Comma 45 2 2 2" xfId="1778" xr:uid="{00000000-0005-0000-0000-000037200000}"/>
    <cellStyle name="Comma 45 2 2 2 2" xfId="1779" xr:uid="{00000000-0005-0000-0000-000038200000}"/>
    <cellStyle name="Comma 45 2 2 3" xfId="1780" xr:uid="{00000000-0005-0000-0000-000039200000}"/>
    <cellStyle name="Comma 45 2 3" xfId="1781" xr:uid="{00000000-0005-0000-0000-00003A200000}"/>
    <cellStyle name="Comma 45 2 3 2" xfId="1782" xr:uid="{00000000-0005-0000-0000-00003B200000}"/>
    <cellStyle name="Comma 45 2 4" xfId="1783" xr:uid="{00000000-0005-0000-0000-00003C200000}"/>
    <cellStyle name="Comma 45 2 4 2" xfId="1784" xr:uid="{00000000-0005-0000-0000-00003D200000}"/>
    <cellStyle name="Comma 45 2 5" xfId="1785" xr:uid="{00000000-0005-0000-0000-00003E200000}"/>
    <cellStyle name="Comma 45 3" xfId="1786" xr:uid="{00000000-0005-0000-0000-00003F200000}"/>
    <cellStyle name="Comma 45 3 2" xfId="1787" xr:uid="{00000000-0005-0000-0000-000040200000}"/>
    <cellStyle name="Comma 45 3 2 2" xfId="1788" xr:uid="{00000000-0005-0000-0000-000041200000}"/>
    <cellStyle name="Comma 45 3 2 2 2" xfId="1789" xr:uid="{00000000-0005-0000-0000-000042200000}"/>
    <cellStyle name="Comma 45 3 2 3" xfId="1790" xr:uid="{00000000-0005-0000-0000-000043200000}"/>
    <cellStyle name="Comma 45 3 3" xfId="1791" xr:uid="{00000000-0005-0000-0000-000044200000}"/>
    <cellStyle name="Comma 45 3 3 2" xfId="1792" xr:uid="{00000000-0005-0000-0000-000045200000}"/>
    <cellStyle name="Comma 45 3 4" xfId="1793" xr:uid="{00000000-0005-0000-0000-000046200000}"/>
    <cellStyle name="Comma 45 3 4 2" xfId="1794" xr:uid="{00000000-0005-0000-0000-000047200000}"/>
    <cellStyle name="Comma 45 3 5" xfId="1795" xr:uid="{00000000-0005-0000-0000-000048200000}"/>
    <cellStyle name="Comma 45 4" xfId="1796" xr:uid="{00000000-0005-0000-0000-000049200000}"/>
    <cellStyle name="Comma 45 4 2" xfId="1797" xr:uid="{00000000-0005-0000-0000-00004A200000}"/>
    <cellStyle name="Comma 45 4 2 2" xfId="1798" xr:uid="{00000000-0005-0000-0000-00004B200000}"/>
    <cellStyle name="Comma 45 4 2 2 2" xfId="1799" xr:uid="{00000000-0005-0000-0000-00004C200000}"/>
    <cellStyle name="Comma 45 4 2 3" xfId="1800" xr:uid="{00000000-0005-0000-0000-00004D200000}"/>
    <cellStyle name="Comma 45 4 3" xfId="1801" xr:uid="{00000000-0005-0000-0000-00004E200000}"/>
    <cellStyle name="Comma 45 4 3 2" xfId="1802" xr:uid="{00000000-0005-0000-0000-00004F200000}"/>
    <cellStyle name="Comma 45 4 4" xfId="1803" xr:uid="{00000000-0005-0000-0000-000050200000}"/>
    <cellStyle name="Comma 45 4 4 2" xfId="1804" xr:uid="{00000000-0005-0000-0000-000051200000}"/>
    <cellStyle name="Comma 45 4 5" xfId="1805" xr:uid="{00000000-0005-0000-0000-000052200000}"/>
    <cellStyle name="Comma 45 5" xfId="1806" xr:uid="{00000000-0005-0000-0000-000053200000}"/>
    <cellStyle name="Comma 45 5 2" xfId="1807" xr:uid="{00000000-0005-0000-0000-000054200000}"/>
    <cellStyle name="Comma 45 5 2 2" xfId="1808" xr:uid="{00000000-0005-0000-0000-000055200000}"/>
    <cellStyle name="Comma 45 5 2 2 2" xfId="1809" xr:uid="{00000000-0005-0000-0000-000056200000}"/>
    <cellStyle name="Comma 45 5 2 3" xfId="1810" xr:uid="{00000000-0005-0000-0000-000057200000}"/>
    <cellStyle name="Comma 45 5 3" xfId="1811" xr:uid="{00000000-0005-0000-0000-000058200000}"/>
    <cellStyle name="Comma 45 5 3 2" xfId="1812" xr:uid="{00000000-0005-0000-0000-000059200000}"/>
    <cellStyle name="Comma 45 5 4" xfId="1813" xr:uid="{00000000-0005-0000-0000-00005A200000}"/>
    <cellStyle name="Comma 45 5 4 2" xfId="1814" xr:uid="{00000000-0005-0000-0000-00005B200000}"/>
    <cellStyle name="Comma 45 5 5" xfId="1815" xr:uid="{00000000-0005-0000-0000-00005C200000}"/>
    <cellStyle name="Comma 45 6" xfId="1816" xr:uid="{00000000-0005-0000-0000-00005D200000}"/>
    <cellStyle name="Comma 45 6 2" xfId="1817" xr:uid="{00000000-0005-0000-0000-00005E200000}"/>
    <cellStyle name="Comma 45 6 2 2" xfId="1818" xr:uid="{00000000-0005-0000-0000-00005F200000}"/>
    <cellStyle name="Comma 45 6 2 2 2" xfId="1819" xr:uid="{00000000-0005-0000-0000-000060200000}"/>
    <cellStyle name="Comma 45 6 2 3" xfId="1820" xr:uid="{00000000-0005-0000-0000-000061200000}"/>
    <cellStyle name="Comma 45 6 3" xfId="1821" xr:uid="{00000000-0005-0000-0000-000062200000}"/>
    <cellStyle name="Comma 45 6 3 2" xfId="1822" xr:uid="{00000000-0005-0000-0000-000063200000}"/>
    <cellStyle name="Comma 45 6 4" xfId="1823" xr:uid="{00000000-0005-0000-0000-000064200000}"/>
    <cellStyle name="Comma 45 6 4 2" xfId="1824" xr:uid="{00000000-0005-0000-0000-000065200000}"/>
    <cellStyle name="Comma 45 6 5" xfId="1825" xr:uid="{00000000-0005-0000-0000-000066200000}"/>
    <cellStyle name="Comma 45 7" xfId="1826" xr:uid="{00000000-0005-0000-0000-000067200000}"/>
    <cellStyle name="Comma 45 7 2" xfId="1827" xr:uid="{00000000-0005-0000-0000-000068200000}"/>
    <cellStyle name="Comma 45 7 2 2" xfId="1828" xr:uid="{00000000-0005-0000-0000-000069200000}"/>
    <cellStyle name="Comma 45 7 2 2 2" xfId="1829" xr:uid="{00000000-0005-0000-0000-00006A200000}"/>
    <cellStyle name="Comma 45 7 2 3" xfId="1830" xr:uid="{00000000-0005-0000-0000-00006B200000}"/>
    <cellStyle name="Comma 45 7 3" xfId="1831" xr:uid="{00000000-0005-0000-0000-00006C200000}"/>
    <cellStyle name="Comma 45 7 3 2" xfId="1832" xr:uid="{00000000-0005-0000-0000-00006D200000}"/>
    <cellStyle name="Comma 45 7 4" xfId="1833" xr:uid="{00000000-0005-0000-0000-00006E200000}"/>
    <cellStyle name="Comma 45 8" xfId="1834" xr:uid="{00000000-0005-0000-0000-00006F200000}"/>
    <cellStyle name="Comma 45 8 2" xfId="1835" xr:uid="{00000000-0005-0000-0000-000070200000}"/>
    <cellStyle name="Comma 45 8 2 2" xfId="1836" xr:uid="{00000000-0005-0000-0000-000071200000}"/>
    <cellStyle name="Comma 45 8 2 2 2" xfId="1837" xr:uid="{00000000-0005-0000-0000-000072200000}"/>
    <cellStyle name="Comma 45 8 2 3" xfId="1838" xr:uid="{00000000-0005-0000-0000-000073200000}"/>
    <cellStyle name="Comma 45 8 3" xfId="1839" xr:uid="{00000000-0005-0000-0000-000074200000}"/>
    <cellStyle name="Comma 45 8 3 2" xfId="1840" xr:uid="{00000000-0005-0000-0000-000075200000}"/>
    <cellStyle name="Comma 45 8 4" xfId="1841" xr:uid="{00000000-0005-0000-0000-000076200000}"/>
    <cellStyle name="Comma 45 9" xfId="1842" xr:uid="{00000000-0005-0000-0000-000077200000}"/>
    <cellStyle name="Comma 45 9 2" xfId="1843" xr:uid="{00000000-0005-0000-0000-000078200000}"/>
    <cellStyle name="Comma 45 9 2 2" xfId="1844" xr:uid="{00000000-0005-0000-0000-000079200000}"/>
    <cellStyle name="Comma 45 9 3" xfId="1845" xr:uid="{00000000-0005-0000-0000-00007A200000}"/>
    <cellStyle name="Comma 46" xfId="1846" xr:uid="{00000000-0005-0000-0000-00007B200000}"/>
    <cellStyle name="Comma 46 10" xfId="1847" xr:uid="{00000000-0005-0000-0000-00007C200000}"/>
    <cellStyle name="Comma 46 10 2" xfId="1848" xr:uid="{00000000-0005-0000-0000-00007D200000}"/>
    <cellStyle name="Comma 46 11" xfId="1849" xr:uid="{00000000-0005-0000-0000-00007E200000}"/>
    <cellStyle name="Comma 46 11 2" xfId="1850" xr:uid="{00000000-0005-0000-0000-00007F200000}"/>
    <cellStyle name="Comma 46 12" xfId="1851" xr:uid="{00000000-0005-0000-0000-000080200000}"/>
    <cellStyle name="Comma 46 2" xfId="1852" xr:uid="{00000000-0005-0000-0000-000081200000}"/>
    <cellStyle name="Comma 46 2 2" xfId="1853" xr:uid="{00000000-0005-0000-0000-000082200000}"/>
    <cellStyle name="Comma 46 2 2 2" xfId="1854" xr:uid="{00000000-0005-0000-0000-000083200000}"/>
    <cellStyle name="Comma 46 2 2 2 2" xfId="1855" xr:uid="{00000000-0005-0000-0000-000084200000}"/>
    <cellStyle name="Comma 46 2 2 3" xfId="1856" xr:uid="{00000000-0005-0000-0000-000085200000}"/>
    <cellStyle name="Comma 46 2 3" xfId="1857" xr:uid="{00000000-0005-0000-0000-000086200000}"/>
    <cellStyle name="Comma 46 2 3 2" xfId="1858" xr:uid="{00000000-0005-0000-0000-000087200000}"/>
    <cellStyle name="Comma 46 2 4" xfId="1859" xr:uid="{00000000-0005-0000-0000-000088200000}"/>
    <cellStyle name="Comma 46 2 4 2" xfId="1860" xr:uid="{00000000-0005-0000-0000-000089200000}"/>
    <cellStyle name="Comma 46 2 5" xfId="1861" xr:uid="{00000000-0005-0000-0000-00008A200000}"/>
    <cellStyle name="Comma 46 3" xfId="1862" xr:uid="{00000000-0005-0000-0000-00008B200000}"/>
    <cellStyle name="Comma 46 3 2" xfId="1863" xr:uid="{00000000-0005-0000-0000-00008C200000}"/>
    <cellStyle name="Comma 46 3 2 2" xfId="1864" xr:uid="{00000000-0005-0000-0000-00008D200000}"/>
    <cellStyle name="Comma 46 3 2 2 2" xfId="1865" xr:uid="{00000000-0005-0000-0000-00008E200000}"/>
    <cellStyle name="Comma 46 3 2 3" xfId="1866" xr:uid="{00000000-0005-0000-0000-00008F200000}"/>
    <cellStyle name="Comma 46 3 3" xfId="1867" xr:uid="{00000000-0005-0000-0000-000090200000}"/>
    <cellStyle name="Comma 46 3 3 2" xfId="1868" xr:uid="{00000000-0005-0000-0000-000091200000}"/>
    <cellStyle name="Comma 46 3 4" xfId="1869" xr:uid="{00000000-0005-0000-0000-000092200000}"/>
    <cellStyle name="Comma 46 3 4 2" xfId="1870" xr:uid="{00000000-0005-0000-0000-000093200000}"/>
    <cellStyle name="Comma 46 3 5" xfId="1871" xr:uid="{00000000-0005-0000-0000-000094200000}"/>
    <cellStyle name="Comma 46 4" xfId="1872" xr:uid="{00000000-0005-0000-0000-000095200000}"/>
    <cellStyle name="Comma 46 4 2" xfId="1873" xr:uid="{00000000-0005-0000-0000-000096200000}"/>
    <cellStyle name="Comma 46 4 2 2" xfId="1874" xr:uid="{00000000-0005-0000-0000-000097200000}"/>
    <cellStyle name="Comma 46 4 2 2 2" xfId="1875" xr:uid="{00000000-0005-0000-0000-000098200000}"/>
    <cellStyle name="Comma 46 4 2 3" xfId="1876" xr:uid="{00000000-0005-0000-0000-000099200000}"/>
    <cellStyle name="Comma 46 4 3" xfId="1877" xr:uid="{00000000-0005-0000-0000-00009A200000}"/>
    <cellStyle name="Comma 46 4 3 2" xfId="1878" xr:uid="{00000000-0005-0000-0000-00009B200000}"/>
    <cellStyle name="Comma 46 4 4" xfId="1879" xr:uid="{00000000-0005-0000-0000-00009C200000}"/>
    <cellStyle name="Comma 46 4 4 2" xfId="1880" xr:uid="{00000000-0005-0000-0000-00009D200000}"/>
    <cellStyle name="Comma 46 4 5" xfId="1881" xr:uid="{00000000-0005-0000-0000-00009E200000}"/>
    <cellStyle name="Comma 46 5" xfId="1882" xr:uid="{00000000-0005-0000-0000-00009F200000}"/>
    <cellStyle name="Comma 46 5 2" xfId="1883" xr:uid="{00000000-0005-0000-0000-0000A0200000}"/>
    <cellStyle name="Comma 46 5 2 2" xfId="1884" xr:uid="{00000000-0005-0000-0000-0000A1200000}"/>
    <cellStyle name="Comma 46 5 2 2 2" xfId="1885" xr:uid="{00000000-0005-0000-0000-0000A2200000}"/>
    <cellStyle name="Comma 46 5 2 3" xfId="1886" xr:uid="{00000000-0005-0000-0000-0000A3200000}"/>
    <cellStyle name="Comma 46 5 3" xfId="1887" xr:uid="{00000000-0005-0000-0000-0000A4200000}"/>
    <cellStyle name="Comma 46 5 3 2" xfId="1888" xr:uid="{00000000-0005-0000-0000-0000A5200000}"/>
    <cellStyle name="Comma 46 5 4" xfId="1889" xr:uid="{00000000-0005-0000-0000-0000A6200000}"/>
    <cellStyle name="Comma 46 5 4 2" xfId="1890" xr:uid="{00000000-0005-0000-0000-0000A7200000}"/>
    <cellStyle name="Comma 46 5 5" xfId="1891" xr:uid="{00000000-0005-0000-0000-0000A8200000}"/>
    <cellStyle name="Comma 46 6" xfId="1892" xr:uid="{00000000-0005-0000-0000-0000A9200000}"/>
    <cellStyle name="Comma 46 6 2" xfId="1893" xr:uid="{00000000-0005-0000-0000-0000AA200000}"/>
    <cellStyle name="Comma 46 6 2 2" xfId="1894" xr:uid="{00000000-0005-0000-0000-0000AB200000}"/>
    <cellStyle name="Comma 46 6 2 2 2" xfId="1895" xr:uid="{00000000-0005-0000-0000-0000AC200000}"/>
    <cellStyle name="Comma 46 6 2 3" xfId="1896" xr:uid="{00000000-0005-0000-0000-0000AD200000}"/>
    <cellStyle name="Comma 46 6 3" xfId="1897" xr:uid="{00000000-0005-0000-0000-0000AE200000}"/>
    <cellStyle name="Comma 46 6 3 2" xfId="1898" xr:uid="{00000000-0005-0000-0000-0000AF200000}"/>
    <cellStyle name="Comma 46 6 4" xfId="1899" xr:uid="{00000000-0005-0000-0000-0000B0200000}"/>
    <cellStyle name="Comma 46 6 4 2" xfId="1900" xr:uid="{00000000-0005-0000-0000-0000B1200000}"/>
    <cellStyle name="Comma 46 6 5" xfId="1901" xr:uid="{00000000-0005-0000-0000-0000B2200000}"/>
    <cellStyle name="Comma 46 7" xfId="1902" xr:uid="{00000000-0005-0000-0000-0000B3200000}"/>
    <cellStyle name="Comma 46 7 2" xfId="1903" xr:uid="{00000000-0005-0000-0000-0000B4200000}"/>
    <cellStyle name="Comma 46 7 2 2" xfId="1904" xr:uid="{00000000-0005-0000-0000-0000B5200000}"/>
    <cellStyle name="Comma 46 7 2 2 2" xfId="1905" xr:uid="{00000000-0005-0000-0000-0000B6200000}"/>
    <cellStyle name="Comma 46 7 2 3" xfId="1906" xr:uid="{00000000-0005-0000-0000-0000B7200000}"/>
    <cellStyle name="Comma 46 7 3" xfId="1907" xr:uid="{00000000-0005-0000-0000-0000B8200000}"/>
    <cellStyle name="Comma 46 7 3 2" xfId="1908" xr:uid="{00000000-0005-0000-0000-0000B9200000}"/>
    <cellStyle name="Comma 46 7 4" xfId="1909" xr:uid="{00000000-0005-0000-0000-0000BA200000}"/>
    <cellStyle name="Comma 46 8" xfId="1910" xr:uid="{00000000-0005-0000-0000-0000BB200000}"/>
    <cellStyle name="Comma 46 8 2" xfId="1911" xr:uid="{00000000-0005-0000-0000-0000BC200000}"/>
    <cellStyle name="Comma 46 8 2 2" xfId="1912" xr:uid="{00000000-0005-0000-0000-0000BD200000}"/>
    <cellStyle name="Comma 46 8 2 2 2" xfId="1913" xr:uid="{00000000-0005-0000-0000-0000BE200000}"/>
    <cellStyle name="Comma 46 8 2 3" xfId="1914" xr:uid="{00000000-0005-0000-0000-0000BF200000}"/>
    <cellStyle name="Comma 46 8 3" xfId="1915" xr:uid="{00000000-0005-0000-0000-0000C0200000}"/>
    <cellStyle name="Comma 46 8 3 2" xfId="1916" xr:uid="{00000000-0005-0000-0000-0000C1200000}"/>
    <cellStyle name="Comma 46 8 4" xfId="1917" xr:uid="{00000000-0005-0000-0000-0000C2200000}"/>
    <cellStyle name="Comma 46 9" xfId="1918" xr:uid="{00000000-0005-0000-0000-0000C3200000}"/>
    <cellStyle name="Comma 46 9 2" xfId="1919" xr:uid="{00000000-0005-0000-0000-0000C4200000}"/>
    <cellStyle name="Comma 46 9 2 2" xfId="1920" xr:uid="{00000000-0005-0000-0000-0000C5200000}"/>
    <cellStyle name="Comma 46 9 3" xfId="1921" xr:uid="{00000000-0005-0000-0000-0000C6200000}"/>
    <cellStyle name="Comma 47" xfId="1922" xr:uid="{00000000-0005-0000-0000-0000C7200000}"/>
    <cellStyle name="Comma 47 10" xfId="1923" xr:uid="{00000000-0005-0000-0000-0000C8200000}"/>
    <cellStyle name="Comma 47 10 2" xfId="1924" xr:uid="{00000000-0005-0000-0000-0000C9200000}"/>
    <cellStyle name="Comma 47 11" xfId="1925" xr:uid="{00000000-0005-0000-0000-0000CA200000}"/>
    <cellStyle name="Comma 47 11 2" xfId="1926" xr:uid="{00000000-0005-0000-0000-0000CB200000}"/>
    <cellStyle name="Comma 47 12" xfId="1927" xr:uid="{00000000-0005-0000-0000-0000CC200000}"/>
    <cellStyle name="Comma 47 2" xfId="1928" xr:uid="{00000000-0005-0000-0000-0000CD200000}"/>
    <cellStyle name="Comma 47 2 2" xfId="1929" xr:uid="{00000000-0005-0000-0000-0000CE200000}"/>
    <cellStyle name="Comma 47 2 2 2" xfId="1930" xr:uid="{00000000-0005-0000-0000-0000CF200000}"/>
    <cellStyle name="Comma 47 2 2 2 2" xfId="1931" xr:uid="{00000000-0005-0000-0000-0000D0200000}"/>
    <cellStyle name="Comma 47 2 2 3" xfId="1932" xr:uid="{00000000-0005-0000-0000-0000D1200000}"/>
    <cellStyle name="Comma 47 2 3" xfId="1933" xr:uid="{00000000-0005-0000-0000-0000D2200000}"/>
    <cellStyle name="Comma 47 2 3 2" xfId="1934" xr:uid="{00000000-0005-0000-0000-0000D3200000}"/>
    <cellStyle name="Comma 47 2 4" xfId="1935" xr:uid="{00000000-0005-0000-0000-0000D4200000}"/>
    <cellStyle name="Comma 47 2 4 2" xfId="1936" xr:uid="{00000000-0005-0000-0000-0000D5200000}"/>
    <cellStyle name="Comma 47 2 5" xfId="1937" xr:uid="{00000000-0005-0000-0000-0000D6200000}"/>
    <cellStyle name="Comma 47 3" xfId="1938" xr:uid="{00000000-0005-0000-0000-0000D7200000}"/>
    <cellStyle name="Comma 47 3 2" xfId="1939" xr:uid="{00000000-0005-0000-0000-0000D8200000}"/>
    <cellStyle name="Comma 47 3 2 2" xfId="1940" xr:uid="{00000000-0005-0000-0000-0000D9200000}"/>
    <cellStyle name="Comma 47 3 2 2 2" xfId="1941" xr:uid="{00000000-0005-0000-0000-0000DA200000}"/>
    <cellStyle name="Comma 47 3 2 3" xfId="1942" xr:uid="{00000000-0005-0000-0000-0000DB200000}"/>
    <cellStyle name="Comma 47 3 3" xfId="1943" xr:uid="{00000000-0005-0000-0000-0000DC200000}"/>
    <cellStyle name="Comma 47 3 3 2" xfId="1944" xr:uid="{00000000-0005-0000-0000-0000DD200000}"/>
    <cellStyle name="Comma 47 3 4" xfId="1945" xr:uid="{00000000-0005-0000-0000-0000DE200000}"/>
    <cellStyle name="Comma 47 3 4 2" xfId="1946" xr:uid="{00000000-0005-0000-0000-0000DF200000}"/>
    <cellStyle name="Comma 47 3 5" xfId="1947" xr:uid="{00000000-0005-0000-0000-0000E0200000}"/>
    <cellStyle name="Comma 47 4" xfId="1948" xr:uid="{00000000-0005-0000-0000-0000E1200000}"/>
    <cellStyle name="Comma 47 4 2" xfId="1949" xr:uid="{00000000-0005-0000-0000-0000E2200000}"/>
    <cellStyle name="Comma 47 4 2 2" xfId="1950" xr:uid="{00000000-0005-0000-0000-0000E3200000}"/>
    <cellStyle name="Comma 47 4 2 2 2" xfId="1951" xr:uid="{00000000-0005-0000-0000-0000E4200000}"/>
    <cellStyle name="Comma 47 4 2 3" xfId="1952" xr:uid="{00000000-0005-0000-0000-0000E5200000}"/>
    <cellStyle name="Comma 47 4 3" xfId="1953" xr:uid="{00000000-0005-0000-0000-0000E6200000}"/>
    <cellStyle name="Comma 47 4 3 2" xfId="1954" xr:uid="{00000000-0005-0000-0000-0000E7200000}"/>
    <cellStyle name="Comma 47 4 4" xfId="1955" xr:uid="{00000000-0005-0000-0000-0000E8200000}"/>
    <cellStyle name="Comma 47 4 4 2" xfId="1956" xr:uid="{00000000-0005-0000-0000-0000E9200000}"/>
    <cellStyle name="Comma 47 4 5" xfId="1957" xr:uid="{00000000-0005-0000-0000-0000EA200000}"/>
    <cellStyle name="Comma 47 5" xfId="1958" xr:uid="{00000000-0005-0000-0000-0000EB200000}"/>
    <cellStyle name="Comma 47 5 2" xfId="1959" xr:uid="{00000000-0005-0000-0000-0000EC200000}"/>
    <cellStyle name="Comma 47 5 2 2" xfId="1960" xr:uid="{00000000-0005-0000-0000-0000ED200000}"/>
    <cellStyle name="Comma 47 5 2 2 2" xfId="1961" xr:uid="{00000000-0005-0000-0000-0000EE200000}"/>
    <cellStyle name="Comma 47 5 2 3" xfId="1962" xr:uid="{00000000-0005-0000-0000-0000EF200000}"/>
    <cellStyle name="Comma 47 5 3" xfId="1963" xr:uid="{00000000-0005-0000-0000-0000F0200000}"/>
    <cellStyle name="Comma 47 5 3 2" xfId="1964" xr:uid="{00000000-0005-0000-0000-0000F1200000}"/>
    <cellStyle name="Comma 47 5 4" xfId="1965" xr:uid="{00000000-0005-0000-0000-0000F2200000}"/>
    <cellStyle name="Comma 47 5 4 2" xfId="1966" xr:uid="{00000000-0005-0000-0000-0000F3200000}"/>
    <cellStyle name="Comma 47 5 5" xfId="1967" xr:uid="{00000000-0005-0000-0000-0000F4200000}"/>
    <cellStyle name="Comma 47 6" xfId="1968" xr:uid="{00000000-0005-0000-0000-0000F5200000}"/>
    <cellStyle name="Comma 47 6 2" xfId="1969" xr:uid="{00000000-0005-0000-0000-0000F6200000}"/>
    <cellStyle name="Comma 47 6 2 2" xfId="1970" xr:uid="{00000000-0005-0000-0000-0000F7200000}"/>
    <cellStyle name="Comma 47 6 2 2 2" xfId="1971" xr:uid="{00000000-0005-0000-0000-0000F8200000}"/>
    <cellStyle name="Comma 47 6 2 3" xfId="1972" xr:uid="{00000000-0005-0000-0000-0000F9200000}"/>
    <cellStyle name="Comma 47 6 3" xfId="1973" xr:uid="{00000000-0005-0000-0000-0000FA200000}"/>
    <cellStyle name="Comma 47 6 3 2" xfId="1974" xr:uid="{00000000-0005-0000-0000-0000FB200000}"/>
    <cellStyle name="Comma 47 6 4" xfId="1975" xr:uid="{00000000-0005-0000-0000-0000FC200000}"/>
    <cellStyle name="Comma 47 6 4 2" xfId="1976" xr:uid="{00000000-0005-0000-0000-0000FD200000}"/>
    <cellStyle name="Comma 47 6 5" xfId="1977" xr:uid="{00000000-0005-0000-0000-0000FE200000}"/>
    <cellStyle name="Comma 47 7" xfId="1978" xr:uid="{00000000-0005-0000-0000-0000FF200000}"/>
    <cellStyle name="Comma 47 7 2" xfId="1979" xr:uid="{00000000-0005-0000-0000-000000210000}"/>
    <cellStyle name="Comma 47 7 2 2" xfId="1980" xr:uid="{00000000-0005-0000-0000-000001210000}"/>
    <cellStyle name="Comma 47 7 2 2 2" xfId="1981" xr:uid="{00000000-0005-0000-0000-000002210000}"/>
    <cellStyle name="Comma 47 7 2 3" xfId="1982" xr:uid="{00000000-0005-0000-0000-000003210000}"/>
    <cellStyle name="Comma 47 7 3" xfId="1983" xr:uid="{00000000-0005-0000-0000-000004210000}"/>
    <cellStyle name="Comma 47 7 3 2" xfId="1984" xr:uid="{00000000-0005-0000-0000-000005210000}"/>
    <cellStyle name="Comma 47 7 4" xfId="1985" xr:uid="{00000000-0005-0000-0000-000006210000}"/>
    <cellStyle name="Comma 47 8" xfId="1986" xr:uid="{00000000-0005-0000-0000-000007210000}"/>
    <cellStyle name="Comma 47 8 2" xfId="1987" xr:uid="{00000000-0005-0000-0000-000008210000}"/>
    <cellStyle name="Comma 47 8 2 2" xfId="1988" xr:uid="{00000000-0005-0000-0000-000009210000}"/>
    <cellStyle name="Comma 47 8 2 2 2" xfId="1989" xr:uid="{00000000-0005-0000-0000-00000A210000}"/>
    <cellStyle name="Comma 47 8 2 3" xfId="1990" xr:uid="{00000000-0005-0000-0000-00000B210000}"/>
    <cellStyle name="Comma 47 8 3" xfId="1991" xr:uid="{00000000-0005-0000-0000-00000C210000}"/>
    <cellStyle name="Comma 47 8 3 2" xfId="1992" xr:uid="{00000000-0005-0000-0000-00000D210000}"/>
    <cellStyle name="Comma 47 8 4" xfId="1993" xr:uid="{00000000-0005-0000-0000-00000E210000}"/>
    <cellStyle name="Comma 47 9" xfId="1994" xr:uid="{00000000-0005-0000-0000-00000F210000}"/>
    <cellStyle name="Comma 47 9 2" xfId="1995" xr:uid="{00000000-0005-0000-0000-000010210000}"/>
    <cellStyle name="Comma 47 9 2 2" xfId="1996" xr:uid="{00000000-0005-0000-0000-000011210000}"/>
    <cellStyle name="Comma 47 9 3" xfId="1997" xr:uid="{00000000-0005-0000-0000-000012210000}"/>
    <cellStyle name="Comma 48" xfId="1998" xr:uid="{00000000-0005-0000-0000-000013210000}"/>
    <cellStyle name="Comma 48 10" xfId="1999" xr:uid="{00000000-0005-0000-0000-000014210000}"/>
    <cellStyle name="Comma 48 10 2" xfId="2000" xr:uid="{00000000-0005-0000-0000-000015210000}"/>
    <cellStyle name="Comma 48 11" xfId="2001" xr:uid="{00000000-0005-0000-0000-000016210000}"/>
    <cellStyle name="Comma 48 11 2" xfId="2002" xr:uid="{00000000-0005-0000-0000-000017210000}"/>
    <cellStyle name="Comma 48 12" xfId="2003" xr:uid="{00000000-0005-0000-0000-000018210000}"/>
    <cellStyle name="Comma 48 2" xfId="2004" xr:uid="{00000000-0005-0000-0000-000019210000}"/>
    <cellStyle name="Comma 48 2 2" xfId="2005" xr:uid="{00000000-0005-0000-0000-00001A210000}"/>
    <cellStyle name="Comma 48 2 2 2" xfId="2006" xr:uid="{00000000-0005-0000-0000-00001B210000}"/>
    <cellStyle name="Comma 48 2 2 2 2" xfId="2007" xr:uid="{00000000-0005-0000-0000-00001C210000}"/>
    <cellStyle name="Comma 48 2 2 3" xfId="2008" xr:uid="{00000000-0005-0000-0000-00001D210000}"/>
    <cellStyle name="Comma 48 2 3" xfId="2009" xr:uid="{00000000-0005-0000-0000-00001E210000}"/>
    <cellStyle name="Comma 48 2 3 2" xfId="2010" xr:uid="{00000000-0005-0000-0000-00001F210000}"/>
    <cellStyle name="Comma 48 2 4" xfId="2011" xr:uid="{00000000-0005-0000-0000-000020210000}"/>
    <cellStyle name="Comma 48 2 4 2" xfId="2012" xr:uid="{00000000-0005-0000-0000-000021210000}"/>
    <cellStyle name="Comma 48 2 5" xfId="2013" xr:uid="{00000000-0005-0000-0000-000022210000}"/>
    <cellStyle name="Comma 48 3" xfId="2014" xr:uid="{00000000-0005-0000-0000-000023210000}"/>
    <cellStyle name="Comma 48 3 2" xfId="2015" xr:uid="{00000000-0005-0000-0000-000024210000}"/>
    <cellStyle name="Comma 48 3 2 2" xfId="2016" xr:uid="{00000000-0005-0000-0000-000025210000}"/>
    <cellStyle name="Comma 48 3 2 2 2" xfId="2017" xr:uid="{00000000-0005-0000-0000-000026210000}"/>
    <cellStyle name="Comma 48 3 2 3" xfId="2018" xr:uid="{00000000-0005-0000-0000-000027210000}"/>
    <cellStyle name="Comma 48 3 3" xfId="2019" xr:uid="{00000000-0005-0000-0000-000028210000}"/>
    <cellStyle name="Comma 48 3 3 2" xfId="2020" xr:uid="{00000000-0005-0000-0000-000029210000}"/>
    <cellStyle name="Comma 48 3 4" xfId="2021" xr:uid="{00000000-0005-0000-0000-00002A210000}"/>
    <cellStyle name="Comma 48 3 4 2" xfId="2022" xr:uid="{00000000-0005-0000-0000-00002B210000}"/>
    <cellStyle name="Comma 48 3 5" xfId="2023" xr:uid="{00000000-0005-0000-0000-00002C210000}"/>
    <cellStyle name="Comma 48 4" xfId="2024" xr:uid="{00000000-0005-0000-0000-00002D210000}"/>
    <cellStyle name="Comma 48 4 2" xfId="2025" xr:uid="{00000000-0005-0000-0000-00002E210000}"/>
    <cellStyle name="Comma 48 4 2 2" xfId="2026" xr:uid="{00000000-0005-0000-0000-00002F210000}"/>
    <cellStyle name="Comma 48 4 2 2 2" xfId="2027" xr:uid="{00000000-0005-0000-0000-000030210000}"/>
    <cellStyle name="Comma 48 4 2 3" xfId="2028" xr:uid="{00000000-0005-0000-0000-000031210000}"/>
    <cellStyle name="Comma 48 4 3" xfId="2029" xr:uid="{00000000-0005-0000-0000-000032210000}"/>
    <cellStyle name="Comma 48 4 3 2" xfId="2030" xr:uid="{00000000-0005-0000-0000-000033210000}"/>
    <cellStyle name="Comma 48 4 4" xfId="2031" xr:uid="{00000000-0005-0000-0000-000034210000}"/>
    <cellStyle name="Comma 48 4 4 2" xfId="2032" xr:uid="{00000000-0005-0000-0000-000035210000}"/>
    <cellStyle name="Comma 48 4 5" xfId="2033" xr:uid="{00000000-0005-0000-0000-000036210000}"/>
    <cellStyle name="Comma 48 5" xfId="2034" xr:uid="{00000000-0005-0000-0000-000037210000}"/>
    <cellStyle name="Comma 48 5 2" xfId="2035" xr:uid="{00000000-0005-0000-0000-000038210000}"/>
    <cellStyle name="Comma 48 5 2 2" xfId="2036" xr:uid="{00000000-0005-0000-0000-000039210000}"/>
    <cellStyle name="Comma 48 5 2 2 2" xfId="2037" xr:uid="{00000000-0005-0000-0000-00003A210000}"/>
    <cellStyle name="Comma 48 5 2 3" xfId="2038" xr:uid="{00000000-0005-0000-0000-00003B210000}"/>
    <cellStyle name="Comma 48 5 3" xfId="2039" xr:uid="{00000000-0005-0000-0000-00003C210000}"/>
    <cellStyle name="Comma 48 5 3 2" xfId="2040" xr:uid="{00000000-0005-0000-0000-00003D210000}"/>
    <cellStyle name="Comma 48 5 4" xfId="2041" xr:uid="{00000000-0005-0000-0000-00003E210000}"/>
    <cellStyle name="Comma 48 5 4 2" xfId="2042" xr:uid="{00000000-0005-0000-0000-00003F210000}"/>
    <cellStyle name="Comma 48 5 5" xfId="2043" xr:uid="{00000000-0005-0000-0000-000040210000}"/>
    <cellStyle name="Comma 48 6" xfId="2044" xr:uid="{00000000-0005-0000-0000-000041210000}"/>
    <cellStyle name="Comma 48 6 2" xfId="2045" xr:uid="{00000000-0005-0000-0000-000042210000}"/>
    <cellStyle name="Comma 48 6 2 2" xfId="2046" xr:uid="{00000000-0005-0000-0000-000043210000}"/>
    <cellStyle name="Comma 48 6 2 2 2" xfId="2047" xr:uid="{00000000-0005-0000-0000-000044210000}"/>
    <cellStyle name="Comma 48 6 2 3" xfId="2048" xr:uid="{00000000-0005-0000-0000-000045210000}"/>
    <cellStyle name="Comma 48 6 3" xfId="2049" xr:uid="{00000000-0005-0000-0000-000046210000}"/>
    <cellStyle name="Comma 48 6 3 2" xfId="2050" xr:uid="{00000000-0005-0000-0000-000047210000}"/>
    <cellStyle name="Comma 48 6 4" xfId="2051" xr:uid="{00000000-0005-0000-0000-000048210000}"/>
    <cellStyle name="Comma 48 6 4 2" xfId="2052" xr:uid="{00000000-0005-0000-0000-000049210000}"/>
    <cellStyle name="Comma 48 6 5" xfId="2053" xr:uid="{00000000-0005-0000-0000-00004A210000}"/>
    <cellStyle name="Comma 48 7" xfId="2054" xr:uid="{00000000-0005-0000-0000-00004B210000}"/>
    <cellStyle name="Comma 48 7 2" xfId="2055" xr:uid="{00000000-0005-0000-0000-00004C210000}"/>
    <cellStyle name="Comma 48 7 2 2" xfId="2056" xr:uid="{00000000-0005-0000-0000-00004D210000}"/>
    <cellStyle name="Comma 48 7 2 2 2" xfId="2057" xr:uid="{00000000-0005-0000-0000-00004E210000}"/>
    <cellStyle name="Comma 48 7 2 3" xfId="2058" xr:uid="{00000000-0005-0000-0000-00004F210000}"/>
    <cellStyle name="Comma 48 7 3" xfId="2059" xr:uid="{00000000-0005-0000-0000-000050210000}"/>
    <cellStyle name="Comma 48 7 3 2" xfId="2060" xr:uid="{00000000-0005-0000-0000-000051210000}"/>
    <cellStyle name="Comma 48 7 4" xfId="2061" xr:uid="{00000000-0005-0000-0000-000052210000}"/>
    <cellStyle name="Comma 48 8" xfId="2062" xr:uid="{00000000-0005-0000-0000-000053210000}"/>
    <cellStyle name="Comma 48 8 2" xfId="2063" xr:uid="{00000000-0005-0000-0000-000054210000}"/>
    <cellStyle name="Comma 48 8 2 2" xfId="2064" xr:uid="{00000000-0005-0000-0000-000055210000}"/>
    <cellStyle name="Comma 48 8 2 2 2" xfId="2065" xr:uid="{00000000-0005-0000-0000-000056210000}"/>
    <cellStyle name="Comma 48 8 2 3" xfId="2066" xr:uid="{00000000-0005-0000-0000-000057210000}"/>
    <cellStyle name="Comma 48 8 3" xfId="2067" xr:uid="{00000000-0005-0000-0000-000058210000}"/>
    <cellStyle name="Comma 48 8 3 2" xfId="2068" xr:uid="{00000000-0005-0000-0000-000059210000}"/>
    <cellStyle name="Comma 48 8 4" xfId="2069" xr:uid="{00000000-0005-0000-0000-00005A210000}"/>
    <cellStyle name="Comma 48 9" xfId="2070" xr:uid="{00000000-0005-0000-0000-00005B210000}"/>
    <cellStyle name="Comma 48 9 2" xfId="2071" xr:uid="{00000000-0005-0000-0000-00005C210000}"/>
    <cellStyle name="Comma 48 9 2 2" xfId="2072" xr:uid="{00000000-0005-0000-0000-00005D210000}"/>
    <cellStyle name="Comma 48 9 3" xfId="2073" xr:uid="{00000000-0005-0000-0000-00005E210000}"/>
    <cellStyle name="Comma 49" xfId="2074" xr:uid="{00000000-0005-0000-0000-00005F210000}"/>
    <cellStyle name="Comma 49 10" xfId="2075" xr:uid="{00000000-0005-0000-0000-000060210000}"/>
    <cellStyle name="Comma 49 10 2" xfId="2076" xr:uid="{00000000-0005-0000-0000-000061210000}"/>
    <cellStyle name="Comma 49 11" xfId="2077" xr:uid="{00000000-0005-0000-0000-000062210000}"/>
    <cellStyle name="Comma 49 11 2" xfId="2078" xr:uid="{00000000-0005-0000-0000-000063210000}"/>
    <cellStyle name="Comma 49 12" xfId="2079" xr:uid="{00000000-0005-0000-0000-000064210000}"/>
    <cellStyle name="Comma 49 2" xfId="2080" xr:uid="{00000000-0005-0000-0000-000065210000}"/>
    <cellStyle name="Comma 49 2 2" xfId="2081" xr:uid="{00000000-0005-0000-0000-000066210000}"/>
    <cellStyle name="Comma 49 2 2 2" xfId="2082" xr:uid="{00000000-0005-0000-0000-000067210000}"/>
    <cellStyle name="Comma 49 2 2 2 2" xfId="2083" xr:uid="{00000000-0005-0000-0000-000068210000}"/>
    <cellStyle name="Comma 49 2 2 3" xfId="2084" xr:uid="{00000000-0005-0000-0000-000069210000}"/>
    <cellStyle name="Comma 49 2 3" xfId="2085" xr:uid="{00000000-0005-0000-0000-00006A210000}"/>
    <cellStyle name="Comma 49 2 3 2" xfId="2086" xr:uid="{00000000-0005-0000-0000-00006B210000}"/>
    <cellStyle name="Comma 49 2 4" xfId="2087" xr:uid="{00000000-0005-0000-0000-00006C210000}"/>
    <cellStyle name="Comma 49 2 4 2" xfId="2088" xr:uid="{00000000-0005-0000-0000-00006D210000}"/>
    <cellStyle name="Comma 49 2 5" xfId="2089" xr:uid="{00000000-0005-0000-0000-00006E210000}"/>
    <cellStyle name="Comma 49 3" xfId="2090" xr:uid="{00000000-0005-0000-0000-00006F210000}"/>
    <cellStyle name="Comma 49 3 2" xfId="2091" xr:uid="{00000000-0005-0000-0000-000070210000}"/>
    <cellStyle name="Comma 49 3 2 2" xfId="2092" xr:uid="{00000000-0005-0000-0000-000071210000}"/>
    <cellStyle name="Comma 49 3 2 2 2" xfId="2093" xr:uid="{00000000-0005-0000-0000-000072210000}"/>
    <cellStyle name="Comma 49 3 2 3" xfId="2094" xr:uid="{00000000-0005-0000-0000-000073210000}"/>
    <cellStyle name="Comma 49 3 3" xfId="2095" xr:uid="{00000000-0005-0000-0000-000074210000}"/>
    <cellStyle name="Comma 49 3 3 2" xfId="2096" xr:uid="{00000000-0005-0000-0000-000075210000}"/>
    <cellStyle name="Comma 49 3 4" xfId="2097" xr:uid="{00000000-0005-0000-0000-000076210000}"/>
    <cellStyle name="Comma 49 3 4 2" xfId="2098" xr:uid="{00000000-0005-0000-0000-000077210000}"/>
    <cellStyle name="Comma 49 3 5" xfId="2099" xr:uid="{00000000-0005-0000-0000-000078210000}"/>
    <cellStyle name="Comma 49 4" xfId="2100" xr:uid="{00000000-0005-0000-0000-000079210000}"/>
    <cellStyle name="Comma 49 4 2" xfId="2101" xr:uid="{00000000-0005-0000-0000-00007A210000}"/>
    <cellStyle name="Comma 49 4 2 2" xfId="2102" xr:uid="{00000000-0005-0000-0000-00007B210000}"/>
    <cellStyle name="Comma 49 4 2 2 2" xfId="2103" xr:uid="{00000000-0005-0000-0000-00007C210000}"/>
    <cellStyle name="Comma 49 4 2 3" xfId="2104" xr:uid="{00000000-0005-0000-0000-00007D210000}"/>
    <cellStyle name="Comma 49 4 3" xfId="2105" xr:uid="{00000000-0005-0000-0000-00007E210000}"/>
    <cellStyle name="Comma 49 4 3 2" xfId="2106" xr:uid="{00000000-0005-0000-0000-00007F210000}"/>
    <cellStyle name="Comma 49 4 4" xfId="2107" xr:uid="{00000000-0005-0000-0000-000080210000}"/>
    <cellStyle name="Comma 49 4 4 2" xfId="2108" xr:uid="{00000000-0005-0000-0000-000081210000}"/>
    <cellStyle name="Comma 49 4 5" xfId="2109" xr:uid="{00000000-0005-0000-0000-000082210000}"/>
    <cellStyle name="Comma 49 5" xfId="2110" xr:uid="{00000000-0005-0000-0000-000083210000}"/>
    <cellStyle name="Comma 49 5 2" xfId="2111" xr:uid="{00000000-0005-0000-0000-000084210000}"/>
    <cellStyle name="Comma 49 5 2 2" xfId="2112" xr:uid="{00000000-0005-0000-0000-000085210000}"/>
    <cellStyle name="Comma 49 5 2 2 2" xfId="2113" xr:uid="{00000000-0005-0000-0000-000086210000}"/>
    <cellStyle name="Comma 49 5 2 3" xfId="2114" xr:uid="{00000000-0005-0000-0000-000087210000}"/>
    <cellStyle name="Comma 49 5 3" xfId="2115" xr:uid="{00000000-0005-0000-0000-000088210000}"/>
    <cellStyle name="Comma 49 5 3 2" xfId="2116" xr:uid="{00000000-0005-0000-0000-000089210000}"/>
    <cellStyle name="Comma 49 5 4" xfId="2117" xr:uid="{00000000-0005-0000-0000-00008A210000}"/>
    <cellStyle name="Comma 49 5 4 2" xfId="2118" xr:uid="{00000000-0005-0000-0000-00008B210000}"/>
    <cellStyle name="Comma 49 5 5" xfId="2119" xr:uid="{00000000-0005-0000-0000-00008C210000}"/>
    <cellStyle name="Comma 49 6" xfId="2120" xr:uid="{00000000-0005-0000-0000-00008D210000}"/>
    <cellStyle name="Comma 49 6 2" xfId="2121" xr:uid="{00000000-0005-0000-0000-00008E210000}"/>
    <cellStyle name="Comma 49 6 2 2" xfId="2122" xr:uid="{00000000-0005-0000-0000-00008F210000}"/>
    <cellStyle name="Comma 49 6 2 2 2" xfId="2123" xr:uid="{00000000-0005-0000-0000-000090210000}"/>
    <cellStyle name="Comma 49 6 2 3" xfId="2124" xr:uid="{00000000-0005-0000-0000-000091210000}"/>
    <cellStyle name="Comma 49 6 3" xfId="2125" xr:uid="{00000000-0005-0000-0000-000092210000}"/>
    <cellStyle name="Comma 49 6 3 2" xfId="2126" xr:uid="{00000000-0005-0000-0000-000093210000}"/>
    <cellStyle name="Comma 49 6 4" xfId="2127" xr:uid="{00000000-0005-0000-0000-000094210000}"/>
    <cellStyle name="Comma 49 6 4 2" xfId="2128" xr:uid="{00000000-0005-0000-0000-000095210000}"/>
    <cellStyle name="Comma 49 6 5" xfId="2129" xr:uid="{00000000-0005-0000-0000-000096210000}"/>
    <cellStyle name="Comma 49 7" xfId="2130" xr:uid="{00000000-0005-0000-0000-000097210000}"/>
    <cellStyle name="Comma 49 7 2" xfId="2131" xr:uid="{00000000-0005-0000-0000-000098210000}"/>
    <cellStyle name="Comma 49 7 2 2" xfId="2132" xr:uid="{00000000-0005-0000-0000-000099210000}"/>
    <cellStyle name="Comma 49 7 2 2 2" xfId="2133" xr:uid="{00000000-0005-0000-0000-00009A210000}"/>
    <cellStyle name="Comma 49 7 2 3" xfId="2134" xr:uid="{00000000-0005-0000-0000-00009B210000}"/>
    <cellStyle name="Comma 49 7 3" xfId="2135" xr:uid="{00000000-0005-0000-0000-00009C210000}"/>
    <cellStyle name="Comma 49 7 3 2" xfId="2136" xr:uid="{00000000-0005-0000-0000-00009D210000}"/>
    <cellStyle name="Comma 49 7 4" xfId="2137" xr:uid="{00000000-0005-0000-0000-00009E210000}"/>
    <cellStyle name="Comma 49 8" xfId="2138" xr:uid="{00000000-0005-0000-0000-00009F210000}"/>
    <cellStyle name="Comma 49 8 2" xfId="2139" xr:uid="{00000000-0005-0000-0000-0000A0210000}"/>
    <cellStyle name="Comma 49 8 2 2" xfId="2140" xr:uid="{00000000-0005-0000-0000-0000A1210000}"/>
    <cellStyle name="Comma 49 8 2 2 2" xfId="2141" xr:uid="{00000000-0005-0000-0000-0000A2210000}"/>
    <cellStyle name="Comma 49 8 2 3" xfId="2142" xr:uid="{00000000-0005-0000-0000-0000A3210000}"/>
    <cellStyle name="Comma 49 8 3" xfId="2143" xr:uid="{00000000-0005-0000-0000-0000A4210000}"/>
    <cellStyle name="Comma 49 8 3 2" xfId="2144" xr:uid="{00000000-0005-0000-0000-0000A5210000}"/>
    <cellStyle name="Comma 49 8 4" xfId="2145" xr:uid="{00000000-0005-0000-0000-0000A6210000}"/>
    <cellStyle name="Comma 49 9" xfId="2146" xr:uid="{00000000-0005-0000-0000-0000A7210000}"/>
    <cellStyle name="Comma 49 9 2" xfId="2147" xr:uid="{00000000-0005-0000-0000-0000A8210000}"/>
    <cellStyle name="Comma 49 9 2 2" xfId="2148" xr:uid="{00000000-0005-0000-0000-0000A9210000}"/>
    <cellStyle name="Comma 49 9 3" xfId="2149" xr:uid="{00000000-0005-0000-0000-0000AA210000}"/>
    <cellStyle name="Comma 5" xfId="96" xr:uid="{00000000-0005-0000-0000-0000AB210000}"/>
    <cellStyle name="Comma 5 10" xfId="301" xr:uid="{00000000-0005-0000-0000-0000AC210000}"/>
    <cellStyle name="Comma 5 10 2" xfId="797" xr:uid="{00000000-0005-0000-0000-0000AD210000}"/>
    <cellStyle name="Comma 5 10 2 2" xfId="14760" xr:uid="{00000000-0005-0000-0000-0000AE210000}"/>
    <cellStyle name="Comma 5 10 2 2 2" xfId="34680" xr:uid="{00000000-0005-0000-0000-0000AF210000}"/>
    <cellStyle name="Comma 5 10 2 3" xfId="20912" xr:uid="{00000000-0005-0000-0000-0000B0210000}"/>
    <cellStyle name="Comma 5 10 2 3 2" xfId="40832" xr:uid="{00000000-0005-0000-0000-0000B1210000}"/>
    <cellStyle name="Comma 5 10 2 4" xfId="8567" xr:uid="{00000000-0005-0000-0000-0000B2210000}"/>
    <cellStyle name="Comma 5 10 2 4 2" xfId="28527" xr:uid="{00000000-0005-0000-0000-0000B3210000}"/>
    <cellStyle name="Comma 5 10 2 5" xfId="23679" xr:uid="{00000000-0005-0000-0000-0000B4210000}"/>
    <cellStyle name="Comma 5 10 3" xfId="11694" xr:uid="{00000000-0005-0000-0000-0000B5210000}"/>
    <cellStyle name="Comma 5 10 3 2" xfId="31614" xr:uid="{00000000-0005-0000-0000-0000B6210000}"/>
    <cellStyle name="Comma 5 10 4" xfId="17846" xr:uid="{00000000-0005-0000-0000-0000B7210000}"/>
    <cellStyle name="Comma 5 10 4 2" xfId="37766" xr:uid="{00000000-0005-0000-0000-0000B8210000}"/>
    <cellStyle name="Comma 5 10 5" xfId="5463" xr:uid="{00000000-0005-0000-0000-0000B9210000}"/>
    <cellStyle name="Comma 5 10 5 2" xfId="25461" xr:uid="{00000000-0005-0000-0000-0000BA210000}"/>
    <cellStyle name="Comma 5 10 6" xfId="22762" xr:uid="{00000000-0005-0000-0000-0000BB210000}"/>
    <cellStyle name="Comma 5 10 6 2" xfId="42673" xr:uid="{00000000-0005-0000-0000-0000BC210000}"/>
    <cellStyle name="Comma 5 10 7" xfId="23065" xr:uid="{00000000-0005-0000-0000-0000BD210000}"/>
    <cellStyle name="Comma 5 10 7 2" xfId="42976" xr:uid="{00000000-0005-0000-0000-0000BE210000}"/>
    <cellStyle name="Comma 5 10 8" xfId="23376" xr:uid="{00000000-0005-0000-0000-0000BF210000}"/>
    <cellStyle name="Comma 5 11" xfId="312" xr:uid="{00000000-0005-0000-0000-0000C0210000}"/>
    <cellStyle name="Comma 5 11 2" xfId="800" xr:uid="{00000000-0005-0000-0000-0000C1210000}"/>
    <cellStyle name="Comma 5 11 2 2" xfId="13226" xr:uid="{00000000-0005-0000-0000-0000C2210000}"/>
    <cellStyle name="Comma 5 11 2 2 2" xfId="33146" xr:uid="{00000000-0005-0000-0000-0000C3210000}"/>
    <cellStyle name="Comma 5 11 2 3" xfId="23682" xr:uid="{00000000-0005-0000-0000-0000C4210000}"/>
    <cellStyle name="Comma 5 11 3" xfId="19378" xr:uid="{00000000-0005-0000-0000-0000C5210000}"/>
    <cellStyle name="Comma 5 11 3 2" xfId="39298" xr:uid="{00000000-0005-0000-0000-0000C6210000}"/>
    <cellStyle name="Comma 5 11 4" xfId="7032" xr:uid="{00000000-0005-0000-0000-0000C7210000}"/>
    <cellStyle name="Comma 5 11 4 2" xfId="26993" xr:uid="{00000000-0005-0000-0000-0000C8210000}"/>
    <cellStyle name="Comma 5 11 5" xfId="22765" xr:uid="{00000000-0005-0000-0000-0000C9210000}"/>
    <cellStyle name="Comma 5 11 5 2" xfId="42676" xr:uid="{00000000-0005-0000-0000-0000CA210000}"/>
    <cellStyle name="Comma 5 11 6" xfId="23068" xr:uid="{00000000-0005-0000-0000-0000CB210000}"/>
    <cellStyle name="Comma 5 11 6 2" xfId="42979" xr:uid="{00000000-0005-0000-0000-0000CC210000}"/>
    <cellStyle name="Comma 5 11 7" xfId="23379" xr:uid="{00000000-0005-0000-0000-0000CD210000}"/>
    <cellStyle name="Comma 5 12" xfId="320" xr:uid="{00000000-0005-0000-0000-0000CE210000}"/>
    <cellStyle name="Comma 5 12 2" xfId="803" xr:uid="{00000000-0005-0000-0000-0000CF210000}"/>
    <cellStyle name="Comma 5 12 2 2" xfId="23685" xr:uid="{00000000-0005-0000-0000-0000D0210000}"/>
    <cellStyle name="Comma 5 12 3" xfId="10160" xr:uid="{00000000-0005-0000-0000-0000D1210000}"/>
    <cellStyle name="Comma 5 12 3 2" xfId="30080" xr:uid="{00000000-0005-0000-0000-0000D2210000}"/>
    <cellStyle name="Comma 5 12 4" xfId="22768" xr:uid="{00000000-0005-0000-0000-0000D3210000}"/>
    <cellStyle name="Comma 5 12 4 2" xfId="42679" xr:uid="{00000000-0005-0000-0000-0000D4210000}"/>
    <cellStyle name="Comma 5 12 5" xfId="23071" xr:uid="{00000000-0005-0000-0000-0000D5210000}"/>
    <cellStyle name="Comma 5 12 5 2" xfId="42982" xr:uid="{00000000-0005-0000-0000-0000D6210000}"/>
    <cellStyle name="Comma 5 12 6" xfId="23382" xr:uid="{00000000-0005-0000-0000-0000D7210000}"/>
    <cellStyle name="Comma 5 13" xfId="323" xr:uid="{00000000-0005-0000-0000-0000D8210000}"/>
    <cellStyle name="Comma 5 13 2" xfId="806" xr:uid="{00000000-0005-0000-0000-0000D9210000}"/>
    <cellStyle name="Comma 5 13 2 2" xfId="23688" xr:uid="{00000000-0005-0000-0000-0000DA210000}"/>
    <cellStyle name="Comma 5 13 3" xfId="16312" xr:uid="{00000000-0005-0000-0000-0000DB210000}"/>
    <cellStyle name="Comma 5 13 3 2" xfId="36232" xr:uid="{00000000-0005-0000-0000-0000DC210000}"/>
    <cellStyle name="Comma 5 13 4" xfId="22771" xr:uid="{00000000-0005-0000-0000-0000DD210000}"/>
    <cellStyle name="Comma 5 13 4 2" xfId="42682" xr:uid="{00000000-0005-0000-0000-0000DE210000}"/>
    <cellStyle name="Comma 5 13 5" xfId="23074" xr:uid="{00000000-0005-0000-0000-0000DF210000}"/>
    <cellStyle name="Comma 5 13 5 2" xfId="42985" xr:uid="{00000000-0005-0000-0000-0000E0210000}"/>
    <cellStyle name="Comma 5 13 6" xfId="23385" xr:uid="{00000000-0005-0000-0000-0000E1210000}"/>
    <cellStyle name="Comma 5 14" xfId="326" xr:uid="{00000000-0005-0000-0000-0000E2210000}"/>
    <cellStyle name="Comma 5 14 2" xfId="809" xr:uid="{00000000-0005-0000-0000-0000E3210000}"/>
    <cellStyle name="Comma 5 14 2 2" xfId="23691" xr:uid="{00000000-0005-0000-0000-0000E4210000}"/>
    <cellStyle name="Comma 5 14 3" xfId="1160" xr:uid="{00000000-0005-0000-0000-0000E5210000}"/>
    <cellStyle name="Comma 5 14 3 2" xfId="23927" xr:uid="{00000000-0005-0000-0000-0000E6210000}"/>
    <cellStyle name="Comma 5 14 4" xfId="22774" xr:uid="{00000000-0005-0000-0000-0000E7210000}"/>
    <cellStyle name="Comma 5 14 4 2" xfId="42685" xr:uid="{00000000-0005-0000-0000-0000E8210000}"/>
    <cellStyle name="Comma 5 14 5" xfId="23077" xr:uid="{00000000-0005-0000-0000-0000E9210000}"/>
    <cellStyle name="Comma 5 14 5 2" xfId="42988" xr:uid="{00000000-0005-0000-0000-0000EA210000}"/>
    <cellStyle name="Comma 5 14 6" xfId="23388" xr:uid="{00000000-0005-0000-0000-0000EB210000}"/>
    <cellStyle name="Comma 5 15" xfId="391" xr:uid="{00000000-0005-0000-0000-0000EC210000}"/>
    <cellStyle name="Comma 5 15 2" xfId="825" xr:uid="{00000000-0005-0000-0000-0000ED210000}"/>
    <cellStyle name="Comma 5 15 2 2" xfId="23707" xr:uid="{00000000-0005-0000-0000-0000EE210000}"/>
    <cellStyle name="Comma 5 15 3" xfId="22646" xr:uid="{00000000-0005-0000-0000-0000EF210000}"/>
    <cellStyle name="Comma 5 15 3 2" xfId="42557" xr:uid="{00000000-0005-0000-0000-0000F0210000}"/>
    <cellStyle name="Comma 5 15 4" xfId="22790" xr:uid="{00000000-0005-0000-0000-0000F1210000}"/>
    <cellStyle name="Comma 5 15 4 2" xfId="42701" xr:uid="{00000000-0005-0000-0000-0000F2210000}"/>
    <cellStyle name="Comma 5 15 5" xfId="23093" xr:uid="{00000000-0005-0000-0000-0000F3210000}"/>
    <cellStyle name="Comma 5 15 5 2" xfId="43004" xr:uid="{00000000-0005-0000-0000-0000F4210000}"/>
    <cellStyle name="Comma 5 15 6" xfId="23404" xr:uid="{00000000-0005-0000-0000-0000F5210000}"/>
    <cellStyle name="Comma 5 16" xfId="421" xr:uid="{00000000-0005-0000-0000-0000F6210000}"/>
    <cellStyle name="Comma 5 16 2" xfId="841" xr:uid="{00000000-0005-0000-0000-0000F7210000}"/>
    <cellStyle name="Comma 5 16 2 2" xfId="23723" xr:uid="{00000000-0005-0000-0000-0000F8210000}"/>
    <cellStyle name="Comma 5 16 3" xfId="22583" xr:uid="{00000000-0005-0000-0000-0000F9210000}"/>
    <cellStyle name="Comma 5 16 3 2" xfId="42494" xr:uid="{00000000-0005-0000-0000-0000FA210000}"/>
    <cellStyle name="Comma 5 16 4" xfId="22806" xr:uid="{00000000-0005-0000-0000-0000FB210000}"/>
    <cellStyle name="Comma 5 16 4 2" xfId="42717" xr:uid="{00000000-0005-0000-0000-0000FC210000}"/>
    <cellStyle name="Comma 5 16 5" xfId="23109" xr:uid="{00000000-0005-0000-0000-0000FD210000}"/>
    <cellStyle name="Comma 5 16 5 2" xfId="43020" xr:uid="{00000000-0005-0000-0000-0000FE210000}"/>
    <cellStyle name="Comma 5 16 6" xfId="23420" xr:uid="{00000000-0005-0000-0000-0000FF210000}"/>
    <cellStyle name="Comma 5 17" xfId="448" xr:uid="{00000000-0005-0000-0000-000000220000}"/>
    <cellStyle name="Comma 5 17 2" xfId="857" xr:uid="{00000000-0005-0000-0000-000001220000}"/>
    <cellStyle name="Comma 5 17 2 2" xfId="23739" xr:uid="{00000000-0005-0000-0000-000002220000}"/>
    <cellStyle name="Comma 5 17 3" xfId="22501" xr:uid="{00000000-0005-0000-0000-000003220000}"/>
    <cellStyle name="Comma 5 17 3 2" xfId="42412" xr:uid="{00000000-0005-0000-0000-000004220000}"/>
    <cellStyle name="Comma 5 17 4" xfId="22822" xr:uid="{00000000-0005-0000-0000-000005220000}"/>
    <cellStyle name="Comma 5 17 4 2" xfId="42733" xr:uid="{00000000-0005-0000-0000-000006220000}"/>
    <cellStyle name="Comma 5 17 5" xfId="23125" xr:uid="{00000000-0005-0000-0000-000007220000}"/>
    <cellStyle name="Comma 5 17 5 2" xfId="43036" xr:uid="{00000000-0005-0000-0000-000008220000}"/>
    <cellStyle name="Comma 5 17 6" xfId="23436" xr:uid="{00000000-0005-0000-0000-000009220000}"/>
    <cellStyle name="Comma 5 18" xfId="474" xr:uid="{00000000-0005-0000-0000-00000A220000}"/>
    <cellStyle name="Comma 5 18 2" xfId="873" xr:uid="{00000000-0005-0000-0000-00000B220000}"/>
    <cellStyle name="Comma 5 18 2 2" xfId="23755" xr:uid="{00000000-0005-0000-0000-00000C220000}"/>
    <cellStyle name="Comma 5 18 3" xfId="22691" xr:uid="{00000000-0005-0000-0000-00000D220000}"/>
    <cellStyle name="Comma 5 18 3 2" xfId="42602" xr:uid="{00000000-0005-0000-0000-00000E220000}"/>
    <cellStyle name="Comma 5 18 4" xfId="22838" xr:uid="{00000000-0005-0000-0000-00000F220000}"/>
    <cellStyle name="Comma 5 18 4 2" xfId="42749" xr:uid="{00000000-0005-0000-0000-000010220000}"/>
    <cellStyle name="Comma 5 18 5" xfId="23141" xr:uid="{00000000-0005-0000-0000-000011220000}"/>
    <cellStyle name="Comma 5 18 5 2" xfId="43052" xr:uid="{00000000-0005-0000-0000-000012220000}"/>
    <cellStyle name="Comma 5 18 6" xfId="23452" xr:uid="{00000000-0005-0000-0000-000013220000}"/>
    <cellStyle name="Comma 5 19" xfId="500" xr:uid="{00000000-0005-0000-0000-000014220000}"/>
    <cellStyle name="Comma 5 19 2" xfId="889" xr:uid="{00000000-0005-0000-0000-000015220000}"/>
    <cellStyle name="Comma 5 19 2 2" xfId="23771" xr:uid="{00000000-0005-0000-0000-000016220000}"/>
    <cellStyle name="Comma 5 19 3" xfId="22552" xr:uid="{00000000-0005-0000-0000-000017220000}"/>
    <cellStyle name="Comma 5 19 3 2" xfId="42463" xr:uid="{00000000-0005-0000-0000-000018220000}"/>
    <cellStyle name="Comma 5 19 4" xfId="22854" xr:uid="{00000000-0005-0000-0000-000019220000}"/>
    <cellStyle name="Comma 5 19 4 2" xfId="42765" xr:uid="{00000000-0005-0000-0000-00001A220000}"/>
    <cellStyle name="Comma 5 19 5" xfId="23157" xr:uid="{00000000-0005-0000-0000-00001B220000}"/>
    <cellStyle name="Comma 5 19 5 2" xfId="43068" xr:uid="{00000000-0005-0000-0000-00001C220000}"/>
    <cellStyle name="Comma 5 19 6" xfId="23468" xr:uid="{00000000-0005-0000-0000-00001D220000}"/>
    <cellStyle name="Comma 5 2" xfId="177" xr:uid="{00000000-0005-0000-0000-00001E220000}"/>
    <cellStyle name="Comma 5 2 10" xfId="16318" xr:uid="{00000000-0005-0000-0000-00001F220000}"/>
    <cellStyle name="Comma 5 2 10 2" xfId="36238" xr:uid="{00000000-0005-0000-0000-000020220000}"/>
    <cellStyle name="Comma 5 2 11" xfId="1175" xr:uid="{00000000-0005-0000-0000-000021220000}"/>
    <cellStyle name="Comma 5 2 11 2" xfId="23933" xr:uid="{00000000-0005-0000-0000-000022220000}"/>
    <cellStyle name="Comma 5 2 12" xfId="22738" xr:uid="{00000000-0005-0000-0000-000023220000}"/>
    <cellStyle name="Comma 5 2 12 2" xfId="42649" xr:uid="{00000000-0005-0000-0000-000024220000}"/>
    <cellStyle name="Comma 5 2 13" xfId="23041" xr:uid="{00000000-0005-0000-0000-000025220000}"/>
    <cellStyle name="Comma 5 2 13 2" xfId="42952" xr:uid="{00000000-0005-0000-0000-000026220000}"/>
    <cellStyle name="Comma 5 2 14" xfId="23352" xr:uid="{00000000-0005-0000-0000-000027220000}"/>
    <cellStyle name="Comma 5 2 2" xfId="773" xr:uid="{00000000-0005-0000-0000-000028220000}"/>
    <cellStyle name="Comma 5 2 2 10" xfId="23655" xr:uid="{00000000-0005-0000-0000-000029220000}"/>
    <cellStyle name="Comma 5 2 2 2" xfId="4606" xr:uid="{00000000-0005-0000-0000-00002A220000}"/>
    <cellStyle name="Comma 5 2 2 2 2" xfId="5382" xr:uid="{00000000-0005-0000-0000-00002B220000}"/>
    <cellStyle name="Comma 5 2 2 2 2 2" xfId="7007" xr:uid="{00000000-0005-0000-0000-00002C220000}"/>
    <cellStyle name="Comma 5 2 2 2 2 2 2" xfId="10093" xr:uid="{00000000-0005-0000-0000-00002D220000}"/>
    <cellStyle name="Comma 5 2 2 2 2 2 2 2" xfId="16286" xr:uid="{00000000-0005-0000-0000-00002E220000}"/>
    <cellStyle name="Comma 5 2 2 2 2 2 2 2 2" xfId="36206" xr:uid="{00000000-0005-0000-0000-00002F220000}"/>
    <cellStyle name="Comma 5 2 2 2 2 2 2 3" xfId="22438" xr:uid="{00000000-0005-0000-0000-000030220000}"/>
    <cellStyle name="Comma 5 2 2 2 2 2 2 3 2" xfId="42358" xr:uid="{00000000-0005-0000-0000-000031220000}"/>
    <cellStyle name="Comma 5 2 2 2 2 2 2 4" xfId="30053" xr:uid="{00000000-0005-0000-0000-000032220000}"/>
    <cellStyle name="Comma 5 2 2 2 2 2 3" xfId="13220" xr:uid="{00000000-0005-0000-0000-000033220000}"/>
    <cellStyle name="Comma 5 2 2 2 2 2 3 2" xfId="33140" xr:uid="{00000000-0005-0000-0000-000034220000}"/>
    <cellStyle name="Comma 5 2 2 2 2 2 4" xfId="19372" xr:uid="{00000000-0005-0000-0000-000035220000}"/>
    <cellStyle name="Comma 5 2 2 2 2 2 4 2" xfId="39292" xr:uid="{00000000-0005-0000-0000-000036220000}"/>
    <cellStyle name="Comma 5 2 2 2 2 2 5" xfId="26987" xr:uid="{00000000-0005-0000-0000-000037220000}"/>
    <cellStyle name="Comma 5 2 2 2 2 3" xfId="8558" xr:uid="{00000000-0005-0000-0000-000038220000}"/>
    <cellStyle name="Comma 5 2 2 2 2 3 2" xfId="14752" xr:uid="{00000000-0005-0000-0000-000039220000}"/>
    <cellStyle name="Comma 5 2 2 2 2 3 2 2" xfId="34672" xr:uid="{00000000-0005-0000-0000-00003A220000}"/>
    <cellStyle name="Comma 5 2 2 2 2 3 3" xfId="20904" xr:uid="{00000000-0005-0000-0000-00003B220000}"/>
    <cellStyle name="Comma 5 2 2 2 2 3 3 2" xfId="40824" xr:uid="{00000000-0005-0000-0000-00003C220000}"/>
    <cellStyle name="Comma 5 2 2 2 2 3 4" xfId="28519" xr:uid="{00000000-0005-0000-0000-00003D220000}"/>
    <cellStyle name="Comma 5 2 2 2 2 4" xfId="11686" xr:uid="{00000000-0005-0000-0000-00003E220000}"/>
    <cellStyle name="Comma 5 2 2 2 2 4 2" xfId="31606" xr:uid="{00000000-0005-0000-0000-00003F220000}"/>
    <cellStyle name="Comma 5 2 2 2 2 5" xfId="17838" xr:uid="{00000000-0005-0000-0000-000040220000}"/>
    <cellStyle name="Comma 5 2 2 2 2 5 2" xfId="37758" xr:uid="{00000000-0005-0000-0000-000041220000}"/>
    <cellStyle name="Comma 5 2 2 2 2 6" xfId="25453" xr:uid="{00000000-0005-0000-0000-000042220000}"/>
    <cellStyle name="Comma 5 2 2 2 3" xfId="6238" xr:uid="{00000000-0005-0000-0000-000043220000}"/>
    <cellStyle name="Comma 5 2 2 2 3 2" xfId="9324" xr:uid="{00000000-0005-0000-0000-000044220000}"/>
    <cellStyle name="Comma 5 2 2 2 3 2 2" xfId="15517" xr:uid="{00000000-0005-0000-0000-000045220000}"/>
    <cellStyle name="Comma 5 2 2 2 3 2 2 2" xfId="35437" xr:uid="{00000000-0005-0000-0000-000046220000}"/>
    <cellStyle name="Comma 5 2 2 2 3 2 3" xfId="21669" xr:uid="{00000000-0005-0000-0000-000047220000}"/>
    <cellStyle name="Comma 5 2 2 2 3 2 3 2" xfId="41589" xr:uid="{00000000-0005-0000-0000-000048220000}"/>
    <cellStyle name="Comma 5 2 2 2 3 2 4" xfId="29284" xr:uid="{00000000-0005-0000-0000-000049220000}"/>
    <cellStyle name="Comma 5 2 2 2 3 3" xfId="12451" xr:uid="{00000000-0005-0000-0000-00004A220000}"/>
    <cellStyle name="Comma 5 2 2 2 3 3 2" xfId="32371" xr:uid="{00000000-0005-0000-0000-00004B220000}"/>
    <cellStyle name="Comma 5 2 2 2 3 4" xfId="18603" xr:uid="{00000000-0005-0000-0000-00004C220000}"/>
    <cellStyle name="Comma 5 2 2 2 3 4 2" xfId="38523" xr:uid="{00000000-0005-0000-0000-00004D220000}"/>
    <cellStyle name="Comma 5 2 2 2 3 5" xfId="26218" xr:uid="{00000000-0005-0000-0000-00004E220000}"/>
    <cellStyle name="Comma 5 2 2 2 4" xfId="7789" xr:uid="{00000000-0005-0000-0000-00004F220000}"/>
    <cellStyle name="Comma 5 2 2 2 4 2" xfId="13983" xr:uid="{00000000-0005-0000-0000-000050220000}"/>
    <cellStyle name="Comma 5 2 2 2 4 2 2" xfId="33903" xr:uid="{00000000-0005-0000-0000-000051220000}"/>
    <cellStyle name="Comma 5 2 2 2 4 3" xfId="20135" xr:uid="{00000000-0005-0000-0000-000052220000}"/>
    <cellStyle name="Comma 5 2 2 2 4 3 2" xfId="40055" xr:uid="{00000000-0005-0000-0000-000053220000}"/>
    <cellStyle name="Comma 5 2 2 2 4 4" xfId="27750" xr:uid="{00000000-0005-0000-0000-000054220000}"/>
    <cellStyle name="Comma 5 2 2 2 5" xfId="10917" xr:uid="{00000000-0005-0000-0000-000055220000}"/>
    <cellStyle name="Comma 5 2 2 2 5 2" xfId="30837" xr:uid="{00000000-0005-0000-0000-000056220000}"/>
    <cellStyle name="Comma 5 2 2 2 6" xfId="17069" xr:uid="{00000000-0005-0000-0000-000057220000}"/>
    <cellStyle name="Comma 5 2 2 2 6 2" xfId="36989" xr:uid="{00000000-0005-0000-0000-000058220000}"/>
    <cellStyle name="Comma 5 2 2 2 7" xfId="24684" xr:uid="{00000000-0005-0000-0000-000059220000}"/>
    <cellStyle name="Comma 5 2 2 3" xfId="2152" xr:uid="{00000000-0005-0000-0000-00005A220000}"/>
    <cellStyle name="Comma 5 2 2 4" xfId="4642" xr:uid="{00000000-0005-0000-0000-00005B220000}"/>
    <cellStyle name="Comma 5 2 2 4 2" xfId="6267" xr:uid="{00000000-0005-0000-0000-00005C220000}"/>
    <cellStyle name="Comma 5 2 2 4 2 2" xfId="9353" xr:uid="{00000000-0005-0000-0000-00005D220000}"/>
    <cellStyle name="Comma 5 2 2 4 2 2 2" xfId="15546" xr:uid="{00000000-0005-0000-0000-00005E220000}"/>
    <cellStyle name="Comma 5 2 2 4 2 2 2 2" xfId="35466" xr:uid="{00000000-0005-0000-0000-00005F220000}"/>
    <cellStyle name="Comma 5 2 2 4 2 2 3" xfId="21698" xr:uid="{00000000-0005-0000-0000-000060220000}"/>
    <cellStyle name="Comma 5 2 2 4 2 2 3 2" xfId="41618" xr:uid="{00000000-0005-0000-0000-000061220000}"/>
    <cellStyle name="Comma 5 2 2 4 2 2 4" xfId="29313" xr:uid="{00000000-0005-0000-0000-000062220000}"/>
    <cellStyle name="Comma 5 2 2 4 2 3" xfId="12480" xr:uid="{00000000-0005-0000-0000-000063220000}"/>
    <cellStyle name="Comma 5 2 2 4 2 3 2" xfId="32400" xr:uid="{00000000-0005-0000-0000-000064220000}"/>
    <cellStyle name="Comma 5 2 2 4 2 4" xfId="18632" xr:uid="{00000000-0005-0000-0000-000065220000}"/>
    <cellStyle name="Comma 5 2 2 4 2 4 2" xfId="38552" xr:uid="{00000000-0005-0000-0000-000066220000}"/>
    <cellStyle name="Comma 5 2 2 4 2 5" xfId="26247" xr:uid="{00000000-0005-0000-0000-000067220000}"/>
    <cellStyle name="Comma 5 2 2 4 3" xfId="7818" xr:uid="{00000000-0005-0000-0000-000068220000}"/>
    <cellStyle name="Comma 5 2 2 4 3 2" xfId="14012" xr:uid="{00000000-0005-0000-0000-000069220000}"/>
    <cellStyle name="Comma 5 2 2 4 3 2 2" xfId="33932" xr:uid="{00000000-0005-0000-0000-00006A220000}"/>
    <cellStyle name="Comma 5 2 2 4 3 3" xfId="20164" xr:uid="{00000000-0005-0000-0000-00006B220000}"/>
    <cellStyle name="Comma 5 2 2 4 3 3 2" xfId="40084" xr:uid="{00000000-0005-0000-0000-00006C220000}"/>
    <cellStyle name="Comma 5 2 2 4 3 4" xfId="27779" xr:uid="{00000000-0005-0000-0000-00006D220000}"/>
    <cellStyle name="Comma 5 2 2 4 4" xfId="10946" xr:uid="{00000000-0005-0000-0000-00006E220000}"/>
    <cellStyle name="Comma 5 2 2 4 4 2" xfId="30866" xr:uid="{00000000-0005-0000-0000-00006F220000}"/>
    <cellStyle name="Comma 5 2 2 4 5" xfId="17098" xr:uid="{00000000-0005-0000-0000-000070220000}"/>
    <cellStyle name="Comma 5 2 2 4 5 2" xfId="37018" xr:uid="{00000000-0005-0000-0000-000071220000}"/>
    <cellStyle name="Comma 5 2 2 4 6" xfId="24713" xr:uid="{00000000-0005-0000-0000-000072220000}"/>
    <cellStyle name="Comma 5 2 2 5" xfId="5481" xr:uid="{00000000-0005-0000-0000-000073220000}"/>
    <cellStyle name="Comma 5 2 2 5 2" xfId="8584" xr:uid="{00000000-0005-0000-0000-000074220000}"/>
    <cellStyle name="Comma 5 2 2 5 2 2" xfId="14777" xr:uid="{00000000-0005-0000-0000-000075220000}"/>
    <cellStyle name="Comma 5 2 2 5 2 2 2" xfId="34697" xr:uid="{00000000-0005-0000-0000-000076220000}"/>
    <cellStyle name="Comma 5 2 2 5 2 3" xfId="20929" xr:uid="{00000000-0005-0000-0000-000077220000}"/>
    <cellStyle name="Comma 5 2 2 5 2 3 2" xfId="40849" xr:uid="{00000000-0005-0000-0000-000078220000}"/>
    <cellStyle name="Comma 5 2 2 5 2 4" xfId="28544" xr:uid="{00000000-0005-0000-0000-000079220000}"/>
    <cellStyle name="Comma 5 2 2 5 3" xfId="11711" xr:uid="{00000000-0005-0000-0000-00007A220000}"/>
    <cellStyle name="Comma 5 2 2 5 3 2" xfId="31631" xr:uid="{00000000-0005-0000-0000-00007B220000}"/>
    <cellStyle name="Comma 5 2 2 5 4" xfId="17863" xr:uid="{00000000-0005-0000-0000-00007C220000}"/>
    <cellStyle name="Comma 5 2 2 5 4 2" xfId="37783" xr:uid="{00000000-0005-0000-0000-00007D220000}"/>
    <cellStyle name="Comma 5 2 2 5 5" xfId="25478" xr:uid="{00000000-0005-0000-0000-00007E220000}"/>
    <cellStyle name="Comma 5 2 2 6" xfId="7049" xr:uid="{00000000-0005-0000-0000-00007F220000}"/>
    <cellStyle name="Comma 5 2 2 6 2" xfId="13243" xr:uid="{00000000-0005-0000-0000-000080220000}"/>
    <cellStyle name="Comma 5 2 2 6 2 2" xfId="33163" xr:uid="{00000000-0005-0000-0000-000081220000}"/>
    <cellStyle name="Comma 5 2 2 6 3" xfId="19395" xr:uid="{00000000-0005-0000-0000-000082220000}"/>
    <cellStyle name="Comma 5 2 2 6 3 2" xfId="39315" xr:uid="{00000000-0005-0000-0000-000083220000}"/>
    <cellStyle name="Comma 5 2 2 6 4" xfId="27010" xr:uid="{00000000-0005-0000-0000-000084220000}"/>
    <cellStyle name="Comma 5 2 2 7" xfId="10177" xr:uid="{00000000-0005-0000-0000-000085220000}"/>
    <cellStyle name="Comma 5 2 2 7 2" xfId="30097" xr:uid="{00000000-0005-0000-0000-000086220000}"/>
    <cellStyle name="Comma 5 2 2 8" xfId="16329" xr:uid="{00000000-0005-0000-0000-000087220000}"/>
    <cellStyle name="Comma 5 2 2 8 2" xfId="36249" xr:uid="{00000000-0005-0000-0000-000088220000}"/>
    <cellStyle name="Comma 5 2 2 9" xfId="1194" xr:uid="{00000000-0005-0000-0000-000089220000}"/>
    <cellStyle name="Comma 5 2 2 9 2" xfId="23944" xr:uid="{00000000-0005-0000-0000-00008A220000}"/>
    <cellStyle name="Comma 5 2 3" xfId="2153" xr:uid="{00000000-0005-0000-0000-00008B220000}"/>
    <cellStyle name="Comma 5 2 4" xfId="4589" xr:uid="{00000000-0005-0000-0000-00008C220000}"/>
    <cellStyle name="Comma 5 2 4 2" xfId="5373" xr:uid="{00000000-0005-0000-0000-00008D220000}"/>
    <cellStyle name="Comma 5 2 4 2 2" xfId="6998" xr:uid="{00000000-0005-0000-0000-00008E220000}"/>
    <cellStyle name="Comma 5 2 4 2 2 2" xfId="10084" xr:uid="{00000000-0005-0000-0000-00008F220000}"/>
    <cellStyle name="Comma 5 2 4 2 2 2 2" xfId="16277" xr:uid="{00000000-0005-0000-0000-000090220000}"/>
    <cellStyle name="Comma 5 2 4 2 2 2 2 2" xfId="36197" xr:uid="{00000000-0005-0000-0000-000091220000}"/>
    <cellStyle name="Comma 5 2 4 2 2 2 3" xfId="22429" xr:uid="{00000000-0005-0000-0000-000092220000}"/>
    <cellStyle name="Comma 5 2 4 2 2 2 3 2" xfId="42349" xr:uid="{00000000-0005-0000-0000-000093220000}"/>
    <cellStyle name="Comma 5 2 4 2 2 2 4" xfId="30044" xr:uid="{00000000-0005-0000-0000-000094220000}"/>
    <cellStyle name="Comma 5 2 4 2 2 3" xfId="13211" xr:uid="{00000000-0005-0000-0000-000095220000}"/>
    <cellStyle name="Comma 5 2 4 2 2 3 2" xfId="33131" xr:uid="{00000000-0005-0000-0000-000096220000}"/>
    <cellStyle name="Comma 5 2 4 2 2 4" xfId="19363" xr:uid="{00000000-0005-0000-0000-000097220000}"/>
    <cellStyle name="Comma 5 2 4 2 2 4 2" xfId="39283" xr:uid="{00000000-0005-0000-0000-000098220000}"/>
    <cellStyle name="Comma 5 2 4 2 2 5" xfId="26978" xr:uid="{00000000-0005-0000-0000-000099220000}"/>
    <cellStyle name="Comma 5 2 4 2 3" xfId="8549" xr:uid="{00000000-0005-0000-0000-00009A220000}"/>
    <cellStyle name="Comma 5 2 4 2 3 2" xfId="14743" xr:uid="{00000000-0005-0000-0000-00009B220000}"/>
    <cellStyle name="Comma 5 2 4 2 3 2 2" xfId="34663" xr:uid="{00000000-0005-0000-0000-00009C220000}"/>
    <cellStyle name="Comma 5 2 4 2 3 3" xfId="20895" xr:uid="{00000000-0005-0000-0000-00009D220000}"/>
    <cellStyle name="Comma 5 2 4 2 3 3 2" xfId="40815" xr:uid="{00000000-0005-0000-0000-00009E220000}"/>
    <cellStyle name="Comma 5 2 4 2 3 4" xfId="28510" xr:uid="{00000000-0005-0000-0000-00009F220000}"/>
    <cellStyle name="Comma 5 2 4 2 4" xfId="11677" xr:uid="{00000000-0005-0000-0000-0000A0220000}"/>
    <cellStyle name="Comma 5 2 4 2 4 2" xfId="31597" xr:uid="{00000000-0005-0000-0000-0000A1220000}"/>
    <cellStyle name="Comma 5 2 4 2 5" xfId="17829" xr:uid="{00000000-0005-0000-0000-0000A2220000}"/>
    <cellStyle name="Comma 5 2 4 2 5 2" xfId="37749" xr:uid="{00000000-0005-0000-0000-0000A3220000}"/>
    <cellStyle name="Comma 5 2 4 2 6" xfId="25444" xr:uid="{00000000-0005-0000-0000-0000A4220000}"/>
    <cellStyle name="Comma 5 2 4 3" xfId="6229" xr:uid="{00000000-0005-0000-0000-0000A5220000}"/>
    <cellStyle name="Comma 5 2 4 3 2" xfId="9315" xr:uid="{00000000-0005-0000-0000-0000A6220000}"/>
    <cellStyle name="Comma 5 2 4 3 2 2" xfId="15508" xr:uid="{00000000-0005-0000-0000-0000A7220000}"/>
    <cellStyle name="Comma 5 2 4 3 2 2 2" xfId="35428" xr:uid="{00000000-0005-0000-0000-0000A8220000}"/>
    <cellStyle name="Comma 5 2 4 3 2 3" xfId="21660" xr:uid="{00000000-0005-0000-0000-0000A9220000}"/>
    <cellStyle name="Comma 5 2 4 3 2 3 2" xfId="41580" xr:uid="{00000000-0005-0000-0000-0000AA220000}"/>
    <cellStyle name="Comma 5 2 4 3 2 4" xfId="29275" xr:uid="{00000000-0005-0000-0000-0000AB220000}"/>
    <cellStyle name="Comma 5 2 4 3 3" xfId="12442" xr:uid="{00000000-0005-0000-0000-0000AC220000}"/>
    <cellStyle name="Comma 5 2 4 3 3 2" xfId="32362" xr:uid="{00000000-0005-0000-0000-0000AD220000}"/>
    <cellStyle name="Comma 5 2 4 3 4" xfId="18594" xr:uid="{00000000-0005-0000-0000-0000AE220000}"/>
    <cellStyle name="Comma 5 2 4 3 4 2" xfId="38514" xr:uid="{00000000-0005-0000-0000-0000AF220000}"/>
    <cellStyle name="Comma 5 2 4 3 5" xfId="26209" xr:uid="{00000000-0005-0000-0000-0000B0220000}"/>
    <cellStyle name="Comma 5 2 4 4" xfId="7780" xr:uid="{00000000-0005-0000-0000-0000B1220000}"/>
    <cellStyle name="Comma 5 2 4 4 2" xfId="13974" xr:uid="{00000000-0005-0000-0000-0000B2220000}"/>
    <cellStyle name="Comma 5 2 4 4 2 2" xfId="33894" xr:uid="{00000000-0005-0000-0000-0000B3220000}"/>
    <cellStyle name="Comma 5 2 4 4 3" xfId="20126" xr:uid="{00000000-0005-0000-0000-0000B4220000}"/>
    <cellStyle name="Comma 5 2 4 4 3 2" xfId="40046" xr:uid="{00000000-0005-0000-0000-0000B5220000}"/>
    <cellStyle name="Comma 5 2 4 4 4" xfId="27741" xr:uid="{00000000-0005-0000-0000-0000B6220000}"/>
    <cellStyle name="Comma 5 2 4 5" xfId="10908" xr:uid="{00000000-0005-0000-0000-0000B7220000}"/>
    <cellStyle name="Comma 5 2 4 5 2" xfId="30828" xr:uid="{00000000-0005-0000-0000-0000B8220000}"/>
    <cellStyle name="Comma 5 2 4 6" xfId="17060" xr:uid="{00000000-0005-0000-0000-0000B9220000}"/>
    <cellStyle name="Comma 5 2 4 6 2" xfId="36980" xr:uid="{00000000-0005-0000-0000-0000BA220000}"/>
    <cellStyle name="Comma 5 2 4 7" xfId="24675" xr:uid="{00000000-0005-0000-0000-0000BB220000}"/>
    <cellStyle name="Comma 5 2 5" xfId="2151" xr:uid="{00000000-0005-0000-0000-0000BC220000}"/>
    <cellStyle name="Comma 5 2 6" xfId="4631" xr:uid="{00000000-0005-0000-0000-0000BD220000}"/>
    <cellStyle name="Comma 5 2 6 2" xfId="6256" xr:uid="{00000000-0005-0000-0000-0000BE220000}"/>
    <cellStyle name="Comma 5 2 6 2 2" xfId="9342" xr:uid="{00000000-0005-0000-0000-0000BF220000}"/>
    <cellStyle name="Comma 5 2 6 2 2 2" xfId="15535" xr:uid="{00000000-0005-0000-0000-0000C0220000}"/>
    <cellStyle name="Comma 5 2 6 2 2 2 2" xfId="35455" xr:uid="{00000000-0005-0000-0000-0000C1220000}"/>
    <cellStyle name="Comma 5 2 6 2 2 3" xfId="21687" xr:uid="{00000000-0005-0000-0000-0000C2220000}"/>
    <cellStyle name="Comma 5 2 6 2 2 3 2" xfId="41607" xr:uid="{00000000-0005-0000-0000-0000C3220000}"/>
    <cellStyle name="Comma 5 2 6 2 2 4" xfId="29302" xr:uid="{00000000-0005-0000-0000-0000C4220000}"/>
    <cellStyle name="Comma 5 2 6 2 3" xfId="12469" xr:uid="{00000000-0005-0000-0000-0000C5220000}"/>
    <cellStyle name="Comma 5 2 6 2 3 2" xfId="32389" xr:uid="{00000000-0005-0000-0000-0000C6220000}"/>
    <cellStyle name="Comma 5 2 6 2 4" xfId="18621" xr:uid="{00000000-0005-0000-0000-0000C7220000}"/>
    <cellStyle name="Comma 5 2 6 2 4 2" xfId="38541" xr:uid="{00000000-0005-0000-0000-0000C8220000}"/>
    <cellStyle name="Comma 5 2 6 2 5" xfId="26236" xr:uid="{00000000-0005-0000-0000-0000C9220000}"/>
    <cellStyle name="Comma 5 2 6 3" xfId="7807" xr:uid="{00000000-0005-0000-0000-0000CA220000}"/>
    <cellStyle name="Comma 5 2 6 3 2" xfId="14001" xr:uid="{00000000-0005-0000-0000-0000CB220000}"/>
    <cellStyle name="Comma 5 2 6 3 2 2" xfId="33921" xr:uid="{00000000-0005-0000-0000-0000CC220000}"/>
    <cellStyle name="Comma 5 2 6 3 3" xfId="20153" xr:uid="{00000000-0005-0000-0000-0000CD220000}"/>
    <cellStyle name="Comma 5 2 6 3 3 2" xfId="40073" xr:uid="{00000000-0005-0000-0000-0000CE220000}"/>
    <cellStyle name="Comma 5 2 6 3 4" xfId="27768" xr:uid="{00000000-0005-0000-0000-0000CF220000}"/>
    <cellStyle name="Comma 5 2 6 4" xfId="10935" xr:uid="{00000000-0005-0000-0000-0000D0220000}"/>
    <cellStyle name="Comma 5 2 6 4 2" xfId="30855" xr:uid="{00000000-0005-0000-0000-0000D1220000}"/>
    <cellStyle name="Comma 5 2 6 5" xfId="17087" xr:uid="{00000000-0005-0000-0000-0000D2220000}"/>
    <cellStyle name="Comma 5 2 6 5 2" xfId="37007" xr:uid="{00000000-0005-0000-0000-0000D3220000}"/>
    <cellStyle name="Comma 5 2 6 6" xfId="24702" xr:uid="{00000000-0005-0000-0000-0000D4220000}"/>
    <cellStyle name="Comma 5 2 7" xfId="5469" xr:uid="{00000000-0005-0000-0000-0000D5220000}"/>
    <cellStyle name="Comma 5 2 7 2" xfId="8573" xr:uid="{00000000-0005-0000-0000-0000D6220000}"/>
    <cellStyle name="Comma 5 2 7 2 2" xfId="14766" xr:uid="{00000000-0005-0000-0000-0000D7220000}"/>
    <cellStyle name="Comma 5 2 7 2 2 2" xfId="34686" xr:uid="{00000000-0005-0000-0000-0000D8220000}"/>
    <cellStyle name="Comma 5 2 7 2 3" xfId="20918" xr:uid="{00000000-0005-0000-0000-0000D9220000}"/>
    <cellStyle name="Comma 5 2 7 2 3 2" xfId="40838" xr:uid="{00000000-0005-0000-0000-0000DA220000}"/>
    <cellStyle name="Comma 5 2 7 2 4" xfId="28533" xr:uid="{00000000-0005-0000-0000-0000DB220000}"/>
    <cellStyle name="Comma 5 2 7 3" xfId="11700" xr:uid="{00000000-0005-0000-0000-0000DC220000}"/>
    <cellStyle name="Comma 5 2 7 3 2" xfId="31620" xr:uid="{00000000-0005-0000-0000-0000DD220000}"/>
    <cellStyle name="Comma 5 2 7 4" xfId="17852" xr:uid="{00000000-0005-0000-0000-0000DE220000}"/>
    <cellStyle name="Comma 5 2 7 4 2" xfId="37772" xr:uid="{00000000-0005-0000-0000-0000DF220000}"/>
    <cellStyle name="Comma 5 2 7 5" xfId="25467" xr:uid="{00000000-0005-0000-0000-0000E0220000}"/>
    <cellStyle name="Comma 5 2 8" xfId="7038" xr:uid="{00000000-0005-0000-0000-0000E1220000}"/>
    <cellStyle name="Comma 5 2 8 2" xfId="13232" xr:uid="{00000000-0005-0000-0000-0000E2220000}"/>
    <cellStyle name="Comma 5 2 8 2 2" xfId="33152" xr:uid="{00000000-0005-0000-0000-0000E3220000}"/>
    <cellStyle name="Comma 5 2 8 3" xfId="19384" xr:uid="{00000000-0005-0000-0000-0000E4220000}"/>
    <cellStyle name="Comma 5 2 8 3 2" xfId="39304" xr:uid="{00000000-0005-0000-0000-0000E5220000}"/>
    <cellStyle name="Comma 5 2 8 4" xfId="26999" xr:uid="{00000000-0005-0000-0000-0000E6220000}"/>
    <cellStyle name="Comma 5 2 9" xfId="10166" xr:uid="{00000000-0005-0000-0000-0000E7220000}"/>
    <cellStyle name="Comma 5 2 9 2" xfId="30086" xr:uid="{00000000-0005-0000-0000-0000E8220000}"/>
    <cellStyle name="Comma 5 20" xfId="524" xr:uid="{00000000-0005-0000-0000-0000E9220000}"/>
    <cellStyle name="Comma 5 20 2" xfId="905" xr:uid="{00000000-0005-0000-0000-0000EA220000}"/>
    <cellStyle name="Comma 5 20 2 2" xfId="23787" xr:uid="{00000000-0005-0000-0000-0000EB220000}"/>
    <cellStyle name="Comma 5 20 3" xfId="22663" xr:uid="{00000000-0005-0000-0000-0000EC220000}"/>
    <cellStyle name="Comma 5 20 3 2" xfId="42574" xr:uid="{00000000-0005-0000-0000-0000ED220000}"/>
    <cellStyle name="Comma 5 20 4" xfId="22870" xr:uid="{00000000-0005-0000-0000-0000EE220000}"/>
    <cellStyle name="Comma 5 20 4 2" xfId="42781" xr:uid="{00000000-0005-0000-0000-0000EF220000}"/>
    <cellStyle name="Comma 5 20 5" xfId="23173" xr:uid="{00000000-0005-0000-0000-0000F0220000}"/>
    <cellStyle name="Comma 5 20 5 2" xfId="43084" xr:uid="{00000000-0005-0000-0000-0000F1220000}"/>
    <cellStyle name="Comma 5 20 6" xfId="23484" xr:uid="{00000000-0005-0000-0000-0000F2220000}"/>
    <cellStyle name="Comma 5 21" xfId="550" xr:uid="{00000000-0005-0000-0000-0000F3220000}"/>
    <cellStyle name="Comma 5 21 2" xfId="921" xr:uid="{00000000-0005-0000-0000-0000F4220000}"/>
    <cellStyle name="Comma 5 21 2 2" xfId="23803" xr:uid="{00000000-0005-0000-0000-0000F5220000}"/>
    <cellStyle name="Comma 5 21 3" xfId="22648" xr:uid="{00000000-0005-0000-0000-0000F6220000}"/>
    <cellStyle name="Comma 5 21 3 2" xfId="42559" xr:uid="{00000000-0005-0000-0000-0000F7220000}"/>
    <cellStyle name="Comma 5 21 4" xfId="22886" xr:uid="{00000000-0005-0000-0000-0000F8220000}"/>
    <cellStyle name="Comma 5 21 4 2" xfId="42797" xr:uid="{00000000-0005-0000-0000-0000F9220000}"/>
    <cellStyle name="Comma 5 21 5" xfId="23189" xr:uid="{00000000-0005-0000-0000-0000FA220000}"/>
    <cellStyle name="Comma 5 21 5 2" xfId="43100" xr:uid="{00000000-0005-0000-0000-0000FB220000}"/>
    <cellStyle name="Comma 5 21 6" xfId="23500" xr:uid="{00000000-0005-0000-0000-0000FC220000}"/>
    <cellStyle name="Comma 5 22" xfId="590" xr:uid="{00000000-0005-0000-0000-0000FD220000}"/>
    <cellStyle name="Comma 5 22 2" xfId="937" xr:uid="{00000000-0005-0000-0000-0000FE220000}"/>
    <cellStyle name="Comma 5 22 2 2" xfId="23819" xr:uid="{00000000-0005-0000-0000-0000FF220000}"/>
    <cellStyle name="Comma 5 22 3" xfId="22614" xr:uid="{00000000-0005-0000-0000-000000230000}"/>
    <cellStyle name="Comma 5 22 3 2" xfId="42525" xr:uid="{00000000-0005-0000-0000-000001230000}"/>
    <cellStyle name="Comma 5 22 4" xfId="22902" xr:uid="{00000000-0005-0000-0000-000002230000}"/>
    <cellStyle name="Comma 5 22 4 2" xfId="42813" xr:uid="{00000000-0005-0000-0000-000003230000}"/>
    <cellStyle name="Comma 5 22 5" xfId="23205" xr:uid="{00000000-0005-0000-0000-000004230000}"/>
    <cellStyle name="Comma 5 22 5 2" xfId="43116" xr:uid="{00000000-0005-0000-0000-000005230000}"/>
    <cellStyle name="Comma 5 22 6" xfId="23516" xr:uid="{00000000-0005-0000-0000-000006230000}"/>
    <cellStyle name="Comma 5 23" xfId="618" xr:uid="{00000000-0005-0000-0000-000007230000}"/>
    <cellStyle name="Comma 5 23 2" xfId="953" xr:uid="{00000000-0005-0000-0000-000008230000}"/>
    <cellStyle name="Comma 5 23 2 2" xfId="23835" xr:uid="{00000000-0005-0000-0000-000009230000}"/>
    <cellStyle name="Comma 5 23 3" xfId="22615" xr:uid="{00000000-0005-0000-0000-00000A230000}"/>
    <cellStyle name="Comma 5 23 3 2" xfId="42526" xr:uid="{00000000-0005-0000-0000-00000B230000}"/>
    <cellStyle name="Comma 5 23 4" xfId="22918" xr:uid="{00000000-0005-0000-0000-00000C230000}"/>
    <cellStyle name="Comma 5 23 4 2" xfId="42829" xr:uid="{00000000-0005-0000-0000-00000D230000}"/>
    <cellStyle name="Comma 5 23 5" xfId="23221" xr:uid="{00000000-0005-0000-0000-00000E230000}"/>
    <cellStyle name="Comma 5 23 5 2" xfId="43132" xr:uid="{00000000-0005-0000-0000-00000F230000}"/>
    <cellStyle name="Comma 5 23 6" xfId="23532" xr:uid="{00000000-0005-0000-0000-000010230000}"/>
    <cellStyle name="Comma 5 24" xfId="644" xr:uid="{00000000-0005-0000-0000-000011230000}"/>
    <cellStyle name="Comma 5 24 2" xfId="969" xr:uid="{00000000-0005-0000-0000-000012230000}"/>
    <cellStyle name="Comma 5 24 2 2" xfId="23851" xr:uid="{00000000-0005-0000-0000-000013230000}"/>
    <cellStyle name="Comma 5 24 3" xfId="22562" xr:uid="{00000000-0005-0000-0000-000014230000}"/>
    <cellStyle name="Comma 5 24 3 2" xfId="42473" xr:uid="{00000000-0005-0000-0000-000015230000}"/>
    <cellStyle name="Comma 5 24 4" xfId="22934" xr:uid="{00000000-0005-0000-0000-000016230000}"/>
    <cellStyle name="Comma 5 24 4 2" xfId="42845" xr:uid="{00000000-0005-0000-0000-000017230000}"/>
    <cellStyle name="Comma 5 24 5" xfId="23237" xr:uid="{00000000-0005-0000-0000-000018230000}"/>
    <cellStyle name="Comma 5 24 5 2" xfId="43148" xr:uid="{00000000-0005-0000-0000-000019230000}"/>
    <cellStyle name="Comma 5 24 6" xfId="23548" xr:uid="{00000000-0005-0000-0000-00001A230000}"/>
    <cellStyle name="Comma 5 25" xfId="669" xr:uid="{00000000-0005-0000-0000-00001B230000}"/>
    <cellStyle name="Comma 5 25 2" xfId="985" xr:uid="{00000000-0005-0000-0000-00001C230000}"/>
    <cellStyle name="Comma 5 25 2 2" xfId="23867" xr:uid="{00000000-0005-0000-0000-00001D230000}"/>
    <cellStyle name="Comma 5 25 3" xfId="22587" xr:uid="{00000000-0005-0000-0000-00001E230000}"/>
    <cellStyle name="Comma 5 25 3 2" xfId="42498" xr:uid="{00000000-0005-0000-0000-00001F230000}"/>
    <cellStyle name="Comma 5 25 4" xfId="22950" xr:uid="{00000000-0005-0000-0000-000020230000}"/>
    <cellStyle name="Comma 5 25 4 2" xfId="42861" xr:uid="{00000000-0005-0000-0000-000021230000}"/>
    <cellStyle name="Comma 5 25 5" xfId="23253" xr:uid="{00000000-0005-0000-0000-000022230000}"/>
    <cellStyle name="Comma 5 25 5 2" xfId="43164" xr:uid="{00000000-0005-0000-0000-000023230000}"/>
    <cellStyle name="Comma 5 25 6" xfId="23564" xr:uid="{00000000-0005-0000-0000-000024230000}"/>
    <cellStyle name="Comma 5 26" xfId="693" xr:uid="{00000000-0005-0000-0000-000025230000}"/>
    <cellStyle name="Comma 5 26 2" xfId="1001" xr:uid="{00000000-0005-0000-0000-000026230000}"/>
    <cellStyle name="Comma 5 26 2 2" xfId="23883" xr:uid="{00000000-0005-0000-0000-000027230000}"/>
    <cellStyle name="Comma 5 26 3" xfId="22675" xr:uid="{00000000-0005-0000-0000-000028230000}"/>
    <cellStyle name="Comma 5 26 3 2" xfId="42586" xr:uid="{00000000-0005-0000-0000-000029230000}"/>
    <cellStyle name="Comma 5 26 4" xfId="22966" xr:uid="{00000000-0005-0000-0000-00002A230000}"/>
    <cellStyle name="Comma 5 26 4 2" xfId="42877" xr:uid="{00000000-0005-0000-0000-00002B230000}"/>
    <cellStyle name="Comma 5 26 5" xfId="23269" xr:uid="{00000000-0005-0000-0000-00002C230000}"/>
    <cellStyle name="Comma 5 26 5 2" xfId="43180" xr:uid="{00000000-0005-0000-0000-00002D230000}"/>
    <cellStyle name="Comma 5 26 6" xfId="23580" xr:uid="{00000000-0005-0000-0000-00002E230000}"/>
    <cellStyle name="Comma 5 27" xfId="709" xr:uid="{00000000-0005-0000-0000-00002F230000}"/>
    <cellStyle name="Comma 5 27 2" xfId="1017" xr:uid="{00000000-0005-0000-0000-000030230000}"/>
    <cellStyle name="Comma 5 27 2 2" xfId="23899" xr:uid="{00000000-0005-0000-0000-000031230000}"/>
    <cellStyle name="Comma 5 27 3" xfId="22579" xr:uid="{00000000-0005-0000-0000-000032230000}"/>
    <cellStyle name="Comma 5 27 3 2" xfId="42490" xr:uid="{00000000-0005-0000-0000-000033230000}"/>
    <cellStyle name="Comma 5 27 4" xfId="22982" xr:uid="{00000000-0005-0000-0000-000034230000}"/>
    <cellStyle name="Comma 5 27 4 2" xfId="42893" xr:uid="{00000000-0005-0000-0000-000035230000}"/>
    <cellStyle name="Comma 5 27 5" xfId="23285" xr:uid="{00000000-0005-0000-0000-000036230000}"/>
    <cellStyle name="Comma 5 27 5 2" xfId="43196" xr:uid="{00000000-0005-0000-0000-000037230000}"/>
    <cellStyle name="Comma 5 27 6" xfId="23596" xr:uid="{00000000-0005-0000-0000-000038230000}"/>
    <cellStyle name="Comma 5 28" xfId="725" xr:uid="{00000000-0005-0000-0000-000039230000}"/>
    <cellStyle name="Comma 5 28 2" xfId="1033" xr:uid="{00000000-0005-0000-0000-00003A230000}"/>
    <cellStyle name="Comma 5 28 2 2" xfId="23915" xr:uid="{00000000-0005-0000-0000-00003B230000}"/>
    <cellStyle name="Comma 5 28 3" xfId="22514" xr:uid="{00000000-0005-0000-0000-00003C230000}"/>
    <cellStyle name="Comma 5 28 3 2" xfId="42425" xr:uid="{00000000-0005-0000-0000-00003D230000}"/>
    <cellStyle name="Comma 5 28 4" xfId="22998" xr:uid="{00000000-0005-0000-0000-00003E230000}"/>
    <cellStyle name="Comma 5 28 4 2" xfId="42909" xr:uid="{00000000-0005-0000-0000-00003F230000}"/>
    <cellStyle name="Comma 5 28 5" xfId="23301" xr:uid="{00000000-0005-0000-0000-000040230000}"/>
    <cellStyle name="Comma 5 28 5 2" xfId="43212" xr:uid="{00000000-0005-0000-0000-000041230000}"/>
    <cellStyle name="Comma 5 28 6" xfId="23612" xr:uid="{00000000-0005-0000-0000-000042230000}"/>
    <cellStyle name="Comma 5 29" xfId="752" xr:uid="{00000000-0005-0000-0000-000043230000}"/>
    <cellStyle name="Comma 5 29 2" xfId="23634" xr:uid="{00000000-0005-0000-0000-000044230000}"/>
    <cellStyle name="Comma 5 3" xfId="200" xr:uid="{00000000-0005-0000-0000-000045230000}"/>
    <cellStyle name="Comma 5 3 10" xfId="22741" xr:uid="{00000000-0005-0000-0000-000046230000}"/>
    <cellStyle name="Comma 5 3 10 2" xfId="42652" xr:uid="{00000000-0005-0000-0000-000047230000}"/>
    <cellStyle name="Comma 5 3 11" xfId="23044" xr:uid="{00000000-0005-0000-0000-000048230000}"/>
    <cellStyle name="Comma 5 3 11 2" xfId="42955" xr:uid="{00000000-0005-0000-0000-000049230000}"/>
    <cellStyle name="Comma 5 3 12" xfId="23355" xr:uid="{00000000-0005-0000-0000-00004A230000}"/>
    <cellStyle name="Comma 5 3 2" xfId="776" xr:uid="{00000000-0005-0000-0000-00004B230000}"/>
    <cellStyle name="Comma 5 3 2 2" xfId="5377" xr:uid="{00000000-0005-0000-0000-00004C230000}"/>
    <cellStyle name="Comma 5 3 2 2 2" xfId="7002" xr:uid="{00000000-0005-0000-0000-00004D230000}"/>
    <cellStyle name="Comma 5 3 2 2 2 2" xfId="10088" xr:uid="{00000000-0005-0000-0000-00004E230000}"/>
    <cellStyle name="Comma 5 3 2 2 2 2 2" xfId="16281" xr:uid="{00000000-0005-0000-0000-00004F230000}"/>
    <cellStyle name="Comma 5 3 2 2 2 2 2 2" xfId="36201" xr:uid="{00000000-0005-0000-0000-000050230000}"/>
    <cellStyle name="Comma 5 3 2 2 2 2 3" xfId="22433" xr:uid="{00000000-0005-0000-0000-000051230000}"/>
    <cellStyle name="Comma 5 3 2 2 2 2 3 2" xfId="42353" xr:uid="{00000000-0005-0000-0000-000052230000}"/>
    <cellStyle name="Comma 5 3 2 2 2 2 4" xfId="30048" xr:uid="{00000000-0005-0000-0000-000053230000}"/>
    <cellStyle name="Comma 5 3 2 2 2 3" xfId="13215" xr:uid="{00000000-0005-0000-0000-000054230000}"/>
    <cellStyle name="Comma 5 3 2 2 2 3 2" xfId="33135" xr:uid="{00000000-0005-0000-0000-000055230000}"/>
    <cellStyle name="Comma 5 3 2 2 2 4" xfId="19367" xr:uid="{00000000-0005-0000-0000-000056230000}"/>
    <cellStyle name="Comma 5 3 2 2 2 4 2" xfId="39287" xr:uid="{00000000-0005-0000-0000-000057230000}"/>
    <cellStyle name="Comma 5 3 2 2 2 5" xfId="26982" xr:uid="{00000000-0005-0000-0000-000058230000}"/>
    <cellStyle name="Comma 5 3 2 2 3" xfId="8553" xr:uid="{00000000-0005-0000-0000-000059230000}"/>
    <cellStyle name="Comma 5 3 2 2 3 2" xfId="14747" xr:uid="{00000000-0005-0000-0000-00005A230000}"/>
    <cellStyle name="Comma 5 3 2 2 3 2 2" xfId="34667" xr:uid="{00000000-0005-0000-0000-00005B230000}"/>
    <cellStyle name="Comma 5 3 2 2 3 3" xfId="20899" xr:uid="{00000000-0005-0000-0000-00005C230000}"/>
    <cellStyle name="Comma 5 3 2 2 3 3 2" xfId="40819" xr:uid="{00000000-0005-0000-0000-00005D230000}"/>
    <cellStyle name="Comma 5 3 2 2 3 4" xfId="28514" xr:uid="{00000000-0005-0000-0000-00005E230000}"/>
    <cellStyle name="Comma 5 3 2 2 4" xfId="11681" xr:uid="{00000000-0005-0000-0000-00005F230000}"/>
    <cellStyle name="Comma 5 3 2 2 4 2" xfId="31601" xr:uid="{00000000-0005-0000-0000-000060230000}"/>
    <cellStyle name="Comma 5 3 2 2 5" xfId="17833" xr:uid="{00000000-0005-0000-0000-000061230000}"/>
    <cellStyle name="Comma 5 3 2 2 5 2" xfId="37753" xr:uid="{00000000-0005-0000-0000-000062230000}"/>
    <cellStyle name="Comma 5 3 2 2 6" xfId="25448" xr:uid="{00000000-0005-0000-0000-000063230000}"/>
    <cellStyle name="Comma 5 3 2 3" xfId="6233" xr:uid="{00000000-0005-0000-0000-000064230000}"/>
    <cellStyle name="Comma 5 3 2 3 2" xfId="9319" xr:uid="{00000000-0005-0000-0000-000065230000}"/>
    <cellStyle name="Comma 5 3 2 3 2 2" xfId="15512" xr:uid="{00000000-0005-0000-0000-000066230000}"/>
    <cellStyle name="Comma 5 3 2 3 2 2 2" xfId="35432" xr:uid="{00000000-0005-0000-0000-000067230000}"/>
    <cellStyle name="Comma 5 3 2 3 2 3" xfId="21664" xr:uid="{00000000-0005-0000-0000-000068230000}"/>
    <cellStyle name="Comma 5 3 2 3 2 3 2" xfId="41584" xr:uid="{00000000-0005-0000-0000-000069230000}"/>
    <cellStyle name="Comma 5 3 2 3 2 4" xfId="29279" xr:uid="{00000000-0005-0000-0000-00006A230000}"/>
    <cellStyle name="Comma 5 3 2 3 3" xfId="12446" xr:uid="{00000000-0005-0000-0000-00006B230000}"/>
    <cellStyle name="Comma 5 3 2 3 3 2" xfId="32366" xr:uid="{00000000-0005-0000-0000-00006C230000}"/>
    <cellStyle name="Comma 5 3 2 3 4" xfId="18598" xr:uid="{00000000-0005-0000-0000-00006D230000}"/>
    <cellStyle name="Comma 5 3 2 3 4 2" xfId="38518" xr:uid="{00000000-0005-0000-0000-00006E230000}"/>
    <cellStyle name="Comma 5 3 2 3 5" xfId="26213" xr:uid="{00000000-0005-0000-0000-00006F230000}"/>
    <cellStyle name="Comma 5 3 2 4" xfId="7784" xr:uid="{00000000-0005-0000-0000-000070230000}"/>
    <cellStyle name="Comma 5 3 2 4 2" xfId="13978" xr:uid="{00000000-0005-0000-0000-000071230000}"/>
    <cellStyle name="Comma 5 3 2 4 2 2" xfId="33898" xr:uid="{00000000-0005-0000-0000-000072230000}"/>
    <cellStyle name="Comma 5 3 2 4 3" xfId="20130" xr:uid="{00000000-0005-0000-0000-000073230000}"/>
    <cellStyle name="Comma 5 3 2 4 3 2" xfId="40050" xr:uid="{00000000-0005-0000-0000-000074230000}"/>
    <cellStyle name="Comma 5 3 2 4 4" xfId="27745" xr:uid="{00000000-0005-0000-0000-000075230000}"/>
    <cellStyle name="Comma 5 3 2 5" xfId="10912" xr:uid="{00000000-0005-0000-0000-000076230000}"/>
    <cellStyle name="Comma 5 3 2 5 2" xfId="30832" xr:uid="{00000000-0005-0000-0000-000077230000}"/>
    <cellStyle name="Comma 5 3 2 6" xfId="17064" xr:uid="{00000000-0005-0000-0000-000078230000}"/>
    <cellStyle name="Comma 5 3 2 6 2" xfId="36984" xr:uid="{00000000-0005-0000-0000-000079230000}"/>
    <cellStyle name="Comma 5 3 2 7" xfId="4601" xr:uid="{00000000-0005-0000-0000-00007A230000}"/>
    <cellStyle name="Comma 5 3 2 7 2" xfId="24679" xr:uid="{00000000-0005-0000-0000-00007B230000}"/>
    <cellStyle name="Comma 5 3 2 8" xfId="23658" xr:uid="{00000000-0005-0000-0000-00007C230000}"/>
    <cellStyle name="Comma 5 3 3" xfId="2154" xr:uid="{00000000-0005-0000-0000-00007D230000}"/>
    <cellStyle name="Comma 5 3 4" xfId="4636" xr:uid="{00000000-0005-0000-0000-00007E230000}"/>
    <cellStyle name="Comma 5 3 4 2" xfId="6261" xr:uid="{00000000-0005-0000-0000-00007F230000}"/>
    <cellStyle name="Comma 5 3 4 2 2" xfId="9347" xr:uid="{00000000-0005-0000-0000-000080230000}"/>
    <cellStyle name="Comma 5 3 4 2 2 2" xfId="15540" xr:uid="{00000000-0005-0000-0000-000081230000}"/>
    <cellStyle name="Comma 5 3 4 2 2 2 2" xfId="35460" xr:uid="{00000000-0005-0000-0000-000082230000}"/>
    <cellStyle name="Comma 5 3 4 2 2 3" xfId="21692" xr:uid="{00000000-0005-0000-0000-000083230000}"/>
    <cellStyle name="Comma 5 3 4 2 2 3 2" xfId="41612" xr:uid="{00000000-0005-0000-0000-000084230000}"/>
    <cellStyle name="Comma 5 3 4 2 2 4" xfId="29307" xr:uid="{00000000-0005-0000-0000-000085230000}"/>
    <cellStyle name="Comma 5 3 4 2 3" xfId="12474" xr:uid="{00000000-0005-0000-0000-000086230000}"/>
    <cellStyle name="Comma 5 3 4 2 3 2" xfId="32394" xr:uid="{00000000-0005-0000-0000-000087230000}"/>
    <cellStyle name="Comma 5 3 4 2 4" xfId="18626" xr:uid="{00000000-0005-0000-0000-000088230000}"/>
    <cellStyle name="Comma 5 3 4 2 4 2" xfId="38546" xr:uid="{00000000-0005-0000-0000-000089230000}"/>
    <cellStyle name="Comma 5 3 4 2 5" xfId="26241" xr:uid="{00000000-0005-0000-0000-00008A230000}"/>
    <cellStyle name="Comma 5 3 4 3" xfId="7812" xr:uid="{00000000-0005-0000-0000-00008B230000}"/>
    <cellStyle name="Comma 5 3 4 3 2" xfId="14006" xr:uid="{00000000-0005-0000-0000-00008C230000}"/>
    <cellStyle name="Comma 5 3 4 3 2 2" xfId="33926" xr:uid="{00000000-0005-0000-0000-00008D230000}"/>
    <cellStyle name="Comma 5 3 4 3 3" xfId="20158" xr:uid="{00000000-0005-0000-0000-00008E230000}"/>
    <cellStyle name="Comma 5 3 4 3 3 2" xfId="40078" xr:uid="{00000000-0005-0000-0000-00008F230000}"/>
    <cellStyle name="Comma 5 3 4 3 4" xfId="27773" xr:uid="{00000000-0005-0000-0000-000090230000}"/>
    <cellStyle name="Comma 5 3 4 4" xfId="10940" xr:uid="{00000000-0005-0000-0000-000091230000}"/>
    <cellStyle name="Comma 5 3 4 4 2" xfId="30860" xr:uid="{00000000-0005-0000-0000-000092230000}"/>
    <cellStyle name="Comma 5 3 4 5" xfId="17092" xr:uid="{00000000-0005-0000-0000-000093230000}"/>
    <cellStyle name="Comma 5 3 4 5 2" xfId="37012" xr:uid="{00000000-0005-0000-0000-000094230000}"/>
    <cellStyle name="Comma 5 3 4 6" xfId="24707" xr:uid="{00000000-0005-0000-0000-000095230000}"/>
    <cellStyle name="Comma 5 3 5" xfId="5475" xr:uid="{00000000-0005-0000-0000-000096230000}"/>
    <cellStyle name="Comma 5 3 5 2" xfId="8578" xr:uid="{00000000-0005-0000-0000-000097230000}"/>
    <cellStyle name="Comma 5 3 5 2 2" xfId="14771" xr:uid="{00000000-0005-0000-0000-000098230000}"/>
    <cellStyle name="Comma 5 3 5 2 2 2" xfId="34691" xr:uid="{00000000-0005-0000-0000-000099230000}"/>
    <cellStyle name="Comma 5 3 5 2 3" xfId="20923" xr:uid="{00000000-0005-0000-0000-00009A230000}"/>
    <cellStyle name="Comma 5 3 5 2 3 2" xfId="40843" xr:uid="{00000000-0005-0000-0000-00009B230000}"/>
    <cellStyle name="Comma 5 3 5 2 4" xfId="28538" xr:uid="{00000000-0005-0000-0000-00009C230000}"/>
    <cellStyle name="Comma 5 3 5 3" xfId="11705" xr:uid="{00000000-0005-0000-0000-00009D230000}"/>
    <cellStyle name="Comma 5 3 5 3 2" xfId="31625" xr:uid="{00000000-0005-0000-0000-00009E230000}"/>
    <cellStyle name="Comma 5 3 5 4" xfId="17857" xr:uid="{00000000-0005-0000-0000-00009F230000}"/>
    <cellStyle name="Comma 5 3 5 4 2" xfId="37777" xr:uid="{00000000-0005-0000-0000-0000A0230000}"/>
    <cellStyle name="Comma 5 3 5 5" xfId="25472" xr:uid="{00000000-0005-0000-0000-0000A1230000}"/>
    <cellStyle name="Comma 5 3 6" xfId="7043" xr:uid="{00000000-0005-0000-0000-0000A2230000}"/>
    <cellStyle name="Comma 5 3 6 2" xfId="13237" xr:uid="{00000000-0005-0000-0000-0000A3230000}"/>
    <cellStyle name="Comma 5 3 6 2 2" xfId="33157" xr:uid="{00000000-0005-0000-0000-0000A4230000}"/>
    <cellStyle name="Comma 5 3 6 3" xfId="19389" xr:uid="{00000000-0005-0000-0000-0000A5230000}"/>
    <cellStyle name="Comma 5 3 6 3 2" xfId="39309" xr:uid="{00000000-0005-0000-0000-0000A6230000}"/>
    <cellStyle name="Comma 5 3 6 4" xfId="27004" xr:uid="{00000000-0005-0000-0000-0000A7230000}"/>
    <cellStyle name="Comma 5 3 7" xfId="10171" xr:uid="{00000000-0005-0000-0000-0000A8230000}"/>
    <cellStyle name="Comma 5 3 7 2" xfId="30091" xr:uid="{00000000-0005-0000-0000-0000A9230000}"/>
    <cellStyle name="Comma 5 3 8" xfId="16323" xr:uid="{00000000-0005-0000-0000-0000AA230000}"/>
    <cellStyle name="Comma 5 3 8 2" xfId="36243" xr:uid="{00000000-0005-0000-0000-0000AB230000}"/>
    <cellStyle name="Comma 5 3 9" xfId="1188" xr:uid="{00000000-0005-0000-0000-0000AC230000}"/>
    <cellStyle name="Comma 5 3 9 2" xfId="23938" xr:uid="{00000000-0005-0000-0000-0000AD230000}"/>
    <cellStyle name="Comma 5 30" xfId="1047" xr:uid="{00000000-0005-0000-0000-0000AE230000}"/>
    <cellStyle name="Comma 5 31" xfId="22717" xr:uid="{00000000-0005-0000-0000-0000AF230000}"/>
    <cellStyle name="Comma 5 31 2" xfId="42628" xr:uid="{00000000-0005-0000-0000-0000B0230000}"/>
    <cellStyle name="Comma 5 32" xfId="23020" xr:uid="{00000000-0005-0000-0000-0000B1230000}"/>
    <cellStyle name="Comma 5 32 2" xfId="42931" xr:uid="{00000000-0005-0000-0000-0000B2230000}"/>
    <cellStyle name="Comma 5 33" xfId="23331" xr:uid="{00000000-0005-0000-0000-0000B3230000}"/>
    <cellStyle name="Comma 5 4" xfId="215" xr:uid="{00000000-0005-0000-0000-0000B4230000}"/>
    <cellStyle name="Comma 5 4 2" xfId="779" xr:uid="{00000000-0005-0000-0000-0000B5230000}"/>
    <cellStyle name="Comma 5 4 2 2" xfId="23661" xr:uid="{00000000-0005-0000-0000-0000B6230000}"/>
    <cellStyle name="Comma 5 4 3" xfId="2155" xr:uid="{00000000-0005-0000-0000-0000B7230000}"/>
    <cellStyle name="Comma 5 4 4" xfId="22489" xr:uid="{00000000-0005-0000-0000-0000B8230000}"/>
    <cellStyle name="Comma 5 4 4 2" xfId="42400" xr:uid="{00000000-0005-0000-0000-0000B9230000}"/>
    <cellStyle name="Comma 5 4 5" xfId="22744" xr:uid="{00000000-0005-0000-0000-0000BA230000}"/>
    <cellStyle name="Comma 5 4 5 2" xfId="42655" xr:uid="{00000000-0005-0000-0000-0000BB230000}"/>
    <cellStyle name="Comma 5 4 6" xfId="23047" xr:uid="{00000000-0005-0000-0000-0000BC230000}"/>
    <cellStyle name="Comma 5 4 6 2" xfId="42958" xr:uid="{00000000-0005-0000-0000-0000BD230000}"/>
    <cellStyle name="Comma 5 4 7" xfId="23358" xr:uid="{00000000-0005-0000-0000-0000BE230000}"/>
    <cellStyle name="Comma 5 5" xfId="229" xr:uid="{00000000-0005-0000-0000-0000BF230000}"/>
    <cellStyle name="Comma 5 5 2" xfId="782" xr:uid="{00000000-0005-0000-0000-0000C0230000}"/>
    <cellStyle name="Comma 5 5 2 2" xfId="2157" xr:uid="{00000000-0005-0000-0000-0000C1230000}"/>
    <cellStyle name="Comma 5 5 2 3" xfId="23664" xr:uid="{00000000-0005-0000-0000-0000C2230000}"/>
    <cellStyle name="Comma 5 5 3" xfId="2158" xr:uid="{00000000-0005-0000-0000-0000C3230000}"/>
    <cellStyle name="Comma 5 5 4" xfId="2156" xr:uid="{00000000-0005-0000-0000-0000C4230000}"/>
    <cellStyle name="Comma 5 5 5" xfId="22534" xr:uid="{00000000-0005-0000-0000-0000C5230000}"/>
    <cellStyle name="Comma 5 5 5 2" xfId="42445" xr:uid="{00000000-0005-0000-0000-0000C6230000}"/>
    <cellStyle name="Comma 5 5 6" xfId="22747" xr:uid="{00000000-0005-0000-0000-0000C7230000}"/>
    <cellStyle name="Comma 5 5 6 2" xfId="42658" xr:uid="{00000000-0005-0000-0000-0000C8230000}"/>
    <cellStyle name="Comma 5 5 7" xfId="23050" xr:uid="{00000000-0005-0000-0000-0000C9230000}"/>
    <cellStyle name="Comma 5 5 7 2" xfId="42961" xr:uid="{00000000-0005-0000-0000-0000CA230000}"/>
    <cellStyle name="Comma 5 5 8" xfId="23361" xr:uid="{00000000-0005-0000-0000-0000CB230000}"/>
    <cellStyle name="Comma 5 6" xfId="245" xr:uid="{00000000-0005-0000-0000-0000CC230000}"/>
    <cellStyle name="Comma 5 6 2" xfId="785" xr:uid="{00000000-0005-0000-0000-0000CD230000}"/>
    <cellStyle name="Comma 5 6 2 2" xfId="23667" xr:uid="{00000000-0005-0000-0000-0000CE230000}"/>
    <cellStyle name="Comma 5 6 3" xfId="2159" xr:uid="{00000000-0005-0000-0000-0000CF230000}"/>
    <cellStyle name="Comma 5 6 4" xfId="22692" xr:uid="{00000000-0005-0000-0000-0000D0230000}"/>
    <cellStyle name="Comma 5 6 4 2" xfId="42603" xr:uid="{00000000-0005-0000-0000-0000D1230000}"/>
    <cellStyle name="Comma 5 6 5" xfId="22750" xr:uid="{00000000-0005-0000-0000-0000D2230000}"/>
    <cellStyle name="Comma 5 6 5 2" xfId="42661" xr:uid="{00000000-0005-0000-0000-0000D3230000}"/>
    <cellStyle name="Comma 5 6 6" xfId="23053" xr:uid="{00000000-0005-0000-0000-0000D4230000}"/>
    <cellStyle name="Comma 5 6 6 2" xfId="42964" xr:uid="{00000000-0005-0000-0000-0000D5230000}"/>
    <cellStyle name="Comma 5 6 7" xfId="23364" xr:uid="{00000000-0005-0000-0000-0000D6230000}"/>
    <cellStyle name="Comma 5 7" xfId="260" xr:uid="{00000000-0005-0000-0000-0000D7230000}"/>
    <cellStyle name="Comma 5 7 10" xfId="23367" xr:uid="{00000000-0005-0000-0000-0000D8230000}"/>
    <cellStyle name="Comma 5 7 2" xfId="788" xr:uid="{00000000-0005-0000-0000-0000D9230000}"/>
    <cellStyle name="Comma 5 7 2 2" xfId="6994" xr:uid="{00000000-0005-0000-0000-0000DA230000}"/>
    <cellStyle name="Comma 5 7 2 2 2" xfId="10080" xr:uid="{00000000-0005-0000-0000-0000DB230000}"/>
    <cellStyle name="Comma 5 7 2 2 2 2" xfId="16273" xr:uid="{00000000-0005-0000-0000-0000DC230000}"/>
    <cellStyle name="Comma 5 7 2 2 2 2 2" xfId="36193" xr:uid="{00000000-0005-0000-0000-0000DD230000}"/>
    <cellStyle name="Comma 5 7 2 2 2 3" xfId="22425" xr:uid="{00000000-0005-0000-0000-0000DE230000}"/>
    <cellStyle name="Comma 5 7 2 2 2 3 2" xfId="42345" xr:uid="{00000000-0005-0000-0000-0000DF230000}"/>
    <cellStyle name="Comma 5 7 2 2 2 4" xfId="30040" xr:uid="{00000000-0005-0000-0000-0000E0230000}"/>
    <cellStyle name="Comma 5 7 2 2 3" xfId="13207" xr:uid="{00000000-0005-0000-0000-0000E1230000}"/>
    <cellStyle name="Comma 5 7 2 2 3 2" xfId="33127" xr:uid="{00000000-0005-0000-0000-0000E2230000}"/>
    <cellStyle name="Comma 5 7 2 2 4" xfId="19359" xr:uid="{00000000-0005-0000-0000-0000E3230000}"/>
    <cellStyle name="Comma 5 7 2 2 4 2" xfId="39279" xr:uid="{00000000-0005-0000-0000-0000E4230000}"/>
    <cellStyle name="Comma 5 7 2 2 5" xfId="26974" xr:uid="{00000000-0005-0000-0000-0000E5230000}"/>
    <cellStyle name="Comma 5 7 2 3" xfId="8545" xr:uid="{00000000-0005-0000-0000-0000E6230000}"/>
    <cellStyle name="Comma 5 7 2 3 2" xfId="14739" xr:uid="{00000000-0005-0000-0000-0000E7230000}"/>
    <cellStyle name="Comma 5 7 2 3 2 2" xfId="34659" xr:uid="{00000000-0005-0000-0000-0000E8230000}"/>
    <cellStyle name="Comma 5 7 2 3 3" xfId="20891" xr:uid="{00000000-0005-0000-0000-0000E9230000}"/>
    <cellStyle name="Comma 5 7 2 3 3 2" xfId="40811" xr:uid="{00000000-0005-0000-0000-0000EA230000}"/>
    <cellStyle name="Comma 5 7 2 3 4" xfId="28506" xr:uid="{00000000-0005-0000-0000-0000EB230000}"/>
    <cellStyle name="Comma 5 7 2 4" xfId="11673" xr:uid="{00000000-0005-0000-0000-0000EC230000}"/>
    <cellStyle name="Comma 5 7 2 4 2" xfId="31593" xr:uid="{00000000-0005-0000-0000-0000ED230000}"/>
    <cellStyle name="Comma 5 7 2 5" xfId="17825" xr:uid="{00000000-0005-0000-0000-0000EE230000}"/>
    <cellStyle name="Comma 5 7 2 5 2" xfId="37745" xr:uid="{00000000-0005-0000-0000-0000EF230000}"/>
    <cellStyle name="Comma 5 7 2 6" xfId="5369" xr:uid="{00000000-0005-0000-0000-0000F0230000}"/>
    <cellStyle name="Comma 5 7 2 6 2" xfId="25440" xr:uid="{00000000-0005-0000-0000-0000F1230000}"/>
    <cellStyle name="Comma 5 7 2 7" xfId="23670" xr:uid="{00000000-0005-0000-0000-0000F2230000}"/>
    <cellStyle name="Comma 5 7 3" xfId="6225" xr:uid="{00000000-0005-0000-0000-0000F3230000}"/>
    <cellStyle name="Comma 5 7 3 2" xfId="9311" xr:uid="{00000000-0005-0000-0000-0000F4230000}"/>
    <cellStyle name="Comma 5 7 3 2 2" xfId="15504" xr:uid="{00000000-0005-0000-0000-0000F5230000}"/>
    <cellStyle name="Comma 5 7 3 2 2 2" xfId="35424" xr:uid="{00000000-0005-0000-0000-0000F6230000}"/>
    <cellStyle name="Comma 5 7 3 2 3" xfId="21656" xr:uid="{00000000-0005-0000-0000-0000F7230000}"/>
    <cellStyle name="Comma 5 7 3 2 3 2" xfId="41576" xr:uid="{00000000-0005-0000-0000-0000F8230000}"/>
    <cellStyle name="Comma 5 7 3 2 4" xfId="29271" xr:uid="{00000000-0005-0000-0000-0000F9230000}"/>
    <cellStyle name="Comma 5 7 3 3" xfId="12438" xr:uid="{00000000-0005-0000-0000-0000FA230000}"/>
    <cellStyle name="Comma 5 7 3 3 2" xfId="32358" xr:uid="{00000000-0005-0000-0000-0000FB230000}"/>
    <cellStyle name="Comma 5 7 3 4" xfId="18590" xr:uid="{00000000-0005-0000-0000-0000FC230000}"/>
    <cellStyle name="Comma 5 7 3 4 2" xfId="38510" xr:uid="{00000000-0005-0000-0000-0000FD230000}"/>
    <cellStyle name="Comma 5 7 3 5" xfId="26205" xr:uid="{00000000-0005-0000-0000-0000FE230000}"/>
    <cellStyle name="Comma 5 7 4" xfId="7776" xr:uid="{00000000-0005-0000-0000-0000FF230000}"/>
    <cellStyle name="Comma 5 7 4 2" xfId="13970" xr:uid="{00000000-0005-0000-0000-000000240000}"/>
    <cellStyle name="Comma 5 7 4 2 2" xfId="33890" xr:uid="{00000000-0005-0000-0000-000001240000}"/>
    <cellStyle name="Comma 5 7 4 3" xfId="20122" xr:uid="{00000000-0005-0000-0000-000002240000}"/>
    <cellStyle name="Comma 5 7 4 3 2" xfId="40042" xr:uid="{00000000-0005-0000-0000-000003240000}"/>
    <cellStyle name="Comma 5 7 4 4" xfId="27737" xr:uid="{00000000-0005-0000-0000-000004240000}"/>
    <cellStyle name="Comma 5 7 5" xfId="10904" xr:uid="{00000000-0005-0000-0000-000005240000}"/>
    <cellStyle name="Comma 5 7 5 2" xfId="30824" xr:uid="{00000000-0005-0000-0000-000006240000}"/>
    <cellStyle name="Comma 5 7 6" xfId="17056" xr:uid="{00000000-0005-0000-0000-000007240000}"/>
    <cellStyle name="Comma 5 7 6 2" xfId="36976" xr:uid="{00000000-0005-0000-0000-000008240000}"/>
    <cellStyle name="Comma 5 7 7" xfId="4581" xr:uid="{00000000-0005-0000-0000-000009240000}"/>
    <cellStyle name="Comma 5 7 7 2" xfId="24671" xr:uid="{00000000-0005-0000-0000-00000A240000}"/>
    <cellStyle name="Comma 5 7 8" xfId="22753" xr:uid="{00000000-0005-0000-0000-00000B240000}"/>
    <cellStyle name="Comma 5 7 8 2" xfId="42664" xr:uid="{00000000-0005-0000-0000-00000C240000}"/>
    <cellStyle name="Comma 5 7 9" xfId="23056" xr:uid="{00000000-0005-0000-0000-00000D240000}"/>
    <cellStyle name="Comma 5 7 9 2" xfId="42967" xr:uid="{00000000-0005-0000-0000-00000E240000}"/>
    <cellStyle name="Comma 5 8" xfId="276" xr:uid="{00000000-0005-0000-0000-00000F240000}"/>
    <cellStyle name="Comma 5 8 2" xfId="791" xr:uid="{00000000-0005-0000-0000-000010240000}"/>
    <cellStyle name="Comma 5 8 2 2" xfId="23673" xr:uid="{00000000-0005-0000-0000-000011240000}"/>
    <cellStyle name="Comma 5 8 3" xfId="2150" xr:uid="{00000000-0005-0000-0000-000012240000}"/>
    <cellStyle name="Comma 5 8 4" xfId="22596" xr:uid="{00000000-0005-0000-0000-000013240000}"/>
    <cellStyle name="Comma 5 8 4 2" xfId="42507" xr:uid="{00000000-0005-0000-0000-000014240000}"/>
    <cellStyle name="Comma 5 8 5" xfId="22756" xr:uid="{00000000-0005-0000-0000-000015240000}"/>
    <cellStyle name="Comma 5 8 5 2" xfId="42667" xr:uid="{00000000-0005-0000-0000-000016240000}"/>
    <cellStyle name="Comma 5 8 6" xfId="23059" xr:uid="{00000000-0005-0000-0000-000017240000}"/>
    <cellStyle name="Comma 5 8 6 2" xfId="42970" xr:uid="{00000000-0005-0000-0000-000018240000}"/>
    <cellStyle name="Comma 5 8 7" xfId="23370" xr:uid="{00000000-0005-0000-0000-000019240000}"/>
    <cellStyle name="Comma 5 9" xfId="289" xr:uid="{00000000-0005-0000-0000-00001A240000}"/>
    <cellStyle name="Comma 5 9 2" xfId="794" xr:uid="{00000000-0005-0000-0000-00001B240000}"/>
    <cellStyle name="Comma 5 9 2 2" xfId="9336" xr:uid="{00000000-0005-0000-0000-00001C240000}"/>
    <cellStyle name="Comma 5 9 2 2 2" xfId="15529" xr:uid="{00000000-0005-0000-0000-00001D240000}"/>
    <cellStyle name="Comma 5 9 2 2 2 2" xfId="35449" xr:uid="{00000000-0005-0000-0000-00001E240000}"/>
    <cellStyle name="Comma 5 9 2 2 3" xfId="21681" xr:uid="{00000000-0005-0000-0000-00001F240000}"/>
    <cellStyle name="Comma 5 9 2 2 3 2" xfId="41601" xr:uid="{00000000-0005-0000-0000-000020240000}"/>
    <cellStyle name="Comma 5 9 2 2 4" xfId="29296" xr:uid="{00000000-0005-0000-0000-000021240000}"/>
    <cellStyle name="Comma 5 9 2 3" xfId="12463" xr:uid="{00000000-0005-0000-0000-000022240000}"/>
    <cellStyle name="Comma 5 9 2 3 2" xfId="32383" xr:uid="{00000000-0005-0000-0000-000023240000}"/>
    <cellStyle name="Comma 5 9 2 4" xfId="18615" xr:uid="{00000000-0005-0000-0000-000024240000}"/>
    <cellStyle name="Comma 5 9 2 4 2" xfId="38535" xr:uid="{00000000-0005-0000-0000-000025240000}"/>
    <cellStyle name="Comma 5 9 2 5" xfId="6250" xr:uid="{00000000-0005-0000-0000-000026240000}"/>
    <cellStyle name="Comma 5 9 2 5 2" xfId="26230" xr:uid="{00000000-0005-0000-0000-000027240000}"/>
    <cellStyle name="Comma 5 9 2 6" xfId="23676" xr:uid="{00000000-0005-0000-0000-000028240000}"/>
    <cellStyle name="Comma 5 9 3" xfId="7801" xr:uid="{00000000-0005-0000-0000-000029240000}"/>
    <cellStyle name="Comma 5 9 3 2" xfId="13995" xr:uid="{00000000-0005-0000-0000-00002A240000}"/>
    <cellStyle name="Comma 5 9 3 2 2" xfId="33915" xr:uid="{00000000-0005-0000-0000-00002B240000}"/>
    <cellStyle name="Comma 5 9 3 3" xfId="20147" xr:uid="{00000000-0005-0000-0000-00002C240000}"/>
    <cellStyle name="Comma 5 9 3 3 2" xfId="40067" xr:uid="{00000000-0005-0000-0000-00002D240000}"/>
    <cellStyle name="Comma 5 9 3 4" xfId="27762" xr:uid="{00000000-0005-0000-0000-00002E240000}"/>
    <cellStyle name="Comma 5 9 4" xfId="10929" xr:uid="{00000000-0005-0000-0000-00002F240000}"/>
    <cellStyle name="Comma 5 9 4 2" xfId="30849" xr:uid="{00000000-0005-0000-0000-000030240000}"/>
    <cellStyle name="Comma 5 9 5" xfId="17081" xr:uid="{00000000-0005-0000-0000-000031240000}"/>
    <cellStyle name="Comma 5 9 5 2" xfId="37001" xr:uid="{00000000-0005-0000-0000-000032240000}"/>
    <cellStyle name="Comma 5 9 6" xfId="4625" xr:uid="{00000000-0005-0000-0000-000033240000}"/>
    <cellStyle name="Comma 5 9 6 2" xfId="24696" xr:uid="{00000000-0005-0000-0000-000034240000}"/>
    <cellStyle name="Comma 5 9 7" xfId="22759" xr:uid="{00000000-0005-0000-0000-000035240000}"/>
    <cellStyle name="Comma 5 9 7 2" xfId="42670" xr:uid="{00000000-0005-0000-0000-000036240000}"/>
    <cellStyle name="Comma 5 9 8" xfId="23062" xr:uid="{00000000-0005-0000-0000-000037240000}"/>
    <cellStyle name="Comma 5 9 8 2" xfId="42973" xr:uid="{00000000-0005-0000-0000-000038240000}"/>
    <cellStyle name="Comma 5 9 9" xfId="23373" xr:uid="{00000000-0005-0000-0000-000039240000}"/>
    <cellStyle name="Comma 50" xfId="2160" xr:uid="{00000000-0005-0000-0000-00003A240000}"/>
    <cellStyle name="Comma 50 10" xfId="2161" xr:uid="{00000000-0005-0000-0000-00003B240000}"/>
    <cellStyle name="Comma 50 10 2" xfId="2162" xr:uid="{00000000-0005-0000-0000-00003C240000}"/>
    <cellStyle name="Comma 50 11" xfId="2163" xr:uid="{00000000-0005-0000-0000-00003D240000}"/>
    <cellStyle name="Comma 50 11 2" xfId="2164" xr:uid="{00000000-0005-0000-0000-00003E240000}"/>
    <cellStyle name="Comma 50 12" xfId="2165" xr:uid="{00000000-0005-0000-0000-00003F240000}"/>
    <cellStyle name="Comma 50 2" xfId="2166" xr:uid="{00000000-0005-0000-0000-000040240000}"/>
    <cellStyle name="Comma 50 2 2" xfId="2167" xr:uid="{00000000-0005-0000-0000-000041240000}"/>
    <cellStyle name="Comma 50 2 2 2" xfId="2168" xr:uid="{00000000-0005-0000-0000-000042240000}"/>
    <cellStyle name="Comma 50 2 2 2 2" xfId="2169" xr:uid="{00000000-0005-0000-0000-000043240000}"/>
    <cellStyle name="Comma 50 2 2 3" xfId="2170" xr:uid="{00000000-0005-0000-0000-000044240000}"/>
    <cellStyle name="Comma 50 2 3" xfId="2171" xr:uid="{00000000-0005-0000-0000-000045240000}"/>
    <cellStyle name="Comma 50 2 3 2" xfId="2172" xr:uid="{00000000-0005-0000-0000-000046240000}"/>
    <cellStyle name="Comma 50 2 4" xfId="2173" xr:uid="{00000000-0005-0000-0000-000047240000}"/>
    <cellStyle name="Comma 50 2 4 2" xfId="2174" xr:uid="{00000000-0005-0000-0000-000048240000}"/>
    <cellStyle name="Comma 50 2 5" xfId="2175" xr:uid="{00000000-0005-0000-0000-000049240000}"/>
    <cellStyle name="Comma 50 3" xfId="2176" xr:uid="{00000000-0005-0000-0000-00004A240000}"/>
    <cellStyle name="Comma 50 3 2" xfId="2177" xr:uid="{00000000-0005-0000-0000-00004B240000}"/>
    <cellStyle name="Comma 50 3 2 2" xfId="2178" xr:uid="{00000000-0005-0000-0000-00004C240000}"/>
    <cellStyle name="Comma 50 3 2 2 2" xfId="2179" xr:uid="{00000000-0005-0000-0000-00004D240000}"/>
    <cellStyle name="Comma 50 3 2 3" xfId="2180" xr:uid="{00000000-0005-0000-0000-00004E240000}"/>
    <cellStyle name="Comma 50 3 3" xfId="2181" xr:uid="{00000000-0005-0000-0000-00004F240000}"/>
    <cellStyle name="Comma 50 3 3 2" xfId="2182" xr:uid="{00000000-0005-0000-0000-000050240000}"/>
    <cellStyle name="Comma 50 3 4" xfId="2183" xr:uid="{00000000-0005-0000-0000-000051240000}"/>
    <cellStyle name="Comma 50 3 4 2" xfId="2184" xr:uid="{00000000-0005-0000-0000-000052240000}"/>
    <cellStyle name="Comma 50 3 5" xfId="2185" xr:uid="{00000000-0005-0000-0000-000053240000}"/>
    <cellStyle name="Comma 50 4" xfId="2186" xr:uid="{00000000-0005-0000-0000-000054240000}"/>
    <cellStyle name="Comma 50 4 2" xfId="2187" xr:uid="{00000000-0005-0000-0000-000055240000}"/>
    <cellStyle name="Comma 50 4 2 2" xfId="2188" xr:uid="{00000000-0005-0000-0000-000056240000}"/>
    <cellStyle name="Comma 50 4 2 2 2" xfId="2189" xr:uid="{00000000-0005-0000-0000-000057240000}"/>
    <cellStyle name="Comma 50 4 2 3" xfId="2190" xr:uid="{00000000-0005-0000-0000-000058240000}"/>
    <cellStyle name="Comma 50 4 3" xfId="2191" xr:uid="{00000000-0005-0000-0000-000059240000}"/>
    <cellStyle name="Comma 50 4 3 2" xfId="2192" xr:uid="{00000000-0005-0000-0000-00005A240000}"/>
    <cellStyle name="Comma 50 4 4" xfId="2193" xr:uid="{00000000-0005-0000-0000-00005B240000}"/>
    <cellStyle name="Comma 50 4 4 2" xfId="2194" xr:uid="{00000000-0005-0000-0000-00005C240000}"/>
    <cellStyle name="Comma 50 4 5" xfId="2195" xr:uid="{00000000-0005-0000-0000-00005D240000}"/>
    <cellStyle name="Comma 50 5" xfId="2196" xr:uid="{00000000-0005-0000-0000-00005E240000}"/>
    <cellStyle name="Comma 50 5 2" xfId="2197" xr:uid="{00000000-0005-0000-0000-00005F240000}"/>
    <cellStyle name="Comma 50 5 2 2" xfId="2198" xr:uid="{00000000-0005-0000-0000-000060240000}"/>
    <cellStyle name="Comma 50 5 2 2 2" xfId="2199" xr:uid="{00000000-0005-0000-0000-000061240000}"/>
    <cellStyle name="Comma 50 5 2 3" xfId="2200" xr:uid="{00000000-0005-0000-0000-000062240000}"/>
    <cellStyle name="Comma 50 5 3" xfId="2201" xr:uid="{00000000-0005-0000-0000-000063240000}"/>
    <cellStyle name="Comma 50 5 3 2" xfId="2202" xr:uid="{00000000-0005-0000-0000-000064240000}"/>
    <cellStyle name="Comma 50 5 4" xfId="2203" xr:uid="{00000000-0005-0000-0000-000065240000}"/>
    <cellStyle name="Comma 50 5 4 2" xfId="2204" xr:uid="{00000000-0005-0000-0000-000066240000}"/>
    <cellStyle name="Comma 50 5 5" xfId="2205" xr:uid="{00000000-0005-0000-0000-000067240000}"/>
    <cellStyle name="Comma 50 6" xfId="2206" xr:uid="{00000000-0005-0000-0000-000068240000}"/>
    <cellStyle name="Comma 50 6 2" xfId="2207" xr:uid="{00000000-0005-0000-0000-000069240000}"/>
    <cellStyle name="Comma 50 6 2 2" xfId="2208" xr:uid="{00000000-0005-0000-0000-00006A240000}"/>
    <cellStyle name="Comma 50 6 2 2 2" xfId="2209" xr:uid="{00000000-0005-0000-0000-00006B240000}"/>
    <cellStyle name="Comma 50 6 2 3" xfId="2210" xr:uid="{00000000-0005-0000-0000-00006C240000}"/>
    <cellStyle name="Comma 50 6 3" xfId="2211" xr:uid="{00000000-0005-0000-0000-00006D240000}"/>
    <cellStyle name="Comma 50 6 3 2" xfId="2212" xr:uid="{00000000-0005-0000-0000-00006E240000}"/>
    <cellStyle name="Comma 50 6 4" xfId="2213" xr:uid="{00000000-0005-0000-0000-00006F240000}"/>
    <cellStyle name="Comma 50 6 4 2" xfId="2214" xr:uid="{00000000-0005-0000-0000-000070240000}"/>
    <cellStyle name="Comma 50 6 5" xfId="2215" xr:uid="{00000000-0005-0000-0000-000071240000}"/>
    <cellStyle name="Comma 50 7" xfId="2216" xr:uid="{00000000-0005-0000-0000-000072240000}"/>
    <cellStyle name="Comma 50 7 2" xfId="2217" xr:uid="{00000000-0005-0000-0000-000073240000}"/>
    <cellStyle name="Comma 50 7 2 2" xfId="2218" xr:uid="{00000000-0005-0000-0000-000074240000}"/>
    <cellStyle name="Comma 50 7 2 2 2" xfId="2219" xr:uid="{00000000-0005-0000-0000-000075240000}"/>
    <cellStyle name="Comma 50 7 2 3" xfId="2220" xr:uid="{00000000-0005-0000-0000-000076240000}"/>
    <cellStyle name="Comma 50 7 3" xfId="2221" xr:uid="{00000000-0005-0000-0000-000077240000}"/>
    <cellStyle name="Comma 50 7 3 2" xfId="2222" xr:uid="{00000000-0005-0000-0000-000078240000}"/>
    <cellStyle name="Comma 50 7 4" xfId="2223" xr:uid="{00000000-0005-0000-0000-000079240000}"/>
    <cellStyle name="Comma 50 8" xfId="2224" xr:uid="{00000000-0005-0000-0000-00007A240000}"/>
    <cellStyle name="Comma 50 8 2" xfId="2225" xr:uid="{00000000-0005-0000-0000-00007B240000}"/>
    <cellStyle name="Comma 50 8 2 2" xfId="2226" xr:uid="{00000000-0005-0000-0000-00007C240000}"/>
    <cellStyle name="Comma 50 8 2 2 2" xfId="2227" xr:uid="{00000000-0005-0000-0000-00007D240000}"/>
    <cellStyle name="Comma 50 8 2 3" xfId="2228" xr:uid="{00000000-0005-0000-0000-00007E240000}"/>
    <cellStyle name="Comma 50 8 3" xfId="2229" xr:uid="{00000000-0005-0000-0000-00007F240000}"/>
    <cellStyle name="Comma 50 8 3 2" xfId="2230" xr:uid="{00000000-0005-0000-0000-000080240000}"/>
    <cellStyle name="Comma 50 8 4" xfId="2231" xr:uid="{00000000-0005-0000-0000-000081240000}"/>
    <cellStyle name="Comma 50 9" xfId="2232" xr:uid="{00000000-0005-0000-0000-000082240000}"/>
    <cellStyle name="Comma 50 9 2" xfId="2233" xr:uid="{00000000-0005-0000-0000-000083240000}"/>
    <cellStyle name="Comma 50 9 2 2" xfId="2234" xr:uid="{00000000-0005-0000-0000-000084240000}"/>
    <cellStyle name="Comma 50 9 3" xfId="2235" xr:uid="{00000000-0005-0000-0000-000085240000}"/>
    <cellStyle name="Comma 51" xfId="2236" xr:uid="{00000000-0005-0000-0000-000086240000}"/>
    <cellStyle name="Comma 51 10" xfId="2237" xr:uid="{00000000-0005-0000-0000-000087240000}"/>
    <cellStyle name="Comma 51 10 2" xfId="2238" xr:uid="{00000000-0005-0000-0000-000088240000}"/>
    <cellStyle name="Comma 51 11" xfId="2239" xr:uid="{00000000-0005-0000-0000-000089240000}"/>
    <cellStyle name="Comma 51 11 2" xfId="2240" xr:uid="{00000000-0005-0000-0000-00008A240000}"/>
    <cellStyle name="Comma 51 12" xfId="2241" xr:uid="{00000000-0005-0000-0000-00008B240000}"/>
    <cellStyle name="Comma 51 2" xfId="2242" xr:uid="{00000000-0005-0000-0000-00008C240000}"/>
    <cellStyle name="Comma 51 2 2" xfId="2243" xr:uid="{00000000-0005-0000-0000-00008D240000}"/>
    <cellStyle name="Comma 51 2 2 2" xfId="2244" xr:uid="{00000000-0005-0000-0000-00008E240000}"/>
    <cellStyle name="Comma 51 2 2 2 2" xfId="2245" xr:uid="{00000000-0005-0000-0000-00008F240000}"/>
    <cellStyle name="Comma 51 2 2 3" xfId="2246" xr:uid="{00000000-0005-0000-0000-000090240000}"/>
    <cellStyle name="Comma 51 2 3" xfId="2247" xr:uid="{00000000-0005-0000-0000-000091240000}"/>
    <cellStyle name="Comma 51 2 3 2" xfId="2248" xr:uid="{00000000-0005-0000-0000-000092240000}"/>
    <cellStyle name="Comma 51 2 4" xfId="2249" xr:uid="{00000000-0005-0000-0000-000093240000}"/>
    <cellStyle name="Comma 51 2 4 2" xfId="2250" xr:uid="{00000000-0005-0000-0000-000094240000}"/>
    <cellStyle name="Comma 51 2 5" xfId="2251" xr:uid="{00000000-0005-0000-0000-000095240000}"/>
    <cellStyle name="Comma 51 3" xfId="2252" xr:uid="{00000000-0005-0000-0000-000096240000}"/>
    <cellStyle name="Comma 51 3 2" xfId="2253" xr:uid="{00000000-0005-0000-0000-000097240000}"/>
    <cellStyle name="Comma 51 3 2 2" xfId="2254" xr:uid="{00000000-0005-0000-0000-000098240000}"/>
    <cellStyle name="Comma 51 3 2 2 2" xfId="2255" xr:uid="{00000000-0005-0000-0000-000099240000}"/>
    <cellStyle name="Comma 51 3 2 3" xfId="2256" xr:uid="{00000000-0005-0000-0000-00009A240000}"/>
    <cellStyle name="Comma 51 3 3" xfId="2257" xr:uid="{00000000-0005-0000-0000-00009B240000}"/>
    <cellStyle name="Comma 51 3 3 2" xfId="2258" xr:uid="{00000000-0005-0000-0000-00009C240000}"/>
    <cellStyle name="Comma 51 3 4" xfId="2259" xr:uid="{00000000-0005-0000-0000-00009D240000}"/>
    <cellStyle name="Comma 51 3 4 2" xfId="2260" xr:uid="{00000000-0005-0000-0000-00009E240000}"/>
    <cellStyle name="Comma 51 3 5" xfId="2261" xr:uid="{00000000-0005-0000-0000-00009F240000}"/>
    <cellStyle name="Comma 51 4" xfId="2262" xr:uid="{00000000-0005-0000-0000-0000A0240000}"/>
    <cellStyle name="Comma 51 4 2" xfId="2263" xr:uid="{00000000-0005-0000-0000-0000A1240000}"/>
    <cellStyle name="Comma 51 4 2 2" xfId="2264" xr:uid="{00000000-0005-0000-0000-0000A2240000}"/>
    <cellStyle name="Comma 51 4 2 2 2" xfId="2265" xr:uid="{00000000-0005-0000-0000-0000A3240000}"/>
    <cellStyle name="Comma 51 4 2 3" xfId="2266" xr:uid="{00000000-0005-0000-0000-0000A4240000}"/>
    <cellStyle name="Comma 51 4 3" xfId="2267" xr:uid="{00000000-0005-0000-0000-0000A5240000}"/>
    <cellStyle name="Comma 51 4 3 2" xfId="2268" xr:uid="{00000000-0005-0000-0000-0000A6240000}"/>
    <cellStyle name="Comma 51 4 4" xfId="2269" xr:uid="{00000000-0005-0000-0000-0000A7240000}"/>
    <cellStyle name="Comma 51 4 4 2" xfId="2270" xr:uid="{00000000-0005-0000-0000-0000A8240000}"/>
    <cellStyle name="Comma 51 4 5" xfId="2271" xr:uid="{00000000-0005-0000-0000-0000A9240000}"/>
    <cellStyle name="Comma 51 5" xfId="2272" xr:uid="{00000000-0005-0000-0000-0000AA240000}"/>
    <cellStyle name="Comma 51 5 2" xfId="2273" xr:uid="{00000000-0005-0000-0000-0000AB240000}"/>
    <cellStyle name="Comma 51 5 2 2" xfId="2274" xr:uid="{00000000-0005-0000-0000-0000AC240000}"/>
    <cellStyle name="Comma 51 5 2 2 2" xfId="2275" xr:uid="{00000000-0005-0000-0000-0000AD240000}"/>
    <cellStyle name="Comma 51 5 2 3" xfId="2276" xr:uid="{00000000-0005-0000-0000-0000AE240000}"/>
    <cellStyle name="Comma 51 5 3" xfId="2277" xr:uid="{00000000-0005-0000-0000-0000AF240000}"/>
    <cellStyle name="Comma 51 5 3 2" xfId="2278" xr:uid="{00000000-0005-0000-0000-0000B0240000}"/>
    <cellStyle name="Comma 51 5 4" xfId="2279" xr:uid="{00000000-0005-0000-0000-0000B1240000}"/>
    <cellStyle name="Comma 51 5 4 2" xfId="2280" xr:uid="{00000000-0005-0000-0000-0000B2240000}"/>
    <cellStyle name="Comma 51 5 5" xfId="2281" xr:uid="{00000000-0005-0000-0000-0000B3240000}"/>
    <cellStyle name="Comma 51 6" xfId="2282" xr:uid="{00000000-0005-0000-0000-0000B4240000}"/>
    <cellStyle name="Comma 51 6 2" xfId="2283" xr:uid="{00000000-0005-0000-0000-0000B5240000}"/>
    <cellStyle name="Comma 51 6 2 2" xfId="2284" xr:uid="{00000000-0005-0000-0000-0000B6240000}"/>
    <cellStyle name="Comma 51 6 2 2 2" xfId="2285" xr:uid="{00000000-0005-0000-0000-0000B7240000}"/>
    <cellStyle name="Comma 51 6 2 3" xfId="2286" xr:uid="{00000000-0005-0000-0000-0000B8240000}"/>
    <cellStyle name="Comma 51 6 3" xfId="2287" xr:uid="{00000000-0005-0000-0000-0000B9240000}"/>
    <cellStyle name="Comma 51 6 3 2" xfId="2288" xr:uid="{00000000-0005-0000-0000-0000BA240000}"/>
    <cellStyle name="Comma 51 6 4" xfId="2289" xr:uid="{00000000-0005-0000-0000-0000BB240000}"/>
    <cellStyle name="Comma 51 6 4 2" xfId="2290" xr:uid="{00000000-0005-0000-0000-0000BC240000}"/>
    <cellStyle name="Comma 51 6 5" xfId="2291" xr:uid="{00000000-0005-0000-0000-0000BD240000}"/>
    <cellStyle name="Comma 51 7" xfId="2292" xr:uid="{00000000-0005-0000-0000-0000BE240000}"/>
    <cellStyle name="Comma 51 7 2" xfId="2293" xr:uid="{00000000-0005-0000-0000-0000BF240000}"/>
    <cellStyle name="Comma 51 7 2 2" xfId="2294" xr:uid="{00000000-0005-0000-0000-0000C0240000}"/>
    <cellStyle name="Comma 51 7 2 2 2" xfId="2295" xr:uid="{00000000-0005-0000-0000-0000C1240000}"/>
    <cellStyle name="Comma 51 7 2 3" xfId="2296" xr:uid="{00000000-0005-0000-0000-0000C2240000}"/>
    <cellStyle name="Comma 51 7 3" xfId="2297" xr:uid="{00000000-0005-0000-0000-0000C3240000}"/>
    <cellStyle name="Comma 51 7 3 2" xfId="2298" xr:uid="{00000000-0005-0000-0000-0000C4240000}"/>
    <cellStyle name="Comma 51 7 4" xfId="2299" xr:uid="{00000000-0005-0000-0000-0000C5240000}"/>
    <cellStyle name="Comma 51 8" xfId="2300" xr:uid="{00000000-0005-0000-0000-0000C6240000}"/>
    <cellStyle name="Comma 51 8 2" xfId="2301" xr:uid="{00000000-0005-0000-0000-0000C7240000}"/>
    <cellStyle name="Comma 51 8 2 2" xfId="2302" xr:uid="{00000000-0005-0000-0000-0000C8240000}"/>
    <cellStyle name="Comma 51 8 2 2 2" xfId="2303" xr:uid="{00000000-0005-0000-0000-0000C9240000}"/>
    <cellStyle name="Comma 51 8 2 3" xfId="2304" xr:uid="{00000000-0005-0000-0000-0000CA240000}"/>
    <cellStyle name="Comma 51 8 3" xfId="2305" xr:uid="{00000000-0005-0000-0000-0000CB240000}"/>
    <cellStyle name="Comma 51 8 3 2" xfId="2306" xr:uid="{00000000-0005-0000-0000-0000CC240000}"/>
    <cellStyle name="Comma 51 8 4" xfId="2307" xr:uid="{00000000-0005-0000-0000-0000CD240000}"/>
    <cellStyle name="Comma 51 9" xfId="2308" xr:uid="{00000000-0005-0000-0000-0000CE240000}"/>
    <cellStyle name="Comma 51 9 2" xfId="2309" xr:uid="{00000000-0005-0000-0000-0000CF240000}"/>
    <cellStyle name="Comma 51 9 2 2" xfId="2310" xr:uid="{00000000-0005-0000-0000-0000D0240000}"/>
    <cellStyle name="Comma 51 9 3" xfId="2311" xr:uid="{00000000-0005-0000-0000-0000D1240000}"/>
    <cellStyle name="Comma 52" xfId="2312" xr:uid="{00000000-0005-0000-0000-0000D2240000}"/>
    <cellStyle name="Comma 52 10" xfId="2313" xr:uid="{00000000-0005-0000-0000-0000D3240000}"/>
    <cellStyle name="Comma 52 10 2" xfId="2314" xr:uid="{00000000-0005-0000-0000-0000D4240000}"/>
    <cellStyle name="Comma 52 11" xfId="2315" xr:uid="{00000000-0005-0000-0000-0000D5240000}"/>
    <cellStyle name="Comma 52 11 2" xfId="2316" xr:uid="{00000000-0005-0000-0000-0000D6240000}"/>
    <cellStyle name="Comma 52 12" xfId="2317" xr:uid="{00000000-0005-0000-0000-0000D7240000}"/>
    <cellStyle name="Comma 52 2" xfId="2318" xr:uid="{00000000-0005-0000-0000-0000D8240000}"/>
    <cellStyle name="Comma 52 2 2" xfId="2319" xr:uid="{00000000-0005-0000-0000-0000D9240000}"/>
    <cellStyle name="Comma 52 2 2 2" xfId="2320" xr:uid="{00000000-0005-0000-0000-0000DA240000}"/>
    <cellStyle name="Comma 52 2 2 2 2" xfId="2321" xr:uid="{00000000-0005-0000-0000-0000DB240000}"/>
    <cellStyle name="Comma 52 2 2 3" xfId="2322" xr:uid="{00000000-0005-0000-0000-0000DC240000}"/>
    <cellStyle name="Comma 52 2 3" xfId="2323" xr:uid="{00000000-0005-0000-0000-0000DD240000}"/>
    <cellStyle name="Comma 52 2 3 2" xfId="2324" xr:uid="{00000000-0005-0000-0000-0000DE240000}"/>
    <cellStyle name="Comma 52 2 4" xfId="2325" xr:uid="{00000000-0005-0000-0000-0000DF240000}"/>
    <cellStyle name="Comma 52 2 4 2" xfId="2326" xr:uid="{00000000-0005-0000-0000-0000E0240000}"/>
    <cellStyle name="Comma 52 2 5" xfId="2327" xr:uid="{00000000-0005-0000-0000-0000E1240000}"/>
    <cellStyle name="Comma 52 3" xfId="2328" xr:uid="{00000000-0005-0000-0000-0000E2240000}"/>
    <cellStyle name="Comma 52 3 2" xfId="2329" xr:uid="{00000000-0005-0000-0000-0000E3240000}"/>
    <cellStyle name="Comma 52 3 2 2" xfId="2330" xr:uid="{00000000-0005-0000-0000-0000E4240000}"/>
    <cellStyle name="Comma 52 3 2 2 2" xfId="2331" xr:uid="{00000000-0005-0000-0000-0000E5240000}"/>
    <cellStyle name="Comma 52 3 2 3" xfId="2332" xr:uid="{00000000-0005-0000-0000-0000E6240000}"/>
    <cellStyle name="Comma 52 3 3" xfId="2333" xr:uid="{00000000-0005-0000-0000-0000E7240000}"/>
    <cellStyle name="Comma 52 3 3 2" xfId="2334" xr:uid="{00000000-0005-0000-0000-0000E8240000}"/>
    <cellStyle name="Comma 52 3 4" xfId="2335" xr:uid="{00000000-0005-0000-0000-0000E9240000}"/>
    <cellStyle name="Comma 52 3 4 2" xfId="2336" xr:uid="{00000000-0005-0000-0000-0000EA240000}"/>
    <cellStyle name="Comma 52 3 5" xfId="2337" xr:uid="{00000000-0005-0000-0000-0000EB240000}"/>
    <cellStyle name="Comma 52 4" xfId="2338" xr:uid="{00000000-0005-0000-0000-0000EC240000}"/>
    <cellStyle name="Comma 52 4 2" xfId="2339" xr:uid="{00000000-0005-0000-0000-0000ED240000}"/>
    <cellStyle name="Comma 52 4 2 2" xfId="2340" xr:uid="{00000000-0005-0000-0000-0000EE240000}"/>
    <cellStyle name="Comma 52 4 2 2 2" xfId="2341" xr:uid="{00000000-0005-0000-0000-0000EF240000}"/>
    <cellStyle name="Comma 52 4 2 3" xfId="2342" xr:uid="{00000000-0005-0000-0000-0000F0240000}"/>
    <cellStyle name="Comma 52 4 3" xfId="2343" xr:uid="{00000000-0005-0000-0000-0000F1240000}"/>
    <cellStyle name="Comma 52 4 3 2" xfId="2344" xr:uid="{00000000-0005-0000-0000-0000F2240000}"/>
    <cellStyle name="Comma 52 4 4" xfId="2345" xr:uid="{00000000-0005-0000-0000-0000F3240000}"/>
    <cellStyle name="Comma 52 4 4 2" xfId="2346" xr:uid="{00000000-0005-0000-0000-0000F4240000}"/>
    <cellStyle name="Comma 52 4 5" xfId="2347" xr:uid="{00000000-0005-0000-0000-0000F5240000}"/>
    <cellStyle name="Comma 52 5" xfId="2348" xr:uid="{00000000-0005-0000-0000-0000F6240000}"/>
    <cellStyle name="Comma 52 5 2" xfId="2349" xr:uid="{00000000-0005-0000-0000-0000F7240000}"/>
    <cellStyle name="Comma 52 5 2 2" xfId="2350" xr:uid="{00000000-0005-0000-0000-0000F8240000}"/>
    <cellStyle name="Comma 52 5 2 2 2" xfId="2351" xr:uid="{00000000-0005-0000-0000-0000F9240000}"/>
    <cellStyle name="Comma 52 5 2 3" xfId="2352" xr:uid="{00000000-0005-0000-0000-0000FA240000}"/>
    <cellStyle name="Comma 52 5 3" xfId="2353" xr:uid="{00000000-0005-0000-0000-0000FB240000}"/>
    <cellStyle name="Comma 52 5 3 2" xfId="2354" xr:uid="{00000000-0005-0000-0000-0000FC240000}"/>
    <cellStyle name="Comma 52 5 4" xfId="2355" xr:uid="{00000000-0005-0000-0000-0000FD240000}"/>
    <cellStyle name="Comma 52 5 4 2" xfId="2356" xr:uid="{00000000-0005-0000-0000-0000FE240000}"/>
    <cellStyle name="Comma 52 5 5" xfId="2357" xr:uid="{00000000-0005-0000-0000-0000FF240000}"/>
    <cellStyle name="Comma 52 6" xfId="2358" xr:uid="{00000000-0005-0000-0000-000000250000}"/>
    <cellStyle name="Comma 52 6 2" xfId="2359" xr:uid="{00000000-0005-0000-0000-000001250000}"/>
    <cellStyle name="Comma 52 6 2 2" xfId="2360" xr:uid="{00000000-0005-0000-0000-000002250000}"/>
    <cellStyle name="Comma 52 6 2 2 2" xfId="2361" xr:uid="{00000000-0005-0000-0000-000003250000}"/>
    <cellStyle name="Comma 52 6 2 3" xfId="2362" xr:uid="{00000000-0005-0000-0000-000004250000}"/>
    <cellStyle name="Comma 52 6 3" xfId="2363" xr:uid="{00000000-0005-0000-0000-000005250000}"/>
    <cellStyle name="Comma 52 6 3 2" xfId="2364" xr:uid="{00000000-0005-0000-0000-000006250000}"/>
    <cellStyle name="Comma 52 6 4" xfId="2365" xr:uid="{00000000-0005-0000-0000-000007250000}"/>
    <cellStyle name="Comma 52 6 4 2" xfId="2366" xr:uid="{00000000-0005-0000-0000-000008250000}"/>
    <cellStyle name="Comma 52 6 5" xfId="2367" xr:uid="{00000000-0005-0000-0000-000009250000}"/>
    <cellStyle name="Comma 52 7" xfId="2368" xr:uid="{00000000-0005-0000-0000-00000A250000}"/>
    <cellStyle name="Comma 52 7 2" xfId="2369" xr:uid="{00000000-0005-0000-0000-00000B250000}"/>
    <cellStyle name="Comma 52 7 2 2" xfId="2370" xr:uid="{00000000-0005-0000-0000-00000C250000}"/>
    <cellStyle name="Comma 52 7 2 2 2" xfId="2371" xr:uid="{00000000-0005-0000-0000-00000D250000}"/>
    <cellStyle name="Comma 52 7 2 3" xfId="2372" xr:uid="{00000000-0005-0000-0000-00000E250000}"/>
    <cellStyle name="Comma 52 7 3" xfId="2373" xr:uid="{00000000-0005-0000-0000-00000F250000}"/>
    <cellStyle name="Comma 52 7 3 2" xfId="2374" xr:uid="{00000000-0005-0000-0000-000010250000}"/>
    <cellStyle name="Comma 52 7 4" xfId="2375" xr:uid="{00000000-0005-0000-0000-000011250000}"/>
    <cellStyle name="Comma 52 8" xfId="2376" xr:uid="{00000000-0005-0000-0000-000012250000}"/>
    <cellStyle name="Comma 52 8 2" xfId="2377" xr:uid="{00000000-0005-0000-0000-000013250000}"/>
    <cellStyle name="Comma 52 8 2 2" xfId="2378" xr:uid="{00000000-0005-0000-0000-000014250000}"/>
    <cellStyle name="Comma 52 8 2 2 2" xfId="2379" xr:uid="{00000000-0005-0000-0000-000015250000}"/>
    <cellStyle name="Comma 52 8 2 3" xfId="2380" xr:uid="{00000000-0005-0000-0000-000016250000}"/>
    <cellStyle name="Comma 52 8 3" xfId="2381" xr:uid="{00000000-0005-0000-0000-000017250000}"/>
    <cellStyle name="Comma 52 8 3 2" xfId="2382" xr:uid="{00000000-0005-0000-0000-000018250000}"/>
    <cellStyle name="Comma 52 8 4" xfId="2383" xr:uid="{00000000-0005-0000-0000-000019250000}"/>
    <cellStyle name="Comma 52 9" xfId="2384" xr:uid="{00000000-0005-0000-0000-00001A250000}"/>
    <cellStyle name="Comma 52 9 2" xfId="2385" xr:uid="{00000000-0005-0000-0000-00001B250000}"/>
    <cellStyle name="Comma 52 9 2 2" xfId="2386" xr:uid="{00000000-0005-0000-0000-00001C250000}"/>
    <cellStyle name="Comma 52 9 3" xfId="2387" xr:uid="{00000000-0005-0000-0000-00001D250000}"/>
    <cellStyle name="Comma 53" xfId="2388" xr:uid="{00000000-0005-0000-0000-00001E250000}"/>
    <cellStyle name="Comma 53 10" xfId="2389" xr:uid="{00000000-0005-0000-0000-00001F250000}"/>
    <cellStyle name="Comma 53 10 2" xfId="2390" xr:uid="{00000000-0005-0000-0000-000020250000}"/>
    <cellStyle name="Comma 53 11" xfId="2391" xr:uid="{00000000-0005-0000-0000-000021250000}"/>
    <cellStyle name="Comma 53 11 2" xfId="2392" xr:uid="{00000000-0005-0000-0000-000022250000}"/>
    <cellStyle name="Comma 53 12" xfId="2393" xr:uid="{00000000-0005-0000-0000-000023250000}"/>
    <cellStyle name="Comma 53 2" xfId="2394" xr:uid="{00000000-0005-0000-0000-000024250000}"/>
    <cellStyle name="Comma 53 2 2" xfId="2395" xr:uid="{00000000-0005-0000-0000-000025250000}"/>
    <cellStyle name="Comma 53 2 2 2" xfId="2396" xr:uid="{00000000-0005-0000-0000-000026250000}"/>
    <cellStyle name="Comma 53 2 2 2 2" xfId="2397" xr:uid="{00000000-0005-0000-0000-000027250000}"/>
    <cellStyle name="Comma 53 2 2 3" xfId="2398" xr:uid="{00000000-0005-0000-0000-000028250000}"/>
    <cellStyle name="Comma 53 2 3" xfId="2399" xr:uid="{00000000-0005-0000-0000-000029250000}"/>
    <cellStyle name="Comma 53 2 3 2" xfId="2400" xr:uid="{00000000-0005-0000-0000-00002A250000}"/>
    <cellStyle name="Comma 53 2 4" xfId="2401" xr:uid="{00000000-0005-0000-0000-00002B250000}"/>
    <cellStyle name="Comma 53 2 4 2" xfId="2402" xr:uid="{00000000-0005-0000-0000-00002C250000}"/>
    <cellStyle name="Comma 53 2 5" xfId="2403" xr:uid="{00000000-0005-0000-0000-00002D250000}"/>
    <cellStyle name="Comma 53 3" xfId="2404" xr:uid="{00000000-0005-0000-0000-00002E250000}"/>
    <cellStyle name="Comma 53 3 2" xfId="2405" xr:uid="{00000000-0005-0000-0000-00002F250000}"/>
    <cellStyle name="Comma 53 3 2 2" xfId="2406" xr:uid="{00000000-0005-0000-0000-000030250000}"/>
    <cellStyle name="Comma 53 3 2 2 2" xfId="2407" xr:uid="{00000000-0005-0000-0000-000031250000}"/>
    <cellStyle name="Comma 53 3 2 3" xfId="2408" xr:uid="{00000000-0005-0000-0000-000032250000}"/>
    <cellStyle name="Comma 53 3 3" xfId="2409" xr:uid="{00000000-0005-0000-0000-000033250000}"/>
    <cellStyle name="Comma 53 3 3 2" xfId="2410" xr:uid="{00000000-0005-0000-0000-000034250000}"/>
    <cellStyle name="Comma 53 3 4" xfId="2411" xr:uid="{00000000-0005-0000-0000-000035250000}"/>
    <cellStyle name="Comma 53 3 4 2" xfId="2412" xr:uid="{00000000-0005-0000-0000-000036250000}"/>
    <cellStyle name="Comma 53 3 5" xfId="2413" xr:uid="{00000000-0005-0000-0000-000037250000}"/>
    <cellStyle name="Comma 53 4" xfId="2414" xr:uid="{00000000-0005-0000-0000-000038250000}"/>
    <cellStyle name="Comma 53 4 2" xfId="2415" xr:uid="{00000000-0005-0000-0000-000039250000}"/>
    <cellStyle name="Comma 53 4 2 2" xfId="2416" xr:uid="{00000000-0005-0000-0000-00003A250000}"/>
    <cellStyle name="Comma 53 4 2 2 2" xfId="2417" xr:uid="{00000000-0005-0000-0000-00003B250000}"/>
    <cellStyle name="Comma 53 4 2 3" xfId="2418" xr:uid="{00000000-0005-0000-0000-00003C250000}"/>
    <cellStyle name="Comma 53 4 3" xfId="2419" xr:uid="{00000000-0005-0000-0000-00003D250000}"/>
    <cellStyle name="Comma 53 4 3 2" xfId="2420" xr:uid="{00000000-0005-0000-0000-00003E250000}"/>
    <cellStyle name="Comma 53 4 4" xfId="2421" xr:uid="{00000000-0005-0000-0000-00003F250000}"/>
    <cellStyle name="Comma 53 4 4 2" xfId="2422" xr:uid="{00000000-0005-0000-0000-000040250000}"/>
    <cellStyle name="Comma 53 4 5" xfId="2423" xr:uid="{00000000-0005-0000-0000-000041250000}"/>
    <cellStyle name="Comma 53 5" xfId="2424" xr:uid="{00000000-0005-0000-0000-000042250000}"/>
    <cellStyle name="Comma 53 5 2" xfId="2425" xr:uid="{00000000-0005-0000-0000-000043250000}"/>
    <cellStyle name="Comma 53 5 2 2" xfId="2426" xr:uid="{00000000-0005-0000-0000-000044250000}"/>
    <cellStyle name="Comma 53 5 2 2 2" xfId="2427" xr:uid="{00000000-0005-0000-0000-000045250000}"/>
    <cellStyle name="Comma 53 5 2 3" xfId="2428" xr:uid="{00000000-0005-0000-0000-000046250000}"/>
    <cellStyle name="Comma 53 5 3" xfId="2429" xr:uid="{00000000-0005-0000-0000-000047250000}"/>
    <cellStyle name="Comma 53 5 3 2" xfId="2430" xr:uid="{00000000-0005-0000-0000-000048250000}"/>
    <cellStyle name="Comma 53 5 4" xfId="2431" xr:uid="{00000000-0005-0000-0000-000049250000}"/>
    <cellStyle name="Comma 53 5 4 2" xfId="2432" xr:uid="{00000000-0005-0000-0000-00004A250000}"/>
    <cellStyle name="Comma 53 5 5" xfId="2433" xr:uid="{00000000-0005-0000-0000-00004B250000}"/>
    <cellStyle name="Comma 53 6" xfId="2434" xr:uid="{00000000-0005-0000-0000-00004C250000}"/>
    <cellStyle name="Comma 53 6 2" xfId="2435" xr:uid="{00000000-0005-0000-0000-00004D250000}"/>
    <cellStyle name="Comma 53 6 2 2" xfId="2436" xr:uid="{00000000-0005-0000-0000-00004E250000}"/>
    <cellStyle name="Comma 53 6 2 2 2" xfId="2437" xr:uid="{00000000-0005-0000-0000-00004F250000}"/>
    <cellStyle name="Comma 53 6 2 3" xfId="2438" xr:uid="{00000000-0005-0000-0000-000050250000}"/>
    <cellStyle name="Comma 53 6 3" xfId="2439" xr:uid="{00000000-0005-0000-0000-000051250000}"/>
    <cellStyle name="Comma 53 6 3 2" xfId="2440" xr:uid="{00000000-0005-0000-0000-000052250000}"/>
    <cellStyle name="Comma 53 6 4" xfId="2441" xr:uid="{00000000-0005-0000-0000-000053250000}"/>
    <cellStyle name="Comma 53 6 4 2" xfId="2442" xr:uid="{00000000-0005-0000-0000-000054250000}"/>
    <cellStyle name="Comma 53 6 5" xfId="2443" xr:uid="{00000000-0005-0000-0000-000055250000}"/>
    <cellStyle name="Comma 53 7" xfId="2444" xr:uid="{00000000-0005-0000-0000-000056250000}"/>
    <cellStyle name="Comma 53 7 2" xfId="2445" xr:uid="{00000000-0005-0000-0000-000057250000}"/>
    <cellStyle name="Comma 53 7 2 2" xfId="2446" xr:uid="{00000000-0005-0000-0000-000058250000}"/>
    <cellStyle name="Comma 53 7 2 2 2" xfId="2447" xr:uid="{00000000-0005-0000-0000-000059250000}"/>
    <cellStyle name="Comma 53 7 2 3" xfId="2448" xr:uid="{00000000-0005-0000-0000-00005A250000}"/>
    <cellStyle name="Comma 53 7 3" xfId="2449" xr:uid="{00000000-0005-0000-0000-00005B250000}"/>
    <cellStyle name="Comma 53 7 3 2" xfId="2450" xr:uid="{00000000-0005-0000-0000-00005C250000}"/>
    <cellStyle name="Comma 53 7 4" xfId="2451" xr:uid="{00000000-0005-0000-0000-00005D250000}"/>
    <cellStyle name="Comma 53 8" xfId="2452" xr:uid="{00000000-0005-0000-0000-00005E250000}"/>
    <cellStyle name="Comma 53 8 2" xfId="2453" xr:uid="{00000000-0005-0000-0000-00005F250000}"/>
    <cellStyle name="Comma 53 8 2 2" xfId="2454" xr:uid="{00000000-0005-0000-0000-000060250000}"/>
    <cellStyle name="Comma 53 8 2 2 2" xfId="2455" xr:uid="{00000000-0005-0000-0000-000061250000}"/>
    <cellStyle name="Comma 53 8 2 3" xfId="2456" xr:uid="{00000000-0005-0000-0000-000062250000}"/>
    <cellStyle name="Comma 53 8 3" xfId="2457" xr:uid="{00000000-0005-0000-0000-000063250000}"/>
    <cellStyle name="Comma 53 8 3 2" xfId="2458" xr:uid="{00000000-0005-0000-0000-000064250000}"/>
    <cellStyle name="Comma 53 8 4" xfId="2459" xr:uid="{00000000-0005-0000-0000-000065250000}"/>
    <cellStyle name="Comma 53 9" xfId="2460" xr:uid="{00000000-0005-0000-0000-000066250000}"/>
    <cellStyle name="Comma 53 9 2" xfId="2461" xr:uid="{00000000-0005-0000-0000-000067250000}"/>
    <cellStyle name="Comma 53 9 2 2" xfId="2462" xr:uid="{00000000-0005-0000-0000-000068250000}"/>
    <cellStyle name="Comma 53 9 3" xfId="2463" xr:uid="{00000000-0005-0000-0000-000069250000}"/>
    <cellStyle name="Comma 54" xfId="2464" xr:uid="{00000000-0005-0000-0000-00006A250000}"/>
    <cellStyle name="Comma 54 10" xfId="2465" xr:uid="{00000000-0005-0000-0000-00006B250000}"/>
    <cellStyle name="Comma 54 10 2" xfId="2466" xr:uid="{00000000-0005-0000-0000-00006C250000}"/>
    <cellStyle name="Comma 54 11" xfId="2467" xr:uid="{00000000-0005-0000-0000-00006D250000}"/>
    <cellStyle name="Comma 54 11 2" xfId="2468" xr:uid="{00000000-0005-0000-0000-00006E250000}"/>
    <cellStyle name="Comma 54 12" xfId="2469" xr:uid="{00000000-0005-0000-0000-00006F250000}"/>
    <cellStyle name="Comma 54 2" xfId="2470" xr:uid="{00000000-0005-0000-0000-000070250000}"/>
    <cellStyle name="Comma 54 2 2" xfId="2471" xr:uid="{00000000-0005-0000-0000-000071250000}"/>
    <cellStyle name="Comma 54 2 2 2" xfId="2472" xr:uid="{00000000-0005-0000-0000-000072250000}"/>
    <cellStyle name="Comma 54 2 2 2 2" xfId="2473" xr:uid="{00000000-0005-0000-0000-000073250000}"/>
    <cellStyle name="Comma 54 2 2 3" xfId="2474" xr:uid="{00000000-0005-0000-0000-000074250000}"/>
    <cellStyle name="Comma 54 2 3" xfId="2475" xr:uid="{00000000-0005-0000-0000-000075250000}"/>
    <cellStyle name="Comma 54 2 3 2" xfId="2476" xr:uid="{00000000-0005-0000-0000-000076250000}"/>
    <cellStyle name="Comma 54 2 4" xfId="2477" xr:uid="{00000000-0005-0000-0000-000077250000}"/>
    <cellStyle name="Comma 54 2 4 2" xfId="2478" xr:uid="{00000000-0005-0000-0000-000078250000}"/>
    <cellStyle name="Comma 54 2 5" xfId="2479" xr:uid="{00000000-0005-0000-0000-000079250000}"/>
    <cellStyle name="Comma 54 3" xfId="2480" xr:uid="{00000000-0005-0000-0000-00007A250000}"/>
    <cellStyle name="Comma 54 3 2" xfId="2481" xr:uid="{00000000-0005-0000-0000-00007B250000}"/>
    <cellStyle name="Comma 54 3 2 2" xfId="2482" xr:uid="{00000000-0005-0000-0000-00007C250000}"/>
    <cellStyle name="Comma 54 3 2 2 2" xfId="2483" xr:uid="{00000000-0005-0000-0000-00007D250000}"/>
    <cellStyle name="Comma 54 3 2 3" xfId="2484" xr:uid="{00000000-0005-0000-0000-00007E250000}"/>
    <cellStyle name="Comma 54 3 3" xfId="2485" xr:uid="{00000000-0005-0000-0000-00007F250000}"/>
    <cellStyle name="Comma 54 3 3 2" xfId="2486" xr:uid="{00000000-0005-0000-0000-000080250000}"/>
    <cellStyle name="Comma 54 3 4" xfId="2487" xr:uid="{00000000-0005-0000-0000-000081250000}"/>
    <cellStyle name="Comma 54 3 4 2" xfId="2488" xr:uid="{00000000-0005-0000-0000-000082250000}"/>
    <cellStyle name="Comma 54 3 5" xfId="2489" xr:uid="{00000000-0005-0000-0000-000083250000}"/>
    <cellStyle name="Comma 54 4" xfId="2490" xr:uid="{00000000-0005-0000-0000-000084250000}"/>
    <cellStyle name="Comma 54 4 2" xfId="2491" xr:uid="{00000000-0005-0000-0000-000085250000}"/>
    <cellStyle name="Comma 54 4 2 2" xfId="2492" xr:uid="{00000000-0005-0000-0000-000086250000}"/>
    <cellStyle name="Comma 54 4 2 2 2" xfId="2493" xr:uid="{00000000-0005-0000-0000-000087250000}"/>
    <cellStyle name="Comma 54 4 2 3" xfId="2494" xr:uid="{00000000-0005-0000-0000-000088250000}"/>
    <cellStyle name="Comma 54 4 3" xfId="2495" xr:uid="{00000000-0005-0000-0000-000089250000}"/>
    <cellStyle name="Comma 54 4 3 2" xfId="2496" xr:uid="{00000000-0005-0000-0000-00008A250000}"/>
    <cellStyle name="Comma 54 4 4" xfId="2497" xr:uid="{00000000-0005-0000-0000-00008B250000}"/>
    <cellStyle name="Comma 54 4 4 2" xfId="2498" xr:uid="{00000000-0005-0000-0000-00008C250000}"/>
    <cellStyle name="Comma 54 4 5" xfId="2499" xr:uid="{00000000-0005-0000-0000-00008D250000}"/>
    <cellStyle name="Comma 54 5" xfId="2500" xr:uid="{00000000-0005-0000-0000-00008E250000}"/>
    <cellStyle name="Comma 54 5 2" xfId="2501" xr:uid="{00000000-0005-0000-0000-00008F250000}"/>
    <cellStyle name="Comma 54 5 2 2" xfId="2502" xr:uid="{00000000-0005-0000-0000-000090250000}"/>
    <cellStyle name="Comma 54 5 2 2 2" xfId="2503" xr:uid="{00000000-0005-0000-0000-000091250000}"/>
    <cellStyle name="Comma 54 5 2 3" xfId="2504" xr:uid="{00000000-0005-0000-0000-000092250000}"/>
    <cellStyle name="Comma 54 5 3" xfId="2505" xr:uid="{00000000-0005-0000-0000-000093250000}"/>
    <cellStyle name="Comma 54 5 3 2" xfId="2506" xr:uid="{00000000-0005-0000-0000-000094250000}"/>
    <cellStyle name="Comma 54 5 4" xfId="2507" xr:uid="{00000000-0005-0000-0000-000095250000}"/>
    <cellStyle name="Comma 54 5 4 2" xfId="2508" xr:uid="{00000000-0005-0000-0000-000096250000}"/>
    <cellStyle name="Comma 54 5 5" xfId="2509" xr:uid="{00000000-0005-0000-0000-000097250000}"/>
    <cellStyle name="Comma 54 6" xfId="2510" xr:uid="{00000000-0005-0000-0000-000098250000}"/>
    <cellStyle name="Comma 54 6 2" xfId="2511" xr:uid="{00000000-0005-0000-0000-000099250000}"/>
    <cellStyle name="Comma 54 6 2 2" xfId="2512" xr:uid="{00000000-0005-0000-0000-00009A250000}"/>
    <cellStyle name="Comma 54 6 2 2 2" xfId="2513" xr:uid="{00000000-0005-0000-0000-00009B250000}"/>
    <cellStyle name="Comma 54 6 2 3" xfId="2514" xr:uid="{00000000-0005-0000-0000-00009C250000}"/>
    <cellStyle name="Comma 54 6 3" xfId="2515" xr:uid="{00000000-0005-0000-0000-00009D250000}"/>
    <cellStyle name="Comma 54 6 3 2" xfId="2516" xr:uid="{00000000-0005-0000-0000-00009E250000}"/>
    <cellStyle name="Comma 54 6 4" xfId="2517" xr:uid="{00000000-0005-0000-0000-00009F250000}"/>
    <cellStyle name="Comma 54 6 4 2" xfId="2518" xr:uid="{00000000-0005-0000-0000-0000A0250000}"/>
    <cellStyle name="Comma 54 6 5" xfId="2519" xr:uid="{00000000-0005-0000-0000-0000A1250000}"/>
    <cellStyle name="Comma 54 7" xfId="2520" xr:uid="{00000000-0005-0000-0000-0000A2250000}"/>
    <cellStyle name="Comma 54 7 2" xfId="2521" xr:uid="{00000000-0005-0000-0000-0000A3250000}"/>
    <cellStyle name="Comma 54 7 2 2" xfId="2522" xr:uid="{00000000-0005-0000-0000-0000A4250000}"/>
    <cellStyle name="Comma 54 7 2 2 2" xfId="2523" xr:uid="{00000000-0005-0000-0000-0000A5250000}"/>
    <cellStyle name="Comma 54 7 2 3" xfId="2524" xr:uid="{00000000-0005-0000-0000-0000A6250000}"/>
    <cellStyle name="Comma 54 7 3" xfId="2525" xr:uid="{00000000-0005-0000-0000-0000A7250000}"/>
    <cellStyle name="Comma 54 7 3 2" xfId="2526" xr:uid="{00000000-0005-0000-0000-0000A8250000}"/>
    <cellStyle name="Comma 54 7 4" xfId="2527" xr:uid="{00000000-0005-0000-0000-0000A9250000}"/>
    <cellStyle name="Comma 54 8" xfId="2528" xr:uid="{00000000-0005-0000-0000-0000AA250000}"/>
    <cellStyle name="Comma 54 8 2" xfId="2529" xr:uid="{00000000-0005-0000-0000-0000AB250000}"/>
    <cellStyle name="Comma 54 8 2 2" xfId="2530" xr:uid="{00000000-0005-0000-0000-0000AC250000}"/>
    <cellStyle name="Comma 54 8 2 2 2" xfId="2531" xr:uid="{00000000-0005-0000-0000-0000AD250000}"/>
    <cellStyle name="Comma 54 8 2 3" xfId="2532" xr:uid="{00000000-0005-0000-0000-0000AE250000}"/>
    <cellStyle name="Comma 54 8 3" xfId="2533" xr:uid="{00000000-0005-0000-0000-0000AF250000}"/>
    <cellStyle name="Comma 54 8 3 2" xfId="2534" xr:uid="{00000000-0005-0000-0000-0000B0250000}"/>
    <cellStyle name="Comma 54 8 4" xfId="2535" xr:uid="{00000000-0005-0000-0000-0000B1250000}"/>
    <cellStyle name="Comma 54 9" xfId="2536" xr:uid="{00000000-0005-0000-0000-0000B2250000}"/>
    <cellStyle name="Comma 54 9 2" xfId="2537" xr:uid="{00000000-0005-0000-0000-0000B3250000}"/>
    <cellStyle name="Comma 54 9 2 2" xfId="2538" xr:uid="{00000000-0005-0000-0000-0000B4250000}"/>
    <cellStyle name="Comma 54 9 3" xfId="2539" xr:uid="{00000000-0005-0000-0000-0000B5250000}"/>
    <cellStyle name="Comma 55" xfId="2540" xr:uid="{00000000-0005-0000-0000-0000B6250000}"/>
    <cellStyle name="Comma 55 10" xfId="2541" xr:uid="{00000000-0005-0000-0000-0000B7250000}"/>
    <cellStyle name="Comma 55 10 2" xfId="2542" xr:uid="{00000000-0005-0000-0000-0000B8250000}"/>
    <cellStyle name="Comma 55 11" xfId="2543" xr:uid="{00000000-0005-0000-0000-0000B9250000}"/>
    <cellStyle name="Comma 55 11 2" xfId="2544" xr:uid="{00000000-0005-0000-0000-0000BA250000}"/>
    <cellStyle name="Comma 55 12" xfId="2545" xr:uid="{00000000-0005-0000-0000-0000BB250000}"/>
    <cellStyle name="Comma 55 2" xfId="2546" xr:uid="{00000000-0005-0000-0000-0000BC250000}"/>
    <cellStyle name="Comma 55 2 2" xfId="2547" xr:uid="{00000000-0005-0000-0000-0000BD250000}"/>
    <cellStyle name="Comma 55 2 2 2" xfId="2548" xr:uid="{00000000-0005-0000-0000-0000BE250000}"/>
    <cellStyle name="Comma 55 2 2 2 2" xfId="2549" xr:uid="{00000000-0005-0000-0000-0000BF250000}"/>
    <cellStyle name="Comma 55 2 2 3" xfId="2550" xr:uid="{00000000-0005-0000-0000-0000C0250000}"/>
    <cellStyle name="Comma 55 2 3" xfId="2551" xr:uid="{00000000-0005-0000-0000-0000C1250000}"/>
    <cellStyle name="Comma 55 2 3 2" xfId="2552" xr:uid="{00000000-0005-0000-0000-0000C2250000}"/>
    <cellStyle name="Comma 55 2 4" xfId="2553" xr:uid="{00000000-0005-0000-0000-0000C3250000}"/>
    <cellStyle name="Comma 55 2 4 2" xfId="2554" xr:uid="{00000000-0005-0000-0000-0000C4250000}"/>
    <cellStyle name="Comma 55 2 5" xfId="2555" xr:uid="{00000000-0005-0000-0000-0000C5250000}"/>
    <cellStyle name="Comma 55 3" xfId="2556" xr:uid="{00000000-0005-0000-0000-0000C6250000}"/>
    <cellStyle name="Comma 55 3 2" xfId="2557" xr:uid="{00000000-0005-0000-0000-0000C7250000}"/>
    <cellStyle name="Comma 55 3 2 2" xfId="2558" xr:uid="{00000000-0005-0000-0000-0000C8250000}"/>
    <cellStyle name="Comma 55 3 2 2 2" xfId="2559" xr:uid="{00000000-0005-0000-0000-0000C9250000}"/>
    <cellStyle name="Comma 55 3 2 3" xfId="2560" xr:uid="{00000000-0005-0000-0000-0000CA250000}"/>
    <cellStyle name="Comma 55 3 3" xfId="2561" xr:uid="{00000000-0005-0000-0000-0000CB250000}"/>
    <cellStyle name="Comma 55 3 3 2" xfId="2562" xr:uid="{00000000-0005-0000-0000-0000CC250000}"/>
    <cellStyle name="Comma 55 3 4" xfId="2563" xr:uid="{00000000-0005-0000-0000-0000CD250000}"/>
    <cellStyle name="Comma 55 3 4 2" xfId="2564" xr:uid="{00000000-0005-0000-0000-0000CE250000}"/>
    <cellStyle name="Comma 55 3 5" xfId="2565" xr:uid="{00000000-0005-0000-0000-0000CF250000}"/>
    <cellStyle name="Comma 55 4" xfId="2566" xr:uid="{00000000-0005-0000-0000-0000D0250000}"/>
    <cellStyle name="Comma 55 4 2" xfId="2567" xr:uid="{00000000-0005-0000-0000-0000D1250000}"/>
    <cellStyle name="Comma 55 4 2 2" xfId="2568" xr:uid="{00000000-0005-0000-0000-0000D2250000}"/>
    <cellStyle name="Comma 55 4 2 2 2" xfId="2569" xr:uid="{00000000-0005-0000-0000-0000D3250000}"/>
    <cellStyle name="Comma 55 4 2 3" xfId="2570" xr:uid="{00000000-0005-0000-0000-0000D4250000}"/>
    <cellStyle name="Comma 55 4 3" xfId="2571" xr:uid="{00000000-0005-0000-0000-0000D5250000}"/>
    <cellStyle name="Comma 55 4 3 2" xfId="2572" xr:uid="{00000000-0005-0000-0000-0000D6250000}"/>
    <cellStyle name="Comma 55 4 4" xfId="2573" xr:uid="{00000000-0005-0000-0000-0000D7250000}"/>
    <cellStyle name="Comma 55 4 4 2" xfId="2574" xr:uid="{00000000-0005-0000-0000-0000D8250000}"/>
    <cellStyle name="Comma 55 4 5" xfId="2575" xr:uid="{00000000-0005-0000-0000-0000D9250000}"/>
    <cellStyle name="Comma 55 5" xfId="2576" xr:uid="{00000000-0005-0000-0000-0000DA250000}"/>
    <cellStyle name="Comma 55 5 2" xfId="2577" xr:uid="{00000000-0005-0000-0000-0000DB250000}"/>
    <cellStyle name="Comma 55 5 2 2" xfId="2578" xr:uid="{00000000-0005-0000-0000-0000DC250000}"/>
    <cellStyle name="Comma 55 5 2 2 2" xfId="2579" xr:uid="{00000000-0005-0000-0000-0000DD250000}"/>
    <cellStyle name="Comma 55 5 2 3" xfId="2580" xr:uid="{00000000-0005-0000-0000-0000DE250000}"/>
    <cellStyle name="Comma 55 5 3" xfId="2581" xr:uid="{00000000-0005-0000-0000-0000DF250000}"/>
    <cellStyle name="Comma 55 5 3 2" xfId="2582" xr:uid="{00000000-0005-0000-0000-0000E0250000}"/>
    <cellStyle name="Comma 55 5 4" xfId="2583" xr:uid="{00000000-0005-0000-0000-0000E1250000}"/>
    <cellStyle name="Comma 55 5 4 2" xfId="2584" xr:uid="{00000000-0005-0000-0000-0000E2250000}"/>
    <cellStyle name="Comma 55 5 5" xfId="2585" xr:uid="{00000000-0005-0000-0000-0000E3250000}"/>
    <cellStyle name="Comma 55 6" xfId="2586" xr:uid="{00000000-0005-0000-0000-0000E4250000}"/>
    <cellStyle name="Comma 55 6 2" xfId="2587" xr:uid="{00000000-0005-0000-0000-0000E5250000}"/>
    <cellStyle name="Comma 55 6 2 2" xfId="2588" xr:uid="{00000000-0005-0000-0000-0000E6250000}"/>
    <cellStyle name="Comma 55 6 2 2 2" xfId="2589" xr:uid="{00000000-0005-0000-0000-0000E7250000}"/>
    <cellStyle name="Comma 55 6 2 3" xfId="2590" xr:uid="{00000000-0005-0000-0000-0000E8250000}"/>
    <cellStyle name="Comma 55 6 3" xfId="2591" xr:uid="{00000000-0005-0000-0000-0000E9250000}"/>
    <cellStyle name="Comma 55 6 3 2" xfId="2592" xr:uid="{00000000-0005-0000-0000-0000EA250000}"/>
    <cellStyle name="Comma 55 6 4" xfId="2593" xr:uid="{00000000-0005-0000-0000-0000EB250000}"/>
    <cellStyle name="Comma 55 6 4 2" xfId="2594" xr:uid="{00000000-0005-0000-0000-0000EC250000}"/>
    <cellStyle name="Comma 55 6 5" xfId="2595" xr:uid="{00000000-0005-0000-0000-0000ED250000}"/>
    <cellStyle name="Comma 55 7" xfId="2596" xr:uid="{00000000-0005-0000-0000-0000EE250000}"/>
    <cellStyle name="Comma 55 7 2" xfId="2597" xr:uid="{00000000-0005-0000-0000-0000EF250000}"/>
    <cellStyle name="Comma 55 7 2 2" xfId="2598" xr:uid="{00000000-0005-0000-0000-0000F0250000}"/>
    <cellStyle name="Comma 55 7 2 2 2" xfId="2599" xr:uid="{00000000-0005-0000-0000-0000F1250000}"/>
    <cellStyle name="Comma 55 7 2 3" xfId="2600" xr:uid="{00000000-0005-0000-0000-0000F2250000}"/>
    <cellStyle name="Comma 55 7 3" xfId="2601" xr:uid="{00000000-0005-0000-0000-0000F3250000}"/>
    <cellStyle name="Comma 55 7 3 2" xfId="2602" xr:uid="{00000000-0005-0000-0000-0000F4250000}"/>
    <cellStyle name="Comma 55 7 4" xfId="2603" xr:uid="{00000000-0005-0000-0000-0000F5250000}"/>
    <cellStyle name="Comma 55 8" xfId="2604" xr:uid="{00000000-0005-0000-0000-0000F6250000}"/>
    <cellStyle name="Comma 55 8 2" xfId="2605" xr:uid="{00000000-0005-0000-0000-0000F7250000}"/>
    <cellStyle name="Comma 55 8 2 2" xfId="2606" xr:uid="{00000000-0005-0000-0000-0000F8250000}"/>
    <cellStyle name="Comma 55 8 2 2 2" xfId="2607" xr:uid="{00000000-0005-0000-0000-0000F9250000}"/>
    <cellStyle name="Comma 55 8 2 3" xfId="2608" xr:uid="{00000000-0005-0000-0000-0000FA250000}"/>
    <cellStyle name="Comma 55 8 3" xfId="2609" xr:uid="{00000000-0005-0000-0000-0000FB250000}"/>
    <cellStyle name="Comma 55 8 3 2" xfId="2610" xr:uid="{00000000-0005-0000-0000-0000FC250000}"/>
    <cellStyle name="Comma 55 8 4" xfId="2611" xr:uid="{00000000-0005-0000-0000-0000FD250000}"/>
    <cellStyle name="Comma 55 9" xfId="2612" xr:uid="{00000000-0005-0000-0000-0000FE250000}"/>
    <cellStyle name="Comma 55 9 2" xfId="2613" xr:uid="{00000000-0005-0000-0000-0000FF250000}"/>
    <cellStyle name="Comma 55 9 2 2" xfId="2614" xr:uid="{00000000-0005-0000-0000-000000260000}"/>
    <cellStyle name="Comma 55 9 3" xfId="2615" xr:uid="{00000000-0005-0000-0000-000001260000}"/>
    <cellStyle name="Comma 56" xfId="2616" xr:uid="{00000000-0005-0000-0000-000002260000}"/>
    <cellStyle name="Comma 56 10" xfId="2617" xr:uid="{00000000-0005-0000-0000-000003260000}"/>
    <cellStyle name="Comma 56 10 2" xfId="2618" xr:uid="{00000000-0005-0000-0000-000004260000}"/>
    <cellStyle name="Comma 56 11" xfId="2619" xr:uid="{00000000-0005-0000-0000-000005260000}"/>
    <cellStyle name="Comma 56 11 2" xfId="2620" xr:uid="{00000000-0005-0000-0000-000006260000}"/>
    <cellStyle name="Comma 56 12" xfId="2621" xr:uid="{00000000-0005-0000-0000-000007260000}"/>
    <cellStyle name="Comma 56 2" xfId="2622" xr:uid="{00000000-0005-0000-0000-000008260000}"/>
    <cellStyle name="Comma 56 2 2" xfId="2623" xr:uid="{00000000-0005-0000-0000-000009260000}"/>
    <cellStyle name="Comma 56 2 2 2" xfId="2624" xr:uid="{00000000-0005-0000-0000-00000A260000}"/>
    <cellStyle name="Comma 56 2 2 2 2" xfId="2625" xr:uid="{00000000-0005-0000-0000-00000B260000}"/>
    <cellStyle name="Comma 56 2 2 3" xfId="2626" xr:uid="{00000000-0005-0000-0000-00000C260000}"/>
    <cellStyle name="Comma 56 2 3" xfId="2627" xr:uid="{00000000-0005-0000-0000-00000D260000}"/>
    <cellStyle name="Comma 56 2 3 2" xfId="2628" xr:uid="{00000000-0005-0000-0000-00000E260000}"/>
    <cellStyle name="Comma 56 2 4" xfId="2629" xr:uid="{00000000-0005-0000-0000-00000F260000}"/>
    <cellStyle name="Comma 56 2 4 2" xfId="2630" xr:uid="{00000000-0005-0000-0000-000010260000}"/>
    <cellStyle name="Comma 56 2 5" xfId="2631" xr:uid="{00000000-0005-0000-0000-000011260000}"/>
    <cellStyle name="Comma 56 3" xfId="2632" xr:uid="{00000000-0005-0000-0000-000012260000}"/>
    <cellStyle name="Comma 56 3 2" xfId="2633" xr:uid="{00000000-0005-0000-0000-000013260000}"/>
    <cellStyle name="Comma 56 3 2 2" xfId="2634" xr:uid="{00000000-0005-0000-0000-000014260000}"/>
    <cellStyle name="Comma 56 3 2 2 2" xfId="2635" xr:uid="{00000000-0005-0000-0000-000015260000}"/>
    <cellStyle name="Comma 56 3 2 3" xfId="2636" xr:uid="{00000000-0005-0000-0000-000016260000}"/>
    <cellStyle name="Comma 56 3 3" xfId="2637" xr:uid="{00000000-0005-0000-0000-000017260000}"/>
    <cellStyle name="Comma 56 3 3 2" xfId="2638" xr:uid="{00000000-0005-0000-0000-000018260000}"/>
    <cellStyle name="Comma 56 3 4" xfId="2639" xr:uid="{00000000-0005-0000-0000-000019260000}"/>
    <cellStyle name="Comma 56 3 4 2" xfId="2640" xr:uid="{00000000-0005-0000-0000-00001A260000}"/>
    <cellStyle name="Comma 56 3 5" xfId="2641" xr:uid="{00000000-0005-0000-0000-00001B260000}"/>
    <cellStyle name="Comma 56 4" xfId="2642" xr:uid="{00000000-0005-0000-0000-00001C260000}"/>
    <cellStyle name="Comma 56 4 2" xfId="2643" xr:uid="{00000000-0005-0000-0000-00001D260000}"/>
    <cellStyle name="Comma 56 4 2 2" xfId="2644" xr:uid="{00000000-0005-0000-0000-00001E260000}"/>
    <cellStyle name="Comma 56 4 2 2 2" xfId="2645" xr:uid="{00000000-0005-0000-0000-00001F260000}"/>
    <cellStyle name="Comma 56 4 2 3" xfId="2646" xr:uid="{00000000-0005-0000-0000-000020260000}"/>
    <cellStyle name="Comma 56 4 3" xfId="2647" xr:uid="{00000000-0005-0000-0000-000021260000}"/>
    <cellStyle name="Comma 56 4 3 2" xfId="2648" xr:uid="{00000000-0005-0000-0000-000022260000}"/>
    <cellStyle name="Comma 56 4 4" xfId="2649" xr:uid="{00000000-0005-0000-0000-000023260000}"/>
    <cellStyle name="Comma 56 4 4 2" xfId="2650" xr:uid="{00000000-0005-0000-0000-000024260000}"/>
    <cellStyle name="Comma 56 4 5" xfId="2651" xr:uid="{00000000-0005-0000-0000-000025260000}"/>
    <cellStyle name="Comma 56 5" xfId="2652" xr:uid="{00000000-0005-0000-0000-000026260000}"/>
    <cellStyle name="Comma 56 5 2" xfId="2653" xr:uid="{00000000-0005-0000-0000-000027260000}"/>
    <cellStyle name="Comma 56 5 2 2" xfId="2654" xr:uid="{00000000-0005-0000-0000-000028260000}"/>
    <cellStyle name="Comma 56 5 2 2 2" xfId="2655" xr:uid="{00000000-0005-0000-0000-000029260000}"/>
    <cellStyle name="Comma 56 5 2 3" xfId="2656" xr:uid="{00000000-0005-0000-0000-00002A260000}"/>
    <cellStyle name="Comma 56 5 3" xfId="2657" xr:uid="{00000000-0005-0000-0000-00002B260000}"/>
    <cellStyle name="Comma 56 5 3 2" xfId="2658" xr:uid="{00000000-0005-0000-0000-00002C260000}"/>
    <cellStyle name="Comma 56 5 4" xfId="2659" xr:uid="{00000000-0005-0000-0000-00002D260000}"/>
    <cellStyle name="Comma 56 5 4 2" xfId="2660" xr:uid="{00000000-0005-0000-0000-00002E260000}"/>
    <cellStyle name="Comma 56 5 5" xfId="2661" xr:uid="{00000000-0005-0000-0000-00002F260000}"/>
    <cellStyle name="Comma 56 6" xfId="2662" xr:uid="{00000000-0005-0000-0000-000030260000}"/>
    <cellStyle name="Comma 56 6 2" xfId="2663" xr:uid="{00000000-0005-0000-0000-000031260000}"/>
    <cellStyle name="Comma 56 6 2 2" xfId="2664" xr:uid="{00000000-0005-0000-0000-000032260000}"/>
    <cellStyle name="Comma 56 6 2 2 2" xfId="2665" xr:uid="{00000000-0005-0000-0000-000033260000}"/>
    <cellStyle name="Comma 56 6 2 3" xfId="2666" xr:uid="{00000000-0005-0000-0000-000034260000}"/>
    <cellStyle name="Comma 56 6 3" xfId="2667" xr:uid="{00000000-0005-0000-0000-000035260000}"/>
    <cellStyle name="Comma 56 6 3 2" xfId="2668" xr:uid="{00000000-0005-0000-0000-000036260000}"/>
    <cellStyle name="Comma 56 6 4" xfId="2669" xr:uid="{00000000-0005-0000-0000-000037260000}"/>
    <cellStyle name="Comma 56 6 4 2" xfId="2670" xr:uid="{00000000-0005-0000-0000-000038260000}"/>
    <cellStyle name="Comma 56 6 5" xfId="2671" xr:uid="{00000000-0005-0000-0000-000039260000}"/>
    <cellStyle name="Comma 56 7" xfId="2672" xr:uid="{00000000-0005-0000-0000-00003A260000}"/>
    <cellStyle name="Comma 56 7 2" xfId="2673" xr:uid="{00000000-0005-0000-0000-00003B260000}"/>
    <cellStyle name="Comma 56 7 2 2" xfId="2674" xr:uid="{00000000-0005-0000-0000-00003C260000}"/>
    <cellStyle name="Comma 56 7 2 2 2" xfId="2675" xr:uid="{00000000-0005-0000-0000-00003D260000}"/>
    <cellStyle name="Comma 56 7 2 3" xfId="2676" xr:uid="{00000000-0005-0000-0000-00003E260000}"/>
    <cellStyle name="Comma 56 7 3" xfId="2677" xr:uid="{00000000-0005-0000-0000-00003F260000}"/>
    <cellStyle name="Comma 56 7 3 2" xfId="2678" xr:uid="{00000000-0005-0000-0000-000040260000}"/>
    <cellStyle name="Comma 56 7 4" xfId="2679" xr:uid="{00000000-0005-0000-0000-000041260000}"/>
    <cellStyle name="Comma 56 8" xfId="2680" xr:uid="{00000000-0005-0000-0000-000042260000}"/>
    <cellStyle name="Comma 56 8 2" xfId="2681" xr:uid="{00000000-0005-0000-0000-000043260000}"/>
    <cellStyle name="Comma 56 8 2 2" xfId="2682" xr:uid="{00000000-0005-0000-0000-000044260000}"/>
    <cellStyle name="Comma 56 8 2 2 2" xfId="2683" xr:uid="{00000000-0005-0000-0000-000045260000}"/>
    <cellStyle name="Comma 56 8 2 3" xfId="2684" xr:uid="{00000000-0005-0000-0000-000046260000}"/>
    <cellStyle name="Comma 56 8 3" xfId="2685" xr:uid="{00000000-0005-0000-0000-000047260000}"/>
    <cellStyle name="Comma 56 8 3 2" xfId="2686" xr:uid="{00000000-0005-0000-0000-000048260000}"/>
    <cellStyle name="Comma 56 8 4" xfId="2687" xr:uid="{00000000-0005-0000-0000-000049260000}"/>
    <cellStyle name="Comma 56 9" xfId="2688" xr:uid="{00000000-0005-0000-0000-00004A260000}"/>
    <cellStyle name="Comma 56 9 2" xfId="2689" xr:uid="{00000000-0005-0000-0000-00004B260000}"/>
    <cellStyle name="Comma 56 9 2 2" xfId="2690" xr:uid="{00000000-0005-0000-0000-00004C260000}"/>
    <cellStyle name="Comma 56 9 3" xfId="2691" xr:uid="{00000000-0005-0000-0000-00004D260000}"/>
    <cellStyle name="Comma 57" xfId="2692" xr:uid="{00000000-0005-0000-0000-00004E260000}"/>
    <cellStyle name="Comma 57 10" xfId="2693" xr:uid="{00000000-0005-0000-0000-00004F260000}"/>
    <cellStyle name="Comma 57 10 2" xfId="2694" xr:uid="{00000000-0005-0000-0000-000050260000}"/>
    <cellStyle name="Comma 57 11" xfId="2695" xr:uid="{00000000-0005-0000-0000-000051260000}"/>
    <cellStyle name="Comma 57 11 2" xfId="2696" xr:uid="{00000000-0005-0000-0000-000052260000}"/>
    <cellStyle name="Comma 57 12" xfId="2697" xr:uid="{00000000-0005-0000-0000-000053260000}"/>
    <cellStyle name="Comma 57 2" xfId="2698" xr:uid="{00000000-0005-0000-0000-000054260000}"/>
    <cellStyle name="Comma 57 2 2" xfId="2699" xr:uid="{00000000-0005-0000-0000-000055260000}"/>
    <cellStyle name="Comma 57 2 2 2" xfId="2700" xr:uid="{00000000-0005-0000-0000-000056260000}"/>
    <cellStyle name="Comma 57 2 2 2 2" xfId="2701" xr:uid="{00000000-0005-0000-0000-000057260000}"/>
    <cellStyle name="Comma 57 2 2 3" xfId="2702" xr:uid="{00000000-0005-0000-0000-000058260000}"/>
    <cellStyle name="Comma 57 2 3" xfId="2703" xr:uid="{00000000-0005-0000-0000-000059260000}"/>
    <cellStyle name="Comma 57 2 3 2" xfId="2704" xr:uid="{00000000-0005-0000-0000-00005A260000}"/>
    <cellStyle name="Comma 57 2 4" xfId="2705" xr:uid="{00000000-0005-0000-0000-00005B260000}"/>
    <cellStyle name="Comma 57 2 4 2" xfId="2706" xr:uid="{00000000-0005-0000-0000-00005C260000}"/>
    <cellStyle name="Comma 57 2 5" xfId="2707" xr:uid="{00000000-0005-0000-0000-00005D260000}"/>
    <cellStyle name="Comma 57 3" xfId="2708" xr:uid="{00000000-0005-0000-0000-00005E260000}"/>
    <cellStyle name="Comma 57 3 2" xfId="2709" xr:uid="{00000000-0005-0000-0000-00005F260000}"/>
    <cellStyle name="Comma 57 3 2 2" xfId="2710" xr:uid="{00000000-0005-0000-0000-000060260000}"/>
    <cellStyle name="Comma 57 3 2 2 2" xfId="2711" xr:uid="{00000000-0005-0000-0000-000061260000}"/>
    <cellStyle name="Comma 57 3 2 3" xfId="2712" xr:uid="{00000000-0005-0000-0000-000062260000}"/>
    <cellStyle name="Comma 57 3 3" xfId="2713" xr:uid="{00000000-0005-0000-0000-000063260000}"/>
    <cellStyle name="Comma 57 3 3 2" xfId="2714" xr:uid="{00000000-0005-0000-0000-000064260000}"/>
    <cellStyle name="Comma 57 3 4" xfId="2715" xr:uid="{00000000-0005-0000-0000-000065260000}"/>
    <cellStyle name="Comma 57 3 4 2" xfId="2716" xr:uid="{00000000-0005-0000-0000-000066260000}"/>
    <cellStyle name="Comma 57 3 5" xfId="2717" xr:uid="{00000000-0005-0000-0000-000067260000}"/>
    <cellStyle name="Comma 57 4" xfId="2718" xr:uid="{00000000-0005-0000-0000-000068260000}"/>
    <cellStyle name="Comma 57 4 2" xfId="2719" xr:uid="{00000000-0005-0000-0000-000069260000}"/>
    <cellStyle name="Comma 57 4 2 2" xfId="2720" xr:uid="{00000000-0005-0000-0000-00006A260000}"/>
    <cellStyle name="Comma 57 4 2 2 2" xfId="2721" xr:uid="{00000000-0005-0000-0000-00006B260000}"/>
    <cellStyle name="Comma 57 4 2 3" xfId="2722" xr:uid="{00000000-0005-0000-0000-00006C260000}"/>
    <cellStyle name="Comma 57 4 3" xfId="2723" xr:uid="{00000000-0005-0000-0000-00006D260000}"/>
    <cellStyle name="Comma 57 4 3 2" xfId="2724" xr:uid="{00000000-0005-0000-0000-00006E260000}"/>
    <cellStyle name="Comma 57 4 4" xfId="2725" xr:uid="{00000000-0005-0000-0000-00006F260000}"/>
    <cellStyle name="Comma 57 4 4 2" xfId="2726" xr:uid="{00000000-0005-0000-0000-000070260000}"/>
    <cellStyle name="Comma 57 4 5" xfId="2727" xr:uid="{00000000-0005-0000-0000-000071260000}"/>
    <cellStyle name="Comma 57 5" xfId="2728" xr:uid="{00000000-0005-0000-0000-000072260000}"/>
    <cellStyle name="Comma 57 5 2" xfId="2729" xr:uid="{00000000-0005-0000-0000-000073260000}"/>
    <cellStyle name="Comma 57 5 2 2" xfId="2730" xr:uid="{00000000-0005-0000-0000-000074260000}"/>
    <cellStyle name="Comma 57 5 2 2 2" xfId="2731" xr:uid="{00000000-0005-0000-0000-000075260000}"/>
    <cellStyle name="Comma 57 5 2 3" xfId="2732" xr:uid="{00000000-0005-0000-0000-000076260000}"/>
    <cellStyle name="Comma 57 5 3" xfId="2733" xr:uid="{00000000-0005-0000-0000-000077260000}"/>
    <cellStyle name="Comma 57 5 3 2" xfId="2734" xr:uid="{00000000-0005-0000-0000-000078260000}"/>
    <cellStyle name="Comma 57 5 4" xfId="2735" xr:uid="{00000000-0005-0000-0000-000079260000}"/>
    <cellStyle name="Comma 57 5 4 2" xfId="2736" xr:uid="{00000000-0005-0000-0000-00007A260000}"/>
    <cellStyle name="Comma 57 5 5" xfId="2737" xr:uid="{00000000-0005-0000-0000-00007B260000}"/>
    <cellStyle name="Comma 57 6" xfId="2738" xr:uid="{00000000-0005-0000-0000-00007C260000}"/>
    <cellStyle name="Comma 57 6 2" xfId="2739" xr:uid="{00000000-0005-0000-0000-00007D260000}"/>
    <cellStyle name="Comma 57 6 2 2" xfId="2740" xr:uid="{00000000-0005-0000-0000-00007E260000}"/>
    <cellStyle name="Comma 57 6 2 2 2" xfId="2741" xr:uid="{00000000-0005-0000-0000-00007F260000}"/>
    <cellStyle name="Comma 57 6 2 3" xfId="2742" xr:uid="{00000000-0005-0000-0000-000080260000}"/>
    <cellStyle name="Comma 57 6 3" xfId="2743" xr:uid="{00000000-0005-0000-0000-000081260000}"/>
    <cellStyle name="Comma 57 6 3 2" xfId="2744" xr:uid="{00000000-0005-0000-0000-000082260000}"/>
    <cellStyle name="Comma 57 6 4" xfId="2745" xr:uid="{00000000-0005-0000-0000-000083260000}"/>
    <cellStyle name="Comma 57 6 4 2" xfId="2746" xr:uid="{00000000-0005-0000-0000-000084260000}"/>
    <cellStyle name="Comma 57 6 5" xfId="2747" xr:uid="{00000000-0005-0000-0000-000085260000}"/>
    <cellStyle name="Comma 57 7" xfId="2748" xr:uid="{00000000-0005-0000-0000-000086260000}"/>
    <cellStyle name="Comma 57 7 2" xfId="2749" xr:uid="{00000000-0005-0000-0000-000087260000}"/>
    <cellStyle name="Comma 57 7 2 2" xfId="2750" xr:uid="{00000000-0005-0000-0000-000088260000}"/>
    <cellStyle name="Comma 57 7 2 2 2" xfId="2751" xr:uid="{00000000-0005-0000-0000-000089260000}"/>
    <cellStyle name="Comma 57 7 2 3" xfId="2752" xr:uid="{00000000-0005-0000-0000-00008A260000}"/>
    <cellStyle name="Comma 57 7 3" xfId="2753" xr:uid="{00000000-0005-0000-0000-00008B260000}"/>
    <cellStyle name="Comma 57 7 3 2" xfId="2754" xr:uid="{00000000-0005-0000-0000-00008C260000}"/>
    <cellStyle name="Comma 57 7 4" xfId="2755" xr:uid="{00000000-0005-0000-0000-00008D260000}"/>
    <cellStyle name="Comma 57 8" xfId="2756" xr:uid="{00000000-0005-0000-0000-00008E260000}"/>
    <cellStyle name="Comma 57 8 2" xfId="2757" xr:uid="{00000000-0005-0000-0000-00008F260000}"/>
    <cellStyle name="Comma 57 8 2 2" xfId="2758" xr:uid="{00000000-0005-0000-0000-000090260000}"/>
    <cellStyle name="Comma 57 8 2 2 2" xfId="2759" xr:uid="{00000000-0005-0000-0000-000091260000}"/>
    <cellStyle name="Comma 57 8 2 3" xfId="2760" xr:uid="{00000000-0005-0000-0000-000092260000}"/>
    <cellStyle name="Comma 57 8 3" xfId="2761" xr:uid="{00000000-0005-0000-0000-000093260000}"/>
    <cellStyle name="Comma 57 8 3 2" xfId="2762" xr:uid="{00000000-0005-0000-0000-000094260000}"/>
    <cellStyle name="Comma 57 8 4" xfId="2763" xr:uid="{00000000-0005-0000-0000-000095260000}"/>
    <cellStyle name="Comma 57 9" xfId="2764" xr:uid="{00000000-0005-0000-0000-000096260000}"/>
    <cellStyle name="Comma 57 9 2" xfId="2765" xr:uid="{00000000-0005-0000-0000-000097260000}"/>
    <cellStyle name="Comma 57 9 2 2" xfId="2766" xr:uid="{00000000-0005-0000-0000-000098260000}"/>
    <cellStyle name="Comma 57 9 3" xfId="2767" xr:uid="{00000000-0005-0000-0000-000099260000}"/>
    <cellStyle name="Comma 58" xfId="2768" xr:uid="{00000000-0005-0000-0000-00009A260000}"/>
    <cellStyle name="Comma 58 10" xfId="2769" xr:uid="{00000000-0005-0000-0000-00009B260000}"/>
    <cellStyle name="Comma 58 10 2" xfId="2770" xr:uid="{00000000-0005-0000-0000-00009C260000}"/>
    <cellStyle name="Comma 58 11" xfId="2771" xr:uid="{00000000-0005-0000-0000-00009D260000}"/>
    <cellStyle name="Comma 58 11 2" xfId="2772" xr:uid="{00000000-0005-0000-0000-00009E260000}"/>
    <cellStyle name="Comma 58 12" xfId="2773" xr:uid="{00000000-0005-0000-0000-00009F260000}"/>
    <cellStyle name="Comma 58 2" xfId="2774" xr:uid="{00000000-0005-0000-0000-0000A0260000}"/>
    <cellStyle name="Comma 58 2 2" xfId="2775" xr:uid="{00000000-0005-0000-0000-0000A1260000}"/>
    <cellStyle name="Comma 58 2 2 2" xfId="2776" xr:uid="{00000000-0005-0000-0000-0000A2260000}"/>
    <cellStyle name="Comma 58 2 2 2 2" xfId="2777" xr:uid="{00000000-0005-0000-0000-0000A3260000}"/>
    <cellStyle name="Comma 58 2 2 3" xfId="2778" xr:uid="{00000000-0005-0000-0000-0000A4260000}"/>
    <cellStyle name="Comma 58 2 3" xfId="2779" xr:uid="{00000000-0005-0000-0000-0000A5260000}"/>
    <cellStyle name="Comma 58 2 3 2" xfId="2780" xr:uid="{00000000-0005-0000-0000-0000A6260000}"/>
    <cellStyle name="Comma 58 2 4" xfId="2781" xr:uid="{00000000-0005-0000-0000-0000A7260000}"/>
    <cellStyle name="Comma 58 2 4 2" xfId="2782" xr:uid="{00000000-0005-0000-0000-0000A8260000}"/>
    <cellStyle name="Comma 58 2 5" xfId="2783" xr:uid="{00000000-0005-0000-0000-0000A9260000}"/>
    <cellStyle name="Comma 58 3" xfId="2784" xr:uid="{00000000-0005-0000-0000-0000AA260000}"/>
    <cellStyle name="Comma 58 3 2" xfId="2785" xr:uid="{00000000-0005-0000-0000-0000AB260000}"/>
    <cellStyle name="Comma 58 3 2 2" xfId="2786" xr:uid="{00000000-0005-0000-0000-0000AC260000}"/>
    <cellStyle name="Comma 58 3 2 2 2" xfId="2787" xr:uid="{00000000-0005-0000-0000-0000AD260000}"/>
    <cellStyle name="Comma 58 3 2 3" xfId="2788" xr:uid="{00000000-0005-0000-0000-0000AE260000}"/>
    <cellStyle name="Comma 58 3 3" xfId="2789" xr:uid="{00000000-0005-0000-0000-0000AF260000}"/>
    <cellStyle name="Comma 58 3 3 2" xfId="2790" xr:uid="{00000000-0005-0000-0000-0000B0260000}"/>
    <cellStyle name="Comma 58 3 4" xfId="2791" xr:uid="{00000000-0005-0000-0000-0000B1260000}"/>
    <cellStyle name="Comma 58 3 4 2" xfId="2792" xr:uid="{00000000-0005-0000-0000-0000B2260000}"/>
    <cellStyle name="Comma 58 3 5" xfId="2793" xr:uid="{00000000-0005-0000-0000-0000B3260000}"/>
    <cellStyle name="Comma 58 4" xfId="2794" xr:uid="{00000000-0005-0000-0000-0000B4260000}"/>
    <cellStyle name="Comma 58 4 2" xfId="2795" xr:uid="{00000000-0005-0000-0000-0000B5260000}"/>
    <cellStyle name="Comma 58 4 2 2" xfId="2796" xr:uid="{00000000-0005-0000-0000-0000B6260000}"/>
    <cellStyle name="Comma 58 4 2 2 2" xfId="2797" xr:uid="{00000000-0005-0000-0000-0000B7260000}"/>
    <cellStyle name="Comma 58 4 2 3" xfId="2798" xr:uid="{00000000-0005-0000-0000-0000B8260000}"/>
    <cellStyle name="Comma 58 4 3" xfId="2799" xr:uid="{00000000-0005-0000-0000-0000B9260000}"/>
    <cellStyle name="Comma 58 4 3 2" xfId="2800" xr:uid="{00000000-0005-0000-0000-0000BA260000}"/>
    <cellStyle name="Comma 58 4 4" xfId="2801" xr:uid="{00000000-0005-0000-0000-0000BB260000}"/>
    <cellStyle name="Comma 58 4 4 2" xfId="2802" xr:uid="{00000000-0005-0000-0000-0000BC260000}"/>
    <cellStyle name="Comma 58 4 5" xfId="2803" xr:uid="{00000000-0005-0000-0000-0000BD260000}"/>
    <cellStyle name="Comma 58 5" xfId="2804" xr:uid="{00000000-0005-0000-0000-0000BE260000}"/>
    <cellStyle name="Comma 58 5 2" xfId="2805" xr:uid="{00000000-0005-0000-0000-0000BF260000}"/>
    <cellStyle name="Comma 58 5 2 2" xfId="2806" xr:uid="{00000000-0005-0000-0000-0000C0260000}"/>
    <cellStyle name="Comma 58 5 2 2 2" xfId="2807" xr:uid="{00000000-0005-0000-0000-0000C1260000}"/>
    <cellStyle name="Comma 58 5 2 3" xfId="2808" xr:uid="{00000000-0005-0000-0000-0000C2260000}"/>
    <cellStyle name="Comma 58 5 3" xfId="2809" xr:uid="{00000000-0005-0000-0000-0000C3260000}"/>
    <cellStyle name="Comma 58 5 3 2" xfId="2810" xr:uid="{00000000-0005-0000-0000-0000C4260000}"/>
    <cellStyle name="Comma 58 5 4" xfId="2811" xr:uid="{00000000-0005-0000-0000-0000C5260000}"/>
    <cellStyle name="Comma 58 5 4 2" xfId="2812" xr:uid="{00000000-0005-0000-0000-0000C6260000}"/>
    <cellStyle name="Comma 58 5 5" xfId="2813" xr:uid="{00000000-0005-0000-0000-0000C7260000}"/>
    <cellStyle name="Comma 58 6" xfId="2814" xr:uid="{00000000-0005-0000-0000-0000C8260000}"/>
    <cellStyle name="Comma 58 6 2" xfId="2815" xr:uid="{00000000-0005-0000-0000-0000C9260000}"/>
    <cellStyle name="Comma 58 6 2 2" xfId="2816" xr:uid="{00000000-0005-0000-0000-0000CA260000}"/>
    <cellStyle name="Comma 58 6 2 2 2" xfId="2817" xr:uid="{00000000-0005-0000-0000-0000CB260000}"/>
    <cellStyle name="Comma 58 6 2 3" xfId="2818" xr:uid="{00000000-0005-0000-0000-0000CC260000}"/>
    <cellStyle name="Comma 58 6 3" xfId="2819" xr:uid="{00000000-0005-0000-0000-0000CD260000}"/>
    <cellStyle name="Comma 58 6 3 2" xfId="2820" xr:uid="{00000000-0005-0000-0000-0000CE260000}"/>
    <cellStyle name="Comma 58 6 4" xfId="2821" xr:uid="{00000000-0005-0000-0000-0000CF260000}"/>
    <cellStyle name="Comma 58 6 4 2" xfId="2822" xr:uid="{00000000-0005-0000-0000-0000D0260000}"/>
    <cellStyle name="Comma 58 6 5" xfId="2823" xr:uid="{00000000-0005-0000-0000-0000D1260000}"/>
    <cellStyle name="Comma 58 7" xfId="2824" xr:uid="{00000000-0005-0000-0000-0000D2260000}"/>
    <cellStyle name="Comma 58 7 2" xfId="2825" xr:uid="{00000000-0005-0000-0000-0000D3260000}"/>
    <cellStyle name="Comma 58 7 2 2" xfId="2826" xr:uid="{00000000-0005-0000-0000-0000D4260000}"/>
    <cellStyle name="Comma 58 7 2 2 2" xfId="2827" xr:uid="{00000000-0005-0000-0000-0000D5260000}"/>
    <cellStyle name="Comma 58 7 2 3" xfId="2828" xr:uid="{00000000-0005-0000-0000-0000D6260000}"/>
    <cellStyle name="Comma 58 7 3" xfId="2829" xr:uid="{00000000-0005-0000-0000-0000D7260000}"/>
    <cellStyle name="Comma 58 7 3 2" xfId="2830" xr:uid="{00000000-0005-0000-0000-0000D8260000}"/>
    <cellStyle name="Comma 58 7 4" xfId="2831" xr:uid="{00000000-0005-0000-0000-0000D9260000}"/>
    <cellStyle name="Comma 58 8" xfId="2832" xr:uid="{00000000-0005-0000-0000-0000DA260000}"/>
    <cellStyle name="Comma 58 8 2" xfId="2833" xr:uid="{00000000-0005-0000-0000-0000DB260000}"/>
    <cellStyle name="Comma 58 8 2 2" xfId="2834" xr:uid="{00000000-0005-0000-0000-0000DC260000}"/>
    <cellStyle name="Comma 58 8 2 2 2" xfId="2835" xr:uid="{00000000-0005-0000-0000-0000DD260000}"/>
    <cellStyle name="Comma 58 8 2 3" xfId="2836" xr:uid="{00000000-0005-0000-0000-0000DE260000}"/>
    <cellStyle name="Comma 58 8 3" xfId="2837" xr:uid="{00000000-0005-0000-0000-0000DF260000}"/>
    <cellStyle name="Comma 58 8 3 2" xfId="2838" xr:uid="{00000000-0005-0000-0000-0000E0260000}"/>
    <cellStyle name="Comma 58 8 4" xfId="2839" xr:uid="{00000000-0005-0000-0000-0000E1260000}"/>
    <cellStyle name="Comma 58 9" xfId="2840" xr:uid="{00000000-0005-0000-0000-0000E2260000}"/>
    <cellStyle name="Comma 58 9 2" xfId="2841" xr:uid="{00000000-0005-0000-0000-0000E3260000}"/>
    <cellStyle name="Comma 58 9 2 2" xfId="2842" xr:uid="{00000000-0005-0000-0000-0000E4260000}"/>
    <cellStyle name="Comma 58 9 3" xfId="2843" xr:uid="{00000000-0005-0000-0000-0000E5260000}"/>
    <cellStyle name="Comma 59" xfId="2844" xr:uid="{00000000-0005-0000-0000-0000E6260000}"/>
    <cellStyle name="Comma 6" xfId="102" xr:uid="{00000000-0005-0000-0000-0000E7260000}"/>
    <cellStyle name="Comma 6 10" xfId="10146" xr:uid="{00000000-0005-0000-0000-0000E8260000}"/>
    <cellStyle name="Comma 6 10 2" xfId="16308" xr:uid="{00000000-0005-0000-0000-0000E9260000}"/>
    <cellStyle name="Comma 6 10 2 2" xfId="36228" xr:uid="{00000000-0005-0000-0000-0000EA260000}"/>
    <cellStyle name="Comma 6 10 3" xfId="22460" xr:uid="{00000000-0005-0000-0000-0000EB260000}"/>
    <cellStyle name="Comma 6 10 3 2" xfId="42380" xr:uid="{00000000-0005-0000-0000-0000EC260000}"/>
    <cellStyle name="Comma 6 10 4" xfId="30075" xr:uid="{00000000-0005-0000-0000-0000ED260000}"/>
    <cellStyle name="Comma 6 11" xfId="10162" xr:uid="{00000000-0005-0000-0000-0000EE260000}"/>
    <cellStyle name="Comma 6 11 2" xfId="30082" xr:uid="{00000000-0005-0000-0000-0000EF260000}"/>
    <cellStyle name="Comma 6 12" xfId="16314" xr:uid="{00000000-0005-0000-0000-0000F0260000}"/>
    <cellStyle name="Comma 6 12 2" xfId="36234" xr:uid="{00000000-0005-0000-0000-0000F1260000}"/>
    <cellStyle name="Comma 6 13" xfId="1163" xr:uid="{00000000-0005-0000-0000-0000F2260000}"/>
    <cellStyle name="Comma 6 13 2" xfId="23929" xr:uid="{00000000-0005-0000-0000-0000F3260000}"/>
    <cellStyle name="Comma 6 14" xfId="1052" xr:uid="{00000000-0005-0000-0000-0000F4260000}"/>
    <cellStyle name="Comma 6 15" xfId="22718" xr:uid="{00000000-0005-0000-0000-0000F5260000}"/>
    <cellStyle name="Comma 6 15 2" xfId="42629" xr:uid="{00000000-0005-0000-0000-0000F6260000}"/>
    <cellStyle name="Comma 6 16" xfId="23021" xr:uid="{00000000-0005-0000-0000-0000F7260000}"/>
    <cellStyle name="Comma 6 16 2" xfId="42932" xr:uid="{00000000-0005-0000-0000-0000F8260000}"/>
    <cellStyle name="Comma 6 17" xfId="23332" xr:uid="{00000000-0005-0000-0000-0000F9260000}"/>
    <cellStyle name="Comma 6 2" xfId="753" xr:uid="{00000000-0005-0000-0000-0000FA260000}"/>
    <cellStyle name="Comma 6 2 10" xfId="16320" xr:uid="{00000000-0005-0000-0000-0000FB260000}"/>
    <cellStyle name="Comma 6 2 10 2" xfId="36240" xr:uid="{00000000-0005-0000-0000-0000FC260000}"/>
    <cellStyle name="Comma 6 2 11" xfId="1177" xr:uid="{00000000-0005-0000-0000-0000FD260000}"/>
    <cellStyle name="Comma 6 2 11 2" xfId="23935" xr:uid="{00000000-0005-0000-0000-0000FE260000}"/>
    <cellStyle name="Comma 6 2 12" xfId="23635" xr:uid="{00000000-0005-0000-0000-0000FF260000}"/>
    <cellStyle name="Comma 6 2 2" xfId="1196" xr:uid="{00000000-0005-0000-0000-000000270000}"/>
    <cellStyle name="Comma 6 2 2 2" xfId="4608" xr:uid="{00000000-0005-0000-0000-000001270000}"/>
    <cellStyle name="Comma 6 2 2 2 2" xfId="5384" xr:uid="{00000000-0005-0000-0000-000002270000}"/>
    <cellStyle name="Comma 6 2 2 2 2 2" xfId="7009" xr:uid="{00000000-0005-0000-0000-000003270000}"/>
    <cellStyle name="Comma 6 2 2 2 2 2 2" xfId="10095" xr:uid="{00000000-0005-0000-0000-000004270000}"/>
    <cellStyle name="Comma 6 2 2 2 2 2 2 2" xfId="16288" xr:uid="{00000000-0005-0000-0000-000005270000}"/>
    <cellStyle name="Comma 6 2 2 2 2 2 2 2 2" xfId="36208" xr:uid="{00000000-0005-0000-0000-000006270000}"/>
    <cellStyle name="Comma 6 2 2 2 2 2 2 3" xfId="22440" xr:uid="{00000000-0005-0000-0000-000007270000}"/>
    <cellStyle name="Comma 6 2 2 2 2 2 2 3 2" xfId="42360" xr:uid="{00000000-0005-0000-0000-000008270000}"/>
    <cellStyle name="Comma 6 2 2 2 2 2 2 4" xfId="30055" xr:uid="{00000000-0005-0000-0000-000009270000}"/>
    <cellStyle name="Comma 6 2 2 2 2 2 3" xfId="13222" xr:uid="{00000000-0005-0000-0000-00000A270000}"/>
    <cellStyle name="Comma 6 2 2 2 2 2 3 2" xfId="33142" xr:uid="{00000000-0005-0000-0000-00000B270000}"/>
    <cellStyle name="Comma 6 2 2 2 2 2 4" xfId="19374" xr:uid="{00000000-0005-0000-0000-00000C270000}"/>
    <cellStyle name="Comma 6 2 2 2 2 2 4 2" xfId="39294" xr:uid="{00000000-0005-0000-0000-00000D270000}"/>
    <cellStyle name="Comma 6 2 2 2 2 2 5" xfId="26989" xr:uid="{00000000-0005-0000-0000-00000E270000}"/>
    <cellStyle name="Comma 6 2 2 2 2 3" xfId="8560" xr:uid="{00000000-0005-0000-0000-00000F270000}"/>
    <cellStyle name="Comma 6 2 2 2 2 3 2" xfId="14754" xr:uid="{00000000-0005-0000-0000-000010270000}"/>
    <cellStyle name="Comma 6 2 2 2 2 3 2 2" xfId="34674" xr:uid="{00000000-0005-0000-0000-000011270000}"/>
    <cellStyle name="Comma 6 2 2 2 2 3 3" xfId="20906" xr:uid="{00000000-0005-0000-0000-000012270000}"/>
    <cellStyle name="Comma 6 2 2 2 2 3 3 2" xfId="40826" xr:uid="{00000000-0005-0000-0000-000013270000}"/>
    <cellStyle name="Comma 6 2 2 2 2 3 4" xfId="28521" xr:uid="{00000000-0005-0000-0000-000014270000}"/>
    <cellStyle name="Comma 6 2 2 2 2 4" xfId="11688" xr:uid="{00000000-0005-0000-0000-000015270000}"/>
    <cellStyle name="Comma 6 2 2 2 2 4 2" xfId="31608" xr:uid="{00000000-0005-0000-0000-000016270000}"/>
    <cellStyle name="Comma 6 2 2 2 2 5" xfId="17840" xr:uid="{00000000-0005-0000-0000-000017270000}"/>
    <cellStyle name="Comma 6 2 2 2 2 5 2" xfId="37760" xr:uid="{00000000-0005-0000-0000-000018270000}"/>
    <cellStyle name="Comma 6 2 2 2 2 6" xfId="25455" xr:uid="{00000000-0005-0000-0000-000019270000}"/>
    <cellStyle name="Comma 6 2 2 2 3" xfId="6240" xr:uid="{00000000-0005-0000-0000-00001A270000}"/>
    <cellStyle name="Comma 6 2 2 2 3 2" xfId="9326" xr:uid="{00000000-0005-0000-0000-00001B270000}"/>
    <cellStyle name="Comma 6 2 2 2 3 2 2" xfId="15519" xr:uid="{00000000-0005-0000-0000-00001C270000}"/>
    <cellStyle name="Comma 6 2 2 2 3 2 2 2" xfId="35439" xr:uid="{00000000-0005-0000-0000-00001D270000}"/>
    <cellStyle name="Comma 6 2 2 2 3 2 3" xfId="21671" xr:uid="{00000000-0005-0000-0000-00001E270000}"/>
    <cellStyle name="Comma 6 2 2 2 3 2 3 2" xfId="41591" xr:uid="{00000000-0005-0000-0000-00001F270000}"/>
    <cellStyle name="Comma 6 2 2 2 3 2 4" xfId="29286" xr:uid="{00000000-0005-0000-0000-000020270000}"/>
    <cellStyle name="Comma 6 2 2 2 3 3" xfId="12453" xr:uid="{00000000-0005-0000-0000-000021270000}"/>
    <cellStyle name="Comma 6 2 2 2 3 3 2" xfId="32373" xr:uid="{00000000-0005-0000-0000-000022270000}"/>
    <cellStyle name="Comma 6 2 2 2 3 4" xfId="18605" xr:uid="{00000000-0005-0000-0000-000023270000}"/>
    <cellStyle name="Comma 6 2 2 2 3 4 2" xfId="38525" xr:uid="{00000000-0005-0000-0000-000024270000}"/>
    <cellStyle name="Comma 6 2 2 2 3 5" xfId="26220" xr:uid="{00000000-0005-0000-0000-000025270000}"/>
    <cellStyle name="Comma 6 2 2 2 4" xfId="7791" xr:uid="{00000000-0005-0000-0000-000026270000}"/>
    <cellStyle name="Comma 6 2 2 2 4 2" xfId="13985" xr:uid="{00000000-0005-0000-0000-000027270000}"/>
    <cellStyle name="Comma 6 2 2 2 4 2 2" xfId="33905" xr:uid="{00000000-0005-0000-0000-000028270000}"/>
    <cellStyle name="Comma 6 2 2 2 4 3" xfId="20137" xr:uid="{00000000-0005-0000-0000-000029270000}"/>
    <cellStyle name="Comma 6 2 2 2 4 3 2" xfId="40057" xr:uid="{00000000-0005-0000-0000-00002A270000}"/>
    <cellStyle name="Comma 6 2 2 2 4 4" xfId="27752" xr:uid="{00000000-0005-0000-0000-00002B270000}"/>
    <cellStyle name="Comma 6 2 2 2 5" xfId="10919" xr:uid="{00000000-0005-0000-0000-00002C270000}"/>
    <cellStyle name="Comma 6 2 2 2 5 2" xfId="30839" xr:uid="{00000000-0005-0000-0000-00002D270000}"/>
    <cellStyle name="Comma 6 2 2 2 6" xfId="17071" xr:uid="{00000000-0005-0000-0000-00002E270000}"/>
    <cellStyle name="Comma 6 2 2 2 6 2" xfId="36991" xr:uid="{00000000-0005-0000-0000-00002F270000}"/>
    <cellStyle name="Comma 6 2 2 2 7" xfId="24686" xr:uid="{00000000-0005-0000-0000-000030270000}"/>
    <cellStyle name="Comma 6 2 2 3" xfId="4644" xr:uid="{00000000-0005-0000-0000-000031270000}"/>
    <cellStyle name="Comma 6 2 2 3 2" xfId="6269" xr:uid="{00000000-0005-0000-0000-000032270000}"/>
    <cellStyle name="Comma 6 2 2 3 2 2" xfId="9355" xr:uid="{00000000-0005-0000-0000-000033270000}"/>
    <cellStyle name="Comma 6 2 2 3 2 2 2" xfId="15548" xr:uid="{00000000-0005-0000-0000-000034270000}"/>
    <cellStyle name="Comma 6 2 2 3 2 2 2 2" xfId="35468" xr:uid="{00000000-0005-0000-0000-000035270000}"/>
    <cellStyle name="Comma 6 2 2 3 2 2 3" xfId="21700" xr:uid="{00000000-0005-0000-0000-000036270000}"/>
    <cellStyle name="Comma 6 2 2 3 2 2 3 2" xfId="41620" xr:uid="{00000000-0005-0000-0000-000037270000}"/>
    <cellStyle name="Comma 6 2 2 3 2 2 4" xfId="29315" xr:uid="{00000000-0005-0000-0000-000038270000}"/>
    <cellStyle name="Comma 6 2 2 3 2 3" xfId="12482" xr:uid="{00000000-0005-0000-0000-000039270000}"/>
    <cellStyle name="Comma 6 2 2 3 2 3 2" xfId="32402" xr:uid="{00000000-0005-0000-0000-00003A270000}"/>
    <cellStyle name="Comma 6 2 2 3 2 4" xfId="18634" xr:uid="{00000000-0005-0000-0000-00003B270000}"/>
    <cellStyle name="Comma 6 2 2 3 2 4 2" xfId="38554" xr:uid="{00000000-0005-0000-0000-00003C270000}"/>
    <cellStyle name="Comma 6 2 2 3 2 5" xfId="26249" xr:uid="{00000000-0005-0000-0000-00003D270000}"/>
    <cellStyle name="Comma 6 2 2 3 3" xfId="7820" xr:uid="{00000000-0005-0000-0000-00003E270000}"/>
    <cellStyle name="Comma 6 2 2 3 3 2" xfId="14014" xr:uid="{00000000-0005-0000-0000-00003F270000}"/>
    <cellStyle name="Comma 6 2 2 3 3 2 2" xfId="33934" xr:uid="{00000000-0005-0000-0000-000040270000}"/>
    <cellStyle name="Comma 6 2 2 3 3 3" xfId="20166" xr:uid="{00000000-0005-0000-0000-000041270000}"/>
    <cellStyle name="Comma 6 2 2 3 3 3 2" xfId="40086" xr:uid="{00000000-0005-0000-0000-000042270000}"/>
    <cellStyle name="Comma 6 2 2 3 3 4" xfId="27781" xr:uid="{00000000-0005-0000-0000-000043270000}"/>
    <cellStyle name="Comma 6 2 2 3 4" xfId="10948" xr:uid="{00000000-0005-0000-0000-000044270000}"/>
    <cellStyle name="Comma 6 2 2 3 4 2" xfId="30868" xr:uid="{00000000-0005-0000-0000-000045270000}"/>
    <cellStyle name="Comma 6 2 2 3 5" xfId="17100" xr:uid="{00000000-0005-0000-0000-000046270000}"/>
    <cellStyle name="Comma 6 2 2 3 5 2" xfId="37020" xr:uid="{00000000-0005-0000-0000-000047270000}"/>
    <cellStyle name="Comma 6 2 2 3 6" xfId="24715" xr:uid="{00000000-0005-0000-0000-000048270000}"/>
    <cellStyle name="Comma 6 2 2 4" xfId="5483" xr:uid="{00000000-0005-0000-0000-000049270000}"/>
    <cellStyle name="Comma 6 2 2 4 2" xfId="8586" xr:uid="{00000000-0005-0000-0000-00004A270000}"/>
    <cellStyle name="Comma 6 2 2 4 2 2" xfId="14779" xr:uid="{00000000-0005-0000-0000-00004B270000}"/>
    <cellStyle name="Comma 6 2 2 4 2 2 2" xfId="34699" xr:uid="{00000000-0005-0000-0000-00004C270000}"/>
    <cellStyle name="Comma 6 2 2 4 2 3" xfId="20931" xr:uid="{00000000-0005-0000-0000-00004D270000}"/>
    <cellStyle name="Comma 6 2 2 4 2 3 2" xfId="40851" xr:uid="{00000000-0005-0000-0000-00004E270000}"/>
    <cellStyle name="Comma 6 2 2 4 2 4" xfId="28546" xr:uid="{00000000-0005-0000-0000-00004F270000}"/>
    <cellStyle name="Comma 6 2 2 4 3" xfId="11713" xr:uid="{00000000-0005-0000-0000-000050270000}"/>
    <cellStyle name="Comma 6 2 2 4 3 2" xfId="31633" xr:uid="{00000000-0005-0000-0000-000051270000}"/>
    <cellStyle name="Comma 6 2 2 4 4" xfId="17865" xr:uid="{00000000-0005-0000-0000-000052270000}"/>
    <cellStyle name="Comma 6 2 2 4 4 2" xfId="37785" xr:uid="{00000000-0005-0000-0000-000053270000}"/>
    <cellStyle name="Comma 6 2 2 4 5" xfId="25480" xr:uid="{00000000-0005-0000-0000-000054270000}"/>
    <cellStyle name="Comma 6 2 2 5" xfId="7051" xr:uid="{00000000-0005-0000-0000-000055270000}"/>
    <cellStyle name="Comma 6 2 2 5 2" xfId="13245" xr:uid="{00000000-0005-0000-0000-000056270000}"/>
    <cellStyle name="Comma 6 2 2 5 2 2" xfId="33165" xr:uid="{00000000-0005-0000-0000-000057270000}"/>
    <cellStyle name="Comma 6 2 2 5 3" xfId="19397" xr:uid="{00000000-0005-0000-0000-000058270000}"/>
    <cellStyle name="Comma 6 2 2 5 3 2" xfId="39317" xr:uid="{00000000-0005-0000-0000-000059270000}"/>
    <cellStyle name="Comma 6 2 2 5 4" xfId="27012" xr:uid="{00000000-0005-0000-0000-00005A270000}"/>
    <cellStyle name="Comma 6 2 2 6" xfId="10179" xr:uid="{00000000-0005-0000-0000-00005B270000}"/>
    <cellStyle name="Comma 6 2 2 6 2" xfId="30099" xr:uid="{00000000-0005-0000-0000-00005C270000}"/>
    <cellStyle name="Comma 6 2 2 7" xfId="16331" xr:uid="{00000000-0005-0000-0000-00005D270000}"/>
    <cellStyle name="Comma 6 2 2 7 2" xfId="36251" xr:uid="{00000000-0005-0000-0000-00005E270000}"/>
    <cellStyle name="Comma 6 2 2 8" xfId="23946" xr:uid="{00000000-0005-0000-0000-00005F270000}"/>
    <cellStyle name="Comma 6 2 3" xfId="4591" xr:uid="{00000000-0005-0000-0000-000060270000}"/>
    <cellStyle name="Comma 6 2 3 2" xfId="5375" xr:uid="{00000000-0005-0000-0000-000061270000}"/>
    <cellStyle name="Comma 6 2 3 2 2" xfId="7000" xr:uid="{00000000-0005-0000-0000-000062270000}"/>
    <cellStyle name="Comma 6 2 3 2 2 2" xfId="10086" xr:uid="{00000000-0005-0000-0000-000063270000}"/>
    <cellStyle name="Comma 6 2 3 2 2 2 2" xfId="16279" xr:uid="{00000000-0005-0000-0000-000064270000}"/>
    <cellStyle name="Comma 6 2 3 2 2 2 2 2" xfId="36199" xr:uid="{00000000-0005-0000-0000-000065270000}"/>
    <cellStyle name="Comma 6 2 3 2 2 2 3" xfId="22431" xr:uid="{00000000-0005-0000-0000-000066270000}"/>
    <cellStyle name="Comma 6 2 3 2 2 2 3 2" xfId="42351" xr:uid="{00000000-0005-0000-0000-000067270000}"/>
    <cellStyle name="Comma 6 2 3 2 2 2 4" xfId="30046" xr:uid="{00000000-0005-0000-0000-000068270000}"/>
    <cellStyle name="Comma 6 2 3 2 2 3" xfId="13213" xr:uid="{00000000-0005-0000-0000-000069270000}"/>
    <cellStyle name="Comma 6 2 3 2 2 3 2" xfId="33133" xr:uid="{00000000-0005-0000-0000-00006A270000}"/>
    <cellStyle name="Comma 6 2 3 2 2 4" xfId="19365" xr:uid="{00000000-0005-0000-0000-00006B270000}"/>
    <cellStyle name="Comma 6 2 3 2 2 4 2" xfId="39285" xr:uid="{00000000-0005-0000-0000-00006C270000}"/>
    <cellStyle name="Comma 6 2 3 2 2 5" xfId="26980" xr:uid="{00000000-0005-0000-0000-00006D270000}"/>
    <cellStyle name="Comma 6 2 3 2 3" xfId="8551" xr:uid="{00000000-0005-0000-0000-00006E270000}"/>
    <cellStyle name="Comma 6 2 3 2 3 2" xfId="14745" xr:uid="{00000000-0005-0000-0000-00006F270000}"/>
    <cellStyle name="Comma 6 2 3 2 3 2 2" xfId="34665" xr:uid="{00000000-0005-0000-0000-000070270000}"/>
    <cellStyle name="Comma 6 2 3 2 3 3" xfId="20897" xr:uid="{00000000-0005-0000-0000-000071270000}"/>
    <cellStyle name="Comma 6 2 3 2 3 3 2" xfId="40817" xr:uid="{00000000-0005-0000-0000-000072270000}"/>
    <cellStyle name="Comma 6 2 3 2 3 4" xfId="28512" xr:uid="{00000000-0005-0000-0000-000073270000}"/>
    <cellStyle name="Comma 6 2 3 2 4" xfId="11679" xr:uid="{00000000-0005-0000-0000-000074270000}"/>
    <cellStyle name="Comma 6 2 3 2 4 2" xfId="31599" xr:uid="{00000000-0005-0000-0000-000075270000}"/>
    <cellStyle name="Comma 6 2 3 2 5" xfId="17831" xr:uid="{00000000-0005-0000-0000-000076270000}"/>
    <cellStyle name="Comma 6 2 3 2 5 2" xfId="37751" xr:uid="{00000000-0005-0000-0000-000077270000}"/>
    <cellStyle name="Comma 6 2 3 2 6" xfId="25446" xr:uid="{00000000-0005-0000-0000-000078270000}"/>
    <cellStyle name="Comma 6 2 3 3" xfId="6231" xr:uid="{00000000-0005-0000-0000-000079270000}"/>
    <cellStyle name="Comma 6 2 3 3 2" xfId="9317" xr:uid="{00000000-0005-0000-0000-00007A270000}"/>
    <cellStyle name="Comma 6 2 3 3 2 2" xfId="15510" xr:uid="{00000000-0005-0000-0000-00007B270000}"/>
    <cellStyle name="Comma 6 2 3 3 2 2 2" xfId="35430" xr:uid="{00000000-0005-0000-0000-00007C270000}"/>
    <cellStyle name="Comma 6 2 3 3 2 3" xfId="21662" xr:uid="{00000000-0005-0000-0000-00007D270000}"/>
    <cellStyle name="Comma 6 2 3 3 2 3 2" xfId="41582" xr:uid="{00000000-0005-0000-0000-00007E270000}"/>
    <cellStyle name="Comma 6 2 3 3 2 4" xfId="29277" xr:uid="{00000000-0005-0000-0000-00007F270000}"/>
    <cellStyle name="Comma 6 2 3 3 3" xfId="12444" xr:uid="{00000000-0005-0000-0000-000080270000}"/>
    <cellStyle name="Comma 6 2 3 3 3 2" xfId="32364" xr:uid="{00000000-0005-0000-0000-000081270000}"/>
    <cellStyle name="Comma 6 2 3 3 4" xfId="18596" xr:uid="{00000000-0005-0000-0000-000082270000}"/>
    <cellStyle name="Comma 6 2 3 3 4 2" xfId="38516" xr:uid="{00000000-0005-0000-0000-000083270000}"/>
    <cellStyle name="Comma 6 2 3 3 5" xfId="26211" xr:uid="{00000000-0005-0000-0000-000084270000}"/>
    <cellStyle name="Comma 6 2 3 4" xfId="7782" xr:uid="{00000000-0005-0000-0000-000085270000}"/>
    <cellStyle name="Comma 6 2 3 4 2" xfId="13976" xr:uid="{00000000-0005-0000-0000-000086270000}"/>
    <cellStyle name="Comma 6 2 3 4 2 2" xfId="33896" xr:uid="{00000000-0005-0000-0000-000087270000}"/>
    <cellStyle name="Comma 6 2 3 4 3" xfId="20128" xr:uid="{00000000-0005-0000-0000-000088270000}"/>
    <cellStyle name="Comma 6 2 3 4 3 2" xfId="40048" xr:uid="{00000000-0005-0000-0000-000089270000}"/>
    <cellStyle name="Comma 6 2 3 4 4" xfId="27743" xr:uid="{00000000-0005-0000-0000-00008A270000}"/>
    <cellStyle name="Comma 6 2 3 5" xfId="10910" xr:uid="{00000000-0005-0000-0000-00008B270000}"/>
    <cellStyle name="Comma 6 2 3 5 2" xfId="30830" xr:uid="{00000000-0005-0000-0000-00008C270000}"/>
    <cellStyle name="Comma 6 2 3 6" xfId="17062" xr:uid="{00000000-0005-0000-0000-00008D270000}"/>
    <cellStyle name="Comma 6 2 3 6 2" xfId="36982" xr:uid="{00000000-0005-0000-0000-00008E270000}"/>
    <cellStyle name="Comma 6 2 3 7" xfId="24677" xr:uid="{00000000-0005-0000-0000-00008F270000}"/>
    <cellStyle name="Comma 6 2 4" xfId="2846" xr:uid="{00000000-0005-0000-0000-000090270000}"/>
    <cellStyle name="Comma 6 2 5" xfId="4633" xr:uid="{00000000-0005-0000-0000-000091270000}"/>
    <cellStyle name="Comma 6 2 5 2" xfId="6258" xr:uid="{00000000-0005-0000-0000-000092270000}"/>
    <cellStyle name="Comma 6 2 5 2 2" xfId="9344" xr:uid="{00000000-0005-0000-0000-000093270000}"/>
    <cellStyle name="Comma 6 2 5 2 2 2" xfId="15537" xr:uid="{00000000-0005-0000-0000-000094270000}"/>
    <cellStyle name="Comma 6 2 5 2 2 2 2" xfId="35457" xr:uid="{00000000-0005-0000-0000-000095270000}"/>
    <cellStyle name="Comma 6 2 5 2 2 3" xfId="21689" xr:uid="{00000000-0005-0000-0000-000096270000}"/>
    <cellStyle name="Comma 6 2 5 2 2 3 2" xfId="41609" xr:uid="{00000000-0005-0000-0000-000097270000}"/>
    <cellStyle name="Comma 6 2 5 2 2 4" xfId="29304" xr:uid="{00000000-0005-0000-0000-000098270000}"/>
    <cellStyle name="Comma 6 2 5 2 3" xfId="12471" xr:uid="{00000000-0005-0000-0000-000099270000}"/>
    <cellStyle name="Comma 6 2 5 2 3 2" xfId="32391" xr:uid="{00000000-0005-0000-0000-00009A270000}"/>
    <cellStyle name="Comma 6 2 5 2 4" xfId="18623" xr:uid="{00000000-0005-0000-0000-00009B270000}"/>
    <cellStyle name="Comma 6 2 5 2 4 2" xfId="38543" xr:uid="{00000000-0005-0000-0000-00009C270000}"/>
    <cellStyle name="Comma 6 2 5 2 5" xfId="26238" xr:uid="{00000000-0005-0000-0000-00009D270000}"/>
    <cellStyle name="Comma 6 2 5 3" xfId="7809" xr:uid="{00000000-0005-0000-0000-00009E270000}"/>
    <cellStyle name="Comma 6 2 5 3 2" xfId="14003" xr:uid="{00000000-0005-0000-0000-00009F270000}"/>
    <cellStyle name="Comma 6 2 5 3 2 2" xfId="33923" xr:uid="{00000000-0005-0000-0000-0000A0270000}"/>
    <cellStyle name="Comma 6 2 5 3 3" xfId="20155" xr:uid="{00000000-0005-0000-0000-0000A1270000}"/>
    <cellStyle name="Comma 6 2 5 3 3 2" xfId="40075" xr:uid="{00000000-0005-0000-0000-0000A2270000}"/>
    <cellStyle name="Comma 6 2 5 3 4" xfId="27770" xr:uid="{00000000-0005-0000-0000-0000A3270000}"/>
    <cellStyle name="Comma 6 2 5 4" xfId="10937" xr:uid="{00000000-0005-0000-0000-0000A4270000}"/>
    <cellStyle name="Comma 6 2 5 4 2" xfId="30857" xr:uid="{00000000-0005-0000-0000-0000A5270000}"/>
    <cellStyle name="Comma 6 2 5 5" xfId="17089" xr:uid="{00000000-0005-0000-0000-0000A6270000}"/>
    <cellStyle name="Comma 6 2 5 5 2" xfId="37009" xr:uid="{00000000-0005-0000-0000-0000A7270000}"/>
    <cellStyle name="Comma 6 2 5 6" xfId="24704" xr:uid="{00000000-0005-0000-0000-0000A8270000}"/>
    <cellStyle name="Comma 6 2 6" xfId="5471" xr:uid="{00000000-0005-0000-0000-0000A9270000}"/>
    <cellStyle name="Comma 6 2 6 2" xfId="8575" xr:uid="{00000000-0005-0000-0000-0000AA270000}"/>
    <cellStyle name="Comma 6 2 6 2 2" xfId="14768" xr:uid="{00000000-0005-0000-0000-0000AB270000}"/>
    <cellStyle name="Comma 6 2 6 2 2 2" xfId="34688" xr:uid="{00000000-0005-0000-0000-0000AC270000}"/>
    <cellStyle name="Comma 6 2 6 2 3" xfId="20920" xr:uid="{00000000-0005-0000-0000-0000AD270000}"/>
    <cellStyle name="Comma 6 2 6 2 3 2" xfId="40840" xr:uid="{00000000-0005-0000-0000-0000AE270000}"/>
    <cellStyle name="Comma 6 2 6 2 4" xfId="28535" xr:uid="{00000000-0005-0000-0000-0000AF270000}"/>
    <cellStyle name="Comma 6 2 6 3" xfId="11702" xr:uid="{00000000-0005-0000-0000-0000B0270000}"/>
    <cellStyle name="Comma 6 2 6 3 2" xfId="31622" xr:uid="{00000000-0005-0000-0000-0000B1270000}"/>
    <cellStyle name="Comma 6 2 6 4" xfId="17854" xr:uid="{00000000-0005-0000-0000-0000B2270000}"/>
    <cellStyle name="Comma 6 2 6 4 2" xfId="37774" xr:uid="{00000000-0005-0000-0000-0000B3270000}"/>
    <cellStyle name="Comma 6 2 6 5" xfId="25469" xr:uid="{00000000-0005-0000-0000-0000B4270000}"/>
    <cellStyle name="Comma 6 2 7" xfId="7040" xr:uid="{00000000-0005-0000-0000-0000B5270000}"/>
    <cellStyle name="Comma 6 2 7 2" xfId="13234" xr:uid="{00000000-0005-0000-0000-0000B6270000}"/>
    <cellStyle name="Comma 6 2 7 2 2" xfId="33154" xr:uid="{00000000-0005-0000-0000-0000B7270000}"/>
    <cellStyle name="Comma 6 2 7 3" xfId="19386" xr:uid="{00000000-0005-0000-0000-0000B8270000}"/>
    <cellStyle name="Comma 6 2 7 3 2" xfId="39306" xr:uid="{00000000-0005-0000-0000-0000B9270000}"/>
    <cellStyle name="Comma 6 2 7 4" xfId="27001" xr:uid="{00000000-0005-0000-0000-0000BA270000}"/>
    <cellStyle name="Comma 6 2 8" xfId="10149" xr:uid="{00000000-0005-0000-0000-0000BB270000}"/>
    <cellStyle name="Comma 6 2 8 2" xfId="16309" xr:uid="{00000000-0005-0000-0000-0000BC270000}"/>
    <cellStyle name="Comma 6 2 8 2 2" xfId="36229" xr:uid="{00000000-0005-0000-0000-0000BD270000}"/>
    <cellStyle name="Comma 6 2 8 3" xfId="22461" xr:uid="{00000000-0005-0000-0000-0000BE270000}"/>
    <cellStyle name="Comma 6 2 8 3 2" xfId="42381" xr:uid="{00000000-0005-0000-0000-0000BF270000}"/>
    <cellStyle name="Comma 6 2 8 4" xfId="30076" xr:uid="{00000000-0005-0000-0000-0000C0270000}"/>
    <cellStyle name="Comma 6 2 9" xfId="10168" xr:uid="{00000000-0005-0000-0000-0000C1270000}"/>
    <cellStyle name="Comma 6 2 9 2" xfId="30088" xr:uid="{00000000-0005-0000-0000-0000C2270000}"/>
    <cellStyle name="Comma 6 3" xfId="1190" xr:uid="{00000000-0005-0000-0000-0000C3270000}"/>
    <cellStyle name="Comma 6 3 10" xfId="16325" xr:uid="{00000000-0005-0000-0000-0000C4270000}"/>
    <cellStyle name="Comma 6 3 10 2" xfId="36245" xr:uid="{00000000-0005-0000-0000-0000C5270000}"/>
    <cellStyle name="Comma 6 3 11" xfId="23940" xr:uid="{00000000-0005-0000-0000-0000C6270000}"/>
    <cellStyle name="Comma 6 3 2" xfId="2848" xr:uid="{00000000-0005-0000-0000-0000C7270000}"/>
    <cellStyle name="Comma 6 3 3" xfId="2849" xr:uid="{00000000-0005-0000-0000-0000C8270000}"/>
    <cellStyle name="Comma 6 3 4" xfId="4603" xr:uid="{00000000-0005-0000-0000-0000C9270000}"/>
    <cellStyle name="Comma 6 3 4 2" xfId="5379" xr:uid="{00000000-0005-0000-0000-0000CA270000}"/>
    <cellStyle name="Comma 6 3 4 2 2" xfId="7004" xr:uid="{00000000-0005-0000-0000-0000CB270000}"/>
    <cellStyle name="Comma 6 3 4 2 2 2" xfId="10090" xr:uid="{00000000-0005-0000-0000-0000CC270000}"/>
    <cellStyle name="Comma 6 3 4 2 2 2 2" xfId="16283" xr:uid="{00000000-0005-0000-0000-0000CD270000}"/>
    <cellStyle name="Comma 6 3 4 2 2 2 2 2" xfId="36203" xr:uid="{00000000-0005-0000-0000-0000CE270000}"/>
    <cellStyle name="Comma 6 3 4 2 2 2 3" xfId="22435" xr:uid="{00000000-0005-0000-0000-0000CF270000}"/>
    <cellStyle name="Comma 6 3 4 2 2 2 3 2" xfId="42355" xr:uid="{00000000-0005-0000-0000-0000D0270000}"/>
    <cellStyle name="Comma 6 3 4 2 2 2 4" xfId="30050" xr:uid="{00000000-0005-0000-0000-0000D1270000}"/>
    <cellStyle name="Comma 6 3 4 2 2 3" xfId="13217" xr:uid="{00000000-0005-0000-0000-0000D2270000}"/>
    <cellStyle name="Comma 6 3 4 2 2 3 2" xfId="33137" xr:uid="{00000000-0005-0000-0000-0000D3270000}"/>
    <cellStyle name="Comma 6 3 4 2 2 4" xfId="19369" xr:uid="{00000000-0005-0000-0000-0000D4270000}"/>
    <cellStyle name="Comma 6 3 4 2 2 4 2" xfId="39289" xr:uid="{00000000-0005-0000-0000-0000D5270000}"/>
    <cellStyle name="Comma 6 3 4 2 2 5" xfId="26984" xr:uid="{00000000-0005-0000-0000-0000D6270000}"/>
    <cellStyle name="Comma 6 3 4 2 3" xfId="8555" xr:uid="{00000000-0005-0000-0000-0000D7270000}"/>
    <cellStyle name="Comma 6 3 4 2 3 2" xfId="14749" xr:uid="{00000000-0005-0000-0000-0000D8270000}"/>
    <cellStyle name="Comma 6 3 4 2 3 2 2" xfId="34669" xr:uid="{00000000-0005-0000-0000-0000D9270000}"/>
    <cellStyle name="Comma 6 3 4 2 3 3" xfId="20901" xr:uid="{00000000-0005-0000-0000-0000DA270000}"/>
    <cellStyle name="Comma 6 3 4 2 3 3 2" xfId="40821" xr:uid="{00000000-0005-0000-0000-0000DB270000}"/>
    <cellStyle name="Comma 6 3 4 2 3 4" xfId="28516" xr:uid="{00000000-0005-0000-0000-0000DC270000}"/>
    <cellStyle name="Comma 6 3 4 2 4" xfId="11683" xr:uid="{00000000-0005-0000-0000-0000DD270000}"/>
    <cellStyle name="Comma 6 3 4 2 4 2" xfId="31603" xr:uid="{00000000-0005-0000-0000-0000DE270000}"/>
    <cellStyle name="Comma 6 3 4 2 5" xfId="17835" xr:uid="{00000000-0005-0000-0000-0000DF270000}"/>
    <cellStyle name="Comma 6 3 4 2 5 2" xfId="37755" xr:uid="{00000000-0005-0000-0000-0000E0270000}"/>
    <cellStyle name="Comma 6 3 4 2 6" xfId="25450" xr:uid="{00000000-0005-0000-0000-0000E1270000}"/>
    <cellStyle name="Comma 6 3 4 3" xfId="6235" xr:uid="{00000000-0005-0000-0000-0000E2270000}"/>
    <cellStyle name="Comma 6 3 4 3 2" xfId="9321" xr:uid="{00000000-0005-0000-0000-0000E3270000}"/>
    <cellStyle name="Comma 6 3 4 3 2 2" xfId="15514" xr:uid="{00000000-0005-0000-0000-0000E4270000}"/>
    <cellStyle name="Comma 6 3 4 3 2 2 2" xfId="35434" xr:uid="{00000000-0005-0000-0000-0000E5270000}"/>
    <cellStyle name="Comma 6 3 4 3 2 3" xfId="21666" xr:uid="{00000000-0005-0000-0000-0000E6270000}"/>
    <cellStyle name="Comma 6 3 4 3 2 3 2" xfId="41586" xr:uid="{00000000-0005-0000-0000-0000E7270000}"/>
    <cellStyle name="Comma 6 3 4 3 2 4" xfId="29281" xr:uid="{00000000-0005-0000-0000-0000E8270000}"/>
    <cellStyle name="Comma 6 3 4 3 3" xfId="12448" xr:uid="{00000000-0005-0000-0000-0000E9270000}"/>
    <cellStyle name="Comma 6 3 4 3 3 2" xfId="32368" xr:uid="{00000000-0005-0000-0000-0000EA270000}"/>
    <cellStyle name="Comma 6 3 4 3 4" xfId="18600" xr:uid="{00000000-0005-0000-0000-0000EB270000}"/>
    <cellStyle name="Comma 6 3 4 3 4 2" xfId="38520" xr:uid="{00000000-0005-0000-0000-0000EC270000}"/>
    <cellStyle name="Comma 6 3 4 3 5" xfId="26215" xr:uid="{00000000-0005-0000-0000-0000ED270000}"/>
    <cellStyle name="Comma 6 3 4 4" xfId="7786" xr:uid="{00000000-0005-0000-0000-0000EE270000}"/>
    <cellStyle name="Comma 6 3 4 4 2" xfId="13980" xr:uid="{00000000-0005-0000-0000-0000EF270000}"/>
    <cellStyle name="Comma 6 3 4 4 2 2" xfId="33900" xr:uid="{00000000-0005-0000-0000-0000F0270000}"/>
    <cellStyle name="Comma 6 3 4 4 3" xfId="20132" xr:uid="{00000000-0005-0000-0000-0000F1270000}"/>
    <cellStyle name="Comma 6 3 4 4 3 2" xfId="40052" xr:uid="{00000000-0005-0000-0000-0000F2270000}"/>
    <cellStyle name="Comma 6 3 4 4 4" xfId="27747" xr:uid="{00000000-0005-0000-0000-0000F3270000}"/>
    <cellStyle name="Comma 6 3 4 5" xfId="10914" xr:uid="{00000000-0005-0000-0000-0000F4270000}"/>
    <cellStyle name="Comma 6 3 4 5 2" xfId="30834" xr:uid="{00000000-0005-0000-0000-0000F5270000}"/>
    <cellStyle name="Comma 6 3 4 6" xfId="17066" xr:uid="{00000000-0005-0000-0000-0000F6270000}"/>
    <cellStyle name="Comma 6 3 4 6 2" xfId="36986" xr:uid="{00000000-0005-0000-0000-0000F7270000}"/>
    <cellStyle name="Comma 6 3 4 7" xfId="24681" xr:uid="{00000000-0005-0000-0000-0000F8270000}"/>
    <cellStyle name="Comma 6 3 5" xfId="2847" xr:uid="{00000000-0005-0000-0000-0000F9270000}"/>
    <cellStyle name="Comma 6 3 6" xfId="4638" xr:uid="{00000000-0005-0000-0000-0000FA270000}"/>
    <cellStyle name="Comma 6 3 6 2" xfId="6263" xr:uid="{00000000-0005-0000-0000-0000FB270000}"/>
    <cellStyle name="Comma 6 3 6 2 2" xfId="9349" xr:uid="{00000000-0005-0000-0000-0000FC270000}"/>
    <cellStyle name="Comma 6 3 6 2 2 2" xfId="15542" xr:uid="{00000000-0005-0000-0000-0000FD270000}"/>
    <cellStyle name="Comma 6 3 6 2 2 2 2" xfId="35462" xr:uid="{00000000-0005-0000-0000-0000FE270000}"/>
    <cellStyle name="Comma 6 3 6 2 2 3" xfId="21694" xr:uid="{00000000-0005-0000-0000-0000FF270000}"/>
    <cellStyle name="Comma 6 3 6 2 2 3 2" xfId="41614" xr:uid="{00000000-0005-0000-0000-000000280000}"/>
    <cellStyle name="Comma 6 3 6 2 2 4" xfId="29309" xr:uid="{00000000-0005-0000-0000-000001280000}"/>
    <cellStyle name="Comma 6 3 6 2 3" xfId="12476" xr:uid="{00000000-0005-0000-0000-000002280000}"/>
    <cellStyle name="Comma 6 3 6 2 3 2" xfId="32396" xr:uid="{00000000-0005-0000-0000-000003280000}"/>
    <cellStyle name="Comma 6 3 6 2 4" xfId="18628" xr:uid="{00000000-0005-0000-0000-000004280000}"/>
    <cellStyle name="Comma 6 3 6 2 4 2" xfId="38548" xr:uid="{00000000-0005-0000-0000-000005280000}"/>
    <cellStyle name="Comma 6 3 6 2 5" xfId="26243" xr:uid="{00000000-0005-0000-0000-000006280000}"/>
    <cellStyle name="Comma 6 3 6 3" xfId="7814" xr:uid="{00000000-0005-0000-0000-000007280000}"/>
    <cellStyle name="Comma 6 3 6 3 2" xfId="14008" xr:uid="{00000000-0005-0000-0000-000008280000}"/>
    <cellStyle name="Comma 6 3 6 3 2 2" xfId="33928" xr:uid="{00000000-0005-0000-0000-000009280000}"/>
    <cellStyle name="Comma 6 3 6 3 3" xfId="20160" xr:uid="{00000000-0005-0000-0000-00000A280000}"/>
    <cellStyle name="Comma 6 3 6 3 3 2" xfId="40080" xr:uid="{00000000-0005-0000-0000-00000B280000}"/>
    <cellStyle name="Comma 6 3 6 3 4" xfId="27775" xr:uid="{00000000-0005-0000-0000-00000C280000}"/>
    <cellStyle name="Comma 6 3 6 4" xfId="10942" xr:uid="{00000000-0005-0000-0000-00000D280000}"/>
    <cellStyle name="Comma 6 3 6 4 2" xfId="30862" xr:uid="{00000000-0005-0000-0000-00000E280000}"/>
    <cellStyle name="Comma 6 3 6 5" xfId="17094" xr:uid="{00000000-0005-0000-0000-00000F280000}"/>
    <cellStyle name="Comma 6 3 6 5 2" xfId="37014" xr:uid="{00000000-0005-0000-0000-000010280000}"/>
    <cellStyle name="Comma 6 3 6 6" xfId="24709" xr:uid="{00000000-0005-0000-0000-000011280000}"/>
    <cellStyle name="Comma 6 3 7" xfId="5477" xr:uid="{00000000-0005-0000-0000-000012280000}"/>
    <cellStyle name="Comma 6 3 7 2" xfId="8580" xr:uid="{00000000-0005-0000-0000-000013280000}"/>
    <cellStyle name="Comma 6 3 7 2 2" xfId="14773" xr:uid="{00000000-0005-0000-0000-000014280000}"/>
    <cellStyle name="Comma 6 3 7 2 2 2" xfId="34693" xr:uid="{00000000-0005-0000-0000-000015280000}"/>
    <cellStyle name="Comma 6 3 7 2 3" xfId="20925" xr:uid="{00000000-0005-0000-0000-000016280000}"/>
    <cellStyle name="Comma 6 3 7 2 3 2" xfId="40845" xr:uid="{00000000-0005-0000-0000-000017280000}"/>
    <cellStyle name="Comma 6 3 7 2 4" xfId="28540" xr:uid="{00000000-0005-0000-0000-000018280000}"/>
    <cellStyle name="Comma 6 3 7 3" xfId="11707" xr:uid="{00000000-0005-0000-0000-000019280000}"/>
    <cellStyle name="Comma 6 3 7 3 2" xfId="31627" xr:uid="{00000000-0005-0000-0000-00001A280000}"/>
    <cellStyle name="Comma 6 3 7 4" xfId="17859" xr:uid="{00000000-0005-0000-0000-00001B280000}"/>
    <cellStyle name="Comma 6 3 7 4 2" xfId="37779" xr:uid="{00000000-0005-0000-0000-00001C280000}"/>
    <cellStyle name="Comma 6 3 7 5" xfId="25474" xr:uid="{00000000-0005-0000-0000-00001D280000}"/>
    <cellStyle name="Comma 6 3 8" xfId="7045" xr:uid="{00000000-0005-0000-0000-00001E280000}"/>
    <cellStyle name="Comma 6 3 8 2" xfId="13239" xr:uid="{00000000-0005-0000-0000-00001F280000}"/>
    <cellStyle name="Comma 6 3 8 2 2" xfId="33159" xr:uid="{00000000-0005-0000-0000-000020280000}"/>
    <cellStyle name="Comma 6 3 8 3" xfId="19391" xr:uid="{00000000-0005-0000-0000-000021280000}"/>
    <cellStyle name="Comma 6 3 8 3 2" xfId="39311" xr:uid="{00000000-0005-0000-0000-000022280000}"/>
    <cellStyle name="Comma 6 3 8 4" xfId="27006" xr:uid="{00000000-0005-0000-0000-000023280000}"/>
    <cellStyle name="Comma 6 3 9" xfId="10173" xr:uid="{00000000-0005-0000-0000-000024280000}"/>
    <cellStyle name="Comma 6 3 9 2" xfId="30093" xr:uid="{00000000-0005-0000-0000-000025280000}"/>
    <cellStyle name="Comma 6 4" xfId="2850" xr:uid="{00000000-0005-0000-0000-000026280000}"/>
    <cellStyle name="Comma 6 5" xfId="4583" xr:uid="{00000000-0005-0000-0000-000027280000}"/>
    <cellStyle name="Comma 6 5 2" xfId="5371" xr:uid="{00000000-0005-0000-0000-000028280000}"/>
    <cellStyle name="Comma 6 5 2 2" xfId="6996" xr:uid="{00000000-0005-0000-0000-000029280000}"/>
    <cellStyle name="Comma 6 5 2 2 2" xfId="10082" xr:uid="{00000000-0005-0000-0000-00002A280000}"/>
    <cellStyle name="Comma 6 5 2 2 2 2" xfId="16275" xr:uid="{00000000-0005-0000-0000-00002B280000}"/>
    <cellStyle name="Comma 6 5 2 2 2 2 2" xfId="36195" xr:uid="{00000000-0005-0000-0000-00002C280000}"/>
    <cellStyle name="Comma 6 5 2 2 2 3" xfId="22427" xr:uid="{00000000-0005-0000-0000-00002D280000}"/>
    <cellStyle name="Comma 6 5 2 2 2 3 2" xfId="42347" xr:uid="{00000000-0005-0000-0000-00002E280000}"/>
    <cellStyle name="Comma 6 5 2 2 2 4" xfId="30042" xr:uid="{00000000-0005-0000-0000-00002F280000}"/>
    <cellStyle name="Comma 6 5 2 2 3" xfId="13209" xr:uid="{00000000-0005-0000-0000-000030280000}"/>
    <cellStyle name="Comma 6 5 2 2 3 2" xfId="33129" xr:uid="{00000000-0005-0000-0000-000031280000}"/>
    <cellStyle name="Comma 6 5 2 2 4" xfId="19361" xr:uid="{00000000-0005-0000-0000-000032280000}"/>
    <cellStyle name="Comma 6 5 2 2 4 2" xfId="39281" xr:uid="{00000000-0005-0000-0000-000033280000}"/>
    <cellStyle name="Comma 6 5 2 2 5" xfId="26976" xr:uid="{00000000-0005-0000-0000-000034280000}"/>
    <cellStyle name="Comma 6 5 2 3" xfId="8547" xr:uid="{00000000-0005-0000-0000-000035280000}"/>
    <cellStyle name="Comma 6 5 2 3 2" xfId="14741" xr:uid="{00000000-0005-0000-0000-000036280000}"/>
    <cellStyle name="Comma 6 5 2 3 2 2" xfId="34661" xr:uid="{00000000-0005-0000-0000-000037280000}"/>
    <cellStyle name="Comma 6 5 2 3 3" xfId="20893" xr:uid="{00000000-0005-0000-0000-000038280000}"/>
    <cellStyle name="Comma 6 5 2 3 3 2" xfId="40813" xr:uid="{00000000-0005-0000-0000-000039280000}"/>
    <cellStyle name="Comma 6 5 2 3 4" xfId="28508" xr:uid="{00000000-0005-0000-0000-00003A280000}"/>
    <cellStyle name="Comma 6 5 2 4" xfId="11675" xr:uid="{00000000-0005-0000-0000-00003B280000}"/>
    <cellStyle name="Comma 6 5 2 4 2" xfId="31595" xr:uid="{00000000-0005-0000-0000-00003C280000}"/>
    <cellStyle name="Comma 6 5 2 5" xfId="17827" xr:uid="{00000000-0005-0000-0000-00003D280000}"/>
    <cellStyle name="Comma 6 5 2 5 2" xfId="37747" xr:uid="{00000000-0005-0000-0000-00003E280000}"/>
    <cellStyle name="Comma 6 5 2 6" xfId="25442" xr:uid="{00000000-0005-0000-0000-00003F280000}"/>
    <cellStyle name="Comma 6 5 3" xfId="6227" xr:uid="{00000000-0005-0000-0000-000040280000}"/>
    <cellStyle name="Comma 6 5 3 2" xfId="9313" xr:uid="{00000000-0005-0000-0000-000041280000}"/>
    <cellStyle name="Comma 6 5 3 2 2" xfId="15506" xr:uid="{00000000-0005-0000-0000-000042280000}"/>
    <cellStyle name="Comma 6 5 3 2 2 2" xfId="35426" xr:uid="{00000000-0005-0000-0000-000043280000}"/>
    <cellStyle name="Comma 6 5 3 2 3" xfId="21658" xr:uid="{00000000-0005-0000-0000-000044280000}"/>
    <cellStyle name="Comma 6 5 3 2 3 2" xfId="41578" xr:uid="{00000000-0005-0000-0000-000045280000}"/>
    <cellStyle name="Comma 6 5 3 2 4" xfId="29273" xr:uid="{00000000-0005-0000-0000-000046280000}"/>
    <cellStyle name="Comma 6 5 3 3" xfId="12440" xr:uid="{00000000-0005-0000-0000-000047280000}"/>
    <cellStyle name="Comma 6 5 3 3 2" xfId="32360" xr:uid="{00000000-0005-0000-0000-000048280000}"/>
    <cellStyle name="Comma 6 5 3 4" xfId="18592" xr:uid="{00000000-0005-0000-0000-000049280000}"/>
    <cellStyle name="Comma 6 5 3 4 2" xfId="38512" xr:uid="{00000000-0005-0000-0000-00004A280000}"/>
    <cellStyle name="Comma 6 5 3 5" xfId="26207" xr:uid="{00000000-0005-0000-0000-00004B280000}"/>
    <cellStyle name="Comma 6 5 4" xfId="7778" xr:uid="{00000000-0005-0000-0000-00004C280000}"/>
    <cellStyle name="Comma 6 5 4 2" xfId="13972" xr:uid="{00000000-0005-0000-0000-00004D280000}"/>
    <cellStyle name="Comma 6 5 4 2 2" xfId="33892" xr:uid="{00000000-0005-0000-0000-00004E280000}"/>
    <cellStyle name="Comma 6 5 4 3" xfId="20124" xr:uid="{00000000-0005-0000-0000-00004F280000}"/>
    <cellStyle name="Comma 6 5 4 3 2" xfId="40044" xr:uid="{00000000-0005-0000-0000-000050280000}"/>
    <cellStyle name="Comma 6 5 4 4" xfId="27739" xr:uid="{00000000-0005-0000-0000-000051280000}"/>
    <cellStyle name="Comma 6 5 5" xfId="10906" xr:uid="{00000000-0005-0000-0000-000052280000}"/>
    <cellStyle name="Comma 6 5 5 2" xfId="30826" xr:uid="{00000000-0005-0000-0000-000053280000}"/>
    <cellStyle name="Comma 6 5 6" xfId="17058" xr:uid="{00000000-0005-0000-0000-000054280000}"/>
    <cellStyle name="Comma 6 5 6 2" xfId="36978" xr:uid="{00000000-0005-0000-0000-000055280000}"/>
    <cellStyle name="Comma 6 5 7" xfId="24673" xr:uid="{00000000-0005-0000-0000-000056280000}"/>
    <cellStyle name="Comma 6 6" xfId="2845" xr:uid="{00000000-0005-0000-0000-000057280000}"/>
    <cellStyle name="Comma 6 7" xfId="4627" xr:uid="{00000000-0005-0000-0000-000058280000}"/>
    <cellStyle name="Comma 6 7 2" xfId="6252" xr:uid="{00000000-0005-0000-0000-000059280000}"/>
    <cellStyle name="Comma 6 7 2 2" xfId="9338" xr:uid="{00000000-0005-0000-0000-00005A280000}"/>
    <cellStyle name="Comma 6 7 2 2 2" xfId="15531" xr:uid="{00000000-0005-0000-0000-00005B280000}"/>
    <cellStyle name="Comma 6 7 2 2 2 2" xfId="35451" xr:uid="{00000000-0005-0000-0000-00005C280000}"/>
    <cellStyle name="Comma 6 7 2 2 3" xfId="21683" xr:uid="{00000000-0005-0000-0000-00005D280000}"/>
    <cellStyle name="Comma 6 7 2 2 3 2" xfId="41603" xr:uid="{00000000-0005-0000-0000-00005E280000}"/>
    <cellStyle name="Comma 6 7 2 2 4" xfId="29298" xr:uid="{00000000-0005-0000-0000-00005F280000}"/>
    <cellStyle name="Comma 6 7 2 3" xfId="12465" xr:uid="{00000000-0005-0000-0000-000060280000}"/>
    <cellStyle name="Comma 6 7 2 3 2" xfId="32385" xr:uid="{00000000-0005-0000-0000-000061280000}"/>
    <cellStyle name="Comma 6 7 2 4" xfId="18617" xr:uid="{00000000-0005-0000-0000-000062280000}"/>
    <cellStyle name="Comma 6 7 2 4 2" xfId="38537" xr:uid="{00000000-0005-0000-0000-000063280000}"/>
    <cellStyle name="Comma 6 7 2 5" xfId="26232" xr:uid="{00000000-0005-0000-0000-000064280000}"/>
    <cellStyle name="Comma 6 7 3" xfId="7803" xr:uid="{00000000-0005-0000-0000-000065280000}"/>
    <cellStyle name="Comma 6 7 3 2" xfId="13997" xr:uid="{00000000-0005-0000-0000-000066280000}"/>
    <cellStyle name="Comma 6 7 3 2 2" xfId="33917" xr:uid="{00000000-0005-0000-0000-000067280000}"/>
    <cellStyle name="Comma 6 7 3 3" xfId="20149" xr:uid="{00000000-0005-0000-0000-000068280000}"/>
    <cellStyle name="Comma 6 7 3 3 2" xfId="40069" xr:uid="{00000000-0005-0000-0000-000069280000}"/>
    <cellStyle name="Comma 6 7 3 4" xfId="27764" xr:uid="{00000000-0005-0000-0000-00006A280000}"/>
    <cellStyle name="Comma 6 7 4" xfId="10931" xr:uid="{00000000-0005-0000-0000-00006B280000}"/>
    <cellStyle name="Comma 6 7 4 2" xfId="30851" xr:uid="{00000000-0005-0000-0000-00006C280000}"/>
    <cellStyle name="Comma 6 7 5" xfId="17083" xr:uid="{00000000-0005-0000-0000-00006D280000}"/>
    <cellStyle name="Comma 6 7 5 2" xfId="37003" xr:uid="{00000000-0005-0000-0000-00006E280000}"/>
    <cellStyle name="Comma 6 7 6" xfId="24698" xr:uid="{00000000-0005-0000-0000-00006F280000}"/>
    <cellStyle name="Comma 6 8" xfId="5465" xr:uid="{00000000-0005-0000-0000-000070280000}"/>
    <cellStyle name="Comma 6 8 2" xfId="8569" xr:uid="{00000000-0005-0000-0000-000071280000}"/>
    <cellStyle name="Comma 6 8 2 2" xfId="14762" xr:uid="{00000000-0005-0000-0000-000072280000}"/>
    <cellStyle name="Comma 6 8 2 2 2" xfId="34682" xr:uid="{00000000-0005-0000-0000-000073280000}"/>
    <cellStyle name="Comma 6 8 2 3" xfId="20914" xr:uid="{00000000-0005-0000-0000-000074280000}"/>
    <cellStyle name="Comma 6 8 2 3 2" xfId="40834" xr:uid="{00000000-0005-0000-0000-000075280000}"/>
    <cellStyle name="Comma 6 8 2 4" xfId="28529" xr:uid="{00000000-0005-0000-0000-000076280000}"/>
    <cellStyle name="Comma 6 8 3" xfId="11696" xr:uid="{00000000-0005-0000-0000-000077280000}"/>
    <cellStyle name="Comma 6 8 3 2" xfId="31616" xr:uid="{00000000-0005-0000-0000-000078280000}"/>
    <cellStyle name="Comma 6 8 4" xfId="17848" xr:uid="{00000000-0005-0000-0000-000079280000}"/>
    <cellStyle name="Comma 6 8 4 2" xfId="37768" xr:uid="{00000000-0005-0000-0000-00007A280000}"/>
    <cellStyle name="Comma 6 8 5" xfId="25463" xr:uid="{00000000-0005-0000-0000-00007B280000}"/>
    <cellStyle name="Comma 6 9" xfId="7034" xr:uid="{00000000-0005-0000-0000-00007C280000}"/>
    <cellStyle name="Comma 6 9 2" xfId="13228" xr:uid="{00000000-0005-0000-0000-00007D280000}"/>
    <cellStyle name="Comma 6 9 2 2" xfId="33148" xr:uid="{00000000-0005-0000-0000-00007E280000}"/>
    <cellStyle name="Comma 6 9 3" xfId="19380" xr:uid="{00000000-0005-0000-0000-00007F280000}"/>
    <cellStyle name="Comma 6 9 3 2" xfId="39300" xr:uid="{00000000-0005-0000-0000-000080280000}"/>
    <cellStyle name="Comma 6 9 4" xfId="26995" xr:uid="{00000000-0005-0000-0000-000081280000}"/>
    <cellStyle name="Comma 60" xfId="2851" xr:uid="{00000000-0005-0000-0000-000082280000}"/>
    <cellStyle name="Comma 61" xfId="2852" xr:uid="{00000000-0005-0000-0000-000083280000}"/>
    <cellStyle name="Comma 62" xfId="2853" xr:uid="{00000000-0005-0000-0000-000084280000}"/>
    <cellStyle name="Comma 63" xfId="2854" xr:uid="{00000000-0005-0000-0000-000085280000}"/>
    <cellStyle name="Comma 64" xfId="2855" xr:uid="{00000000-0005-0000-0000-000086280000}"/>
    <cellStyle name="Comma 65" xfId="2856" xr:uid="{00000000-0005-0000-0000-000087280000}"/>
    <cellStyle name="Comma 66" xfId="2857" xr:uid="{00000000-0005-0000-0000-000088280000}"/>
    <cellStyle name="Comma 67" xfId="2858" xr:uid="{00000000-0005-0000-0000-000089280000}"/>
    <cellStyle name="Comma 68" xfId="2859" xr:uid="{00000000-0005-0000-0000-00008A280000}"/>
    <cellStyle name="Comma 69" xfId="2860" xr:uid="{00000000-0005-0000-0000-00008B280000}"/>
    <cellStyle name="Comma 7" xfId="103" xr:uid="{00000000-0005-0000-0000-00008C280000}"/>
    <cellStyle name="Comma 7 10" xfId="22719" xr:uid="{00000000-0005-0000-0000-00008D280000}"/>
    <cellStyle name="Comma 7 10 2" xfId="42630" xr:uid="{00000000-0005-0000-0000-00008E280000}"/>
    <cellStyle name="Comma 7 11" xfId="23022" xr:uid="{00000000-0005-0000-0000-00008F280000}"/>
    <cellStyle name="Comma 7 11 2" xfId="42933" xr:uid="{00000000-0005-0000-0000-000090280000}"/>
    <cellStyle name="Comma 7 12" xfId="23333" xr:uid="{00000000-0005-0000-0000-000091280000}"/>
    <cellStyle name="Comma 7 2" xfId="754" xr:uid="{00000000-0005-0000-0000-000092280000}"/>
    <cellStyle name="Comma 7 2 2" xfId="2862" xr:uid="{00000000-0005-0000-0000-000093280000}"/>
    <cellStyle name="Comma 7 2 3" xfId="23636" xr:uid="{00000000-0005-0000-0000-000094280000}"/>
    <cellStyle name="Comma 7 3" xfId="2863" xr:uid="{00000000-0005-0000-0000-000095280000}"/>
    <cellStyle name="Comma 7 3 2" xfId="2864" xr:uid="{00000000-0005-0000-0000-000096280000}"/>
    <cellStyle name="Comma 7 3 3" xfId="2865" xr:uid="{00000000-0005-0000-0000-000097280000}"/>
    <cellStyle name="Comma 7 4" xfId="2866" xr:uid="{00000000-0005-0000-0000-000098280000}"/>
    <cellStyle name="Comma 7 5" xfId="4587" xr:uid="{00000000-0005-0000-0000-000099280000}"/>
    <cellStyle name="Comma 7 6" xfId="2861" xr:uid="{00000000-0005-0000-0000-00009A280000}"/>
    <cellStyle name="Comma 7 7" xfId="1170" xr:uid="{00000000-0005-0000-0000-00009B280000}"/>
    <cellStyle name="Comma 7 8" xfId="1051" xr:uid="{00000000-0005-0000-0000-00009C280000}"/>
    <cellStyle name="Comma 7 9" xfId="22617" xr:uid="{00000000-0005-0000-0000-00009D280000}"/>
    <cellStyle name="Comma 7 9 2" xfId="42528" xr:uid="{00000000-0005-0000-0000-00009E280000}"/>
    <cellStyle name="Comma 70" xfId="2867" xr:uid="{00000000-0005-0000-0000-00009F280000}"/>
    <cellStyle name="Comma 71" xfId="2868" xr:uid="{00000000-0005-0000-0000-0000A0280000}"/>
    <cellStyle name="Comma 72" xfId="2869" xr:uid="{00000000-0005-0000-0000-0000A1280000}"/>
    <cellStyle name="Comma 73" xfId="2870" xr:uid="{00000000-0005-0000-0000-0000A2280000}"/>
    <cellStyle name="Comma 74" xfId="2871" xr:uid="{00000000-0005-0000-0000-0000A3280000}"/>
    <cellStyle name="Comma 75" xfId="2872" xr:uid="{00000000-0005-0000-0000-0000A4280000}"/>
    <cellStyle name="Comma 76" xfId="2873" xr:uid="{00000000-0005-0000-0000-0000A5280000}"/>
    <cellStyle name="Comma 77" xfId="2874" xr:uid="{00000000-0005-0000-0000-0000A6280000}"/>
    <cellStyle name="Comma 78" xfId="2875" xr:uid="{00000000-0005-0000-0000-0000A7280000}"/>
    <cellStyle name="Comma 79" xfId="2876" xr:uid="{00000000-0005-0000-0000-0000A8280000}"/>
    <cellStyle name="Comma 8" xfId="104" xr:uid="{00000000-0005-0000-0000-0000A9280000}"/>
    <cellStyle name="Comma 8 10" xfId="23334" xr:uid="{00000000-0005-0000-0000-0000AA280000}"/>
    <cellStyle name="Comma 8 2" xfId="755" xr:uid="{00000000-0005-0000-0000-0000AB280000}"/>
    <cellStyle name="Comma 8 2 2" xfId="2879" xr:uid="{00000000-0005-0000-0000-0000AC280000}"/>
    <cellStyle name="Comma 8 2 3" xfId="2880" xr:uid="{00000000-0005-0000-0000-0000AD280000}"/>
    <cellStyle name="Comma 8 2 4" xfId="2878" xr:uid="{00000000-0005-0000-0000-0000AE280000}"/>
    <cellStyle name="Comma 8 2 5" xfId="23637" xr:uid="{00000000-0005-0000-0000-0000AF280000}"/>
    <cellStyle name="Comma 8 3" xfId="4594" xr:uid="{00000000-0005-0000-0000-0000B0280000}"/>
    <cellStyle name="Comma 8 4" xfId="2877" xr:uid="{00000000-0005-0000-0000-0000B1280000}"/>
    <cellStyle name="Comma 8 5" xfId="1180" xr:uid="{00000000-0005-0000-0000-0000B2280000}"/>
    <cellStyle name="Comma 8 6" xfId="1053" xr:uid="{00000000-0005-0000-0000-0000B3280000}"/>
    <cellStyle name="Comma 8 7" xfId="22536" xr:uid="{00000000-0005-0000-0000-0000B4280000}"/>
    <cellStyle name="Comma 8 7 2" xfId="42447" xr:uid="{00000000-0005-0000-0000-0000B5280000}"/>
    <cellStyle name="Comma 8 8" xfId="22720" xr:uid="{00000000-0005-0000-0000-0000B6280000}"/>
    <cellStyle name="Comma 8 8 2" xfId="42631" xr:uid="{00000000-0005-0000-0000-0000B7280000}"/>
    <cellStyle name="Comma 8 9" xfId="23023" xr:uid="{00000000-0005-0000-0000-0000B8280000}"/>
    <cellStyle name="Comma 8 9 2" xfId="42934" xr:uid="{00000000-0005-0000-0000-0000B9280000}"/>
    <cellStyle name="Comma 80" xfId="2881" xr:uid="{00000000-0005-0000-0000-0000BA280000}"/>
    <cellStyle name="Comma 81" xfId="2882" xr:uid="{00000000-0005-0000-0000-0000BB280000}"/>
    <cellStyle name="Comma 82" xfId="2883" xr:uid="{00000000-0005-0000-0000-0000BC280000}"/>
    <cellStyle name="Comma 83" xfId="2884" xr:uid="{00000000-0005-0000-0000-0000BD280000}"/>
    <cellStyle name="Comma 84" xfId="2885" xr:uid="{00000000-0005-0000-0000-0000BE280000}"/>
    <cellStyle name="Comma 85" xfId="2886" xr:uid="{00000000-0005-0000-0000-0000BF280000}"/>
    <cellStyle name="Comma 86" xfId="2887" xr:uid="{00000000-0005-0000-0000-0000C0280000}"/>
    <cellStyle name="Comma 87" xfId="2888" xr:uid="{00000000-0005-0000-0000-0000C1280000}"/>
    <cellStyle name="Comma 88" xfId="2889" xr:uid="{00000000-0005-0000-0000-0000C2280000}"/>
    <cellStyle name="Comma 89" xfId="2890" xr:uid="{00000000-0005-0000-0000-0000C3280000}"/>
    <cellStyle name="Comma 9" xfId="106" xr:uid="{00000000-0005-0000-0000-0000C4280000}"/>
    <cellStyle name="Comma 9 10" xfId="23025" xr:uid="{00000000-0005-0000-0000-0000C5280000}"/>
    <cellStyle name="Comma 9 10 2" xfId="42936" xr:uid="{00000000-0005-0000-0000-0000C6280000}"/>
    <cellStyle name="Comma 9 11" xfId="23336" xr:uid="{00000000-0005-0000-0000-0000C7280000}"/>
    <cellStyle name="Comma 9 2" xfId="757" xr:uid="{00000000-0005-0000-0000-0000C8280000}"/>
    <cellStyle name="Comma 9 2 2" xfId="2893" xr:uid="{00000000-0005-0000-0000-0000C9280000}"/>
    <cellStyle name="Comma 9 2 3" xfId="2894" xr:uid="{00000000-0005-0000-0000-0000CA280000}"/>
    <cellStyle name="Comma 9 2 4" xfId="2892" xr:uid="{00000000-0005-0000-0000-0000CB280000}"/>
    <cellStyle name="Comma 9 2 5" xfId="23639" xr:uid="{00000000-0005-0000-0000-0000CC280000}"/>
    <cellStyle name="Comma 9 3" xfId="2895" xr:uid="{00000000-0005-0000-0000-0000CD280000}"/>
    <cellStyle name="Comma 9 4" xfId="4598" xr:uid="{00000000-0005-0000-0000-0000CE280000}"/>
    <cellStyle name="Comma 9 5" xfId="2891" xr:uid="{00000000-0005-0000-0000-0000CF280000}"/>
    <cellStyle name="Comma 9 6" xfId="1184" xr:uid="{00000000-0005-0000-0000-0000D0280000}"/>
    <cellStyle name="Comma 9 7" xfId="1054" xr:uid="{00000000-0005-0000-0000-0000D1280000}"/>
    <cellStyle name="Comma 9 8" xfId="22623" xr:uid="{00000000-0005-0000-0000-0000D2280000}"/>
    <cellStyle name="Comma 9 8 2" xfId="42534" xr:uid="{00000000-0005-0000-0000-0000D3280000}"/>
    <cellStyle name="Comma 9 9" xfId="22722" xr:uid="{00000000-0005-0000-0000-0000D4280000}"/>
    <cellStyle name="Comma 9 9 2" xfId="42633" xr:uid="{00000000-0005-0000-0000-0000D5280000}"/>
    <cellStyle name="Comma 90" xfId="2896" xr:uid="{00000000-0005-0000-0000-0000D6280000}"/>
    <cellStyle name="Comma 91" xfId="2897" xr:uid="{00000000-0005-0000-0000-0000D7280000}"/>
    <cellStyle name="Comma 92" xfId="2898" xr:uid="{00000000-0005-0000-0000-0000D8280000}"/>
    <cellStyle name="Comma 93" xfId="2899" xr:uid="{00000000-0005-0000-0000-0000D9280000}"/>
    <cellStyle name="Comma 94" xfId="2900" xr:uid="{00000000-0005-0000-0000-0000DA280000}"/>
    <cellStyle name="Comma 95" xfId="2901" xr:uid="{00000000-0005-0000-0000-0000DB280000}"/>
    <cellStyle name="Comma 96" xfId="2902" xr:uid="{00000000-0005-0000-0000-0000DC280000}"/>
    <cellStyle name="Comma 97" xfId="2903" xr:uid="{00000000-0005-0000-0000-0000DD280000}"/>
    <cellStyle name="Comma 98" xfId="2904" xr:uid="{00000000-0005-0000-0000-0000DE280000}"/>
    <cellStyle name="Comma 99" xfId="2905" xr:uid="{00000000-0005-0000-0000-0000DF280000}"/>
    <cellStyle name="Comma(+Credit)" xfId="2906" xr:uid="{00000000-0005-0000-0000-0000E0280000}"/>
    <cellStyle name="Comma0" xfId="134" xr:uid="{00000000-0005-0000-0000-0000E1280000}"/>
    <cellStyle name="Comma0 2" xfId="10107" xr:uid="{00000000-0005-0000-0000-0000E2280000}"/>
    <cellStyle name="Company Name" xfId="2907" xr:uid="{00000000-0005-0000-0000-0000E3280000}"/>
    <cellStyle name="Company Name 2" xfId="2908" xr:uid="{00000000-0005-0000-0000-0000E4280000}"/>
    <cellStyle name="Company Name 3" xfId="2909" xr:uid="{00000000-0005-0000-0000-0000E5280000}"/>
    <cellStyle name="Currency" xfId="2" builtinId="4"/>
    <cellStyle name="Currency [0] 2" xfId="1071" xr:uid="{00000000-0005-0000-0000-0000E7280000}"/>
    <cellStyle name="Currency [0] 2 2" xfId="4509" xr:uid="{00000000-0005-0000-0000-0000E8280000}"/>
    <cellStyle name="Currency [0] 2 3" xfId="1204" xr:uid="{00000000-0005-0000-0000-0000E9280000}"/>
    <cellStyle name="Currency [0] 3" xfId="1097" xr:uid="{00000000-0005-0000-0000-0000EA280000}"/>
    <cellStyle name="Currency [0] 4" xfId="1172" xr:uid="{00000000-0005-0000-0000-0000EB280000}"/>
    <cellStyle name="Currency [0] 5" xfId="4508" xr:uid="{00000000-0005-0000-0000-0000EC280000}"/>
    <cellStyle name="Currency [0] 6" xfId="4614" xr:uid="{00000000-0005-0000-0000-0000ED280000}"/>
    <cellStyle name="Currency [0] 7" xfId="7029" xr:uid="{00000000-0005-0000-0000-0000EE280000}"/>
    <cellStyle name="Currency [0] 8" xfId="10157" xr:uid="{00000000-0005-0000-0000-0000EF280000}"/>
    <cellStyle name="Currency [0] 9" xfId="1065" xr:uid="{00000000-0005-0000-0000-0000F0280000}"/>
    <cellStyle name="Currency 0.0" xfId="2910" xr:uid="{00000000-0005-0000-0000-0000F1280000}"/>
    <cellStyle name="Currency 0.00" xfId="2911" xr:uid="{00000000-0005-0000-0000-0000F2280000}"/>
    <cellStyle name="Currency 0.000" xfId="2912" xr:uid="{00000000-0005-0000-0000-0000F3280000}"/>
    <cellStyle name="Currency 10" xfId="1183" xr:uid="{00000000-0005-0000-0000-0000F4280000}"/>
    <cellStyle name="Currency 10 2" xfId="2914" xr:uid="{00000000-0005-0000-0000-0000F5280000}"/>
    <cellStyle name="Currency 10 3" xfId="2915" xr:uid="{00000000-0005-0000-0000-0000F6280000}"/>
    <cellStyle name="Currency 10 4" xfId="2916" xr:uid="{00000000-0005-0000-0000-0000F7280000}"/>
    <cellStyle name="Currency 10 5" xfId="2917" xr:uid="{00000000-0005-0000-0000-0000F8280000}"/>
    <cellStyle name="Currency 10 6" xfId="2918" xr:uid="{00000000-0005-0000-0000-0000F9280000}"/>
    <cellStyle name="Currency 10 6 2" xfId="2919" xr:uid="{00000000-0005-0000-0000-0000FA280000}"/>
    <cellStyle name="Currency 10 6 3" xfId="2920" xr:uid="{00000000-0005-0000-0000-0000FB280000}"/>
    <cellStyle name="Currency 10 7" xfId="2921" xr:uid="{00000000-0005-0000-0000-0000FC280000}"/>
    <cellStyle name="Currency 10 8" xfId="4597" xr:uid="{00000000-0005-0000-0000-0000FD280000}"/>
    <cellStyle name="Currency 10 9" xfId="2913" xr:uid="{00000000-0005-0000-0000-0000FE280000}"/>
    <cellStyle name="Currency 100" xfId="2922" xr:uid="{00000000-0005-0000-0000-0000FF280000}"/>
    <cellStyle name="Currency 101" xfId="2923" xr:uid="{00000000-0005-0000-0000-000000290000}"/>
    <cellStyle name="Currency 102" xfId="2924" xr:uid="{00000000-0005-0000-0000-000001290000}"/>
    <cellStyle name="Currency 103" xfId="2925" xr:uid="{00000000-0005-0000-0000-000002290000}"/>
    <cellStyle name="Currency 104" xfId="2926" xr:uid="{00000000-0005-0000-0000-000003290000}"/>
    <cellStyle name="Currency 105" xfId="2927" xr:uid="{00000000-0005-0000-0000-000004290000}"/>
    <cellStyle name="Currency 106" xfId="2928" xr:uid="{00000000-0005-0000-0000-000005290000}"/>
    <cellStyle name="Currency 107" xfId="2929" xr:uid="{00000000-0005-0000-0000-000006290000}"/>
    <cellStyle name="Currency 108" xfId="2930" xr:uid="{00000000-0005-0000-0000-000007290000}"/>
    <cellStyle name="Currency 109" xfId="2931" xr:uid="{00000000-0005-0000-0000-000008290000}"/>
    <cellStyle name="Currency 11" xfId="2932" xr:uid="{00000000-0005-0000-0000-000009290000}"/>
    <cellStyle name="Currency 11 2" xfId="2933" xr:uid="{00000000-0005-0000-0000-00000A290000}"/>
    <cellStyle name="Currency 11 3" xfId="2934" xr:uid="{00000000-0005-0000-0000-00000B290000}"/>
    <cellStyle name="Currency 110" xfId="2935" xr:uid="{00000000-0005-0000-0000-00000C290000}"/>
    <cellStyle name="Currency 111" xfId="2936" xr:uid="{00000000-0005-0000-0000-00000D290000}"/>
    <cellStyle name="Currency 112" xfId="2937" xr:uid="{00000000-0005-0000-0000-00000E290000}"/>
    <cellStyle name="Currency 113" xfId="2938" xr:uid="{00000000-0005-0000-0000-00000F290000}"/>
    <cellStyle name="Currency 114" xfId="2939" xr:uid="{00000000-0005-0000-0000-000010290000}"/>
    <cellStyle name="Currency 115" xfId="2940" xr:uid="{00000000-0005-0000-0000-000011290000}"/>
    <cellStyle name="Currency 116" xfId="2941" xr:uid="{00000000-0005-0000-0000-000012290000}"/>
    <cellStyle name="Currency 117" xfId="2942" xr:uid="{00000000-0005-0000-0000-000013290000}"/>
    <cellStyle name="Currency 118" xfId="2943" xr:uid="{00000000-0005-0000-0000-000014290000}"/>
    <cellStyle name="Currency 118 2" xfId="2944" xr:uid="{00000000-0005-0000-0000-000015290000}"/>
    <cellStyle name="Currency 118 2 2" xfId="2945" xr:uid="{00000000-0005-0000-0000-000016290000}"/>
    <cellStyle name="Currency 118 2 2 2" xfId="2946" xr:uid="{00000000-0005-0000-0000-000017290000}"/>
    <cellStyle name="Currency 118 2 3" xfId="2947" xr:uid="{00000000-0005-0000-0000-000018290000}"/>
    <cellStyle name="Currency 118 3" xfId="2948" xr:uid="{00000000-0005-0000-0000-000019290000}"/>
    <cellStyle name="Currency 118 3 2" xfId="2949" xr:uid="{00000000-0005-0000-0000-00001A290000}"/>
    <cellStyle name="Currency 118 4" xfId="2950" xr:uid="{00000000-0005-0000-0000-00001B290000}"/>
    <cellStyle name="Currency 118 4 2" xfId="2951" xr:uid="{00000000-0005-0000-0000-00001C290000}"/>
    <cellStyle name="Currency 118 5" xfId="2952" xr:uid="{00000000-0005-0000-0000-00001D290000}"/>
    <cellStyle name="Currency 119" xfId="2953" xr:uid="{00000000-0005-0000-0000-00001E290000}"/>
    <cellStyle name="Currency 119 2" xfId="2954" xr:uid="{00000000-0005-0000-0000-00001F290000}"/>
    <cellStyle name="Currency 119 2 2" xfId="2955" xr:uid="{00000000-0005-0000-0000-000020290000}"/>
    <cellStyle name="Currency 119 2 2 2" xfId="2956" xr:uid="{00000000-0005-0000-0000-000021290000}"/>
    <cellStyle name="Currency 119 2 3" xfId="2957" xr:uid="{00000000-0005-0000-0000-000022290000}"/>
    <cellStyle name="Currency 119 3" xfId="2958" xr:uid="{00000000-0005-0000-0000-000023290000}"/>
    <cellStyle name="Currency 119 3 2" xfId="2959" xr:uid="{00000000-0005-0000-0000-000024290000}"/>
    <cellStyle name="Currency 119 4" xfId="2960" xr:uid="{00000000-0005-0000-0000-000025290000}"/>
    <cellStyle name="Currency 119 4 2" xfId="2961" xr:uid="{00000000-0005-0000-0000-000026290000}"/>
    <cellStyle name="Currency 119 5" xfId="2962" xr:uid="{00000000-0005-0000-0000-000027290000}"/>
    <cellStyle name="Currency 12" xfId="2963" xr:uid="{00000000-0005-0000-0000-000028290000}"/>
    <cellStyle name="Currency 12 2" xfId="2964" xr:uid="{00000000-0005-0000-0000-000029290000}"/>
    <cellStyle name="Currency 12 3" xfId="2965" xr:uid="{00000000-0005-0000-0000-00002A290000}"/>
    <cellStyle name="Currency 120" xfId="2966" xr:uid="{00000000-0005-0000-0000-00002B290000}"/>
    <cellStyle name="Currency 120 2" xfId="4765" xr:uid="{00000000-0005-0000-0000-00002C290000}"/>
    <cellStyle name="Currency 120 2 2" xfId="6390" xr:uid="{00000000-0005-0000-0000-00002D290000}"/>
    <cellStyle name="Currency 120 2 2 2" xfId="9476" xr:uid="{00000000-0005-0000-0000-00002E290000}"/>
    <cellStyle name="Currency 120 2 2 2 2" xfId="15669" xr:uid="{00000000-0005-0000-0000-00002F290000}"/>
    <cellStyle name="Currency 120 2 2 2 2 2" xfId="35589" xr:uid="{00000000-0005-0000-0000-000030290000}"/>
    <cellStyle name="Currency 120 2 2 2 3" xfId="21821" xr:uid="{00000000-0005-0000-0000-000031290000}"/>
    <cellStyle name="Currency 120 2 2 2 3 2" xfId="41741" xr:uid="{00000000-0005-0000-0000-000032290000}"/>
    <cellStyle name="Currency 120 2 2 2 4" xfId="29436" xr:uid="{00000000-0005-0000-0000-000033290000}"/>
    <cellStyle name="Currency 120 2 2 3" xfId="12603" xr:uid="{00000000-0005-0000-0000-000034290000}"/>
    <cellStyle name="Currency 120 2 2 3 2" xfId="32523" xr:uid="{00000000-0005-0000-0000-000035290000}"/>
    <cellStyle name="Currency 120 2 2 4" xfId="18755" xr:uid="{00000000-0005-0000-0000-000036290000}"/>
    <cellStyle name="Currency 120 2 2 4 2" xfId="38675" xr:uid="{00000000-0005-0000-0000-000037290000}"/>
    <cellStyle name="Currency 120 2 2 5" xfId="26370" xr:uid="{00000000-0005-0000-0000-000038290000}"/>
    <cellStyle name="Currency 120 2 3" xfId="7941" xr:uid="{00000000-0005-0000-0000-000039290000}"/>
    <cellStyle name="Currency 120 2 3 2" xfId="14135" xr:uid="{00000000-0005-0000-0000-00003A290000}"/>
    <cellStyle name="Currency 120 2 3 2 2" xfId="34055" xr:uid="{00000000-0005-0000-0000-00003B290000}"/>
    <cellStyle name="Currency 120 2 3 3" xfId="20287" xr:uid="{00000000-0005-0000-0000-00003C290000}"/>
    <cellStyle name="Currency 120 2 3 3 2" xfId="40207" xr:uid="{00000000-0005-0000-0000-00003D290000}"/>
    <cellStyle name="Currency 120 2 3 4" xfId="27902" xr:uid="{00000000-0005-0000-0000-00003E290000}"/>
    <cellStyle name="Currency 120 2 4" xfId="11069" xr:uid="{00000000-0005-0000-0000-00003F290000}"/>
    <cellStyle name="Currency 120 2 4 2" xfId="30989" xr:uid="{00000000-0005-0000-0000-000040290000}"/>
    <cellStyle name="Currency 120 2 5" xfId="17221" xr:uid="{00000000-0005-0000-0000-000041290000}"/>
    <cellStyle name="Currency 120 2 5 2" xfId="37141" xr:uid="{00000000-0005-0000-0000-000042290000}"/>
    <cellStyle name="Currency 120 2 6" xfId="24836" xr:uid="{00000000-0005-0000-0000-000043290000}"/>
    <cellStyle name="Currency 120 3" xfId="5606" xr:uid="{00000000-0005-0000-0000-000044290000}"/>
    <cellStyle name="Currency 120 3 2" xfId="8707" xr:uid="{00000000-0005-0000-0000-000045290000}"/>
    <cellStyle name="Currency 120 3 2 2" xfId="14900" xr:uid="{00000000-0005-0000-0000-000046290000}"/>
    <cellStyle name="Currency 120 3 2 2 2" xfId="34820" xr:uid="{00000000-0005-0000-0000-000047290000}"/>
    <cellStyle name="Currency 120 3 2 3" xfId="21052" xr:uid="{00000000-0005-0000-0000-000048290000}"/>
    <cellStyle name="Currency 120 3 2 3 2" xfId="40972" xr:uid="{00000000-0005-0000-0000-000049290000}"/>
    <cellStyle name="Currency 120 3 2 4" xfId="28667" xr:uid="{00000000-0005-0000-0000-00004A290000}"/>
    <cellStyle name="Currency 120 3 3" xfId="11834" xr:uid="{00000000-0005-0000-0000-00004B290000}"/>
    <cellStyle name="Currency 120 3 3 2" xfId="31754" xr:uid="{00000000-0005-0000-0000-00004C290000}"/>
    <cellStyle name="Currency 120 3 4" xfId="17986" xr:uid="{00000000-0005-0000-0000-00004D290000}"/>
    <cellStyle name="Currency 120 3 4 2" xfId="37906" xr:uid="{00000000-0005-0000-0000-00004E290000}"/>
    <cellStyle name="Currency 120 3 5" xfId="25601" xr:uid="{00000000-0005-0000-0000-00004F290000}"/>
    <cellStyle name="Currency 120 4" xfId="7172" xr:uid="{00000000-0005-0000-0000-000050290000}"/>
    <cellStyle name="Currency 120 4 2" xfId="13366" xr:uid="{00000000-0005-0000-0000-000051290000}"/>
    <cellStyle name="Currency 120 4 2 2" xfId="33286" xr:uid="{00000000-0005-0000-0000-000052290000}"/>
    <cellStyle name="Currency 120 4 3" xfId="19518" xr:uid="{00000000-0005-0000-0000-000053290000}"/>
    <cellStyle name="Currency 120 4 3 2" xfId="39438" xr:uid="{00000000-0005-0000-0000-000054290000}"/>
    <cellStyle name="Currency 120 4 4" xfId="27133" xr:uid="{00000000-0005-0000-0000-000055290000}"/>
    <cellStyle name="Currency 120 5" xfId="10300" xr:uid="{00000000-0005-0000-0000-000056290000}"/>
    <cellStyle name="Currency 120 5 2" xfId="30220" xr:uid="{00000000-0005-0000-0000-000057290000}"/>
    <cellStyle name="Currency 120 6" xfId="16452" xr:uid="{00000000-0005-0000-0000-000058290000}"/>
    <cellStyle name="Currency 120 6 2" xfId="36372" xr:uid="{00000000-0005-0000-0000-000059290000}"/>
    <cellStyle name="Currency 120 7" xfId="24067" xr:uid="{00000000-0005-0000-0000-00005A290000}"/>
    <cellStyle name="Currency 121" xfId="2967" xr:uid="{00000000-0005-0000-0000-00005B290000}"/>
    <cellStyle name="Currency 121 2" xfId="4766" xr:uid="{00000000-0005-0000-0000-00005C290000}"/>
    <cellStyle name="Currency 121 2 2" xfId="6391" xr:uid="{00000000-0005-0000-0000-00005D290000}"/>
    <cellStyle name="Currency 121 2 2 2" xfId="9477" xr:uid="{00000000-0005-0000-0000-00005E290000}"/>
    <cellStyle name="Currency 121 2 2 2 2" xfId="15670" xr:uid="{00000000-0005-0000-0000-00005F290000}"/>
    <cellStyle name="Currency 121 2 2 2 2 2" xfId="35590" xr:uid="{00000000-0005-0000-0000-000060290000}"/>
    <cellStyle name="Currency 121 2 2 2 3" xfId="21822" xr:uid="{00000000-0005-0000-0000-000061290000}"/>
    <cellStyle name="Currency 121 2 2 2 3 2" xfId="41742" xr:uid="{00000000-0005-0000-0000-000062290000}"/>
    <cellStyle name="Currency 121 2 2 2 4" xfId="29437" xr:uid="{00000000-0005-0000-0000-000063290000}"/>
    <cellStyle name="Currency 121 2 2 3" xfId="12604" xr:uid="{00000000-0005-0000-0000-000064290000}"/>
    <cellStyle name="Currency 121 2 2 3 2" xfId="32524" xr:uid="{00000000-0005-0000-0000-000065290000}"/>
    <cellStyle name="Currency 121 2 2 4" xfId="18756" xr:uid="{00000000-0005-0000-0000-000066290000}"/>
    <cellStyle name="Currency 121 2 2 4 2" xfId="38676" xr:uid="{00000000-0005-0000-0000-000067290000}"/>
    <cellStyle name="Currency 121 2 2 5" xfId="26371" xr:uid="{00000000-0005-0000-0000-000068290000}"/>
    <cellStyle name="Currency 121 2 3" xfId="7942" xr:uid="{00000000-0005-0000-0000-000069290000}"/>
    <cellStyle name="Currency 121 2 3 2" xfId="14136" xr:uid="{00000000-0005-0000-0000-00006A290000}"/>
    <cellStyle name="Currency 121 2 3 2 2" xfId="34056" xr:uid="{00000000-0005-0000-0000-00006B290000}"/>
    <cellStyle name="Currency 121 2 3 3" xfId="20288" xr:uid="{00000000-0005-0000-0000-00006C290000}"/>
    <cellStyle name="Currency 121 2 3 3 2" xfId="40208" xr:uid="{00000000-0005-0000-0000-00006D290000}"/>
    <cellStyle name="Currency 121 2 3 4" xfId="27903" xr:uid="{00000000-0005-0000-0000-00006E290000}"/>
    <cellStyle name="Currency 121 2 4" xfId="11070" xr:uid="{00000000-0005-0000-0000-00006F290000}"/>
    <cellStyle name="Currency 121 2 4 2" xfId="30990" xr:uid="{00000000-0005-0000-0000-000070290000}"/>
    <cellStyle name="Currency 121 2 5" xfId="17222" xr:uid="{00000000-0005-0000-0000-000071290000}"/>
    <cellStyle name="Currency 121 2 5 2" xfId="37142" xr:uid="{00000000-0005-0000-0000-000072290000}"/>
    <cellStyle name="Currency 121 2 6" xfId="24837" xr:uid="{00000000-0005-0000-0000-000073290000}"/>
    <cellStyle name="Currency 121 3" xfId="5607" xr:uid="{00000000-0005-0000-0000-000074290000}"/>
    <cellStyle name="Currency 121 3 2" xfId="8708" xr:uid="{00000000-0005-0000-0000-000075290000}"/>
    <cellStyle name="Currency 121 3 2 2" xfId="14901" xr:uid="{00000000-0005-0000-0000-000076290000}"/>
    <cellStyle name="Currency 121 3 2 2 2" xfId="34821" xr:uid="{00000000-0005-0000-0000-000077290000}"/>
    <cellStyle name="Currency 121 3 2 3" xfId="21053" xr:uid="{00000000-0005-0000-0000-000078290000}"/>
    <cellStyle name="Currency 121 3 2 3 2" xfId="40973" xr:uid="{00000000-0005-0000-0000-000079290000}"/>
    <cellStyle name="Currency 121 3 2 4" xfId="28668" xr:uid="{00000000-0005-0000-0000-00007A290000}"/>
    <cellStyle name="Currency 121 3 3" xfId="11835" xr:uid="{00000000-0005-0000-0000-00007B290000}"/>
    <cellStyle name="Currency 121 3 3 2" xfId="31755" xr:uid="{00000000-0005-0000-0000-00007C290000}"/>
    <cellStyle name="Currency 121 3 4" xfId="17987" xr:uid="{00000000-0005-0000-0000-00007D290000}"/>
    <cellStyle name="Currency 121 3 4 2" xfId="37907" xr:uid="{00000000-0005-0000-0000-00007E290000}"/>
    <cellStyle name="Currency 121 3 5" xfId="25602" xr:uid="{00000000-0005-0000-0000-00007F290000}"/>
    <cellStyle name="Currency 121 4" xfId="7173" xr:uid="{00000000-0005-0000-0000-000080290000}"/>
    <cellStyle name="Currency 121 4 2" xfId="13367" xr:uid="{00000000-0005-0000-0000-000081290000}"/>
    <cellStyle name="Currency 121 4 2 2" xfId="33287" xr:uid="{00000000-0005-0000-0000-000082290000}"/>
    <cellStyle name="Currency 121 4 3" xfId="19519" xr:uid="{00000000-0005-0000-0000-000083290000}"/>
    <cellStyle name="Currency 121 4 3 2" xfId="39439" xr:uid="{00000000-0005-0000-0000-000084290000}"/>
    <cellStyle name="Currency 121 4 4" xfId="27134" xr:uid="{00000000-0005-0000-0000-000085290000}"/>
    <cellStyle name="Currency 121 5" xfId="10301" xr:uid="{00000000-0005-0000-0000-000086290000}"/>
    <cellStyle name="Currency 121 5 2" xfId="30221" xr:uid="{00000000-0005-0000-0000-000087290000}"/>
    <cellStyle name="Currency 121 6" xfId="16453" xr:uid="{00000000-0005-0000-0000-000088290000}"/>
    <cellStyle name="Currency 121 6 2" xfId="36373" xr:uid="{00000000-0005-0000-0000-000089290000}"/>
    <cellStyle name="Currency 121 7" xfId="24068" xr:uid="{00000000-0005-0000-0000-00008A290000}"/>
    <cellStyle name="Currency 122" xfId="2968" xr:uid="{00000000-0005-0000-0000-00008B290000}"/>
    <cellStyle name="Currency 122 2" xfId="4767" xr:uid="{00000000-0005-0000-0000-00008C290000}"/>
    <cellStyle name="Currency 122 2 2" xfId="6392" xr:uid="{00000000-0005-0000-0000-00008D290000}"/>
    <cellStyle name="Currency 122 2 2 2" xfId="9478" xr:uid="{00000000-0005-0000-0000-00008E290000}"/>
    <cellStyle name="Currency 122 2 2 2 2" xfId="15671" xr:uid="{00000000-0005-0000-0000-00008F290000}"/>
    <cellStyle name="Currency 122 2 2 2 2 2" xfId="35591" xr:uid="{00000000-0005-0000-0000-000090290000}"/>
    <cellStyle name="Currency 122 2 2 2 3" xfId="21823" xr:uid="{00000000-0005-0000-0000-000091290000}"/>
    <cellStyle name="Currency 122 2 2 2 3 2" xfId="41743" xr:uid="{00000000-0005-0000-0000-000092290000}"/>
    <cellStyle name="Currency 122 2 2 2 4" xfId="29438" xr:uid="{00000000-0005-0000-0000-000093290000}"/>
    <cellStyle name="Currency 122 2 2 3" xfId="12605" xr:uid="{00000000-0005-0000-0000-000094290000}"/>
    <cellStyle name="Currency 122 2 2 3 2" xfId="32525" xr:uid="{00000000-0005-0000-0000-000095290000}"/>
    <cellStyle name="Currency 122 2 2 4" xfId="18757" xr:uid="{00000000-0005-0000-0000-000096290000}"/>
    <cellStyle name="Currency 122 2 2 4 2" xfId="38677" xr:uid="{00000000-0005-0000-0000-000097290000}"/>
    <cellStyle name="Currency 122 2 2 5" xfId="26372" xr:uid="{00000000-0005-0000-0000-000098290000}"/>
    <cellStyle name="Currency 122 2 3" xfId="7943" xr:uid="{00000000-0005-0000-0000-000099290000}"/>
    <cellStyle name="Currency 122 2 3 2" xfId="14137" xr:uid="{00000000-0005-0000-0000-00009A290000}"/>
    <cellStyle name="Currency 122 2 3 2 2" xfId="34057" xr:uid="{00000000-0005-0000-0000-00009B290000}"/>
    <cellStyle name="Currency 122 2 3 3" xfId="20289" xr:uid="{00000000-0005-0000-0000-00009C290000}"/>
    <cellStyle name="Currency 122 2 3 3 2" xfId="40209" xr:uid="{00000000-0005-0000-0000-00009D290000}"/>
    <cellStyle name="Currency 122 2 3 4" xfId="27904" xr:uid="{00000000-0005-0000-0000-00009E290000}"/>
    <cellStyle name="Currency 122 2 4" xfId="11071" xr:uid="{00000000-0005-0000-0000-00009F290000}"/>
    <cellStyle name="Currency 122 2 4 2" xfId="30991" xr:uid="{00000000-0005-0000-0000-0000A0290000}"/>
    <cellStyle name="Currency 122 2 5" xfId="17223" xr:uid="{00000000-0005-0000-0000-0000A1290000}"/>
    <cellStyle name="Currency 122 2 5 2" xfId="37143" xr:uid="{00000000-0005-0000-0000-0000A2290000}"/>
    <cellStyle name="Currency 122 2 6" xfId="24838" xr:uid="{00000000-0005-0000-0000-0000A3290000}"/>
    <cellStyle name="Currency 122 3" xfId="5608" xr:uid="{00000000-0005-0000-0000-0000A4290000}"/>
    <cellStyle name="Currency 122 3 2" xfId="8709" xr:uid="{00000000-0005-0000-0000-0000A5290000}"/>
    <cellStyle name="Currency 122 3 2 2" xfId="14902" xr:uid="{00000000-0005-0000-0000-0000A6290000}"/>
    <cellStyle name="Currency 122 3 2 2 2" xfId="34822" xr:uid="{00000000-0005-0000-0000-0000A7290000}"/>
    <cellStyle name="Currency 122 3 2 3" xfId="21054" xr:uid="{00000000-0005-0000-0000-0000A8290000}"/>
    <cellStyle name="Currency 122 3 2 3 2" xfId="40974" xr:uid="{00000000-0005-0000-0000-0000A9290000}"/>
    <cellStyle name="Currency 122 3 2 4" xfId="28669" xr:uid="{00000000-0005-0000-0000-0000AA290000}"/>
    <cellStyle name="Currency 122 3 3" xfId="11836" xr:uid="{00000000-0005-0000-0000-0000AB290000}"/>
    <cellStyle name="Currency 122 3 3 2" xfId="31756" xr:uid="{00000000-0005-0000-0000-0000AC290000}"/>
    <cellStyle name="Currency 122 3 4" xfId="17988" xr:uid="{00000000-0005-0000-0000-0000AD290000}"/>
    <cellStyle name="Currency 122 3 4 2" xfId="37908" xr:uid="{00000000-0005-0000-0000-0000AE290000}"/>
    <cellStyle name="Currency 122 3 5" xfId="25603" xr:uid="{00000000-0005-0000-0000-0000AF290000}"/>
    <cellStyle name="Currency 122 4" xfId="7174" xr:uid="{00000000-0005-0000-0000-0000B0290000}"/>
    <cellStyle name="Currency 122 4 2" xfId="13368" xr:uid="{00000000-0005-0000-0000-0000B1290000}"/>
    <cellStyle name="Currency 122 4 2 2" xfId="33288" xr:uid="{00000000-0005-0000-0000-0000B2290000}"/>
    <cellStyle name="Currency 122 4 3" xfId="19520" xr:uid="{00000000-0005-0000-0000-0000B3290000}"/>
    <cellStyle name="Currency 122 4 3 2" xfId="39440" xr:uid="{00000000-0005-0000-0000-0000B4290000}"/>
    <cellStyle name="Currency 122 4 4" xfId="27135" xr:uid="{00000000-0005-0000-0000-0000B5290000}"/>
    <cellStyle name="Currency 122 5" xfId="10302" xr:uid="{00000000-0005-0000-0000-0000B6290000}"/>
    <cellStyle name="Currency 122 5 2" xfId="30222" xr:uid="{00000000-0005-0000-0000-0000B7290000}"/>
    <cellStyle name="Currency 122 6" xfId="16454" xr:uid="{00000000-0005-0000-0000-0000B8290000}"/>
    <cellStyle name="Currency 122 6 2" xfId="36374" xr:uid="{00000000-0005-0000-0000-0000B9290000}"/>
    <cellStyle name="Currency 122 7" xfId="24069" xr:uid="{00000000-0005-0000-0000-0000BA290000}"/>
    <cellStyle name="Currency 123" xfId="2969" xr:uid="{00000000-0005-0000-0000-0000BB290000}"/>
    <cellStyle name="Currency 123 2" xfId="4768" xr:uid="{00000000-0005-0000-0000-0000BC290000}"/>
    <cellStyle name="Currency 123 2 2" xfId="6393" xr:uid="{00000000-0005-0000-0000-0000BD290000}"/>
    <cellStyle name="Currency 123 2 2 2" xfId="9479" xr:uid="{00000000-0005-0000-0000-0000BE290000}"/>
    <cellStyle name="Currency 123 2 2 2 2" xfId="15672" xr:uid="{00000000-0005-0000-0000-0000BF290000}"/>
    <cellStyle name="Currency 123 2 2 2 2 2" xfId="35592" xr:uid="{00000000-0005-0000-0000-0000C0290000}"/>
    <cellStyle name="Currency 123 2 2 2 3" xfId="21824" xr:uid="{00000000-0005-0000-0000-0000C1290000}"/>
    <cellStyle name="Currency 123 2 2 2 3 2" xfId="41744" xr:uid="{00000000-0005-0000-0000-0000C2290000}"/>
    <cellStyle name="Currency 123 2 2 2 4" xfId="29439" xr:uid="{00000000-0005-0000-0000-0000C3290000}"/>
    <cellStyle name="Currency 123 2 2 3" xfId="12606" xr:uid="{00000000-0005-0000-0000-0000C4290000}"/>
    <cellStyle name="Currency 123 2 2 3 2" xfId="32526" xr:uid="{00000000-0005-0000-0000-0000C5290000}"/>
    <cellStyle name="Currency 123 2 2 4" xfId="18758" xr:uid="{00000000-0005-0000-0000-0000C6290000}"/>
    <cellStyle name="Currency 123 2 2 4 2" xfId="38678" xr:uid="{00000000-0005-0000-0000-0000C7290000}"/>
    <cellStyle name="Currency 123 2 2 5" xfId="26373" xr:uid="{00000000-0005-0000-0000-0000C8290000}"/>
    <cellStyle name="Currency 123 2 3" xfId="7944" xr:uid="{00000000-0005-0000-0000-0000C9290000}"/>
    <cellStyle name="Currency 123 2 3 2" xfId="14138" xr:uid="{00000000-0005-0000-0000-0000CA290000}"/>
    <cellStyle name="Currency 123 2 3 2 2" xfId="34058" xr:uid="{00000000-0005-0000-0000-0000CB290000}"/>
    <cellStyle name="Currency 123 2 3 3" xfId="20290" xr:uid="{00000000-0005-0000-0000-0000CC290000}"/>
    <cellStyle name="Currency 123 2 3 3 2" xfId="40210" xr:uid="{00000000-0005-0000-0000-0000CD290000}"/>
    <cellStyle name="Currency 123 2 3 4" xfId="27905" xr:uid="{00000000-0005-0000-0000-0000CE290000}"/>
    <cellStyle name="Currency 123 2 4" xfId="11072" xr:uid="{00000000-0005-0000-0000-0000CF290000}"/>
    <cellStyle name="Currency 123 2 4 2" xfId="30992" xr:uid="{00000000-0005-0000-0000-0000D0290000}"/>
    <cellStyle name="Currency 123 2 5" xfId="17224" xr:uid="{00000000-0005-0000-0000-0000D1290000}"/>
    <cellStyle name="Currency 123 2 5 2" xfId="37144" xr:uid="{00000000-0005-0000-0000-0000D2290000}"/>
    <cellStyle name="Currency 123 2 6" xfId="24839" xr:uid="{00000000-0005-0000-0000-0000D3290000}"/>
    <cellStyle name="Currency 123 3" xfId="5609" xr:uid="{00000000-0005-0000-0000-0000D4290000}"/>
    <cellStyle name="Currency 123 3 2" xfId="8710" xr:uid="{00000000-0005-0000-0000-0000D5290000}"/>
    <cellStyle name="Currency 123 3 2 2" xfId="14903" xr:uid="{00000000-0005-0000-0000-0000D6290000}"/>
    <cellStyle name="Currency 123 3 2 2 2" xfId="34823" xr:uid="{00000000-0005-0000-0000-0000D7290000}"/>
    <cellStyle name="Currency 123 3 2 3" xfId="21055" xr:uid="{00000000-0005-0000-0000-0000D8290000}"/>
    <cellStyle name="Currency 123 3 2 3 2" xfId="40975" xr:uid="{00000000-0005-0000-0000-0000D9290000}"/>
    <cellStyle name="Currency 123 3 2 4" xfId="28670" xr:uid="{00000000-0005-0000-0000-0000DA290000}"/>
    <cellStyle name="Currency 123 3 3" xfId="11837" xr:uid="{00000000-0005-0000-0000-0000DB290000}"/>
    <cellStyle name="Currency 123 3 3 2" xfId="31757" xr:uid="{00000000-0005-0000-0000-0000DC290000}"/>
    <cellStyle name="Currency 123 3 4" xfId="17989" xr:uid="{00000000-0005-0000-0000-0000DD290000}"/>
    <cellStyle name="Currency 123 3 4 2" xfId="37909" xr:uid="{00000000-0005-0000-0000-0000DE290000}"/>
    <cellStyle name="Currency 123 3 5" xfId="25604" xr:uid="{00000000-0005-0000-0000-0000DF290000}"/>
    <cellStyle name="Currency 123 4" xfId="7175" xr:uid="{00000000-0005-0000-0000-0000E0290000}"/>
    <cellStyle name="Currency 123 4 2" xfId="13369" xr:uid="{00000000-0005-0000-0000-0000E1290000}"/>
    <cellStyle name="Currency 123 4 2 2" xfId="33289" xr:uid="{00000000-0005-0000-0000-0000E2290000}"/>
    <cellStyle name="Currency 123 4 3" xfId="19521" xr:uid="{00000000-0005-0000-0000-0000E3290000}"/>
    <cellStyle name="Currency 123 4 3 2" xfId="39441" xr:uid="{00000000-0005-0000-0000-0000E4290000}"/>
    <cellStyle name="Currency 123 4 4" xfId="27136" xr:uid="{00000000-0005-0000-0000-0000E5290000}"/>
    <cellStyle name="Currency 123 5" xfId="10303" xr:uid="{00000000-0005-0000-0000-0000E6290000}"/>
    <cellStyle name="Currency 123 5 2" xfId="30223" xr:uid="{00000000-0005-0000-0000-0000E7290000}"/>
    <cellStyle name="Currency 123 6" xfId="16455" xr:uid="{00000000-0005-0000-0000-0000E8290000}"/>
    <cellStyle name="Currency 123 6 2" xfId="36375" xr:uid="{00000000-0005-0000-0000-0000E9290000}"/>
    <cellStyle name="Currency 123 7" xfId="24070" xr:uid="{00000000-0005-0000-0000-0000EA290000}"/>
    <cellStyle name="Currency 124" xfId="2970" xr:uid="{00000000-0005-0000-0000-0000EB290000}"/>
    <cellStyle name="Currency 124 2" xfId="4769" xr:uid="{00000000-0005-0000-0000-0000EC290000}"/>
    <cellStyle name="Currency 124 2 2" xfId="6394" xr:uid="{00000000-0005-0000-0000-0000ED290000}"/>
    <cellStyle name="Currency 124 2 2 2" xfId="9480" xr:uid="{00000000-0005-0000-0000-0000EE290000}"/>
    <cellStyle name="Currency 124 2 2 2 2" xfId="15673" xr:uid="{00000000-0005-0000-0000-0000EF290000}"/>
    <cellStyle name="Currency 124 2 2 2 2 2" xfId="35593" xr:uid="{00000000-0005-0000-0000-0000F0290000}"/>
    <cellStyle name="Currency 124 2 2 2 3" xfId="21825" xr:uid="{00000000-0005-0000-0000-0000F1290000}"/>
    <cellStyle name="Currency 124 2 2 2 3 2" xfId="41745" xr:uid="{00000000-0005-0000-0000-0000F2290000}"/>
    <cellStyle name="Currency 124 2 2 2 4" xfId="29440" xr:uid="{00000000-0005-0000-0000-0000F3290000}"/>
    <cellStyle name="Currency 124 2 2 3" xfId="12607" xr:uid="{00000000-0005-0000-0000-0000F4290000}"/>
    <cellStyle name="Currency 124 2 2 3 2" xfId="32527" xr:uid="{00000000-0005-0000-0000-0000F5290000}"/>
    <cellStyle name="Currency 124 2 2 4" xfId="18759" xr:uid="{00000000-0005-0000-0000-0000F6290000}"/>
    <cellStyle name="Currency 124 2 2 4 2" xfId="38679" xr:uid="{00000000-0005-0000-0000-0000F7290000}"/>
    <cellStyle name="Currency 124 2 2 5" xfId="26374" xr:uid="{00000000-0005-0000-0000-0000F8290000}"/>
    <cellStyle name="Currency 124 2 3" xfId="7945" xr:uid="{00000000-0005-0000-0000-0000F9290000}"/>
    <cellStyle name="Currency 124 2 3 2" xfId="14139" xr:uid="{00000000-0005-0000-0000-0000FA290000}"/>
    <cellStyle name="Currency 124 2 3 2 2" xfId="34059" xr:uid="{00000000-0005-0000-0000-0000FB290000}"/>
    <cellStyle name="Currency 124 2 3 3" xfId="20291" xr:uid="{00000000-0005-0000-0000-0000FC290000}"/>
    <cellStyle name="Currency 124 2 3 3 2" xfId="40211" xr:uid="{00000000-0005-0000-0000-0000FD290000}"/>
    <cellStyle name="Currency 124 2 3 4" xfId="27906" xr:uid="{00000000-0005-0000-0000-0000FE290000}"/>
    <cellStyle name="Currency 124 2 4" xfId="11073" xr:uid="{00000000-0005-0000-0000-0000FF290000}"/>
    <cellStyle name="Currency 124 2 4 2" xfId="30993" xr:uid="{00000000-0005-0000-0000-0000002A0000}"/>
    <cellStyle name="Currency 124 2 5" xfId="17225" xr:uid="{00000000-0005-0000-0000-0000012A0000}"/>
    <cellStyle name="Currency 124 2 5 2" xfId="37145" xr:uid="{00000000-0005-0000-0000-0000022A0000}"/>
    <cellStyle name="Currency 124 2 6" xfId="24840" xr:uid="{00000000-0005-0000-0000-0000032A0000}"/>
    <cellStyle name="Currency 124 3" xfId="5610" xr:uid="{00000000-0005-0000-0000-0000042A0000}"/>
    <cellStyle name="Currency 124 3 2" xfId="8711" xr:uid="{00000000-0005-0000-0000-0000052A0000}"/>
    <cellStyle name="Currency 124 3 2 2" xfId="14904" xr:uid="{00000000-0005-0000-0000-0000062A0000}"/>
    <cellStyle name="Currency 124 3 2 2 2" xfId="34824" xr:uid="{00000000-0005-0000-0000-0000072A0000}"/>
    <cellStyle name="Currency 124 3 2 3" xfId="21056" xr:uid="{00000000-0005-0000-0000-0000082A0000}"/>
    <cellStyle name="Currency 124 3 2 3 2" xfId="40976" xr:uid="{00000000-0005-0000-0000-0000092A0000}"/>
    <cellStyle name="Currency 124 3 2 4" xfId="28671" xr:uid="{00000000-0005-0000-0000-00000A2A0000}"/>
    <cellStyle name="Currency 124 3 3" xfId="11838" xr:uid="{00000000-0005-0000-0000-00000B2A0000}"/>
    <cellStyle name="Currency 124 3 3 2" xfId="31758" xr:uid="{00000000-0005-0000-0000-00000C2A0000}"/>
    <cellStyle name="Currency 124 3 4" xfId="17990" xr:uid="{00000000-0005-0000-0000-00000D2A0000}"/>
    <cellStyle name="Currency 124 3 4 2" xfId="37910" xr:uid="{00000000-0005-0000-0000-00000E2A0000}"/>
    <cellStyle name="Currency 124 3 5" xfId="25605" xr:uid="{00000000-0005-0000-0000-00000F2A0000}"/>
    <cellStyle name="Currency 124 4" xfId="7176" xr:uid="{00000000-0005-0000-0000-0000102A0000}"/>
    <cellStyle name="Currency 124 4 2" xfId="13370" xr:uid="{00000000-0005-0000-0000-0000112A0000}"/>
    <cellStyle name="Currency 124 4 2 2" xfId="33290" xr:uid="{00000000-0005-0000-0000-0000122A0000}"/>
    <cellStyle name="Currency 124 4 3" xfId="19522" xr:uid="{00000000-0005-0000-0000-0000132A0000}"/>
    <cellStyle name="Currency 124 4 3 2" xfId="39442" xr:uid="{00000000-0005-0000-0000-0000142A0000}"/>
    <cellStyle name="Currency 124 4 4" xfId="27137" xr:uid="{00000000-0005-0000-0000-0000152A0000}"/>
    <cellStyle name="Currency 124 5" xfId="10304" xr:uid="{00000000-0005-0000-0000-0000162A0000}"/>
    <cellStyle name="Currency 124 5 2" xfId="30224" xr:uid="{00000000-0005-0000-0000-0000172A0000}"/>
    <cellStyle name="Currency 124 6" xfId="16456" xr:uid="{00000000-0005-0000-0000-0000182A0000}"/>
    <cellStyle name="Currency 124 6 2" xfId="36376" xr:uid="{00000000-0005-0000-0000-0000192A0000}"/>
    <cellStyle name="Currency 124 7" xfId="24071" xr:uid="{00000000-0005-0000-0000-00001A2A0000}"/>
    <cellStyle name="Currency 125" xfId="2971" xr:uid="{00000000-0005-0000-0000-00001B2A0000}"/>
    <cellStyle name="Currency 125 2" xfId="4770" xr:uid="{00000000-0005-0000-0000-00001C2A0000}"/>
    <cellStyle name="Currency 125 2 2" xfId="6395" xr:uid="{00000000-0005-0000-0000-00001D2A0000}"/>
    <cellStyle name="Currency 125 2 2 2" xfId="9481" xr:uid="{00000000-0005-0000-0000-00001E2A0000}"/>
    <cellStyle name="Currency 125 2 2 2 2" xfId="15674" xr:uid="{00000000-0005-0000-0000-00001F2A0000}"/>
    <cellStyle name="Currency 125 2 2 2 2 2" xfId="35594" xr:uid="{00000000-0005-0000-0000-0000202A0000}"/>
    <cellStyle name="Currency 125 2 2 2 3" xfId="21826" xr:uid="{00000000-0005-0000-0000-0000212A0000}"/>
    <cellStyle name="Currency 125 2 2 2 3 2" xfId="41746" xr:uid="{00000000-0005-0000-0000-0000222A0000}"/>
    <cellStyle name="Currency 125 2 2 2 4" xfId="29441" xr:uid="{00000000-0005-0000-0000-0000232A0000}"/>
    <cellStyle name="Currency 125 2 2 3" xfId="12608" xr:uid="{00000000-0005-0000-0000-0000242A0000}"/>
    <cellStyle name="Currency 125 2 2 3 2" xfId="32528" xr:uid="{00000000-0005-0000-0000-0000252A0000}"/>
    <cellStyle name="Currency 125 2 2 4" xfId="18760" xr:uid="{00000000-0005-0000-0000-0000262A0000}"/>
    <cellStyle name="Currency 125 2 2 4 2" xfId="38680" xr:uid="{00000000-0005-0000-0000-0000272A0000}"/>
    <cellStyle name="Currency 125 2 2 5" xfId="26375" xr:uid="{00000000-0005-0000-0000-0000282A0000}"/>
    <cellStyle name="Currency 125 2 3" xfId="7946" xr:uid="{00000000-0005-0000-0000-0000292A0000}"/>
    <cellStyle name="Currency 125 2 3 2" xfId="14140" xr:uid="{00000000-0005-0000-0000-00002A2A0000}"/>
    <cellStyle name="Currency 125 2 3 2 2" xfId="34060" xr:uid="{00000000-0005-0000-0000-00002B2A0000}"/>
    <cellStyle name="Currency 125 2 3 3" xfId="20292" xr:uid="{00000000-0005-0000-0000-00002C2A0000}"/>
    <cellStyle name="Currency 125 2 3 3 2" xfId="40212" xr:uid="{00000000-0005-0000-0000-00002D2A0000}"/>
    <cellStyle name="Currency 125 2 3 4" xfId="27907" xr:uid="{00000000-0005-0000-0000-00002E2A0000}"/>
    <cellStyle name="Currency 125 2 4" xfId="11074" xr:uid="{00000000-0005-0000-0000-00002F2A0000}"/>
    <cellStyle name="Currency 125 2 4 2" xfId="30994" xr:uid="{00000000-0005-0000-0000-0000302A0000}"/>
    <cellStyle name="Currency 125 2 5" xfId="17226" xr:uid="{00000000-0005-0000-0000-0000312A0000}"/>
    <cellStyle name="Currency 125 2 5 2" xfId="37146" xr:uid="{00000000-0005-0000-0000-0000322A0000}"/>
    <cellStyle name="Currency 125 2 6" xfId="24841" xr:uid="{00000000-0005-0000-0000-0000332A0000}"/>
    <cellStyle name="Currency 125 3" xfId="5611" xr:uid="{00000000-0005-0000-0000-0000342A0000}"/>
    <cellStyle name="Currency 125 3 2" xfId="8712" xr:uid="{00000000-0005-0000-0000-0000352A0000}"/>
    <cellStyle name="Currency 125 3 2 2" xfId="14905" xr:uid="{00000000-0005-0000-0000-0000362A0000}"/>
    <cellStyle name="Currency 125 3 2 2 2" xfId="34825" xr:uid="{00000000-0005-0000-0000-0000372A0000}"/>
    <cellStyle name="Currency 125 3 2 3" xfId="21057" xr:uid="{00000000-0005-0000-0000-0000382A0000}"/>
    <cellStyle name="Currency 125 3 2 3 2" xfId="40977" xr:uid="{00000000-0005-0000-0000-0000392A0000}"/>
    <cellStyle name="Currency 125 3 2 4" xfId="28672" xr:uid="{00000000-0005-0000-0000-00003A2A0000}"/>
    <cellStyle name="Currency 125 3 3" xfId="11839" xr:uid="{00000000-0005-0000-0000-00003B2A0000}"/>
    <cellStyle name="Currency 125 3 3 2" xfId="31759" xr:uid="{00000000-0005-0000-0000-00003C2A0000}"/>
    <cellStyle name="Currency 125 3 4" xfId="17991" xr:uid="{00000000-0005-0000-0000-00003D2A0000}"/>
    <cellStyle name="Currency 125 3 4 2" xfId="37911" xr:uid="{00000000-0005-0000-0000-00003E2A0000}"/>
    <cellStyle name="Currency 125 3 5" xfId="25606" xr:uid="{00000000-0005-0000-0000-00003F2A0000}"/>
    <cellStyle name="Currency 125 4" xfId="7177" xr:uid="{00000000-0005-0000-0000-0000402A0000}"/>
    <cellStyle name="Currency 125 4 2" xfId="13371" xr:uid="{00000000-0005-0000-0000-0000412A0000}"/>
    <cellStyle name="Currency 125 4 2 2" xfId="33291" xr:uid="{00000000-0005-0000-0000-0000422A0000}"/>
    <cellStyle name="Currency 125 4 3" xfId="19523" xr:uid="{00000000-0005-0000-0000-0000432A0000}"/>
    <cellStyle name="Currency 125 4 3 2" xfId="39443" xr:uid="{00000000-0005-0000-0000-0000442A0000}"/>
    <cellStyle name="Currency 125 4 4" xfId="27138" xr:uid="{00000000-0005-0000-0000-0000452A0000}"/>
    <cellStyle name="Currency 125 5" xfId="10305" xr:uid="{00000000-0005-0000-0000-0000462A0000}"/>
    <cellStyle name="Currency 125 5 2" xfId="30225" xr:uid="{00000000-0005-0000-0000-0000472A0000}"/>
    <cellStyle name="Currency 125 6" xfId="16457" xr:uid="{00000000-0005-0000-0000-0000482A0000}"/>
    <cellStyle name="Currency 125 6 2" xfId="36377" xr:uid="{00000000-0005-0000-0000-0000492A0000}"/>
    <cellStyle name="Currency 125 7" xfId="24072" xr:uid="{00000000-0005-0000-0000-00004A2A0000}"/>
    <cellStyle name="Currency 126" xfId="2972" xr:uid="{00000000-0005-0000-0000-00004B2A0000}"/>
    <cellStyle name="Currency 126 2" xfId="4771" xr:uid="{00000000-0005-0000-0000-00004C2A0000}"/>
    <cellStyle name="Currency 126 2 2" xfId="6396" xr:uid="{00000000-0005-0000-0000-00004D2A0000}"/>
    <cellStyle name="Currency 126 2 2 2" xfId="9482" xr:uid="{00000000-0005-0000-0000-00004E2A0000}"/>
    <cellStyle name="Currency 126 2 2 2 2" xfId="15675" xr:uid="{00000000-0005-0000-0000-00004F2A0000}"/>
    <cellStyle name="Currency 126 2 2 2 2 2" xfId="35595" xr:uid="{00000000-0005-0000-0000-0000502A0000}"/>
    <cellStyle name="Currency 126 2 2 2 3" xfId="21827" xr:uid="{00000000-0005-0000-0000-0000512A0000}"/>
    <cellStyle name="Currency 126 2 2 2 3 2" xfId="41747" xr:uid="{00000000-0005-0000-0000-0000522A0000}"/>
    <cellStyle name="Currency 126 2 2 2 4" xfId="29442" xr:uid="{00000000-0005-0000-0000-0000532A0000}"/>
    <cellStyle name="Currency 126 2 2 3" xfId="12609" xr:uid="{00000000-0005-0000-0000-0000542A0000}"/>
    <cellStyle name="Currency 126 2 2 3 2" xfId="32529" xr:uid="{00000000-0005-0000-0000-0000552A0000}"/>
    <cellStyle name="Currency 126 2 2 4" xfId="18761" xr:uid="{00000000-0005-0000-0000-0000562A0000}"/>
    <cellStyle name="Currency 126 2 2 4 2" xfId="38681" xr:uid="{00000000-0005-0000-0000-0000572A0000}"/>
    <cellStyle name="Currency 126 2 2 5" xfId="26376" xr:uid="{00000000-0005-0000-0000-0000582A0000}"/>
    <cellStyle name="Currency 126 2 3" xfId="7947" xr:uid="{00000000-0005-0000-0000-0000592A0000}"/>
    <cellStyle name="Currency 126 2 3 2" xfId="14141" xr:uid="{00000000-0005-0000-0000-00005A2A0000}"/>
    <cellStyle name="Currency 126 2 3 2 2" xfId="34061" xr:uid="{00000000-0005-0000-0000-00005B2A0000}"/>
    <cellStyle name="Currency 126 2 3 3" xfId="20293" xr:uid="{00000000-0005-0000-0000-00005C2A0000}"/>
    <cellStyle name="Currency 126 2 3 3 2" xfId="40213" xr:uid="{00000000-0005-0000-0000-00005D2A0000}"/>
    <cellStyle name="Currency 126 2 3 4" xfId="27908" xr:uid="{00000000-0005-0000-0000-00005E2A0000}"/>
    <cellStyle name="Currency 126 2 4" xfId="11075" xr:uid="{00000000-0005-0000-0000-00005F2A0000}"/>
    <cellStyle name="Currency 126 2 4 2" xfId="30995" xr:uid="{00000000-0005-0000-0000-0000602A0000}"/>
    <cellStyle name="Currency 126 2 5" xfId="17227" xr:uid="{00000000-0005-0000-0000-0000612A0000}"/>
    <cellStyle name="Currency 126 2 5 2" xfId="37147" xr:uid="{00000000-0005-0000-0000-0000622A0000}"/>
    <cellStyle name="Currency 126 2 6" xfId="24842" xr:uid="{00000000-0005-0000-0000-0000632A0000}"/>
    <cellStyle name="Currency 126 3" xfId="5612" xr:uid="{00000000-0005-0000-0000-0000642A0000}"/>
    <cellStyle name="Currency 126 3 2" xfId="8713" xr:uid="{00000000-0005-0000-0000-0000652A0000}"/>
    <cellStyle name="Currency 126 3 2 2" xfId="14906" xr:uid="{00000000-0005-0000-0000-0000662A0000}"/>
    <cellStyle name="Currency 126 3 2 2 2" xfId="34826" xr:uid="{00000000-0005-0000-0000-0000672A0000}"/>
    <cellStyle name="Currency 126 3 2 3" xfId="21058" xr:uid="{00000000-0005-0000-0000-0000682A0000}"/>
    <cellStyle name="Currency 126 3 2 3 2" xfId="40978" xr:uid="{00000000-0005-0000-0000-0000692A0000}"/>
    <cellStyle name="Currency 126 3 2 4" xfId="28673" xr:uid="{00000000-0005-0000-0000-00006A2A0000}"/>
    <cellStyle name="Currency 126 3 3" xfId="11840" xr:uid="{00000000-0005-0000-0000-00006B2A0000}"/>
    <cellStyle name="Currency 126 3 3 2" xfId="31760" xr:uid="{00000000-0005-0000-0000-00006C2A0000}"/>
    <cellStyle name="Currency 126 3 4" xfId="17992" xr:uid="{00000000-0005-0000-0000-00006D2A0000}"/>
    <cellStyle name="Currency 126 3 4 2" xfId="37912" xr:uid="{00000000-0005-0000-0000-00006E2A0000}"/>
    <cellStyle name="Currency 126 3 5" xfId="25607" xr:uid="{00000000-0005-0000-0000-00006F2A0000}"/>
    <cellStyle name="Currency 126 4" xfId="7178" xr:uid="{00000000-0005-0000-0000-0000702A0000}"/>
    <cellStyle name="Currency 126 4 2" xfId="13372" xr:uid="{00000000-0005-0000-0000-0000712A0000}"/>
    <cellStyle name="Currency 126 4 2 2" xfId="33292" xr:uid="{00000000-0005-0000-0000-0000722A0000}"/>
    <cellStyle name="Currency 126 4 3" xfId="19524" xr:uid="{00000000-0005-0000-0000-0000732A0000}"/>
    <cellStyle name="Currency 126 4 3 2" xfId="39444" xr:uid="{00000000-0005-0000-0000-0000742A0000}"/>
    <cellStyle name="Currency 126 4 4" xfId="27139" xr:uid="{00000000-0005-0000-0000-0000752A0000}"/>
    <cellStyle name="Currency 126 5" xfId="10306" xr:uid="{00000000-0005-0000-0000-0000762A0000}"/>
    <cellStyle name="Currency 126 5 2" xfId="30226" xr:uid="{00000000-0005-0000-0000-0000772A0000}"/>
    <cellStyle name="Currency 126 6" xfId="16458" xr:uid="{00000000-0005-0000-0000-0000782A0000}"/>
    <cellStyle name="Currency 126 6 2" xfId="36378" xr:uid="{00000000-0005-0000-0000-0000792A0000}"/>
    <cellStyle name="Currency 126 7" xfId="24073" xr:uid="{00000000-0005-0000-0000-00007A2A0000}"/>
    <cellStyle name="Currency 127" xfId="2973" xr:uid="{00000000-0005-0000-0000-00007B2A0000}"/>
    <cellStyle name="Currency 127 2" xfId="4772" xr:uid="{00000000-0005-0000-0000-00007C2A0000}"/>
    <cellStyle name="Currency 127 2 2" xfId="6397" xr:uid="{00000000-0005-0000-0000-00007D2A0000}"/>
    <cellStyle name="Currency 127 2 2 2" xfId="9483" xr:uid="{00000000-0005-0000-0000-00007E2A0000}"/>
    <cellStyle name="Currency 127 2 2 2 2" xfId="15676" xr:uid="{00000000-0005-0000-0000-00007F2A0000}"/>
    <cellStyle name="Currency 127 2 2 2 2 2" xfId="35596" xr:uid="{00000000-0005-0000-0000-0000802A0000}"/>
    <cellStyle name="Currency 127 2 2 2 3" xfId="21828" xr:uid="{00000000-0005-0000-0000-0000812A0000}"/>
    <cellStyle name="Currency 127 2 2 2 3 2" xfId="41748" xr:uid="{00000000-0005-0000-0000-0000822A0000}"/>
    <cellStyle name="Currency 127 2 2 2 4" xfId="29443" xr:uid="{00000000-0005-0000-0000-0000832A0000}"/>
    <cellStyle name="Currency 127 2 2 3" xfId="12610" xr:uid="{00000000-0005-0000-0000-0000842A0000}"/>
    <cellStyle name="Currency 127 2 2 3 2" xfId="32530" xr:uid="{00000000-0005-0000-0000-0000852A0000}"/>
    <cellStyle name="Currency 127 2 2 4" xfId="18762" xr:uid="{00000000-0005-0000-0000-0000862A0000}"/>
    <cellStyle name="Currency 127 2 2 4 2" xfId="38682" xr:uid="{00000000-0005-0000-0000-0000872A0000}"/>
    <cellStyle name="Currency 127 2 2 5" xfId="26377" xr:uid="{00000000-0005-0000-0000-0000882A0000}"/>
    <cellStyle name="Currency 127 2 3" xfId="7948" xr:uid="{00000000-0005-0000-0000-0000892A0000}"/>
    <cellStyle name="Currency 127 2 3 2" xfId="14142" xr:uid="{00000000-0005-0000-0000-00008A2A0000}"/>
    <cellStyle name="Currency 127 2 3 2 2" xfId="34062" xr:uid="{00000000-0005-0000-0000-00008B2A0000}"/>
    <cellStyle name="Currency 127 2 3 3" xfId="20294" xr:uid="{00000000-0005-0000-0000-00008C2A0000}"/>
    <cellStyle name="Currency 127 2 3 3 2" xfId="40214" xr:uid="{00000000-0005-0000-0000-00008D2A0000}"/>
    <cellStyle name="Currency 127 2 3 4" xfId="27909" xr:uid="{00000000-0005-0000-0000-00008E2A0000}"/>
    <cellStyle name="Currency 127 2 4" xfId="11076" xr:uid="{00000000-0005-0000-0000-00008F2A0000}"/>
    <cellStyle name="Currency 127 2 4 2" xfId="30996" xr:uid="{00000000-0005-0000-0000-0000902A0000}"/>
    <cellStyle name="Currency 127 2 5" xfId="17228" xr:uid="{00000000-0005-0000-0000-0000912A0000}"/>
    <cellStyle name="Currency 127 2 5 2" xfId="37148" xr:uid="{00000000-0005-0000-0000-0000922A0000}"/>
    <cellStyle name="Currency 127 2 6" xfId="24843" xr:uid="{00000000-0005-0000-0000-0000932A0000}"/>
    <cellStyle name="Currency 127 3" xfId="5613" xr:uid="{00000000-0005-0000-0000-0000942A0000}"/>
    <cellStyle name="Currency 127 3 2" xfId="8714" xr:uid="{00000000-0005-0000-0000-0000952A0000}"/>
    <cellStyle name="Currency 127 3 2 2" xfId="14907" xr:uid="{00000000-0005-0000-0000-0000962A0000}"/>
    <cellStyle name="Currency 127 3 2 2 2" xfId="34827" xr:uid="{00000000-0005-0000-0000-0000972A0000}"/>
    <cellStyle name="Currency 127 3 2 3" xfId="21059" xr:uid="{00000000-0005-0000-0000-0000982A0000}"/>
    <cellStyle name="Currency 127 3 2 3 2" xfId="40979" xr:uid="{00000000-0005-0000-0000-0000992A0000}"/>
    <cellStyle name="Currency 127 3 2 4" xfId="28674" xr:uid="{00000000-0005-0000-0000-00009A2A0000}"/>
    <cellStyle name="Currency 127 3 3" xfId="11841" xr:uid="{00000000-0005-0000-0000-00009B2A0000}"/>
    <cellStyle name="Currency 127 3 3 2" xfId="31761" xr:uid="{00000000-0005-0000-0000-00009C2A0000}"/>
    <cellStyle name="Currency 127 3 4" xfId="17993" xr:uid="{00000000-0005-0000-0000-00009D2A0000}"/>
    <cellStyle name="Currency 127 3 4 2" xfId="37913" xr:uid="{00000000-0005-0000-0000-00009E2A0000}"/>
    <cellStyle name="Currency 127 3 5" xfId="25608" xr:uid="{00000000-0005-0000-0000-00009F2A0000}"/>
    <cellStyle name="Currency 127 4" xfId="7179" xr:uid="{00000000-0005-0000-0000-0000A02A0000}"/>
    <cellStyle name="Currency 127 4 2" xfId="13373" xr:uid="{00000000-0005-0000-0000-0000A12A0000}"/>
    <cellStyle name="Currency 127 4 2 2" xfId="33293" xr:uid="{00000000-0005-0000-0000-0000A22A0000}"/>
    <cellStyle name="Currency 127 4 3" xfId="19525" xr:uid="{00000000-0005-0000-0000-0000A32A0000}"/>
    <cellStyle name="Currency 127 4 3 2" xfId="39445" xr:uid="{00000000-0005-0000-0000-0000A42A0000}"/>
    <cellStyle name="Currency 127 4 4" xfId="27140" xr:uid="{00000000-0005-0000-0000-0000A52A0000}"/>
    <cellStyle name="Currency 127 5" xfId="10307" xr:uid="{00000000-0005-0000-0000-0000A62A0000}"/>
    <cellStyle name="Currency 127 5 2" xfId="30227" xr:uid="{00000000-0005-0000-0000-0000A72A0000}"/>
    <cellStyle name="Currency 127 6" xfId="16459" xr:uid="{00000000-0005-0000-0000-0000A82A0000}"/>
    <cellStyle name="Currency 127 6 2" xfId="36379" xr:uid="{00000000-0005-0000-0000-0000A92A0000}"/>
    <cellStyle name="Currency 127 7" xfId="24074" xr:uid="{00000000-0005-0000-0000-0000AA2A0000}"/>
    <cellStyle name="Currency 128" xfId="2974" xr:uid="{00000000-0005-0000-0000-0000AB2A0000}"/>
    <cellStyle name="Currency 128 2" xfId="4773" xr:uid="{00000000-0005-0000-0000-0000AC2A0000}"/>
    <cellStyle name="Currency 128 2 2" xfId="6398" xr:uid="{00000000-0005-0000-0000-0000AD2A0000}"/>
    <cellStyle name="Currency 128 2 2 2" xfId="9484" xr:uid="{00000000-0005-0000-0000-0000AE2A0000}"/>
    <cellStyle name="Currency 128 2 2 2 2" xfId="15677" xr:uid="{00000000-0005-0000-0000-0000AF2A0000}"/>
    <cellStyle name="Currency 128 2 2 2 2 2" xfId="35597" xr:uid="{00000000-0005-0000-0000-0000B02A0000}"/>
    <cellStyle name="Currency 128 2 2 2 3" xfId="21829" xr:uid="{00000000-0005-0000-0000-0000B12A0000}"/>
    <cellStyle name="Currency 128 2 2 2 3 2" xfId="41749" xr:uid="{00000000-0005-0000-0000-0000B22A0000}"/>
    <cellStyle name="Currency 128 2 2 2 4" xfId="29444" xr:uid="{00000000-0005-0000-0000-0000B32A0000}"/>
    <cellStyle name="Currency 128 2 2 3" xfId="12611" xr:uid="{00000000-0005-0000-0000-0000B42A0000}"/>
    <cellStyle name="Currency 128 2 2 3 2" xfId="32531" xr:uid="{00000000-0005-0000-0000-0000B52A0000}"/>
    <cellStyle name="Currency 128 2 2 4" xfId="18763" xr:uid="{00000000-0005-0000-0000-0000B62A0000}"/>
    <cellStyle name="Currency 128 2 2 4 2" xfId="38683" xr:uid="{00000000-0005-0000-0000-0000B72A0000}"/>
    <cellStyle name="Currency 128 2 2 5" xfId="26378" xr:uid="{00000000-0005-0000-0000-0000B82A0000}"/>
    <cellStyle name="Currency 128 2 3" xfId="7949" xr:uid="{00000000-0005-0000-0000-0000B92A0000}"/>
    <cellStyle name="Currency 128 2 3 2" xfId="14143" xr:uid="{00000000-0005-0000-0000-0000BA2A0000}"/>
    <cellStyle name="Currency 128 2 3 2 2" xfId="34063" xr:uid="{00000000-0005-0000-0000-0000BB2A0000}"/>
    <cellStyle name="Currency 128 2 3 3" xfId="20295" xr:uid="{00000000-0005-0000-0000-0000BC2A0000}"/>
    <cellStyle name="Currency 128 2 3 3 2" xfId="40215" xr:uid="{00000000-0005-0000-0000-0000BD2A0000}"/>
    <cellStyle name="Currency 128 2 3 4" xfId="27910" xr:uid="{00000000-0005-0000-0000-0000BE2A0000}"/>
    <cellStyle name="Currency 128 2 4" xfId="11077" xr:uid="{00000000-0005-0000-0000-0000BF2A0000}"/>
    <cellStyle name="Currency 128 2 4 2" xfId="30997" xr:uid="{00000000-0005-0000-0000-0000C02A0000}"/>
    <cellStyle name="Currency 128 2 5" xfId="17229" xr:uid="{00000000-0005-0000-0000-0000C12A0000}"/>
    <cellStyle name="Currency 128 2 5 2" xfId="37149" xr:uid="{00000000-0005-0000-0000-0000C22A0000}"/>
    <cellStyle name="Currency 128 2 6" xfId="24844" xr:uid="{00000000-0005-0000-0000-0000C32A0000}"/>
    <cellStyle name="Currency 128 3" xfId="5614" xr:uid="{00000000-0005-0000-0000-0000C42A0000}"/>
    <cellStyle name="Currency 128 3 2" xfId="8715" xr:uid="{00000000-0005-0000-0000-0000C52A0000}"/>
    <cellStyle name="Currency 128 3 2 2" xfId="14908" xr:uid="{00000000-0005-0000-0000-0000C62A0000}"/>
    <cellStyle name="Currency 128 3 2 2 2" xfId="34828" xr:uid="{00000000-0005-0000-0000-0000C72A0000}"/>
    <cellStyle name="Currency 128 3 2 3" xfId="21060" xr:uid="{00000000-0005-0000-0000-0000C82A0000}"/>
    <cellStyle name="Currency 128 3 2 3 2" xfId="40980" xr:uid="{00000000-0005-0000-0000-0000C92A0000}"/>
    <cellStyle name="Currency 128 3 2 4" xfId="28675" xr:uid="{00000000-0005-0000-0000-0000CA2A0000}"/>
    <cellStyle name="Currency 128 3 3" xfId="11842" xr:uid="{00000000-0005-0000-0000-0000CB2A0000}"/>
    <cellStyle name="Currency 128 3 3 2" xfId="31762" xr:uid="{00000000-0005-0000-0000-0000CC2A0000}"/>
    <cellStyle name="Currency 128 3 4" xfId="17994" xr:uid="{00000000-0005-0000-0000-0000CD2A0000}"/>
    <cellStyle name="Currency 128 3 4 2" xfId="37914" xr:uid="{00000000-0005-0000-0000-0000CE2A0000}"/>
    <cellStyle name="Currency 128 3 5" xfId="25609" xr:uid="{00000000-0005-0000-0000-0000CF2A0000}"/>
    <cellStyle name="Currency 128 4" xfId="7180" xr:uid="{00000000-0005-0000-0000-0000D02A0000}"/>
    <cellStyle name="Currency 128 4 2" xfId="13374" xr:uid="{00000000-0005-0000-0000-0000D12A0000}"/>
    <cellStyle name="Currency 128 4 2 2" xfId="33294" xr:uid="{00000000-0005-0000-0000-0000D22A0000}"/>
    <cellStyle name="Currency 128 4 3" xfId="19526" xr:uid="{00000000-0005-0000-0000-0000D32A0000}"/>
    <cellStyle name="Currency 128 4 3 2" xfId="39446" xr:uid="{00000000-0005-0000-0000-0000D42A0000}"/>
    <cellStyle name="Currency 128 4 4" xfId="27141" xr:uid="{00000000-0005-0000-0000-0000D52A0000}"/>
    <cellStyle name="Currency 128 5" xfId="10308" xr:uid="{00000000-0005-0000-0000-0000D62A0000}"/>
    <cellStyle name="Currency 128 5 2" xfId="30228" xr:uid="{00000000-0005-0000-0000-0000D72A0000}"/>
    <cellStyle name="Currency 128 6" xfId="16460" xr:uid="{00000000-0005-0000-0000-0000D82A0000}"/>
    <cellStyle name="Currency 128 6 2" xfId="36380" xr:uid="{00000000-0005-0000-0000-0000D92A0000}"/>
    <cellStyle name="Currency 128 7" xfId="24075" xr:uid="{00000000-0005-0000-0000-0000DA2A0000}"/>
    <cellStyle name="Currency 129" xfId="2975" xr:uid="{00000000-0005-0000-0000-0000DB2A0000}"/>
    <cellStyle name="Currency 129 2" xfId="4774" xr:uid="{00000000-0005-0000-0000-0000DC2A0000}"/>
    <cellStyle name="Currency 129 2 2" xfId="6399" xr:uid="{00000000-0005-0000-0000-0000DD2A0000}"/>
    <cellStyle name="Currency 129 2 2 2" xfId="9485" xr:uid="{00000000-0005-0000-0000-0000DE2A0000}"/>
    <cellStyle name="Currency 129 2 2 2 2" xfId="15678" xr:uid="{00000000-0005-0000-0000-0000DF2A0000}"/>
    <cellStyle name="Currency 129 2 2 2 2 2" xfId="35598" xr:uid="{00000000-0005-0000-0000-0000E02A0000}"/>
    <cellStyle name="Currency 129 2 2 2 3" xfId="21830" xr:uid="{00000000-0005-0000-0000-0000E12A0000}"/>
    <cellStyle name="Currency 129 2 2 2 3 2" xfId="41750" xr:uid="{00000000-0005-0000-0000-0000E22A0000}"/>
    <cellStyle name="Currency 129 2 2 2 4" xfId="29445" xr:uid="{00000000-0005-0000-0000-0000E32A0000}"/>
    <cellStyle name="Currency 129 2 2 3" xfId="12612" xr:uid="{00000000-0005-0000-0000-0000E42A0000}"/>
    <cellStyle name="Currency 129 2 2 3 2" xfId="32532" xr:uid="{00000000-0005-0000-0000-0000E52A0000}"/>
    <cellStyle name="Currency 129 2 2 4" xfId="18764" xr:uid="{00000000-0005-0000-0000-0000E62A0000}"/>
    <cellStyle name="Currency 129 2 2 4 2" xfId="38684" xr:uid="{00000000-0005-0000-0000-0000E72A0000}"/>
    <cellStyle name="Currency 129 2 2 5" xfId="26379" xr:uid="{00000000-0005-0000-0000-0000E82A0000}"/>
    <cellStyle name="Currency 129 2 3" xfId="7950" xr:uid="{00000000-0005-0000-0000-0000E92A0000}"/>
    <cellStyle name="Currency 129 2 3 2" xfId="14144" xr:uid="{00000000-0005-0000-0000-0000EA2A0000}"/>
    <cellStyle name="Currency 129 2 3 2 2" xfId="34064" xr:uid="{00000000-0005-0000-0000-0000EB2A0000}"/>
    <cellStyle name="Currency 129 2 3 3" xfId="20296" xr:uid="{00000000-0005-0000-0000-0000EC2A0000}"/>
    <cellStyle name="Currency 129 2 3 3 2" xfId="40216" xr:uid="{00000000-0005-0000-0000-0000ED2A0000}"/>
    <cellStyle name="Currency 129 2 3 4" xfId="27911" xr:uid="{00000000-0005-0000-0000-0000EE2A0000}"/>
    <cellStyle name="Currency 129 2 4" xfId="11078" xr:uid="{00000000-0005-0000-0000-0000EF2A0000}"/>
    <cellStyle name="Currency 129 2 4 2" xfId="30998" xr:uid="{00000000-0005-0000-0000-0000F02A0000}"/>
    <cellStyle name="Currency 129 2 5" xfId="17230" xr:uid="{00000000-0005-0000-0000-0000F12A0000}"/>
    <cellStyle name="Currency 129 2 5 2" xfId="37150" xr:uid="{00000000-0005-0000-0000-0000F22A0000}"/>
    <cellStyle name="Currency 129 2 6" xfId="24845" xr:uid="{00000000-0005-0000-0000-0000F32A0000}"/>
    <cellStyle name="Currency 129 3" xfId="5615" xr:uid="{00000000-0005-0000-0000-0000F42A0000}"/>
    <cellStyle name="Currency 129 3 2" xfId="8716" xr:uid="{00000000-0005-0000-0000-0000F52A0000}"/>
    <cellStyle name="Currency 129 3 2 2" xfId="14909" xr:uid="{00000000-0005-0000-0000-0000F62A0000}"/>
    <cellStyle name="Currency 129 3 2 2 2" xfId="34829" xr:uid="{00000000-0005-0000-0000-0000F72A0000}"/>
    <cellStyle name="Currency 129 3 2 3" xfId="21061" xr:uid="{00000000-0005-0000-0000-0000F82A0000}"/>
    <cellStyle name="Currency 129 3 2 3 2" xfId="40981" xr:uid="{00000000-0005-0000-0000-0000F92A0000}"/>
    <cellStyle name="Currency 129 3 2 4" xfId="28676" xr:uid="{00000000-0005-0000-0000-0000FA2A0000}"/>
    <cellStyle name="Currency 129 3 3" xfId="11843" xr:uid="{00000000-0005-0000-0000-0000FB2A0000}"/>
    <cellStyle name="Currency 129 3 3 2" xfId="31763" xr:uid="{00000000-0005-0000-0000-0000FC2A0000}"/>
    <cellStyle name="Currency 129 3 4" xfId="17995" xr:uid="{00000000-0005-0000-0000-0000FD2A0000}"/>
    <cellStyle name="Currency 129 3 4 2" xfId="37915" xr:uid="{00000000-0005-0000-0000-0000FE2A0000}"/>
    <cellStyle name="Currency 129 3 5" xfId="25610" xr:uid="{00000000-0005-0000-0000-0000FF2A0000}"/>
    <cellStyle name="Currency 129 4" xfId="7181" xr:uid="{00000000-0005-0000-0000-0000002B0000}"/>
    <cellStyle name="Currency 129 4 2" xfId="13375" xr:uid="{00000000-0005-0000-0000-0000012B0000}"/>
    <cellStyle name="Currency 129 4 2 2" xfId="33295" xr:uid="{00000000-0005-0000-0000-0000022B0000}"/>
    <cellStyle name="Currency 129 4 3" xfId="19527" xr:uid="{00000000-0005-0000-0000-0000032B0000}"/>
    <cellStyle name="Currency 129 4 3 2" xfId="39447" xr:uid="{00000000-0005-0000-0000-0000042B0000}"/>
    <cellStyle name="Currency 129 4 4" xfId="27142" xr:uid="{00000000-0005-0000-0000-0000052B0000}"/>
    <cellStyle name="Currency 129 5" xfId="10309" xr:uid="{00000000-0005-0000-0000-0000062B0000}"/>
    <cellStyle name="Currency 129 5 2" xfId="30229" xr:uid="{00000000-0005-0000-0000-0000072B0000}"/>
    <cellStyle name="Currency 129 6" xfId="16461" xr:uid="{00000000-0005-0000-0000-0000082B0000}"/>
    <cellStyle name="Currency 129 6 2" xfId="36381" xr:uid="{00000000-0005-0000-0000-0000092B0000}"/>
    <cellStyle name="Currency 129 7" xfId="24076" xr:uid="{00000000-0005-0000-0000-00000A2B0000}"/>
    <cellStyle name="Currency 13" xfId="2976" xr:uid="{00000000-0005-0000-0000-00000B2B0000}"/>
    <cellStyle name="Currency 13 2" xfId="2977" xr:uid="{00000000-0005-0000-0000-00000C2B0000}"/>
    <cellStyle name="Currency 13 3" xfId="2978" xr:uid="{00000000-0005-0000-0000-00000D2B0000}"/>
    <cellStyle name="Currency 130" xfId="2979" xr:uid="{00000000-0005-0000-0000-00000E2B0000}"/>
    <cellStyle name="Currency 130 2" xfId="4775" xr:uid="{00000000-0005-0000-0000-00000F2B0000}"/>
    <cellStyle name="Currency 130 2 2" xfId="6400" xr:uid="{00000000-0005-0000-0000-0000102B0000}"/>
    <cellStyle name="Currency 130 2 2 2" xfId="9486" xr:uid="{00000000-0005-0000-0000-0000112B0000}"/>
    <cellStyle name="Currency 130 2 2 2 2" xfId="15679" xr:uid="{00000000-0005-0000-0000-0000122B0000}"/>
    <cellStyle name="Currency 130 2 2 2 2 2" xfId="35599" xr:uid="{00000000-0005-0000-0000-0000132B0000}"/>
    <cellStyle name="Currency 130 2 2 2 3" xfId="21831" xr:uid="{00000000-0005-0000-0000-0000142B0000}"/>
    <cellStyle name="Currency 130 2 2 2 3 2" xfId="41751" xr:uid="{00000000-0005-0000-0000-0000152B0000}"/>
    <cellStyle name="Currency 130 2 2 2 4" xfId="29446" xr:uid="{00000000-0005-0000-0000-0000162B0000}"/>
    <cellStyle name="Currency 130 2 2 3" xfId="12613" xr:uid="{00000000-0005-0000-0000-0000172B0000}"/>
    <cellStyle name="Currency 130 2 2 3 2" xfId="32533" xr:uid="{00000000-0005-0000-0000-0000182B0000}"/>
    <cellStyle name="Currency 130 2 2 4" xfId="18765" xr:uid="{00000000-0005-0000-0000-0000192B0000}"/>
    <cellStyle name="Currency 130 2 2 4 2" xfId="38685" xr:uid="{00000000-0005-0000-0000-00001A2B0000}"/>
    <cellStyle name="Currency 130 2 2 5" xfId="26380" xr:uid="{00000000-0005-0000-0000-00001B2B0000}"/>
    <cellStyle name="Currency 130 2 3" xfId="7951" xr:uid="{00000000-0005-0000-0000-00001C2B0000}"/>
    <cellStyle name="Currency 130 2 3 2" xfId="14145" xr:uid="{00000000-0005-0000-0000-00001D2B0000}"/>
    <cellStyle name="Currency 130 2 3 2 2" xfId="34065" xr:uid="{00000000-0005-0000-0000-00001E2B0000}"/>
    <cellStyle name="Currency 130 2 3 3" xfId="20297" xr:uid="{00000000-0005-0000-0000-00001F2B0000}"/>
    <cellStyle name="Currency 130 2 3 3 2" xfId="40217" xr:uid="{00000000-0005-0000-0000-0000202B0000}"/>
    <cellStyle name="Currency 130 2 3 4" xfId="27912" xr:uid="{00000000-0005-0000-0000-0000212B0000}"/>
    <cellStyle name="Currency 130 2 4" xfId="11079" xr:uid="{00000000-0005-0000-0000-0000222B0000}"/>
    <cellStyle name="Currency 130 2 4 2" xfId="30999" xr:uid="{00000000-0005-0000-0000-0000232B0000}"/>
    <cellStyle name="Currency 130 2 5" xfId="17231" xr:uid="{00000000-0005-0000-0000-0000242B0000}"/>
    <cellStyle name="Currency 130 2 5 2" xfId="37151" xr:uid="{00000000-0005-0000-0000-0000252B0000}"/>
    <cellStyle name="Currency 130 2 6" xfId="24846" xr:uid="{00000000-0005-0000-0000-0000262B0000}"/>
    <cellStyle name="Currency 130 3" xfId="5616" xr:uid="{00000000-0005-0000-0000-0000272B0000}"/>
    <cellStyle name="Currency 130 3 2" xfId="8717" xr:uid="{00000000-0005-0000-0000-0000282B0000}"/>
    <cellStyle name="Currency 130 3 2 2" xfId="14910" xr:uid="{00000000-0005-0000-0000-0000292B0000}"/>
    <cellStyle name="Currency 130 3 2 2 2" xfId="34830" xr:uid="{00000000-0005-0000-0000-00002A2B0000}"/>
    <cellStyle name="Currency 130 3 2 3" xfId="21062" xr:uid="{00000000-0005-0000-0000-00002B2B0000}"/>
    <cellStyle name="Currency 130 3 2 3 2" xfId="40982" xr:uid="{00000000-0005-0000-0000-00002C2B0000}"/>
    <cellStyle name="Currency 130 3 2 4" xfId="28677" xr:uid="{00000000-0005-0000-0000-00002D2B0000}"/>
    <cellStyle name="Currency 130 3 3" xfId="11844" xr:uid="{00000000-0005-0000-0000-00002E2B0000}"/>
    <cellStyle name="Currency 130 3 3 2" xfId="31764" xr:uid="{00000000-0005-0000-0000-00002F2B0000}"/>
    <cellStyle name="Currency 130 3 4" xfId="17996" xr:uid="{00000000-0005-0000-0000-0000302B0000}"/>
    <cellStyle name="Currency 130 3 4 2" xfId="37916" xr:uid="{00000000-0005-0000-0000-0000312B0000}"/>
    <cellStyle name="Currency 130 3 5" xfId="25611" xr:uid="{00000000-0005-0000-0000-0000322B0000}"/>
    <cellStyle name="Currency 130 4" xfId="7182" xr:uid="{00000000-0005-0000-0000-0000332B0000}"/>
    <cellStyle name="Currency 130 4 2" xfId="13376" xr:uid="{00000000-0005-0000-0000-0000342B0000}"/>
    <cellStyle name="Currency 130 4 2 2" xfId="33296" xr:uid="{00000000-0005-0000-0000-0000352B0000}"/>
    <cellStyle name="Currency 130 4 3" xfId="19528" xr:uid="{00000000-0005-0000-0000-0000362B0000}"/>
    <cellStyle name="Currency 130 4 3 2" xfId="39448" xr:uid="{00000000-0005-0000-0000-0000372B0000}"/>
    <cellStyle name="Currency 130 4 4" xfId="27143" xr:uid="{00000000-0005-0000-0000-0000382B0000}"/>
    <cellStyle name="Currency 130 5" xfId="10310" xr:uid="{00000000-0005-0000-0000-0000392B0000}"/>
    <cellStyle name="Currency 130 5 2" xfId="30230" xr:uid="{00000000-0005-0000-0000-00003A2B0000}"/>
    <cellStyle name="Currency 130 6" xfId="16462" xr:uid="{00000000-0005-0000-0000-00003B2B0000}"/>
    <cellStyle name="Currency 130 6 2" xfId="36382" xr:uid="{00000000-0005-0000-0000-00003C2B0000}"/>
    <cellStyle name="Currency 130 7" xfId="24077" xr:uid="{00000000-0005-0000-0000-00003D2B0000}"/>
    <cellStyle name="Currency 131" xfId="2980" xr:uid="{00000000-0005-0000-0000-00003E2B0000}"/>
    <cellStyle name="Currency 132" xfId="2981" xr:uid="{00000000-0005-0000-0000-00003F2B0000}"/>
    <cellStyle name="Currency 133" xfId="2982" xr:uid="{00000000-0005-0000-0000-0000402B0000}"/>
    <cellStyle name="Currency 134" xfId="2983" xr:uid="{00000000-0005-0000-0000-0000412B0000}"/>
    <cellStyle name="Currency 135" xfId="2984" xr:uid="{00000000-0005-0000-0000-0000422B0000}"/>
    <cellStyle name="Currency 136" xfId="2985" xr:uid="{00000000-0005-0000-0000-0000432B0000}"/>
    <cellStyle name="Currency 137" xfId="2986" xr:uid="{00000000-0005-0000-0000-0000442B0000}"/>
    <cellStyle name="Currency 138" xfId="2987" xr:uid="{00000000-0005-0000-0000-0000452B0000}"/>
    <cellStyle name="Currency 139" xfId="2988" xr:uid="{00000000-0005-0000-0000-0000462B0000}"/>
    <cellStyle name="Currency 14" xfId="2989" xr:uid="{00000000-0005-0000-0000-0000472B0000}"/>
    <cellStyle name="Currency 14 2" xfId="2990" xr:uid="{00000000-0005-0000-0000-0000482B0000}"/>
    <cellStyle name="Currency 14 3" xfId="2991" xr:uid="{00000000-0005-0000-0000-0000492B0000}"/>
    <cellStyle name="Currency 140" xfId="2992" xr:uid="{00000000-0005-0000-0000-00004A2B0000}"/>
    <cellStyle name="Currency 141" xfId="2993" xr:uid="{00000000-0005-0000-0000-00004B2B0000}"/>
    <cellStyle name="Currency 142" xfId="2994" xr:uid="{00000000-0005-0000-0000-00004C2B0000}"/>
    <cellStyle name="Currency 143" xfId="2995" xr:uid="{00000000-0005-0000-0000-00004D2B0000}"/>
    <cellStyle name="Currency 144" xfId="2996" xr:uid="{00000000-0005-0000-0000-00004E2B0000}"/>
    <cellStyle name="Currency 145" xfId="2997" xr:uid="{00000000-0005-0000-0000-00004F2B0000}"/>
    <cellStyle name="Currency 146" xfId="2998" xr:uid="{00000000-0005-0000-0000-0000502B0000}"/>
    <cellStyle name="Currency 147" xfId="2999" xr:uid="{00000000-0005-0000-0000-0000512B0000}"/>
    <cellStyle name="Currency 148" xfId="3000" xr:uid="{00000000-0005-0000-0000-0000522B0000}"/>
    <cellStyle name="Currency 149" xfId="3001" xr:uid="{00000000-0005-0000-0000-0000532B0000}"/>
    <cellStyle name="Currency 15" xfId="3002" xr:uid="{00000000-0005-0000-0000-0000542B0000}"/>
    <cellStyle name="Currency 15 2" xfId="3003" xr:uid="{00000000-0005-0000-0000-0000552B0000}"/>
    <cellStyle name="Currency 15 3" xfId="3004" xr:uid="{00000000-0005-0000-0000-0000562B0000}"/>
    <cellStyle name="Currency 150" xfId="3005" xr:uid="{00000000-0005-0000-0000-0000572B0000}"/>
    <cellStyle name="Currency 151" xfId="3006" xr:uid="{00000000-0005-0000-0000-0000582B0000}"/>
    <cellStyle name="Currency 152" xfId="3007" xr:uid="{00000000-0005-0000-0000-0000592B0000}"/>
    <cellStyle name="Currency 153" xfId="3008" xr:uid="{00000000-0005-0000-0000-00005A2B0000}"/>
    <cellStyle name="Currency 154" xfId="3009" xr:uid="{00000000-0005-0000-0000-00005B2B0000}"/>
    <cellStyle name="Currency 155" xfId="3010" xr:uid="{00000000-0005-0000-0000-00005C2B0000}"/>
    <cellStyle name="Currency 156" xfId="3011" xr:uid="{00000000-0005-0000-0000-00005D2B0000}"/>
    <cellStyle name="Currency 157" xfId="3012" xr:uid="{00000000-0005-0000-0000-00005E2B0000}"/>
    <cellStyle name="Currency 158" xfId="3013" xr:uid="{00000000-0005-0000-0000-00005F2B0000}"/>
    <cellStyle name="Currency 159" xfId="3014" xr:uid="{00000000-0005-0000-0000-0000602B0000}"/>
    <cellStyle name="Currency 159 2" xfId="4776" xr:uid="{00000000-0005-0000-0000-0000612B0000}"/>
    <cellStyle name="Currency 159 2 2" xfId="6401" xr:uid="{00000000-0005-0000-0000-0000622B0000}"/>
    <cellStyle name="Currency 159 2 2 2" xfId="9487" xr:uid="{00000000-0005-0000-0000-0000632B0000}"/>
    <cellStyle name="Currency 159 2 2 2 2" xfId="15680" xr:uid="{00000000-0005-0000-0000-0000642B0000}"/>
    <cellStyle name="Currency 159 2 2 2 2 2" xfId="35600" xr:uid="{00000000-0005-0000-0000-0000652B0000}"/>
    <cellStyle name="Currency 159 2 2 2 3" xfId="21832" xr:uid="{00000000-0005-0000-0000-0000662B0000}"/>
    <cellStyle name="Currency 159 2 2 2 3 2" xfId="41752" xr:uid="{00000000-0005-0000-0000-0000672B0000}"/>
    <cellStyle name="Currency 159 2 2 2 4" xfId="29447" xr:uid="{00000000-0005-0000-0000-0000682B0000}"/>
    <cellStyle name="Currency 159 2 2 3" xfId="12614" xr:uid="{00000000-0005-0000-0000-0000692B0000}"/>
    <cellStyle name="Currency 159 2 2 3 2" xfId="32534" xr:uid="{00000000-0005-0000-0000-00006A2B0000}"/>
    <cellStyle name="Currency 159 2 2 4" xfId="18766" xr:uid="{00000000-0005-0000-0000-00006B2B0000}"/>
    <cellStyle name="Currency 159 2 2 4 2" xfId="38686" xr:uid="{00000000-0005-0000-0000-00006C2B0000}"/>
    <cellStyle name="Currency 159 2 2 5" xfId="26381" xr:uid="{00000000-0005-0000-0000-00006D2B0000}"/>
    <cellStyle name="Currency 159 2 3" xfId="7952" xr:uid="{00000000-0005-0000-0000-00006E2B0000}"/>
    <cellStyle name="Currency 159 2 3 2" xfId="14146" xr:uid="{00000000-0005-0000-0000-00006F2B0000}"/>
    <cellStyle name="Currency 159 2 3 2 2" xfId="34066" xr:uid="{00000000-0005-0000-0000-0000702B0000}"/>
    <cellStyle name="Currency 159 2 3 3" xfId="20298" xr:uid="{00000000-0005-0000-0000-0000712B0000}"/>
    <cellStyle name="Currency 159 2 3 3 2" xfId="40218" xr:uid="{00000000-0005-0000-0000-0000722B0000}"/>
    <cellStyle name="Currency 159 2 3 4" xfId="27913" xr:uid="{00000000-0005-0000-0000-0000732B0000}"/>
    <cellStyle name="Currency 159 2 4" xfId="11080" xr:uid="{00000000-0005-0000-0000-0000742B0000}"/>
    <cellStyle name="Currency 159 2 4 2" xfId="31000" xr:uid="{00000000-0005-0000-0000-0000752B0000}"/>
    <cellStyle name="Currency 159 2 5" xfId="17232" xr:uid="{00000000-0005-0000-0000-0000762B0000}"/>
    <cellStyle name="Currency 159 2 5 2" xfId="37152" xr:uid="{00000000-0005-0000-0000-0000772B0000}"/>
    <cellStyle name="Currency 159 2 6" xfId="24847" xr:uid="{00000000-0005-0000-0000-0000782B0000}"/>
    <cellStyle name="Currency 159 3" xfId="5617" xr:uid="{00000000-0005-0000-0000-0000792B0000}"/>
    <cellStyle name="Currency 159 3 2" xfId="8718" xr:uid="{00000000-0005-0000-0000-00007A2B0000}"/>
    <cellStyle name="Currency 159 3 2 2" xfId="14911" xr:uid="{00000000-0005-0000-0000-00007B2B0000}"/>
    <cellStyle name="Currency 159 3 2 2 2" xfId="34831" xr:uid="{00000000-0005-0000-0000-00007C2B0000}"/>
    <cellStyle name="Currency 159 3 2 3" xfId="21063" xr:uid="{00000000-0005-0000-0000-00007D2B0000}"/>
    <cellStyle name="Currency 159 3 2 3 2" xfId="40983" xr:uid="{00000000-0005-0000-0000-00007E2B0000}"/>
    <cellStyle name="Currency 159 3 2 4" xfId="28678" xr:uid="{00000000-0005-0000-0000-00007F2B0000}"/>
    <cellStyle name="Currency 159 3 3" xfId="11845" xr:uid="{00000000-0005-0000-0000-0000802B0000}"/>
    <cellStyle name="Currency 159 3 3 2" xfId="31765" xr:uid="{00000000-0005-0000-0000-0000812B0000}"/>
    <cellStyle name="Currency 159 3 4" xfId="17997" xr:uid="{00000000-0005-0000-0000-0000822B0000}"/>
    <cellStyle name="Currency 159 3 4 2" xfId="37917" xr:uid="{00000000-0005-0000-0000-0000832B0000}"/>
    <cellStyle name="Currency 159 3 5" xfId="25612" xr:uid="{00000000-0005-0000-0000-0000842B0000}"/>
    <cellStyle name="Currency 159 4" xfId="7183" xr:uid="{00000000-0005-0000-0000-0000852B0000}"/>
    <cellStyle name="Currency 159 4 2" xfId="13377" xr:uid="{00000000-0005-0000-0000-0000862B0000}"/>
    <cellStyle name="Currency 159 4 2 2" xfId="33297" xr:uid="{00000000-0005-0000-0000-0000872B0000}"/>
    <cellStyle name="Currency 159 4 3" xfId="19529" xr:uid="{00000000-0005-0000-0000-0000882B0000}"/>
    <cellStyle name="Currency 159 4 3 2" xfId="39449" xr:uid="{00000000-0005-0000-0000-0000892B0000}"/>
    <cellStyle name="Currency 159 4 4" xfId="27144" xr:uid="{00000000-0005-0000-0000-00008A2B0000}"/>
    <cellStyle name="Currency 159 5" xfId="10311" xr:uid="{00000000-0005-0000-0000-00008B2B0000}"/>
    <cellStyle name="Currency 159 5 2" xfId="30231" xr:uid="{00000000-0005-0000-0000-00008C2B0000}"/>
    <cellStyle name="Currency 159 6" xfId="16463" xr:uid="{00000000-0005-0000-0000-00008D2B0000}"/>
    <cellStyle name="Currency 159 6 2" xfId="36383" xr:uid="{00000000-0005-0000-0000-00008E2B0000}"/>
    <cellStyle name="Currency 159 7" xfId="24078" xr:uid="{00000000-0005-0000-0000-00008F2B0000}"/>
    <cellStyle name="Currency 16" xfId="3015" xr:uid="{00000000-0005-0000-0000-0000902B0000}"/>
    <cellStyle name="Currency 16 2" xfId="3016" xr:uid="{00000000-0005-0000-0000-0000912B0000}"/>
    <cellStyle name="Currency 16 3" xfId="3017" xr:uid="{00000000-0005-0000-0000-0000922B0000}"/>
    <cellStyle name="Currency 160" xfId="1203" xr:uid="{00000000-0005-0000-0000-0000932B0000}"/>
    <cellStyle name="Currency 161" xfId="4505" xr:uid="{00000000-0005-0000-0000-0000942B0000}"/>
    <cellStyle name="Currency 162" xfId="4612" xr:uid="{00000000-0005-0000-0000-0000952B0000}"/>
    <cellStyle name="Currency 162 2" xfId="4617" xr:uid="{00000000-0005-0000-0000-0000962B0000}"/>
    <cellStyle name="Currency 162 3" xfId="6244" xr:uid="{00000000-0005-0000-0000-0000972B0000}"/>
    <cellStyle name="Currency 162 3 2" xfId="9330" xr:uid="{00000000-0005-0000-0000-0000982B0000}"/>
    <cellStyle name="Currency 162 3 2 2" xfId="15523" xr:uid="{00000000-0005-0000-0000-0000992B0000}"/>
    <cellStyle name="Currency 162 3 2 2 2" xfId="35443" xr:uid="{00000000-0005-0000-0000-00009A2B0000}"/>
    <cellStyle name="Currency 162 3 2 3" xfId="21675" xr:uid="{00000000-0005-0000-0000-00009B2B0000}"/>
    <cellStyle name="Currency 162 3 2 3 2" xfId="41595" xr:uid="{00000000-0005-0000-0000-00009C2B0000}"/>
    <cellStyle name="Currency 162 3 2 4" xfId="29290" xr:uid="{00000000-0005-0000-0000-00009D2B0000}"/>
    <cellStyle name="Currency 162 3 3" xfId="12457" xr:uid="{00000000-0005-0000-0000-00009E2B0000}"/>
    <cellStyle name="Currency 162 3 3 2" xfId="32377" xr:uid="{00000000-0005-0000-0000-00009F2B0000}"/>
    <cellStyle name="Currency 162 3 4" xfId="18609" xr:uid="{00000000-0005-0000-0000-0000A02B0000}"/>
    <cellStyle name="Currency 162 3 4 2" xfId="38529" xr:uid="{00000000-0005-0000-0000-0000A12B0000}"/>
    <cellStyle name="Currency 162 3 5" xfId="26224" xr:uid="{00000000-0005-0000-0000-0000A22B0000}"/>
    <cellStyle name="Currency 162 4" xfId="7795" xr:uid="{00000000-0005-0000-0000-0000A32B0000}"/>
    <cellStyle name="Currency 162 4 2" xfId="13989" xr:uid="{00000000-0005-0000-0000-0000A42B0000}"/>
    <cellStyle name="Currency 162 4 2 2" xfId="33909" xr:uid="{00000000-0005-0000-0000-0000A52B0000}"/>
    <cellStyle name="Currency 162 4 3" xfId="20141" xr:uid="{00000000-0005-0000-0000-0000A62B0000}"/>
    <cellStyle name="Currency 162 4 3 2" xfId="40061" xr:uid="{00000000-0005-0000-0000-0000A72B0000}"/>
    <cellStyle name="Currency 162 4 4" xfId="27756" xr:uid="{00000000-0005-0000-0000-0000A82B0000}"/>
    <cellStyle name="Currency 162 5" xfId="10923" xr:uid="{00000000-0005-0000-0000-0000A92B0000}"/>
    <cellStyle name="Currency 162 5 2" xfId="30843" xr:uid="{00000000-0005-0000-0000-0000AA2B0000}"/>
    <cellStyle name="Currency 162 6" xfId="17075" xr:uid="{00000000-0005-0000-0000-0000AB2B0000}"/>
    <cellStyle name="Currency 162 6 2" xfId="36995" xr:uid="{00000000-0005-0000-0000-0000AC2B0000}"/>
    <cellStyle name="Currency 162 7" xfId="24690" xr:uid="{00000000-0005-0000-0000-0000AD2B0000}"/>
    <cellStyle name="Currency 163" xfId="5386" xr:uid="{00000000-0005-0000-0000-0000AE2B0000}"/>
    <cellStyle name="Currency 164" xfId="5454" xr:uid="{00000000-0005-0000-0000-0000AF2B0000}"/>
    <cellStyle name="Currency 165" xfId="5394" xr:uid="{00000000-0005-0000-0000-0000B02B0000}"/>
    <cellStyle name="Currency 166" xfId="5445" xr:uid="{00000000-0005-0000-0000-0000B12B0000}"/>
    <cellStyle name="Currency 167" xfId="5405" xr:uid="{00000000-0005-0000-0000-0000B22B0000}"/>
    <cellStyle name="Currency 168" xfId="5391" xr:uid="{00000000-0005-0000-0000-0000B32B0000}"/>
    <cellStyle name="Currency 169" xfId="5447" xr:uid="{00000000-0005-0000-0000-0000B42B0000}"/>
    <cellStyle name="Currency 17" xfId="3018" xr:uid="{00000000-0005-0000-0000-0000B52B0000}"/>
    <cellStyle name="Currency 17 2" xfId="3019" xr:uid="{00000000-0005-0000-0000-0000B62B0000}"/>
    <cellStyle name="Currency 17 3" xfId="3020" xr:uid="{00000000-0005-0000-0000-0000B72B0000}"/>
    <cellStyle name="Currency 170" xfId="5403" xr:uid="{00000000-0005-0000-0000-0000B82B0000}"/>
    <cellStyle name="Currency 171" xfId="5443" xr:uid="{00000000-0005-0000-0000-0000B92B0000}"/>
    <cellStyle name="Currency 172" xfId="5434" xr:uid="{00000000-0005-0000-0000-0000BA2B0000}"/>
    <cellStyle name="Currency 173" xfId="5408" xr:uid="{00000000-0005-0000-0000-0000BB2B0000}"/>
    <cellStyle name="Currency 174" xfId="5430" xr:uid="{00000000-0005-0000-0000-0000BC2B0000}"/>
    <cellStyle name="Currency 175" xfId="5415" xr:uid="{00000000-0005-0000-0000-0000BD2B0000}"/>
    <cellStyle name="Currency 176" xfId="5411" xr:uid="{00000000-0005-0000-0000-0000BE2B0000}"/>
    <cellStyle name="Currency 177" xfId="5427" xr:uid="{00000000-0005-0000-0000-0000BF2B0000}"/>
    <cellStyle name="Currency 178" xfId="5414" xr:uid="{00000000-0005-0000-0000-0000C02B0000}"/>
    <cellStyle name="Currency 179" xfId="4621" xr:uid="{00000000-0005-0000-0000-0000C12B0000}"/>
    <cellStyle name="Currency 179 2" xfId="6246" xr:uid="{00000000-0005-0000-0000-0000C22B0000}"/>
    <cellStyle name="Currency 179 2 2" xfId="9332" xr:uid="{00000000-0005-0000-0000-0000C32B0000}"/>
    <cellStyle name="Currency 179 2 2 2" xfId="15525" xr:uid="{00000000-0005-0000-0000-0000C42B0000}"/>
    <cellStyle name="Currency 179 2 2 2 2" xfId="35445" xr:uid="{00000000-0005-0000-0000-0000C52B0000}"/>
    <cellStyle name="Currency 179 2 2 3" xfId="21677" xr:uid="{00000000-0005-0000-0000-0000C62B0000}"/>
    <cellStyle name="Currency 179 2 2 3 2" xfId="41597" xr:uid="{00000000-0005-0000-0000-0000C72B0000}"/>
    <cellStyle name="Currency 179 2 2 4" xfId="29292" xr:uid="{00000000-0005-0000-0000-0000C82B0000}"/>
    <cellStyle name="Currency 179 2 3" xfId="12459" xr:uid="{00000000-0005-0000-0000-0000C92B0000}"/>
    <cellStyle name="Currency 179 2 3 2" xfId="32379" xr:uid="{00000000-0005-0000-0000-0000CA2B0000}"/>
    <cellStyle name="Currency 179 2 4" xfId="18611" xr:uid="{00000000-0005-0000-0000-0000CB2B0000}"/>
    <cellStyle name="Currency 179 2 4 2" xfId="38531" xr:uid="{00000000-0005-0000-0000-0000CC2B0000}"/>
    <cellStyle name="Currency 179 2 5" xfId="26226" xr:uid="{00000000-0005-0000-0000-0000CD2B0000}"/>
    <cellStyle name="Currency 179 3" xfId="7797" xr:uid="{00000000-0005-0000-0000-0000CE2B0000}"/>
    <cellStyle name="Currency 179 3 2" xfId="13991" xr:uid="{00000000-0005-0000-0000-0000CF2B0000}"/>
    <cellStyle name="Currency 179 3 2 2" xfId="33911" xr:uid="{00000000-0005-0000-0000-0000D02B0000}"/>
    <cellStyle name="Currency 179 3 3" xfId="20143" xr:uid="{00000000-0005-0000-0000-0000D12B0000}"/>
    <cellStyle name="Currency 179 3 3 2" xfId="40063" xr:uid="{00000000-0005-0000-0000-0000D22B0000}"/>
    <cellStyle name="Currency 179 3 4" xfId="27758" xr:uid="{00000000-0005-0000-0000-0000D32B0000}"/>
    <cellStyle name="Currency 179 4" xfId="10925" xr:uid="{00000000-0005-0000-0000-0000D42B0000}"/>
    <cellStyle name="Currency 179 4 2" xfId="30845" xr:uid="{00000000-0005-0000-0000-0000D52B0000}"/>
    <cellStyle name="Currency 179 5" xfId="17077" xr:uid="{00000000-0005-0000-0000-0000D62B0000}"/>
    <cellStyle name="Currency 179 5 2" xfId="36997" xr:uid="{00000000-0005-0000-0000-0000D72B0000}"/>
    <cellStyle name="Currency 179 6" xfId="24692" xr:uid="{00000000-0005-0000-0000-0000D82B0000}"/>
    <cellStyle name="Currency 18" xfId="3021" xr:uid="{00000000-0005-0000-0000-0000D92B0000}"/>
    <cellStyle name="Currency 18 2" xfId="3022" xr:uid="{00000000-0005-0000-0000-0000DA2B0000}"/>
    <cellStyle name="Currency 18 3" xfId="3023" xr:uid="{00000000-0005-0000-0000-0000DB2B0000}"/>
    <cellStyle name="Currency 180" xfId="7026" xr:uid="{00000000-0005-0000-0000-0000DC2B0000}"/>
    <cellStyle name="Currency 181" xfId="10097" xr:uid="{00000000-0005-0000-0000-0000DD2B0000}"/>
    <cellStyle name="Currency 182" xfId="10101" xr:uid="{00000000-0005-0000-0000-0000DE2B0000}"/>
    <cellStyle name="Currency 183" xfId="10154" xr:uid="{00000000-0005-0000-0000-0000DF2B0000}"/>
    <cellStyle name="Currency 184" xfId="1062" xr:uid="{00000000-0005-0000-0000-0000E02B0000}"/>
    <cellStyle name="Currency 185" xfId="1070" xr:uid="{00000000-0005-0000-0000-0000E12B0000}"/>
    <cellStyle name="Currency 186" xfId="22467" xr:uid="{00000000-0005-0000-0000-0000E22B0000}"/>
    <cellStyle name="Currency 187" xfId="22462" xr:uid="{00000000-0005-0000-0000-0000E32B0000}"/>
    <cellStyle name="Currency 188" xfId="22470" xr:uid="{00000000-0005-0000-0000-0000E42B0000}"/>
    <cellStyle name="Currency 189" xfId="23321" xr:uid="{00000000-0005-0000-0000-0000E52B0000}"/>
    <cellStyle name="Currency 19" xfId="3024" xr:uid="{00000000-0005-0000-0000-0000E62B0000}"/>
    <cellStyle name="Currency 19 2" xfId="3025" xr:uid="{00000000-0005-0000-0000-0000E72B0000}"/>
    <cellStyle name="Currency 19 3" xfId="3026" xr:uid="{00000000-0005-0000-0000-0000E82B0000}"/>
    <cellStyle name="Currency 2" xfId="8" xr:uid="{00000000-0005-0000-0000-0000E92B0000}"/>
    <cellStyle name="Currency 2 10" xfId="212" xr:uid="{00000000-0005-0000-0000-0000EA2B0000}"/>
    <cellStyle name="Currency 2 10 2" xfId="4527" xr:uid="{00000000-0005-0000-0000-0000EB2B0000}"/>
    <cellStyle name="Currency 2 10 3" xfId="3028" xr:uid="{00000000-0005-0000-0000-0000EC2B0000}"/>
    <cellStyle name="Currency 2 11" xfId="206" xr:uid="{00000000-0005-0000-0000-0000ED2B0000}"/>
    <cellStyle name="Currency 2 11 2" xfId="4528" xr:uid="{00000000-0005-0000-0000-0000EE2B0000}"/>
    <cellStyle name="Currency 2 11 3" xfId="3029" xr:uid="{00000000-0005-0000-0000-0000EF2B0000}"/>
    <cellStyle name="Currency 2 12" xfId="232" xr:uid="{00000000-0005-0000-0000-0000F02B0000}"/>
    <cellStyle name="Currency 2 12 2" xfId="4529" xr:uid="{00000000-0005-0000-0000-0000F12B0000}"/>
    <cellStyle name="Currency 2 12 3" xfId="3030" xr:uid="{00000000-0005-0000-0000-0000F22B0000}"/>
    <cellStyle name="Currency 2 13" xfId="247" xr:uid="{00000000-0005-0000-0000-0000F32B0000}"/>
    <cellStyle name="Currency 2 13 2" xfId="4530" xr:uid="{00000000-0005-0000-0000-0000F42B0000}"/>
    <cellStyle name="Currency 2 13 3" xfId="3031" xr:uid="{00000000-0005-0000-0000-0000F52B0000}"/>
    <cellStyle name="Currency 2 14" xfId="262" xr:uid="{00000000-0005-0000-0000-0000F62B0000}"/>
    <cellStyle name="Currency 2 14 2" xfId="4531" xr:uid="{00000000-0005-0000-0000-0000F72B0000}"/>
    <cellStyle name="Currency 2 14 3" xfId="3032" xr:uid="{00000000-0005-0000-0000-0000F82B0000}"/>
    <cellStyle name="Currency 2 15" xfId="278" xr:uid="{00000000-0005-0000-0000-0000F92B0000}"/>
    <cellStyle name="Currency 2 15 2" xfId="4532" xr:uid="{00000000-0005-0000-0000-0000FA2B0000}"/>
    <cellStyle name="Currency 2 15 3" xfId="3033" xr:uid="{00000000-0005-0000-0000-0000FB2B0000}"/>
    <cellStyle name="Currency 2 16" xfId="316" xr:uid="{00000000-0005-0000-0000-0000FC2B0000}"/>
    <cellStyle name="Currency 2 16 2" xfId="4533" xr:uid="{00000000-0005-0000-0000-0000FD2B0000}"/>
    <cellStyle name="Currency 2 16 3" xfId="3034" xr:uid="{00000000-0005-0000-0000-0000FE2B0000}"/>
    <cellStyle name="Currency 2 17" xfId="337" xr:uid="{00000000-0005-0000-0000-0000FF2B0000}"/>
    <cellStyle name="Currency 2 17 2" xfId="4534" xr:uid="{00000000-0005-0000-0000-0000002C0000}"/>
    <cellStyle name="Currency 2 17 3" xfId="3035" xr:uid="{00000000-0005-0000-0000-0000012C0000}"/>
    <cellStyle name="Currency 2 18" xfId="351" xr:uid="{00000000-0005-0000-0000-0000022C0000}"/>
    <cellStyle name="Currency 2 18 2" xfId="4535" xr:uid="{00000000-0005-0000-0000-0000032C0000}"/>
    <cellStyle name="Currency 2 18 3" xfId="3036" xr:uid="{00000000-0005-0000-0000-0000042C0000}"/>
    <cellStyle name="Currency 2 19" xfId="365" xr:uid="{00000000-0005-0000-0000-0000052C0000}"/>
    <cellStyle name="Currency 2 19 2" xfId="4536" xr:uid="{00000000-0005-0000-0000-0000062C0000}"/>
    <cellStyle name="Currency 2 19 3" xfId="3037" xr:uid="{00000000-0005-0000-0000-0000072C0000}"/>
    <cellStyle name="Currency 2 2" xfId="16" xr:uid="{00000000-0005-0000-0000-0000082C0000}"/>
    <cellStyle name="Currency 2 2 10" xfId="3039" xr:uid="{00000000-0005-0000-0000-0000092C0000}"/>
    <cellStyle name="Currency 2 2 10 2" xfId="4779" xr:uid="{00000000-0005-0000-0000-00000A2C0000}"/>
    <cellStyle name="Currency 2 2 10 2 2" xfId="6404" xr:uid="{00000000-0005-0000-0000-00000B2C0000}"/>
    <cellStyle name="Currency 2 2 10 2 2 2" xfId="9490" xr:uid="{00000000-0005-0000-0000-00000C2C0000}"/>
    <cellStyle name="Currency 2 2 10 2 2 2 2" xfId="15683" xr:uid="{00000000-0005-0000-0000-00000D2C0000}"/>
    <cellStyle name="Currency 2 2 10 2 2 2 2 2" xfId="35603" xr:uid="{00000000-0005-0000-0000-00000E2C0000}"/>
    <cellStyle name="Currency 2 2 10 2 2 2 3" xfId="21835" xr:uid="{00000000-0005-0000-0000-00000F2C0000}"/>
    <cellStyle name="Currency 2 2 10 2 2 2 3 2" xfId="41755" xr:uid="{00000000-0005-0000-0000-0000102C0000}"/>
    <cellStyle name="Currency 2 2 10 2 2 2 4" xfId="29450" xr:uid="{00000000-0005-0000-0000-0000112C0000}"/>
    <cellStyle name="Currency 2 2 10 2 2 3" xfId="12617" xr:uid="{00000000-0005-0000-0000-0000122C0000}"/>
    <cellStyle name="Currency 2 2 10 2 2 3 2" xfId="32537" xr:uid="{00000000-0005-0000-0000-0000132C0000}"/>
    <cellStyle name="Currency 2 2 10 2 2 4" xfId="18769" xr:uid="{00000000-0005-0000-0000-0000142C0000}"/>
    <cellStyle name="Currency 2 2 10 2 2 4 2" xfId="38689" xr:uid="{00000000-0005-0000-0000-0000152C0000}"/>
    <cellStyle name="Currency 2 2 10 2 2 5" xfId="26384" xr:uid="{00000000-0005-0000-0000-0000162C0000}"/>
    <cellStyle name="Currency 2 2 10 2 3" xfId="7955" xr:uid="{00000000-0005-0000-0000-0000172C0000}"/>
    <cellStyle name="Currency 2 2 10 2 3 2" xfId="14149" xr:uid="{00000000-0005-0000-0000-0000182C0000}"/>
    <cellStyle name="Currency 2 2 10 2 3 2 2" xfId="34069" xr:uid="{00000000-0005-0000-0000-0000192C0000}"/>
    <cellStyle name="Currency 2 2 10 2 3 3" xfId="20301" xr:uid="{00000000-0005-0000-0000-00001A2C0000}"/>
    <cellStyle name="Currency 2 2 10 2 3 3 2" xfId="40221" xr:uid="{00000000-0005-0000-0000-00001B2C0000}"/>
    <cellStyle name="Currency 2 2 10 2 3 4" xfId="27916" xr:uid="{00000000-0005-0000-0000-00001C2C0000}"/>
    <cellStyle name="Currency 2 2 10 2 4" xfId="11083" xr:uid="{00000000-0005-0000-0000-00001D2C0000}"/>
    <cellStyle name="Currency 2 2 10 2 4 2" xfId="31003" xr:uid="{00000000-0005-0000-0000-00001E2C0000}"/>
    <cellStyle name="Currency 2 2 10 2 5" xfId="17235" xr:uid="{00000000-0005-0000-0000-00001F2C0000}"/>
    <cellStyle name="Currency 2 2 10 2 5 2" xfId="37155" xr:uid="{00000000-0005-0000-0000-0000202C0000}"/>
    <cellStyle name="Currency 2 2 10 2 6" xfId="24850" xr:uid="{00000000-0005-0000-0000-0000212C0000}"/>
    <cellStyle name="Currency 2 2 10 3" xfId="5620" xr:uid="{00000000-0005-0000-0000-0000222C0000}"/>
    <cellStyle name="Currency 2 2 10 3 2" xfId="8721" xr:uid="{00000000-0005-0000-0000-0000232C0000}"/>
    <cellStyle name="Currency 2 2 10 3 2 2" xfId="14914" xr:uid="{00000000-0005-0000-0000-0000242C0000}"/>
    <cellStyle name="Currency 2 2 10 3 2 2 2" xfId="34834" xr:uid="{00000000-0005-0000-0000-0000252C0000}"/>
    <cellStyle name="Currency 2 2 10 3 2 3" xfId="21066" xr:uid="{00000000-0005-0000-0000-0000262C0000}"/>
    <cellStyle name="Currency 2 2 10 3 2 3 2" xfId="40986" xr:uid="{00000000-0005-0000-0000-0000272C0000}"/>
    <cellStyle name="Currency 2 2 10 3 2 4" xfId="28681" xr:uid="{00000000-0005-0000-0000-0000282C0000}"/>
    <cellStyle name="Currency 2 2 10 3 3" xfId="11848" xr:uid="{00000000-0005-0000-0000-0000292C0000}"/>
    <cellStyle name="Currency 2 2 10 3 3 2" xfId="31768" xr:uid="{00000000-0005-0000-0000-00002A2C0000}"/>
    <cellStyle name="Currency 2 2 10 3 4" xfId="18000" xr:uid="{00000000-0005-0000-0000-00002B2C0000}"/>
    <cellStyle name="Currency 2 2 10 3 4 2" xfId="37920" xr:uid="{00000000-0005-0000-0000-00002C2C0000}"/>
    <cellStyle name="Currency 2 2 10 3 5" xfId="25615" xr:uid="{00000000-0005-0000-0000-00002D2C0000}"/>
    <cellStyle name="Currency 2 2 10 4" xfId="7186" xr:uid="{00000000-0005-0000-0000-00002E2C0000}"/>
    <cellStyle name="Currency 2 2 10 4 2" xfId="13380" xr:uid="{00000000-0005-0000-0000-00002F2C0000}"/>
    <cellStyle name="Currency 2 2 10 4 2 2" xfId="33300" xr:uid="{00000000-0005-0000-0000-0000302C0000}"/>
    <cellStyle name="Currency 2 2 10 4 3" xfId="19532" xr:uid="{00000000-0005-0000-0000-0000312C0000}"/>
    <cellStyle name="Currency 2 2 10 4 3 2" xfId="39452" xr:uid="{00000000-0005-0000-0000-0000322C0000}"/>
    <cellStyle name="Currency 2 2 10 4 4" xfId="27147" xr:uid="{00000000-0005-0000-0000-0000332C0000}"/>
    <cellStyle name="Currency 2 2 10 5" xfId="10314" xr:uid="{00000000-0005-0000-0000-0000342C0000}"/>
    <cellStyle name="Currency 2 2 10 5 2" xfId="30234" xr:uid="{00000000-0005-0000-0000-0000352C0000}"/>
    <cellStyle name="Currency 2 2 10 6" xfId="16466" xr:uid="{00000000-0005-0000-0000-0000362C0000}"/>
    <cellStyle name="Currency 2 2 10 6 2" xfId="36386" xr:uid="{00000000-0005-0000-0000-0000372C0000}"/>
    <cellStyle name="Currency 2 2 10 7" xfId="24081" xr:uid="{00000000-0005-0000-0000-0000382C0000}"/>
    <cellStyle name="Currency 2 2 11" xfId="3040" xr:uid="{00000000-0005-0000-0000-0000392C0000}"/>
    <cellStyle name="Currency 2 2 11 2" xfId="4780" xr:uid="{00000000-0005-0000-0000-00003A2C0000}"/>
    <cellStyle name="Currency 2 2 11 2 2" xfId="6405" xr:uid="{00000000-0005-0000-0000-00003B2C0000}"/>
    <cellStyle name="Currency 2 2 11 2 2 2" xfId="9491" xr:uid="{00000000-0005-0000-0000-00003C2C0000}"/>
    <cellStyle name="Currency 2 2 11 2 2 2 2" xfId="15684" xr:uid="{00000000-0005-0000-0000-00003D2C0000}"/>
    <cellStyle name="Currency 2 2 11 2 2 2 2 2" xfId="35604" xr:uid="{00000000-0005-0000-0000-00003E2C0000}"/>
    <cellStyle name="Currency 2 2 11 2 2 2 3" xfId="21836" xr:uid="{00000000-0005-0000-0000-00003F2C0000}"/>
    <cellStyle name="Currency 2 2 11 2 2 2 3 2" xfId="41756" xr:uid="{00000000-0005-0000-0000-0000402C0000}"/>
    <cellStyle name="Currency 2 2 11 2 2 2 4" xfId="29451" xr:uid="{00000000-0005-0000-0000-0000412C0000}"/>
    <cellStyle name="Currency 2 2 11 2 2 3" xfId="12618" xr:uid="{00000000-0005-0000-0000-0000422C0000}"/>
    <cellStyle name="Currency 2 2 11 2 2 3 2" xfId="32538" xr:uid="{00000000-0005-0000-0000-0000432C0000}"/>
    <cellStyle name="Currency 2 2 11 2 2 4" xfId="18770" xr:uid="{00000000-0005-0000-0000-0000442C0000}"/>
    <cellStyle name="Currency 2 2 11 2 2 4 2" xfId="38690" xr:uid="{00000000-0005-0000-0000-0000452C0000}"/>
    <cellStyle name="Currency 2 2 11 2 2 5" xfId="26385" xr:uid="{00000000-0005-0000-0000-0000462C0000}"/>
    <cellStyle name="Currency 2 2 11 2 3" xfId="7956" xr:uid="{00000000-0005-0000-0000-0000472C0000}"/>
    <cellStyle name="Currency 2 2 11 2 3 2" xfId="14150" xr:uid="{00000000-0005-0000-0000-0000482C0000}"/>
    <cellStyle name="Currency 2 2 11 2 3 2 2" xfId="34070" xr:uid="{00000000-0005-0000-0000-0000492C0000}"/>
    <cellStyle name="Currency 2 2 11 2 3 3" xfId="20302" xr:uid="{00000000-0005-0000-0000-00004A2C0000}"/>
    <cellStyle name="Currency 2 2 11 2 3 3 2" xfId="40222" xr:uid="{00000000-0005-0000-0000-00004B2C0000}"/>
    <cellStyle name="Currency 2 2 11 2 3 4" xfId="27917" xr:uid="{00000000-0005-0000-0000-00004C2C0000}"/>
    <cellStyle name="Currency 2 2 11 2 4" xfId="11084" xr:uid="{00000000-0005-0000-0000-00004D2C0000}"/>
    <cellStyle name="Currency 2 2 11 2 4 2" xfId="31004" xr:uid="{00000000-0005-0000-0000-00004E2C0000}"/>
    <cellStyle name="Currency 2 2 11 2 5" xfId="17236" xr:uid="{00000000-0005-0000-0000-00004F2C0000}"/>
    <cellStyle name="Currency 2 2 11 2 5 2" xfId="37156" xr:uid="{00000000-0005-0000-0000-0000502C0000}"/>
    <cellStyle name="Currency 2 2 11 2 6" xfId="24851" xr:uid="{00000000-0005-0000-0000-0000512C0000}"/>
    <cellStyle name="Currency 2 2 11 3" xfId="5621" xr:uid="{00000000-0005-0000-0000-0000522C0000}"/>
    <cellStyle name="Currency 2 2 11 3 2" xfId="8722" xr:uid="{00000000-0005-0000-0000-0000532C0000}"/>
    <cellStyle name="Currency 2 2 11 3 2 2" xfId="14915" xr:uid="{00000000-0005-0000-0000-0000542C0000}"/>
    <cellStyle name="Currency 2 2 11 3 2 2 2" xfId="34835" xr:uid="{00000000-0005-0000-0000-0000552C0000}"/>
    <cellStyle name="Currency 2 2 11 3 2 3" xfId="21067" xr:uid="{00000000-0005-0000-0000-0000562C0000}"/>
    <cellStyle name="Currency 2 2 11 3 2 3 2" xfId="40987" xr:uid="{00000000-0005-0000-0000-0000572C0000}"/>
    <cellStyle name="Currency 2 2 11 3 2 4" xfId="28682" xr:uid="{00000000-0005-0000-0000-0000582C0000}"/>
    <cellStyle name="Currency 2 2 11 3 3" xfId="11849" xr:uid="{00000000-0005-0000-0000-0000592C0000}"/>
    <cellStyle name="Currency 2 2 11 3 3 2" xfId="31769" xr:uid="{00000000-0005-0000-0000-00005A2C0000}"/>
    <cellStyle name="Currency 2 2 11 3 4" xfId="18001" xr:uid="{00000000-0005-0000-0000-00005B2C0000}"/>
    <cellStyle name="Currency 2 2 11 3 4 2" xfId="37921" xr:uid="{00000000-0005-0000-0000-00005C2C0000}"/>
    <cellStyle name="Currency 2 2 11 3 5" xfId="25616" xr:uid="{00000000-0005-0000-0000-00005D2C0000}"/>
    <cellStyle name="Currency 2 2 11 4" xfId="7187" xr:uid="{00000000-0005-0000-0000-00005E2C0000}"/>
    <cellStyle name="Currency 2 2 11 4 2" xfId="13381" xr:uid="{00000000-0005-0000-0000-00005F2C0000}"/>
    <cellStyle name="Currency 2 2 11 4 2 2" xfId="33301" xr:uid="{00000000-0005-0000-0000-0000602C0000}"/>
    <cellStyle name="Currency 2 2 11 4 3" xfId="19533" xr:uid="{00000000-0005-0000-0000-0000612C0000}"/>
    <cellStyle name="Currency 2 2 11 4 3 2" xfId="39453" xr:uid="{00000000-0005-0000-0000-0000622C0000}"/>
    <cellStyle name="Currency 2 2 11 4 4" xfId="27148" xr:uid="{00000000-0005-0000-0000-0000632C0000}"/>
    <cellStyle name="Currency 2 2 11 5" xfId="10315" xr:uid="{00000000-0005-0000-0000-0000642C0000}"/>
    <cellStyle name="Currency 2 2 11 5 2" xfId="30235" xr:uid="{00000000-0005-0000-0000-0000652C0000}"/>
    <cellStyle name="Currency 2 2 11 6" xfId="16467" xr:uid="{00000000-0005-0000-0000-0000662C0000}"/>
    <cellStyle name="Currency 2 2 11 6 2" xfId="36387" xr:uid="{00000000-0005-0000-0000-0000672C0000}"/>
    <cellStyle name="Currency 2 2 11 7" xfId="24082" xr:uid="{00000000-0005-0000-0000-0000682C0000}"/>
    <cellStyle name="Currency 2 2 12" xfId="3041" xr:uid="{00000000-0005-0000-0000-0000692C0000}"/>
    <cellStyle name="Currency 2 2 12 2" xfId="4781" xr:uid="{00000000-0005-0000-0000-00006A2C0000}"/>
    <cellStyle name="Currency 2 2 12 2 2" xfId="6406" xr:uid="{00000000-0005-0000-0000-00006B2C0000}"/>
    <cellStyle name="Currency 2 2 12 2 2 2" xfId="9492" xr:uid="{00000000-0005-0000-0000-00006C2C0000}"/>
    <cellStyle name="Currency 2 2 12 2 2 2 2" xfId="15685" xr:uid="{00000000-0005-0000-0000-00006D2C0000}"/>
    <cellStyle name="Currency 2 2 12 2 2 2 2 2" xfId="35605" xr:uid="{00000000-0005-0000-0000-00006E2C0000}"/>
    <cellStyle name="Currency 2 2 12 2 2 2 3" xfId="21837" xr:uid="{00000000-0005-0000-0000-00006F2C0000}"/>
    <cellStyle name="Currency 2 2 12 2 2 2 3 2" xfId="41757" xr:uid="{00000000-0005-0000-0000-0000702C0000}"/>
    <cellStyle name="Currency 2 2 12 2 2 2 4" xfId="29452" xr:uid="{00000000-0005-0000-0000-0000712C0000}"/>
    <cellStyle name="Currency 2 2 12 2 2 3" xfId="12619" xr:uid="{00000000-0005-0000-0000-0000722C0000}"/>
    <cellStyle name="Currency 2 2 12 2 2 3 2" xfId="32539" xr:uid="{00000000-0005-0000-0000-0000732C0000}"/>
    <cellStyle name="Currency 2 2 12 2 2 4" xfId="18771" xr:uid="{00000000-0005-0000-0000-0000742C0000}"/>
    <cellStyle name="Currency 2 2 12 2 2 4 2" xfId="38691" xr:uid="{00000000-0005-0000-0000-0000752C0000}"/>
    <cellStyle name="Currency 2 2 12 2 2 5" xfId="26386" xr:uid="{00000000-0005-0000-0000-0000762C0000}"/>
    <cellStyle name="Currency 2 2 12 2 3" xfId="7957" xr:uid="{00000000-0005-0000-0000-0000772C0000}"/>
    <cellStyle name="Currency 2 2 12 2 3 2" xfId="14151" xr:uid="{00000000-0005-0000-0000-0000782C0000}"/>
    <cellStyle name="Currency 2 2 12 2 3 2 2" xfId="34071" xr:uid="{00000000-0005-0000-0000-0000792C0000}"/>
    <cellStyle name="Currency 2 2 12 2 3 3" xfId="20303" xr:uid="{00000000-0005-0000-0000-00007A2C0000}"/>
    <cellStyle name="Currency 2 2 12 2 3 3 2" xfId="40223" xr:uid="{00000000-0005-0000-0000-00007B2C0000}"/>
    <cellStyle name="Currency 2 2 12 2 3 4" xfId="27918" xr:uid="{00000000-0005-0000-0000-00007C2C0000}"/>
    <cellStyle name="Currency 2 2 12 2 4" xfId="11085" xr:uid="{00000000-0005-0000-0000-00007D2C0000}"/>
    <cellStyle name="Currency 2 2 12 2 4 2" xfId="31005" xr:uid="{00000000-0005-0000-0000-00007E2C0000}"/>
    <cellStyle name="Currency 2 2 12 2 5" xfId="17237" xr:uid="{00000000-0005-0000-0000-00007F2C0000}"/>
    <cellStyle name="Currency 2 2 12 2 5 2" xfId="37157" xr:uid="{00000000-0005-0000-0000-0000802C0000}"/>
    <cellStyle name="Currency 2 2 12 2 6" xfId="24852" xr:uid="{00000000-0005-0000-0000-0000812C0000}"/>
    <cellStyle name="Currency 2 2 12 3" xfId="5622" xr:uid="{00000000-0005-0000-0000-0000822C0000}"/>
    <cellStyle name="Currency 2 2 12 3 2" xfId="8723" xr:uid="{00000000-0005-0000-0000-0000832C0000}"/>
    <cellStyle name="Currency 2 2 12 3 2 2" xfId="14916" xr:uid="{00000000-0005-0000-0000-0000842C0000}"/>
    <cellStyle name="Currency 2 2 12 3 2 2 2" xfId="34836" xr:uid="{00000000-0005-0000-0000-0000852C0000}"/>
    <cellStyle name="Currency 2 2 12 3 2 3" xfId="21068" xr:uid="{00000000-0005-0000-0000-0000862C0000}"/>
    <cellStyle name="Currency 2 2 12 3 2 3 2" xfId="40988" xr:uid="{00000000-0005-0000-0000-0000872C0000}"/>
    <cellStyle name="Currency 2 2 12 3 2 4" xfId="28683" xr:uid="{00000000-0005-0000-0000-0000882C0000}"/>
    <cellStyle name="Currency 2 2 12 3 3" xfId="11850" xr:uid="{00000000-0005-0000-0000-0000892C0000}"/>
    <cellStyle name="Currency 2 2 12 3 3 2" xfId="31770" xr:uid="{00000000-0005-0000-0000-00008A2C0000}"/>
    <cellStyle name="Currency 2 2 12 3 4" xfId="18002" xr:uid="{00000000-0005-0000-0000-00008B2C0000}"/>
    <cellStyle name="Currency 2 2 12 3 4 2" xfId="37922" xr:uid="{00000000-0005-0000-0000-00008C2C0000}"/>
    <cellStyle name="Currency 2 2 12 3 5" xfId="25617" xr:uid="{00000000-0005-0000-0000-00008D2C0000}"/>
    <cellStyle name="Currency 2 2 12 4" xfId="7188" xr:uid="{00000000-0005-0000-0000-00008E2C0000}"/>
    <cellStyle name="Currency 2 2 12 4 2" xfId="13382" xr:uid="{00000000-0005-0000-0000-00008F2C0000}"/>
    <cellStyle name="Currency 2 2 12 4 2 2" xfId="33302" xr:uid="{00000000-0005-0000-0000-0000902C0000}"/>
    <cellStyle name="Currency 2 2 12 4 3" xfId="19534" xr:uid="{00000000-0005-0000-0000-0000912C0000}"/>
    <cellStyle name="Currency 2 2 12 4 3 2" xfId="39454" xr:uid="{00000000-0005-0000-0000-0000922C0000}"/>
    <cellStyle name="Currency 2 2 12 4 4" xfId="27149" xr:uid="{00000000-0005-0000-0000-0000932C0000}"/>
    <cellStyle name="Currency 2 2 12 5" xfId="10316" xr:uid="{00000000-0005-0000-0000-0000942C0000}"/>
    <cellStyle name="Currency 2 2 12 5 2" xfId="30236" xr:uid="{00000000-0005-0000-0000-0000952C0000}"/>
    <cellStyle name="Currency 2 2 12 6" xfId="16468" xr:uid="{00000000-0005-0000-0000-0000962C0000}"/>
    <cellStyle name="Currency 2 2 12 6 2" xfId="36388" xr:uid="{00000000-0005-0000-0000-0000972C0000}"/>
    <cellStyle name="Currency 2 2 12 7" xfId="24083" xr:uid="{00000000-0005-0000-0000-0000982C0000}"/>
    <cellStyle name="Currency 2 2 13" xfId="3042" xr:uid="{00000000-0005-0000-0000-0000992C0000}"/>
    <cellStyle name="Currency 2 2 13 2" xfId="4782" xr:uid="{00000000-0005-0000-0000-00009A2C0000}"/>
    <cellStyle name="Currency 2 2 13 2 2" xfId="6407" xr:uid="{00000000-0005-0000-0000-00009B2C0000}"/>
    <cellStyle name="Currency 2 2 13 2 2 2" xfId="9493" xr:uid="{00000000-0005-0000-0000-00009C2C0000}"/>
    <cellStyle name="Currency 2 2 13 2 2 2 2" xfId="15686" xr:uid="{00000000-0005-0000-0000-00009D2C0000}"/>
    <cellStyle name="Currency 2 2 13 2 2 2 2 2" xfId="35606" xr:uid="{00000000-0005-0000-0000-00009E2C0000}"/>
    <cellStyle name="Currency 2 2 13 2 2 2 3" xfId="21838" xr:uid="{00000000-0005-0000-0000-00009F2C0000}"/>
    <cellStyle name="Currency 2 2 13 2 2 2 3 2" xfId="41758" xr:uid="{00000000-0005-0000-0000-0000A02C0000}"/>
    <cellStyle name="Currency 2 2 13 2 2 2 4" xfId="29453" xr:uid="{00000000-0005-0000-0000-0000A12C0000}"/>
    <cellStyle name="Currency 2 2 13 2 2 3" xfId="12620" xr:uid="{00000000-0005-0000-0000-0000A22C0000}"/>
    <cellStyle name="Currency 2 2 13 2 2 3 2" xfId="32540" xr:uid="{00000000-0005-0000-0000-0000A32C0000}"/>
    <cellStyle name="Currency 2 2 13 2 2 4" xfId="18772" xr:uid="{00000000-0005-0000-0000-0000A42C0000}"/>
    <cellStyle name="Currency 2 2 13 2 2 4 2" xfId="38692" xr:uid="{00000000-0005-0000-0000-0000A52C0000}"/>
    <cellStyle name="Currency 2 2 13 2 2 5" xfId="26387" xr:uid="{00000000-0005-0000-0000-0000A62C0000}"/>
    <cellStyle name="Currency 2 2 13 2 3" xfId="7958" xr:uid="{00000000-0005-0000-0000-0000A72C0000}"/>
    <cellStyle name="Currency 2 2 13 2 3 2" xfId="14152" xr:uid="{00000000-0005-0000-0000-0000A82C0000}"/>
    <cellStyle name="Currency 2 2 13 2 3 2 2" xfId="34072" xr:uid="{00000000-0005-0000-0000-0000A92C0000}"/>
    <cellStyle name="Currency 2 2 13 2 3 3" xfId="20304" xr:uid="{00000000-0005-0000-0000-0000AA2C0000}"/>
    <cellStyle name="Currency 2 2 13 2 3 3 2" xfId="40224" xr:uid="{00000000-0005-0000-0000-0000AB2C0000}"/>
    <cellStyle name="Currency 2 2 13 2 3 4" xfId="27919" xr:uid="{00000000-0005-0000-0000-0000AC2C0000}"/>
    <cellStyle name="Currency 2 2 13 2 4" xfId="11086" xr:uid="{00000000-0005-0000-0000-0000AD2C0000}"/>
    <cellStyle name="Currency 2 2 13 2 4 2" xfId="31006" xr:uid="{00000000-0005-0000-0000-0000AE2C0000}"/>
    <cellStyle name="Currency 2 2 13 2 5" xfId="17238" xr:uid="{00000000-0005-0000-0000-0000AF2C0000}"/>
    <cellStyle name="Currency 2 2 13 2 5 2" xfId="37158" xr:uid="{00000000-0005-0000-0000-0000B02C0000}"/>
    <cellStyle name="Currency 2 2 13 2 6" xfId="24853" xr:uid="{00000000-0005-0000-0000-0000B12C0000}"/>
    <cellStyle name="Currency 2 2 13 3" xfId="5623" xr:uid="{00000000-0005-0000-0000-0000B22C0000}"/>
    <cellStyle name="Currency 2 2 13 3 2" xfId="8724" xr:uid="{00000000-0005-0000-0000-0000B32C0000}"/>
    <cellStyle name="Currency 2 2 13 3 2 2" xfId="14917" xr:uid="{00000000-0005-0000-0000-0000B42C0000}"/>
    <cellStyle name="Currency 2 2 13 3 2 2 2" xfId="34837" xr:uid="{00000000-0005-0000-0000-0000B52C0000}"/>
    <cellStyle name="Currency 2 2 13 3 2 3" xfId="21069" xr:uid="{00000000-0005-0000-0000-0000B62C0000}"/>
    <cellStyle name="Currency 2 2 13 3 2 3 2" xfId="40989" xr:uid="{00000000-0005-0000-0000-0000B72C0000}"/>
    <cellStyle name="Currency 2 2 13 3 2 4" xfId="28684" xr:uid="{00000000-0005-0000-0000-0000B82C0000}"/>
    <cellStyle name="Currency 2 2 13 3 3" xfId="11851" xr:uid="{00000000-0005-0000-0000-0000B92C0000}"/>
    <cellStyle name="Currency 2 2 13 3 3 2" xfId="31771" xr:uid="{00000000-0005-0000-0000-0000BA2C0000}"/>
    <cellStyle name="Currency 2 2 13 3 4" xfId="18003" xr:uid="{00000000-0005-0000-0000-0000BB2C0000}"/>
    <cellStyle name="Currency 2 2 13 3 4 2" xfId="37923" xr:uid="{00000000-0005-0000-0000-0000BC2C0000}"/>
    <cellStyle name="Currency 2 2 13 3 5" xfId="25618" xr:uid="{00000000-0005-0000-0000-0000BD2C0000}"/>
    <cellStyle name="Currency 2 2 13 4" xfId="7189" xr:uid="{00000000-0005-0000-0000-0000BE2C0000}"/>
    <cellStyle name="Currency 2 2 13 4 2" xfId="13383" xr:uid="{00000000-0005-0000-0000-0000BF2C0000}"/>
    <cellStyle name="Currency 2 2 13 4 2 2" xfId="33303" xr:uid="{00000000-0005-0000-0000-0000C02C0000}"/>
    <cellStyle name="Currency 2 2 13 4 3" xfId="19535" xr:uid="{00000000-0005-0000-0000-0000C12C0000}"/>
    <cellStyle name="Currency 2 2 13 4 3 2" xfId="39455" xr:uid="{00000000-0005-0000-0000-0000C22C0000}"/>
    <cellStyle name="Currency 2 2 13 4 4" xfId="27150" xr:uid="{00000000-0005-0000-0000-0000C32C0000}"/>
    <cellStyle name="Currency 2 2 13 5" xfId="10317" xr:uid="{00000000-0005-0000-0000-0000C42C0000}"/>
    <cellStyle name="Currency 2 2 13 5 2" xfId="30237" xr:uid="{00000000-0005-0000-0000-0000C52C0000}"/>
    <cellStyle name="Currency 2 2 13 6" xfId="16469" xr:uid="{00000000-0005-0000-0000-0000C62C0000}"/>
    <cellStyle name="Currency 2 2 13 6 2" xfId="36389" xr:uid="{00000000-0005-0000-0000-0000C72C0000}"/>
    <cellStyle name="Currency 2 2 13 7" xfId="24084" xr:uid="{00000000-0005-0000-0000-0000C82C0000}"/>
    <cellStyle name="Currency 2 2 14" xfId="3043" xr:uid="{00000000-0005-0000-0000-0000C92C0000}"/>
    <cellStyle name="Currency 2 2 14 2" xfId="4783" xr:uid="{00000000-0005-0000-0000-0000CA2C0000}"/>
    <cellStyle name="Currency 2 2 14 2 2" xfId="6408" xr:uid="{00000000-0005-0000-0000-0000CB2C0000}"/>
    <cellStyle name="Currency 2 2 14 2 2 2" xfId="9494" xr:uid="{00000000-0005-0000-0000-0000CC2C0000}"/>
    <cellStyle name="Currency 2 2 14 2 2 2 2" xfId="15687" xr:uid="{00000000-0005-0000-0000-0000CD2C0000}"/>
    <cellStyle name="Currency 2 2 14 2 2 2 2 2" xfId="35607" xr:uid="{00000000-0005-0000-0000-0000CE2C0000}"/>
    <cellStyle name="Currency 2 2 14 2 2 2 3" xfId="21839" xr:uid="{00000000-0005-0000-0000-0000CF2C0000}"/>
    <cellStyle name="Currency 2 2 14 2 2 2 3 2" xfId="41759" xr:uid="{00000000-0005-0000-0000-0000D02C0000}"/>
    <cellStyle name="Currency 2 2 14 2 2 2 4" xfId="29454" xr:uid="{00000000-0005-0000-0000-0000D12C0000}"/>
    <cellStyle name="Currency 2 2 14 2 2 3" xfId="12621" xr:uid="{00000000-0005-0000-0000-0000D22C0000}"/>
    <cellStyle name="Currency 2 2 14 2 2 3 2" xfId="32541" xr:uid="{00000000-0005-0000-0000-0000D32C0000}"/>
    <cellStyle name="Currency 2 2 14 2 2 4" xfId="18773" xr:uid="{00000000-0005-0000-0000-0000D42C0000}"/>
    <cellStyle name="Currency 2 2 14 2 2 4 2" xfId="38693" xr:uid="{00000000-0005-0000-0000-0000D52C0000}"/>
    <cellStyle name="Currency 2 2 14 2 2 5" xfId="26388" xr:uid="{00000000-0005-0000-0000-0000D62C0000}"/>
    <cellStyle name="Currency 2 2 14 2 3" xfId="7959" xr:uid="{00000000-0005-0000-0000-0000D72C0000}"/>
    <cellStyle name="Currency 2 2 14 2 3 2" xfId="14153" xr:uid="{00000000-0005-0000-0000-0000D82C0000}"/>
    <cellStyle name="Currency 2 2 14 2 3 2 2" xfId="34073" xr:uid="{00000000-0005-0000-0000-0000D92C0000}"/>
    <cellStyle name="Currency 2 2 14 2 3 3" xfId="20305" xr:uid="{00000000-0005-0000-0000-0000DA2C0000}"/>
    <cellStyle name="Currency 2 2 14 2 3 3 2" xfId="40225" xr:uid="{00000000-0005-0000-0000-0000DB2C0000}"/>
    <cellStyle name="Currency 2 2 14 2 3 4" xfId="27920" xr:uid="{00000000-0005-0000-0000-0000DC2C0000}"/>
    <cellStyle name="Currency 2 2 14 2 4" xfId="11087" xr:uid="{00000000-0005-0000-0000-0000DD2C0000}"/>
    <cellStyle name="Currency 2 2 14 2 4 2" xfId="31007" xr:uid="{00000000-0005-0000-0000-0000DE2C0000}"/>
    <cellStyle name="Currency 2 2 14 2 5" xfId="17239" xr:uid="{00000000-0005-0000-0000-0000DF2C0000}"/>
    <cellStyle name="Currency 2 2 14 2 5 2" xfId="37159" xr:uid="{00000000-0005-0000-0000-0000E02C0000}"/>
    <cellStyle name="Currency 2 2 14 2 6" xfId="24854" xr:uid="{00000000-0005-0000-0000-0000E12C0000}"/>
    <cellStyle name="Currency 2 2 14 3" xfId="5624" xr:uid="{00000000-0005-0000-0000-0000E22C0000}"/>
    <cellStyle name="Currency 2 2 14 3 2" xfId="8725" xr:uid="{00000000-0005-0000-0000-0000E32C0000}"/>
    <cellStyle name="Currency 2 2 14 3 2 2" xfId="14918" xr:uid="{00000000-0005-0000-0000-0000E42C0000}"/>
    <cellStyle name="Currency 2 2 14 3 2 2 2" xfId="34838" xr:uid="{00000000-0005-0000-0000-0000E52C0000}"/>
    <cellStyle name="Currency 2 2 14 3 2 3" xfId="21070" xr:uid="{00000000-0005-0000-0000-0000E62C0000}"/>
    <cellStyle name="Currency 2 2 14 3 2 3 2" xfId="40990" xr:uid="{00000000-0005-0000-0000-0000E72C0000}"/>
    <cellStyle name="Currency 2 2 14 3 2 4" xfId="28685" xr:uid="{00000000-0005-0000-0000-0000E82C0000}"/>
    <cellStyle name="Currency 2 2 14 3 3" xfId="11852" xr:uid="{00000000-0005-0000-0000-0000E92C0000}"/>
    <cellStyle name="Currency 2 2 14 3 3 2" xfId="31772" xr:uid="{00000000-0005-0000-0000-0000EA2C0000}"/>
    <cellStyle name="Currency 2 2 14 3 4" xfId="18004" xr:uid="{00000000-0005-0000-0000-0000EB2C0000}"/>
    <cellStyle name="Currency 2 2 14 3 4 2" xfId="37924" xr:uid="{00000000-0005-0000-0000-0000EC2C0000}"/>
    <cellStyle name="Currency 2 2 14 3 5" xfId="25619" xr:uid="{00000000-0005-0000-0000-0000ED2C0000}"/>
    <cellStyle name="Currency 2 2 14 4" xfId="7190" xr:uid="{00000000-0005-0000-0000-0000EE2C0000}"/>
    <cellStyle name="Currency 2 2 14 4 2" xfId="13384" xr:uid="{00000000-0005-0000-0000-0000EF2C0000}"/>
    <cellStyle name="Currency 2 2 14 4 2 2" xfId="33304" xr:uid="{00000000-0005-0000-0000-0000F02C0000}"/>
    <cellStyle name="Currency 2 2 14 4 3" xfId="19536" xr:uid="{00000000-0005-0000-0000-0000F12C0000}"/>
    <cellStyle name="Currency 2 2 14 4 3 2" xfId="39456" xr:uid="{00000000-0005-0000-0000-0000F22C0000}"/>
    <cellStyle name="Currency 2 2 14 4 4" xfId="27151" xr:uid="{00000000-0005-0000-0000-0000F32C0000}"/>
    <cellStyle name="Currency 2 2 14 5" xfId="10318" xr:uid="{00000000-0005-0000-0000-0000F42C0000}"/>
    <cellStyle name="Currency 2 2 14 5 2" xfId="30238" xr:uid="{00000000-0005-0000-0000-0000F52C0000}"/>
    <cellStyle name="Currency 2 2 14 6" xfId="16470" xr:uid="{00000000-0005-0000-0000-0000F62C0000}"/>
    <cellStyle name="Currency 2 2 14 6 2" xfId="36390" xr:uid="{00000000-0005-0000-0000-0000F72C0000}"/>
    <cellStyle name="Currency 2 2 14 7" xfId="24085" xr:uid="{00000000-0005-0000-0000-0000F82C0000}"/>
    <cellStyle name="Currency 2 2 15" xfId="3044" xr:uid="{00000000-0005-0000-0000-0000F92C0000}"/>
    <cellStyle name="Currency 2 2 15 2" xfId="4784" xr:uid="{00000000-0005-0000-0000-0000FA2C0000}"/>
    <cellStyle name="Currency 2 2 15 2 2" xfId="6409" xr:uid="{00000000-0005-0000-0000-0000FB2C0000}"/>
    <cellStyle name="Currency 2 2 15 2 2 2" xfId="9495" xr:uid="{00000000-0005-0000-0000-0000FC2C0000}"/>
    <cellStyle name="Currency 2 2 15 2 2 2 2" xfId="15688" xr:uid="{00000000-0005-0000-0000-0000FD2C0000}"/>
    <cellStyle name="Currency 2 2 15 2 2 2 2 2" xfId="35608" xr:uid="{00000000-0005-0000-0000-0000FE2C0000}"/>
    <cellStyle name="Currency 2 2 15 2 2 2 3" xfId="21840" xr:uid="{00000000-0005-0000-0000-0000FF2C0000}"/>
    <cellStyle name="Currency 2 2 15 2 2 2 3 2" xfId="41760" xr:uid="{00000000-0005-0000-0000-0000002D0000}"/>
    <cellStyle name="Currency 2 2 15 2 2 2 4" xfId="29455" xr:uid="{00000000-0005-0000-0000-0000012D0000}"/>
    <cellStyle name="Currency 2 2 15 2 2 3" xfId="12622" xr:uid="{00000000-0005-0000-0000-0000022D0000}"/>
    <cellStyle name="Currency 2 2 15 2 2 3 2" xfId="32542" xr:uid="{00000000-0005-0000-0000-0000032D0000}"/>
    <cellStyle name="Currency 2 2 15 2 2 4" xfId="18774" xr:uid="{00000000-0005-0000-0000-0000042D0000}"/>
    <cellStyle name="Currency 2 2 15 2 2 4 2" xfId="38694" xr:uid="{00000000-0005-0000-0000-0000052D0000}"/>
    <cellStyle name="Currency 2 2 15 2 2 5" xfId="26389" xr:uid="{00000000-0005-0000-0000-0000062D0000}"/>
    <cellStyle name="Currency 2 2 15 2 3" xfId="7960" xr:uid="{00000000-0005-0000-0000-0000072D0000}"/>
    <cellStyle name="Currency 2 2 15 2 3 2" xfId="14154" xr:uid="{00000000-0005-0000-0000-0000082D0000}"/>
    <cellStyle name="Currency 2 2 15 2 3 2 2" xfId="34074" xr:uid="{00000000-0005-0000-0000-0000092D0000}"/>
    <cellStyle name="Currency 2 2 15 2 3 3" xfId="20306" xr:uid="{00000000-0005-0000-0000-00000A2D0000}"/>
    <cellStyle name="Currency 2 2 15 2 3 3 2" xfId="40226" xr:uid="{00000000-0005-0000-0000-00000B2D0000}"/>
    <cellStyle name="Currency 2 2 15 2 3 4" xfId="27921" xr:uid="{00000000-0005-0000-0000-00000C2D0000}"/>
    <cellStyle name="Currency 2 2 15 2 4" xfId="11088" xr:uid="{00000000-0005-0000-0000-00000D2D0000}"/>
    <cellStyle name="Currency 2 2 15 2 4 2" xfId="31008" xr:uid="{00000000-0005-0000-0000-00000E2D0000}"/>
    <cellStyle name="Currency 2 2 15 2 5" xfId="17240" xr:uid="{00000000-0005-0000-0000-00000F2D0000}"/>
    <cellStyle name="Currency 2 2 15 2 5 2" xfId="37160" xr:uid="{00000000-0005-0000-0000-0000102D0000}"/>
    <cellStyle name="Currency 2 2 15 2 6" xfId="24855" xr:uid="{00000000-0005-0000-0000-0000112D0000}"/>
    <cellStyle name="Currency 2 2 15 3" xfId="5625" xr:uid="{00000000-0005-0000-0000-0000122D0000}"/>
    <cellStyle name="Currency 2 2 15 3 2" xfId="8726" xr:uid="{00000000-0005-0000-0000-0000132D0000}"/>
    <cellStyle name="Currency 2 2 15 3 2 2" xfId="14919" xr:uid="{00000000-0005-0000-0000-0000142D0000}"/>
    <cellStyle name="Currency 2 2 15 3 2 2 2" xfId="34839" xr:uid="{00000000-0005-0000-0000-0000152D0000}"/>
    <cellStyle name="Currency 2 2 15 3 2 3" xfId="21071" xr:uid="{00000000-0005-0000-0000-0000162D0000}"/>
    <cellStyle name="Currency 2 2 15 3 2 3 2" xfId="40991" xr:uid="{00000000-0005-0000-0000-0000172D0000}"/>
    <cellStyle name="Currency 2 2 15 3 2 4" xfId="28686" xr:uid="{00000000-0005-0000-0000-0000182D0000}"/>
    <cellStyle name="Currency 2 2 15 3 3" xfId="11853" xr:uid="{00000000-0005-0000-0000-0000192D0000}"/>
    <cellStyle name="Currency 2 2 15 3 3 2" xfId="31773" xr:uid="{00000000-0005-0000-0000-00001A2D0000}"/>
    <cellStyle name="Currency 2 2 15 3 4" xfId="18005" xr:uid="{00000000-0005-0000-0000-00001B2D0000}"/>
    <cellStyle name="Currency 2 2 15 3 4 2" xfId="37925" xr:uid="{00000000-0005-0000-0000-00001C2D0000}"/>
    <cellStyle name="Currency 2 2 15 3 5" xfId="25620" xr:uid="{00000000-0005-0000-0000-00001D2D0000}"/>
    <cellStyle name="Currency 2 2 15 4" xfId="7191" xr:uid="{00000000-0005-0000-0000-00001E2D0000}"/>
    <cellStyle name="Currency 2 2 15 4 2" xfId="13385" xr:uid="{00000000-0005-0000-0000-00001F2D0000}"/>
    <cellStyle name="Currency 2 2 15 4 2 2" xfId="33305" xr:uid="{00000000-0005-0000-0000-0000202D0000}"/>
    <cellStyle name="Currency 2 2 15 4 3" xfId="19537" xr:uid="{00000000-0005-0000-0000-0000212D0000}"/>
    <cellStyle name="Currency 2 2 15 4 3 2" xfId="39457" xr:uid="{00000000-0005-0000-0000-0000222D0000}"/>
    <cellStyle name="Currency 2 2 15 4 4" xfId="27152" xr:uid="{00000000-0005-0000-0000-0000232D0000}"/>
    <cellStyle name="Currency 2 2 15 5" xfId="10319" xr:uid="{00000000-0005-0000-0000-0000242D0000}"/>
    <cellStyle name="Currency 2 2 15 5 2" xfId="30239" xr:uid="{00000000-0005-0000-0000-0000252D0000}"/>
    <cellStyle name="Currency 2 2 15 6" xfId="16471" xr:uid="{00000000-0005-0000-0000-0000262D0000}"/>
    <cellStyle name="Currency 2 2 15 6 2" xfId="36391" xr:uid="{00000000-0005-0000-0000-0000272D0000}"/>
    <cellStyle name="Currency 2 2 15 7" xfId="24086" xr:uid="{00000000-0005-0000-0000-0000282D0000}"/>
    <cellStyle name="Currency 2 2 16" xfId="3045" xr:uid="{00000000-0005-0000-0000-0000292D0000}"/>
    <cellStyle name="Currency 2 2 16 2" xfId="4785" xr:uid="{00000000-0005-0000-0000-00002A2D0000}"/>
    <cellStyle name="Currency 2 2 16 2 2" xfId="6410" xr:uid="{00000000-0005-0000-0000-00002B2D0000}"/>
    <cellStyle name="Currency 2 2 16 2 2 2" xfId="9496" xr:uid="{00000000-0005-0000-0000-00002C2D0000}"/>
    <cellStyle name="Currency 2 2 16 2 2 2 2" xfId="15689" xr:uid="{00000000-0005-0000-0000-00002D2D0000}"/>
    <cellStyle name="Currency 2 2 16 2 2 2 2 2" xfId="35609" xr:uid="{00000000-0005-0000-0000-00002E2D0000}"/>
    <cellStyle name="Currency 2 2 16 2 2 2 3" xfId="21841" xr:uid="{00000000-0005-0000-0000-00002F2D0000}"/>
    <cellStyle name="Currency 2 2 16 2 2 2 3 2" xfId="41761" xr:uid="{00000000-0005-0000-0000-0000302D0000}"/>
    <cellStyle name="Currency 2 2 16 2 2 2 4" xfId="29456" xr:uid="{00000000-0005-0000-0000-0000312D0000}"/>
    <cellStyle name="Currency 2 2 16 2 2 3" xfId="12623" xr:uid="{00000000-0005-0000-0000-0000322D0000}"/>
    <cellStyle name="Currency 2 2 16 2 2 3 2" xfId="32543" xr:uid="{00000000-0005-0000-0000-0000332D0000}"/>
    <cellStyle name="Currency 2 2 16 2 2 4" xfId="18775" xr:uid="{00000000-0005-0000-0000-0000342D0000}"/>
    <cellStyle name="Currency 2 2 16 2 2 4 2" xfId="38695" xr:uid="{00000000-0005-0000-0000-0000352D0000}"/>
    <cellStyle name="Currency 2 2 16 2 2 5" xfId="26390" xr:uid="{00000000-0005-0000-0000-0000362D0000}"/>
    <cellStyle name="Currency 2 2 16 2 3" xfId="7961" xr:uid="{00000000-0005-0000-0000-0000372D0000}"/>
    <cellStyle name="Currency 2 2 16 2 3 2" xfId="14155" xr:uid="{00000000-0005-0000-0000-0000382D0000}"/>
    <cellStyle name="Currency 2 2 16 2 3 2 2" xfId="34075" xr:uid="{00000000-0005-0000-0000-0000392D0000}"/>
    <cellStyle name="Currency 2 2 16 2 3 3" xfId="20307" xr:uid="{00000000-0005-0000-0000-00003A2D0000}"/>
    <cellStyle name="Currency 2 2 16 2 3 3 2" xfId="40227" xr:uid="{00000000-0005-0000-0000-00003B2D0000}"/>
    <cellStyle name="Currency 2 2 16 2 3 4" xfId="27922" xr:uid="{00000000-0005-0000-0000-00003C2D0000}"/>
    <cellStyle name="Currency 2 2 16 2 4" xfId="11089" xr:uid="{00000000-0005-0000-0000-00003D2D0000}"/>
    <cellStyle name="Currency 2 2 16 2 4 2" xfId="31009" xr:uid="{00000000-0005-0000-0000-00003E2D0000}"/>
    <cellStyle name="Currency 2 2 16 2 5" xfId="17241" xr:uid="{00000000-0005-0000-0000-00003F2D0000}"/>
    <cellStyle name="Currency 2 2 16 2 5 2" xfId="37161" xr:uid="{00000000-0005-0000-0000-0000402D0000}"/>
    <cellStyle name="Currency 2 2 16 2 6" xfId="24856" xr:uid="{00000000-0005-0000-0000-0000412D0000}"/>
    <cellStyle name="Currency 2 2 16 3" xfId="5626" xr:uid="{00000000-0005-0000-0000-0000422D0000}"/>
    <cellStyle name="Currency 2 2 16 3 2" xfId="8727" xr:uid="{00000000-0005-0000-0000-0000432D0000}"/>
    <cellStyle name="Currency 2 2 16 3 2 2" xfId="14920" xr:uid="{00000000-0005-0000-0000-0000442D0000}"/>
    <cellStyle name="Currency 2 2 16 3 2 2 2" xfId="34840" xr:uid="{00000000-0005-0000-0000-0000452D0000}"/>
    <cellStyle name="Currency 2 2 16 3 2 3" xfId="21072" xr:uid="{00000000-0005-0000-0000-0000462D0000}"/>
    <cellStyle name="Currency 2 2 16 3 2 3 2" xfId="40992" xr:uid="{00000000-0005-0000-0000-0000472D0000}"/>
    <cellStyle name="Currency 2 2 16 3 2 4" xfId="28687" xr:uid="{00000000-0005-0000-0000-0000482D0000}"/>
    <cellStyle name="Currency 2 2 16 3 3" xfId="11854" xr:uid="{00000000-0005-0000-0000-0000492D0000}"/>
    <cellStyle name="Currency 2 2 16 3 3 2" xfId="31774" xr:uid="{00000000-0005-0000-0000-00004A2D0000}"/>
    <cellStyle name="Currency 2 2 16 3 4" xfId="18006" xr:uid="{00000000-0005-0000-0000-00004B2D0000}"/>
    <cellStyle name="Currency 2 2 16 3 4 2" xfId="37926" xr:uid="{00000000-0005-0000-0000-00004C2D0000}"/>
    <cellStyle name="Currency 2 2 16 3 5" xfId="25621" xr:uid="{00000000-0005-0000-0000-00004D2D0000}"/>
    <cellStyle name="Currency 2 2 16 4" xfId="7192" xr:uid="{00000000-0005-0000-0000-00004E2D0000}"/>
    <cellStyle name="Currency 2 2 16 4 2" xfId="13386" xr:uid="{00000000-0005-0000-0000-00004F2D0000}"/>
    <cellStyle name="Currency 2 2 16 4 2 2" xfId="33306" xr:uid="{00000000-0005-0000-0000-0000502D0000}"/>
    <cellStyle name="Currency 2 2 16 4 3" xfId="19538" xr:uid="{00000000-0005-0000-0000-0000512D0000}"/>
    <cellStyle name="Currency 2 2 16 4 3 2" xfId="39458" xr:uid="{00000000-0005-0000-0000-0000522D0000}"/>
    <cellStyle name="Currency 2 2 16 4 4" xfId="27153" xr:uid="{00000000-0005-0000-0000-0000532D0000}"/>
    <cellStyle name="Currency 2 2 16 5" xfId="10320" xr:uid="{00000000-0005-0000-0000-0000542D0000}"/>
    <cellStyle name="Currency 2 2 16 5 2" xfId="30240" xr:uid="{00000000-0005-0000-0000-0000552D0000}"/>
    <cellStyle name="Currency 2 2 16 6" xfId="16472" xr:uid="{00000000-0005-0000-0000-0000562D0000}"/>
    <cellStyle name="Currency 2 2 16 6 2" xfId="36392" xr:uid="{00000000-0005-0000-0000-0000572D0000}"/>
    <cellStyle name="Currency 2 2 16 7" xfId="24087" xr:uid="{00000000-0005-0000-0000-0000582D0000}"/>
    <cellStyle name="Currency 2 2 17" xfId="3046" xr:uid="{00000000-0005-0000-0000-0000592D0000}"/>
    <cellStyle name="Currency 2 2 17 2" xfId="4786" xr:uid="{00000000-0005-0000-0000-00005A2D0000}"/>
    <cellStyle name="Currency 2 2 17 2 2" xfId="6411" xr:uid="{00000000-0005-0000-0000-00005B2D0000}"/>
    <cellStyle name="Currency 2 2 17 2 2 2" xfId="9497" xr:uid="{00000000-0005-0000-0000-00005C2D0000}"/>
    <cellStyle name="Currency 2 2 17 2 2 2 2" xfId="15690" xr:uid="{00000000-0005-0000-0000-00005D2D0000}"/>
    <cellStyle name="Currency 2 2 17 2 2 2 2 2" xfId="35610" xr:uid="{00000000-0005-0000-0000-00005E2D0000}"/>
    <cellStyle name="Currency 2 2 17 2 2 2 3" xfId="21842" xr:uid="{00000000-0005-0000-0000-00005F2D0000}"/>
    <cellStyle name="Currency 2 2 17 2 2 2 3 2" xfId="41762" xr:uid="{00000000-0005-0000-0000-0000602D0000}"/>
    <cellStyle name="Currency 2 2 17 2 2 2 4" xfId="29457" xr:uid="{00000000-0005-0000-0000-0000612D0000}"/>
    <cellStyle name="Currency 2 2 17 2 2 3" xfId="12624" xr:uid="{00000000-0005-0000-0000-0000622D0000}"/>
    <cellStyle name="Currency 2 2 17 2 2 3 2" xfId="32544" xr:uid="{00000000-0005-0000-0000-0000632D0000}"/>
    <cellStyle name="Currency 2 2 17 2 2 4" xfId="18776" xr:uid="{00000000-0005-0000-0000-0000642D0000}"/>
    <cellStyle name="Currency 2 2 17 2 2 4 2" xfId="38696" xr:uid="{00000000-0005-0000-0000-0000652D0000}"/>
    <cellStyle name="Currency 2 2 17 2 2 5" xfId="26391" xr:uid="{00000000-0005-0000-0000-0000662D0000}"/>
    <cellStyle name="Currency 2 2 17 2 3" xfId="7962" xr:uid="{00000000-0005-0000-0000-0000672D0000}"/>
    <cellStyle name="Currency 2 2 17 2 3 2" xfId="14156" xr:uid="{00000000-0005-0000-0000-0000682D0000}"/>
    <cellStyle name="Currency 2 2 17 2 3 2 2" xfId="34076" xr:uid="{00000000-0005-0000-0000-0000692D0000}"/>
    <cellStyle name="Currency 2 2 17 2 3 3" xfId="20308" xr:uid="{00000000-0005-0000-0000-00006A2D0000}"/>
    <cellStyle name="Currency 2 2 17 2 3 3 2" xfId="40228" xr:uid="{00000000-0005-0000-0000-00006B2D0000}"/>
    <cellStyle name="Currency 2 2 17 2 3 4" xfId="27923" xr:uid="{00000000-0005-0000-0000-00006C2D0000}"/>
    <cellStyle name="Currency 2 2 17 2 4" xfId="11090" xr:uid="{00000000-0005-0000-0000-00006D2D0000}"/>
    <cellStyle name="Currency 2 2 17 2 4 2" xfId="31010" xr:uid="{00000000-0005-0000-0000-00006E2D0000}"/>
    <cellStyle name="Currency 2 2 17 2 5" xfId="17242" xr:uid="{00000000-0005-0000-0000-00006F2D0000}"/>
    <cellStyle name="Currency 2 2 17 2 5 2" xfId="37162" xr:uid="{00000000-0005-0000-0000-0000702D0000}"/>
    <cellStyle name="Currency 2 2 17 2 6" xfId="24857" xr:uid="{00000000-0005-0000-0000-0000712D0000}"/>
    <cellStyle name="Currency 2 2 17 3" xfId="5627" xr:uid="{00000000-0005-0000-0000-0000722D0000}"/>
    <cellStyle name="Currency 2 2 17 3 2" xfId="8728" xr:uid="{00000000-0005-0000-0000-0000732D0000}"/>
    <cellStyle name="Currency 2 2 17 3 2 2" xfId="14921" xr:uid="{00000000-0005-0000-0000-0000742D0000}"/>
    <cellStyle name="Currency 2 2 17 3 2 2 2" xfId="34841" xr:uid="{00000000-0005-0000-0000-0000752D0000}"/>
    <cellStyle name="Currency 2 2 17 3 2 3" xfId="21073" xr:uid="{00000000-0005-0000-0000-0000762D0000}"/>
    <cellStyle name="Currency 2 2 17 3 2 3 2" xfId="40993" xr:uid="{00000000-0005-0000-0000-0000772D0000}"/>
    <cellStyle name="Currency 2 2 17 3 2 4" xfId="28688" xr:uid="{00000000-0005-0000-0000-0000782D0000}"/>
    <cellStyle name="Currency 2 2 17 3 3" xfId="11855" xr:uid="{00000000-0005-0000-0000-0000792D0000}"/>
    <cellStyle name="Currency 2 2 17 3 3 2" xfId="31775" xr:uid="{00000000-0005-0000-0000-00007A2D0000}"/>
    <cellStyle name="Currency 2 2 17 3 4" xfId="18007" xr:uid="{00000000-0005-0000-0000-00007B2D0000}"/>
    <cellStyle name="Currency 2 2 17 3 4 2" xfId="37927" xr:uid="{00000000-0005-0000-0000-00007C2D0000}"/>
    <cellStyle name="Currency 2 2 17 3 5" xfId="25622" xr:uid="{00000000-0005-0000-0000-00007D2D0000}"/>
    <cellStyle name="Currency 2 2 17 4" xfId="7193" xr:uid="{00000000-0005-0000-0000-00007E2D0000}"/>
    <cellStyle name="Currency 2 2 17 4 2" xfId="13387" xr:uid="{00000000-0005-0000-0000-00007F2D0000}"/>
    <cellStyle name="Currency 2 2 17 4 2 2" xfId="33307" xr:uid="{00000000-0005-0000-0000-0000802D0000}"/>
    <cellStyle name="Currency 2 2 17 4 3" xfId="19539" xr:uid="{00000000-0005-0000-0000-0000812D0000}"/>
    <cellStyle name="Currency 2 2 17 4 3 2" xfId="39459" xr:uid="{00000000-0005-0000-0000-0000822D0000}"/>
    <cellStyle name="Currency 2 2 17 4 4" xfId="27154" xr:uid="{00000000-0005-0000-0000-0000832D0000}"/>
    <cellStyle name="Currency 2 2 17 5" xfId="10321" xr:uid="{00000000-0005-0000-0000-0000842D0000}"/>
    <cellStyle name="Currency 2 2 17 5 2" xfId="30241" xr:uid="{00000000-0005-0000-0000-0000852D0000}"/>
    <cellStyle name="Currency 2 2 17 6" xfId="16473" xr:uid="{00000000-0005-0000-0000-0000862D0000}"/>
    <cellStyle name="Currency 2 2 17 6 2" xfId="36393" xr:uid="{00000000-0005-0000-0000-0000872D0000}"/>
    <cellStyle name="Currency 2 2 17 7" xfId="24088" xr:uid="{00000000-0005-0000-0000-0000882D0000}"/>
    <cellStyle name="Currency 2 2 18" xfId="3047" xr:uid="{00000000-0005-0000-0000-0000892D0000}"/>
    <cellStyle name="Currency 2 2 18 2" xfId="4787" xr:uid="{00000000-0005-0000-0000-00008A2D0000}"/>
    <cellStyle name="Currency 2 2 18 2 2" xfId="6412" xr:uid="{00000000-0005-0000-0000-00008B2D0000}"/>
    <cellStyle name="Currency 2 2 18 2 2 2" xfId="9498" xr:uid="{00000000-0005-0000-0000-00008C2D0000}"/>
    <cellStyle name="Currency 2 2 18 2 2 2 2" xfId="15691" xr:uid="{00000000-0005-0000-0000-00008D2D0000}"/>
    <cellStyle name="Currency 2 2 18 2 2 2 2 2" xfId="35611" xr:uid="{00000000-0005-0000-0000-00008E2D0000}"/>
    <cellStyle name="Currency 2 2 18 2 2 2 3" xfId="21843" xr:uid="{00000000-0005-0000-0000-00008F2D0000}"/>
    <cellStyle name="Currency 2 2 18 2 2 2 3 2" xfId="41763" xr:uid="{00000000-0005-0000-0000-0000902D0000}"/>
    <cellStyle name="Currency 2 2 18 2 2 2 4" xfId="29458" xr:uid="{00000000-0005-0000-0000-0000912D0000}"/>
    <cellStyle name="Currency 2 2 18 2 2 3" xfId="12625" xr:uid="{00000000-0005-0000-0000-0000922D0000}"/>
    <cellStyle name="Currency 2 2 18 2 2 3 2" xfId="32545" xr:uid="{00000000-0005-0000-0000-0000932D0000}"/>
    <cellStyle name="Currency 2 2 18 2 2 4" xfId="18777" xr:uid="{00000000-0005-0000-0000-0000942D0000}"/>
    <cellStyle name="Currency 2 2 18 2 2 4 2" xfId="38697" xr:uid="{00000000-0005-0000-0000-0000952D0000}"/>
    <cellStyle name="Currency 2 2 18 2 2 5" xfId="26392" xr:uid="{00000000-0005-0000-0000-0000962D0000}"/>
    <cellStyle name="Currency 2 2 18 2 3" xfId="7963" xr:uid="{00000000-0005-0000-0000-0000972D0000}"/>
    <cellStyle name="Currency 2 2 18 2 3 2" xfId="14157" xr:uid="{00000000-0005-0000-0000-0000982D0000}"/>
    <cellStyle name="Currency 2 2 18 2 3 2 2" xfId="34077" xr:uid="{00000000-0005-0000-0000-0000992D0000}"/>
    <cellStyle name="Currency 2 2 18 2 3 3" xfId="20309" xr:uid="{00000000-0005-0000-0000-00009A2D0000}"/>
    <cellStyle name="Currency 2 2 18 2 3 3 2" xfId="40229" xr:uid="{00000000-0005-0000-0000-00009B2D0000}"/>
    <cellStyle name="Currency 2 2 18 2 3 4" xfId="27924" xr:uid="{00000000-0005-0000-0000-00009C2D0000}"/>
    <cellStyle name="Currency 2 2 18 2 4" xfId="11091" xr:uid="{00000000-0005-0000-0000-00009D2D0000}"/>
    <cellStyle name="Currency 2 2 18 2 4 2" xfId="31011" xr:uid="{00000000-0005-0000-0000-00009E2D0000}"/>
    <cellStyle name="Currency 2 2 18 2 5" xfId="17243" xr:uid="{00000000-0005-0000-0000-00009F2D0000}"/>
    <cellStyle name="Currency 2 2 18 2 5 2" xfId="37163" xr:uid="{00000000-0005-0000-0000-0000A02D0000}"/>
    <cellStyle name="Currency 2 2 18 2 6" xfId="24858" xr:uid="{00000000-0005-0000-0000-0000A12D0000}"/>
    <cellStyle name="Currency 2 2 18 3" xfId="5628" xr:uid="{00000000-0005-0000-0000-0000A22D0000}"/>
    <cellStyle name="Currency 2 2 18 3 2" xfId="8729" xr:uid="{00000000-0005-0000-0000-0000A32D0000}"/>
    <cellStyle name="Currency 2 2 18 3 2 2" xfId="14922" xr:uid="{00000000-0005-0000-0000-0000A42D0000}"/>
    <cellStyle name="Currency 2 2 18 3 2 2 2" xfId="34842" xr:uid="{00000000-0005-0000-0000-0000A52D0000}"/>
    <cellStyle name="Currency 2 2 18 3 2 3" xfId="21074" xr:uid="{00000000-0005-0000-0000-0000A62D0000}"/>
    <cellStyle name="Currency 2 2 18 3 2 3 2" xfId="40994" xr:uid="{00000000-0005-0000-0000-0000A72D0000}"/>
    <cellStyle name="Currency 2 2 18 3 2 4" xfId="28689" xr:uid="{00000000-0005-0000-0000-0000A82D0000}"/>
    <cellStyle name="Currency 2 2 18 3 3" xfId="11856" xr:uid="{00000000-0005-0000-0000-0000A92D0000}"/>
    <cellStyle name="Currency 2 2 18 3 3 2" xfId="31776" xr:uid="{00000000-0005-0000-0000-0000AA2D0000}"/>
    <cellStyle name="Currency 2 2 18 3 4" xfId="18008" xr:uid="{00000000-0005-0000-0000-0000AB2D0000}"/>
    <cellStyle name="Currency 2 2 18 3 4 2" xfId="37928" xr:uid="{00000000-0005-0000-0000-0000AC2D0000}"/>
    <cellStyle name="Currency 2 2 18 3 5" xfId="25623" xr:uid="{00000000-0005-0000-0000-0000AD2D0000}"/>
    <cellStyle name="Currency 2 2 18 4" xfId="7194" xr:uid="{00000000-0005-0000-0000-0000AE2D0000}"/>
    <cellStyle name="Currency 2 2 18 4 2" xfId="13388" xr:uid="{00000000-0005-0000-0000-0000AF2D0000}"/>
    <cellStyle name="Currency 2 2 18 4 2 2" xfId="33308" xr:uid="{00000000-0005-0000-0000-0000B02D0000}"/>
    <cellStyle name="Currency 2 2 18 4 3" xfId="19540" xr:uid="{00000000-0005-0000-0000-0000B12D0000}"/>
    <cellStyle name="Currency 2 2 18 4 3 2" xfId="39460" xr:uid="{00000000-0005-0000-0000-0000B22D0000}"/>
    <cellStyle name="Currency 2 2 18 4 4" xfId="27155" xr:uid="{00000000-0005-0000-0000-0000B32D0000}"/>
    <cellStyle name="Currency 2 2 18 5" xfId="10322" xr:uid="{00000000-0005-0000-0000-0000B42D0000}"/>
    <cellStyle name="Currency 2 2 18 5 2" xfId="30242" xr:uid="{00000000-0005-0000-0000-0000B52D0000}"/>
    <cellStyle name="Currency 2 2 18 6" xfId="16474" xr:uid="{00000000-0005-0000-0000-0000B62D0000}"/>
    <cellStyle name="Currency 2 2 18 6 2" xfId="36394" xr:uid="{00000000-0005-0000-0000-0000B72D0000}"/>
    <cellStyle name="Currency 2 2 18 7" xfId="24089" xr:uid="{00000000-0005-0000-0000-0000B82D0000}"/>
    <cellStyle name="Currency 2 2 19" xfId="3048" xr:uid="{00000000-0005-0000-0000-0000B92D0000}"/>
    <cellStyle name="Currency 2 2 2" xfId="3049" xr:uid="{00000000-0005-0000-0000-0000BA2D0000}"/>
    <cellStyle name="Currency 2 2 2 2" xfId="3050" xr:uid="{00000000-0005-0000-0000-0000BB2D0000}"/>
    <cellStyle name="Currency 2 2 2 2 2" xfId="4788" xr:uid="{00000000-0005-0000-0000-0000BC2D0000}"/>
    <cellStyle name="Currency 2 2 2 2 2 2" xfId="6413" xr:uid="{00000000-0005-0000-0000-0000BD2D0000}"/>
    <cellStyle name="Currency 2 2 2 2 2 2 2" xfId="9499" xr:uid="{00000000-0005-0000-0000-0000BE2D0000}"/>
    <cellStyle name="Currency 2 2 2 2 2 2 2 2" xfId="15692" xr:uid="{00000000-0005-0000-0000-0000BF2D0000}"/>
    <cellStyle name="Currency 2 2 2 2 2 2 2 2 2" xfId="35612" xr:uid="{00000000-0005-0000-0000-0000C02D0000}"/>
    <cellStyle name="Currency 2 2 2 2 2 2 2 3" xfId="21844" xr:uid="{00000000-0005-0000-0000-0000C12D0000}"/>
    <cellStyle name="Currency 2 2 2 2 2 2 2 3 2" xfId="41764" xr:uid="{00000000-0005-0000-0000-0000C22D0000}"/>
    <cellStyle name="Currency 2 2 2 2 2 2 2 4" xfId="29459" xr:uid="{00000000-0005-0000-0000-0000C32D0000}"/>
    <cellStyle name="Currency 2 2 2 2 2 2 3" xfId="12626" xr:uid="{00000000-0005-0000-0000-0000C42D0000}"/>
    <cellStyle name="Currency 2 2 2 2 2 2 3 2" xfId="32546" xr:uid="{00000000-0005-0000-0000-0000C52D0000}"/>
    <cellStyle name="Currency 2 2 2 2 2 2 4" xfId="18778" xr:uid="{00000000-0005-0000-0000-0000C62D0000}"/>
    <cellStyle name="Currency 2 2 2 2 2 2 4 2" xfId="38698" xr:uid="{00000000-0005-0000-0000-0000C72D0000}"/>
    <cellStyle name="Currency 2 2 2 2 2 2 5" xfId="26393" xr:uid="{00000000-0005-0000-0000-0000C82D0000}"/>
    <cellStyle name="Currency 2 2 2 2 2 3" xfId="7964" xr:uid="{00000000-0005-0000-0000-0000C92D0000}"/>
    <cellStyle name="Currency 2 2 2 2 2 3 2" xfId="14158" xr:uid="{00000000-0005-0000-0000-0000CA2D0000}"/>
    <cellStyle name="Currency 2 2 2 2 2 3 2 2" xfId="34078" xr:uid="{00000000-0005-0000-0000-0000CB2D0000}"/>
    <cellStyle name="Currency 2 2 2 2 2 3 3" xfId="20310" xr:uid="{00000000-0005-0000-0000-0000CC2D0000}"/>
    <cellStyle name="Currency 2 2 2 2 2 3 3 2" xfId="40230" xr:uid="{00000000-0005-0000-0000-0000CD2D0000}"/>
    <cellStyle name="Currency 2 2 2 2 2 3 4" xfId="27925" xr:uid="{00000000-0005-0000-0000-0000CE2D0000}"/>
    <cellStyle name="Currency 2 2 2 2 2 4" xfId="11092" xr:uid="{00000000-0005-0000-0000-0000CF2D0000}"/>
    <cellStyle name="Currency 2 2 2 2 2 4 2" xfId="31012" xr:uid="{00000000-0005-0000-0000-0000D02D0000}"/>
    <cellStyle name="Currency 2 2 2 2 2 5" xfId="17244" xr:uid="{00000000-0005-0000-0000-0000D12D0000}"/>
    <cellStyle name="Currency 2 2 2 2 2 5 2" xfId="37164" xr:uid="{00000000-0005-0000-0000-0000D22D0000}"/>
    <cellStyle name="Currency 2 2 2 2 2 6" xfId="24859" xr:uid="{00000000-0005-0000-0000-0000D32D0000}"/>
    <cellStyle name="Currency 2 2 2 2 3" xfId="5629" xr:uid="{00000000-0005-0000-0000-0000D42D0000}"/>
    <cellStyle name="Currency 2 2 2 2 3 2" xfId="8730" xr:uid="{00000000-0005-0000-0000-0000D52D0000}"/>
    <cellStyle name="Currency 2 2 2 2 3 2 2" xfId="14923" xr:uid="{00000000-0005-0000-0000-0000D62D0000}"/>
    <cellStyle name="Currency 2 2 2 2 3 2 2 2" xfId="34843" xr:uid="{00000000-0005-0000-0000-0000D72D0000}"/>
    <cellStyle name="Currency 2 2 2 2 3 2 3" xfId="21075" xr:uid="{00000000-0005-0000-0000-0000D82D0000}"/>
    <cellStyle name="Currency 2 2 2 2 3 2 3 2" xfId="40995" xr:uid="{00000000-0005-0000-0000-0000D92D0000}"/>
    <cellStyle name="Currency 2 2 2 2 3 2 4" xfId="28690" xr:uid="{00000000-0005-0000-0000-0000DA2D0000}"/>
    <cellStyle name="Currency 2 2 2 2 3 3" xfId="11857" xr:uid="{00000000-0005-0000-0000-0000DB2D0000}"/>
    <cellStyle name="Currency 2 2 2 2 3 3 2" xfId="31777" xr:uid="{00000000-0005-0000-0000-0000DC2D0000}"/>
    <cellStyle name="Currency 2 2 2 2 3 4" xfId="18009" xr:uid="{00000000-0005-0000-0000-0000DD2D0000}"/>
    <cellStyle name="Currency 2 2 2 2 3 4 2" xfId="37929" xr:uid="{00000000-0005-0000-0000-0000DE2D0000}"/>
    <cellStyle name="Currency 2 2 2 2 3 5" xfId="25624" xr:uid="{00000000-0005-0000-0000-0000DF2D0000}"/>
    <cellStyle name="Currency 2 2 2 2 4" xfId="7195" xr:uid="{00000000-0005-0000-0000-0000E02D0000}"/>
    <cellStyle name="Currency 2 2 2 2 4 2" xfId="13389" xr:uid="{00000000-0005-0000-0000-0000E12D0000}"/>
    <cellStyle name="Currency 2 2 2 2 4 2 2" xfId="33309" xr:uid="{00000000-0005-0000-0000-0000E22D0000}"/>
    <cellStyle name="Currency 2 2 2 2 4 3" xfId="19541" xr:uid="{00000000-0005-0000-0000-0000E32D0000}"/>
    <cellStyle name="Currency 2 2 2 2 4 3 2" xfId="39461" xr:uid="{00000000-0005-0000-0000-0000E42D0000}"/>
    <cellStyle name="Currency 2 2 2 2 4 4" xfId="27156" xr:uid="{00000000-0005-0000-0000-0000E52D0000}"/>
    <cellStyle name="Currency 2 2 2 2 5" xfId="10323" xr:uid="{00000000-0005-0000-0000-0000E62D0000}"/>
    <cellStyle name="Currency 2 2 2 2 5 2" xfId="30243" xr:uid="{00000000-0005-0000-0000-0000E72D0000}"/>
    <cellStyle name="Currency 2 2 2 2 6" xfId="16475" xr:uid="{00000000-0005-0000-0000-0000E82D0000}"/>
    <cellStyle name="Currency 2 2 2 2 6 2" xfId="36395" xr:uid="{00000000-0005-0000-0000-0000E92D0000}"/>
    <cellStyle name="Currency 2 2 2 2 7" xfId="24090" xr:uid="{00000000-0005-0000-0000-0000EA2D0000}"/>
    <cellStyle name="Currency 2 2 2 3" xfId="3051" xr:uid="{00000000-0005-0000-0000-0000EB2D0000}"/>
    <cellStyle name="Currency 2 2 2 3 2" xfId="4789" xr:uid="{00000000-0005-0000-0000-0000EC2D0000}"/>
    <cellStyle name="Currency 2 2 2 3 2 2" xfId="6414" xr:uid="{00000000-0005-0000-0000-0000ED2D0000}"/>
    <cellStyle name="Currency 2 2 2 3 2 2 2" xfId="9500" xr:uid="{00000000-0005-0000-0000-0000EE2D0000}"/>
    <cellStyle name="Currency 2 2 2 3 2 2 2 2" xfId="15693" xr:uid="{00000000-0005-0000-0000-0000EF2D0000}"/>
    <cellStyle name="Currency 2 2 2 3 2 2 2 2 2" xfId="35613" xr:uid="{00000000-0005-0000-0000-0000F02D0000}"/>
    <cellStyle name="Currency 2 2 2 3 2 2 2 3" xfId="21845" xr:uid="{00000000-0005-0000-0000-0000F12D0000}"/>
    <cellStyle name="Currency 2 2 2 3 2 2 2 3 2" xfId="41765" xr:uid="{00000000-0005-0000-0000-0000F22D0000}"/>
    <cellStyle name="Currency 2 2 2 3 2 2 2 4" xfId="29460" xr:uid="{00000000-0005-0000-0000-0000F32D0000}"/>
    <cellStyle name="Currency 2 2 2 3 2 2 3" xfId="12627" xr:uid="{00000000-0005-0000-0000-0000F42D0000}"/>
    <cellStyle name="Currency 2 2 2 3 2 2 3 2" xfId="32547" xr:uid="{00000000-0005-0000-0000-0000F52D0000}"/>
    <cellStyle name="Currency 2 2 2 3 2 2 4" xfId="18779" xr:uid="{00000000-0005-0000-0000-0000F62D0000}"/>
    <cellStyle name="Currency 2 2 2 3 2 2 4 2" xfId="38699" xr:uid="{00000000-0005-0000-0000-0000F72D0000}"/>
    <cellStyle name="Currency 2 2 2 3 2 2 5" xfId="26394" xr:uid="{00000000-0005-0000-0000-0000F82D0000}"/>
    <cellStyle name="Currency 2 2 2 3 2 3" xfId="7965" xr:uid="{00000000-0005-0000-0000-0000F92D0000}"/>
    <cellStyle name="Currency 2 2 2 3 2 3 2" xfId="14159" xr:uid="{00000000-0005-0000-0000-0000FA2D0000}"/>
    <cellStyle name="Currency 2 2 2 3 2 3 2 2" xfId="34079" xr:uid="{00000000-0005-0000-0000-0000FB2D0000}"/>
    <cellStyle name="Currency 2 2 2 3 2 3 3" xfId="20311" xr:uid="{00000000-0005-0000-0000-0000FC2D0000}"/>
    <cellStyle name="Currency 2 2 2 3 2 3 3 2" xfId="40231" xr:uid="{00000000-0005-0000-0000-0000FD2D0000}"/>
    <cellStyle name="Currency 2 2 2 3 2 3 4" xfId="27926" xr:uid="{00000000-0005-0000-0000-0000FE2D0000}"/>
    <cellStyle name="Currency 2 2 2 3 2 4" xfId="11093" xr:uid="{00000000-0005-0000-0000-0000FF2D0000}"/>
    <cellStyle name="Currency 2 2 2 3 2 4 2" xfId="31013" xr:uid="{00000000-0005-0000-0000-0000002E0000}"/>
    <cellStyle name="Currency 2 2 2 3 2 5" xfId="17245" xr:uid="{00000000-0005-0000-0000-0000012E0000}"/>
    <cellStyle name="Currency 2 2 2 3 2 5 2" xfId="37165" xr:uid="{00000000-0005-0000-0000-0000022E0000}"/>
    <cellStyle name="Currency 2 2 2 3 2 6" xfId="24860" xr:uid="{00000000-0005-0000-0000-0000032E0000}"/>
    <cellStyle name="Currency 2 2 2 3 3" xfId="5630" xr:uid="{00000000-0005-0000-0000-0000042E0000}"/>
    <cellStyle name="Currency 2 2 2 3 3 2" xfId="8731" xr:uid="{00000000-0005-0000-0000-0000052E0000}"/>
    <cellStyle name="Currency 2 2 2 3 3 2 2" xfId="14924" xr:uid="{00000000-0005-0000-0000-0000062E0000}"/>
    <cellStyle name="Currency 2 2 2 3 3 2 2 2" xfId="34844" xr:uid="{00000000-0005-0000-0000-0000072E0000}"/>
    <cellStyle name="Currency 2 2 2 3 3 2 3" xfId="21076" xr:uid="{00000000-0005-0000-0000-0000082E0000}"/>
    <cellStyle name="Currency 2 2 2 3 3 2 3 2" xfId="40996" xr:uid="{00000000-0005-0000-0000-0000092E0000}"/>
    <cellStyle name="Currency 2 2 2 3 3 2 4" xfId="28691" xr:uid="{00000000-0005-0000-0000-00000A2E0000}"/>
    <cellStyle name="Currency 2 2 2 3 3 3" xfId="11858" xr:uid="{00000000-0005-0000-0000-00000B2E0000}"/>
    <cellStyle name="Currency 2 2 2 3 3 3 2" xfId="31778" xr:uid="{00000000-0005-0000-0000-00000C2E0000}"/>
    <cellStyle name="Currency 2 2 2 3 3 4" xfId="18010" xr:uid="{00000000-0005-0000-0000-00000D2E0000}"/>
    <cellStyle name="Currency 2 2 2 3 3 4 2" xfId="37930" xr:uid="{00000000-0005-0000-0000-00000E2E0000}"/>
    <cellStyle name="Currency 2 2 2 3 3 5" xfId="25625" xr:uid="{00000000-0005-0000-0000-00000F2E0000}"/>
    <cellStyle name="Currency 2 2 2 3 4" xfId="7196" xr:uid="{00000000-0005-0000-0000-0000102E0000}"/>
    <cellStyle name="Currency 2 2 2 3 4 2" xfId="13390" xr:uid="{00000000-0005-0000-0000-0000112E0000}"/>
    <cellStyle name="Currency 2 2 2 3 4 2 2" xfId="33310" xr:uid="{00000000-0005-0000-0000-0000122E0000}"/>
    <cellStyle name="Currency 2 2 2 3 4 3" xfId="19542" xr:uid="{00000000-0005-0000-0000-0000132E0000}"/>
    <cellStyle name="Currency 2 2 2 3 4 3 2" xfId="39462" xr:uid="{00000000-0005-0000-0000-0000142E0000}"/>
    <cellStyle name="Currency 2 2 2 3 4 4" xfId="27157" xr:uid="{00000000-0005-0000-0000-0000152E0000}"/>
    <cellStyle name="Currency 2 2 2 3 5" xfId="10324" xr:uid="{00000000-0005-0000-0000-0000162E0000}"/>
    <cellStyle name="Currency 2 2 2 3 5 2" xfId="30244" xr:uid="{00000000-0005-0000-0000-0000172E0000}"/>
    <cellStyle name="Currency 2 2 2 3 6" xfId="16476" xr:uid="{00000000-0005-0000-0000-0000182E0000}"/>
    <cellStyle name="Currency 2 2 2 3 6 2" xfId="36396" xr:uid="{00000000-0005-0000-0000-0000192E0000}"/>
    <cellStyle name="Currency 2 2 2 3 7" xfId="24091" xr:uid="{00000000-0005-0000-0000-00001A2E0000}"/>
    <cellStyle name="Currency 2 2 2 4" xfId="3052" xr:uid="{00000000-0005-0000-0000-00001B2E0000}"/>
    <cellStyle name="Currency 2 2 2 4 2" xfId="4790" xr:uid="{00000000-0005-0000-0000-00001C2E0000}"/>
    <cellStyle name="Currency 2 2 2 4 2 2" xfId="6415" xr:uid="{00000000-0005-0000-0000-00001D2E0000}"/>
    <cellStyle name="Currency 2 2 2 4 2 2 2" xfId="9501" xr:uid="{00000000-0005-0000-0000-00001E2E0000}"/>
    <cellStyle name="Currency 2 2 2 4 2 2 2 2" xfId="15694" xr:uid="{00000000-0005-0000-0000-00001F2E0000}"/>
    <cellStyle name="Currency 2 2 2 4 2 2 2 2 2" xfId="35614" xr:uid="{00000000-0005-0000-0000-0000202E0000}"/>
    <cellStyle name="Currency 2 2 2 4 2 2 2 3" xfId="21846" xr:uid="{00000000-0005-0000-0000-0000212E0000}"/>
    <cellStyle name="Currency 2 2 2 4 2 2 2 3 2" xfId="41766" xr:uid="{00000000-0005-0000-0000-0000222E0000}"/>
    <cellStyle name="Currency 2 2 2 4 2 2 2 4" xfId="29461" xr:uid="{00000000-0005-0000-0000-0000232E0000}"/>
    <cellStyle name="Currency 2 2 2 4 2 2 3" xfId="12628" xr:uid="{00000000-0005-0000-0000-0000242E0000}"/>
    <cellStyle name="Currency 2 2 2 4 2 2 3 2" xfId="32548" xr:uid="{00000000-0005-0000-0000-0000252E0000}"/>
    <cellStyle name="Currency 2 2 2 4 2 2 4" xfId="18780" xr:uid="{00000000-0005-0000-0000-0000262E0000}"/>
    <cellStyle name="Currency 2 2 2 4 2 2 4 2" xfId="38700" xr:uid="{00000000-0005-0000-0000-0000272E0000}"/>
    <cellStyle name="Currency 2 2 2 4 2 2 5" xfId="26395" xr:uid="{00000000-0005-0000-0000-0000282E0000}"/>
    <cellStyle name="Currency 2 2 2 4 2 3" xfId="7966" xr:uid="{00000000-0005-0000-0000-0000292E0000}"/>
    <cellStyle name="Currency 2 2 2 4 2 3 2" xfId="14160" xr:uid="{00000000-0005-0000-0000-00002A2E0000}"/>
    <cellStyle name="Currency 2 2 2 4 2 3 2 2" xfId="34080" xr:uid="{00000000-0005-0000-0000-00002B2E0000}"/>
    <cellStyle name="Currency 2 2 2 4 2 3 3" xfId="20312" xr:uid="{00000000-0005-0000-0000-00002C2E0000}"/>
    <cellStyle name="Currency 2 2 2 4 2 3 3 2" xfId="40232" xr:uid="{00000000-0005-0000-0000-00002D2E0000}"/>
    <cellStyle name="Currency 2 2 2 4 2 3 4" xfId="27927" xr:uid="{00000000-0005-0000-0000-00002E2E0000}"/>
    <cellStyle name="Currency 2 2 2 4 2 4" xfId="11094" xr:uid="{00000000-0005-0000-0000-00002F2E0000}"/>
    <cellStyle name="Currency 2 2 2 4 2 4 2" xfId="31014" xr:uid="{00000000-0005-0000-0000-0000302E0000}"/>
    <cellStyle name="Currency 2 2 2 4 2 5" xfId="17246" xr:uid="{00000000-0005-0000-0000-0000312E0000}"/>
    <cellStyle name="Currency 2 2 2 4 2 5 2" xfId="37166" xr:uid="{00000000-0005-0000-0000-0000322E0000}"/>
    <cellStyle name="Currency 2 2 2 4 2 6" xfId="24861" xr:uid="{00000000-0005-0000-0000-0000332E0000}"/>
    <cellStyle name="Currency 2 2 2 4 3" xfId="5631" xr:uid="{00000000-0005-0000-0000-0000342E0000}"/>
    <cellStyle name="Currency 2 2 2 4 3 2" xfId="8732" xr:uid="{00000000-0005-0000-0000-0000352E0000}"/>
    <cellStyle name="Currency 2 2 2 4 3 2 2" xfId="14925" xr:uid="{00000000-0005-0000-0000-0000362E0000}"/>
    <cellStyle name="Currency 2 2 2 4 3 2 2 2" xfId="34845" xr:uid="{00000000-0005-0000-0000-0000372E0000}"/>
    <cellStyle name="Currency 2 2 2 4 3 2 3" xfId="21077" xr:uid="{00000000-0005-0000-0000-0000382E0000}"/>
    <cellStyle name="Currency 2 2 2 4 3 2 3 2" xfId="40997" xr:uid="{00000000-0005-0000-0000-0000392E0000}"/>
    <cellStyle name="Currency 2 2 2 4 3 2 4" xfId="28692" xr:uid="{00000000-0005-0000-0000-00003A2E0000}"/>
    <cellStyle name="Currency 2 2 2 4 3 3" xfId="11859" xr:uid="{00000000-0005-0000-0000-00003B2E0000}"/>
    <cellStyle name="Currency 2 2 2 4 3 3 2" xfId="31779" xr:uid="{00000000-0005-0000-0000-00003C2E0000}"/>
    <cellStyle name="Currency 2 2 2 4 3 4" xfId="18011" xr:uid="{00000000-0005-0000-0000-00003D2E0000}"/>
    <cellStyle name="Currency 2 2 2 4 3 4 2" xfId="37931" xr:uid="{00000000-0005-0000-0000-00003E2E0000}"/>
    <cellStyle name="Currency 2 2 2 4 3 5" xfId="25626" xr:uid="{00000000-0005-0000-0000-00003F2E0000}"/>
    <cellStyle name="Currency 2 2 2 4 4" xfId="7197" xr:uid="{00000000-0005-0000-0000-0000402E0000}"/>
    <cellStyle name="Currency 2 2 2 4 4 2" xfId="13391" xr:uid="{00000000-0005-0000-0000-0000412E0000}"/>
    <cellStyle name="Currency 2 2 2 4 4 2 2" xfId="33311" xr:uid="{00000000-0005-0000-0000-0000422E0000}"/>
    <cellStyle name="Currency 2 2 2 4 4 3" xfId="19543" xr:uid="{00000000-0005-0000-0000-0000432E0000}"/>
    <cellStyle name="Currency 2 2 2 4 4 3 2" xfId="39463" xr:uid="{00000000-0005-0000-0000-0000442E0000}"/>
    <cellStyle name="Currency 2 2 2 4 4 4" xfId="27158" xr:uid="{00000000-0005-0000-0000-0000452E0000}"/>
    <cellStyle name="Currency 2 2 2 4 5" xfId="10325" xr:uid="{00000000-0005-0000-0000-0000462E0000}"/>
    <cellStyle name="Currency 2 2 2 4 5 2" xfId="30245" xr:uid="{00000000-0005-0000-0000-0000472E0000}"/>
    <cellStyle name="Currency 2 2 2 4 6" xfId="16477" xr:uid="{00000000-0005-0000-0000-0000482E0000}"/>
    <cellStyle name="Currency 2 2 2 4 6 2" xfId="36397" xr:uid="{00000000-0005-0000-0000-0000492E0000}"/>
    <cellStyle name="Currency 2 2 2 4 7" xfId="24092" xr:uid="{00000000-0005-0000-0000-00004A2E0000}"/>
    <cellStyle name="Currency 2 2 2 5" xfId="3053" xr:uid="{00000000-0005-0000-0000-00004B2E0000}"/>
    <cellStyle name="Currency 2 2 2 5 2" xfId="4791" xr:uid="{00000000-0005-0000-0000-00004C2E0000}"/>
    <cellStyle name="Currency 2 2 2 5 2 2" xfId="6416" xr:uid="{00000000-0005-0000-0000-00004D2E0000}"/>
    <cellStyle name="Currency 2 2 2 5 2 2 2" xfId="9502" xr:uid="{00000000-0005-0000-0000-00004E2E0000}"/>
    <cellStyle name="Currency 2 2 2 5 2 2 2 2" xfId="15695" xr:uid="{00000000-0005-0000-0000-00004F2E0000}"/>
    <cellStyle name="Currency 2 2 2 5 2 2 2 2 2" xfId="35615" xr:uid="{00000000-0005-0000-0000-0000502E0000}"/>
    <cellStyle name="Currency 2 2 2 5 2 2 2 3" xfId="21847" xr:uid="{00000000-0005-0000-0000-0000512E0000}"/>
    <cellStyle name="Currency 2 2 2 5 2 2 2 3 2" xfId="41767" xr:uid="{00000000-0005-0000-0000-0000522E0000}"/>
    <cellStyle name="Currency 2 2 2 5 2 2 2 4" xfId="29462" xr:uid="{00000000-0005-0000-0000-0000532E0000}"/>
    <cellStyle name="Currency 2 2 2 5 2 2 3" xfId="12629" xr:uid="{00000000-0005-0000-0000-0000542E0000}"/>
    <cellStyle name="Currency 2 2 2 5 2 2 3 2" xfId="32549" xr:uid="{00000000-0005-0000-0000-0000552E0000}"/>
    <cellStyle name="Currency 2 2 2 5 2 2 4" xfId="18781" xr:uid="{00000000-0005-0000-0000-0000562E0000}"/>
    <cellStyle name="Currency 2 2 2 5 2 2 4 2" xfId="38701" xr:uid="{00000000-0005-0000-0000-0000572E0000}"/>
    <cellStyle name="Currency 2 2 2 5 2 2 5" xfId="26396" xr:uid="{00000000-0005-0000-0000-0000582E0000}"/>
    <cellStyle name="Currency 2 2 2 5 2 3" xfId="7967" xr:uid="{00000000-0005-0000-0000-0000592E0000}"/>
    <cellStyle name="Currency 2 2 2 5 2 3 2" xfId="14161" xr:uid="{00000000-0005-0000-0000-00005A2E0000}"/>
    <cellStyle name="Currency 2 2 2 5 2 3 2 2" xfId="34081" xr:uid="{00000000-0005-0000-0000-00005B2E0000}"/>
    <cellStyle name="Currency 2 2 2 5 2 3 3" xfId="20313" xr:uid="{00000000-0005-0000-0000-00005C2E0000}"/>
    <cellStyle name="Currency 2 2 2 5 2 3 3 2" xfId="40233" xr:uid="{00000000-0005-0000-0000-00005D2E0000}"/>
    <cellStyle name="Currency 2 2 2 5 2 3 4" xfId="27928" xr:uid="{00000000-0005-0000-0000-00005E2E0000}"/>
    <cellStyle name="Currency 2 2 2 5 2 4" xfId="11095" xr:uid="{00000000-0005-0000-0000-00005F2E0000}"/>
    <cellStyle name="Currency 2 2 2 5 2 4 2" xfId="31015" xr:uid="{00000000-0005-0000-0000-0000602E0000}"/>
    <cellStyle name="Currency 2 2 2 5 2 5" xfId="17247" xr:uid="{00000000-0005-0000-0000-0000612E0000}"/>
    <cellStyle name="Currency 2 2 2 5 2 5 2" xfId="37167" xr:uid="{00000000-0005-0000-0000-0000622E0000}"/>
    <cellStyle name="Currency 2 2 2 5 2 6" xfId="24862" xr:uid="{00000000-0005-0000-0000-0000632E0000}"/>
    <cellStyle name="Currency 2 2 2 5 3" xfId="5632" xr:uid="{00000000-0005-0000-0000-0000642E0000}"/>
    <cellStyle name="Currency 2 2 2 5 3 2" xfId="8733" xr:uid="{00000000-0005-0000-0000-0000652E0000}"/>
    <cellStyle name="Currency 2 2 2 5 3 2 2" xfId="14926" xr:uid="{00000000-0005-0000-0000-0000662E0000}"/>
    <cellStyle name="Currency 2 2 2 5 3 2 2 2" xfId="34846" xr:uid="{00000000-0005-0000-0000-0000672E0000}"/>
    <cellStyle name="Currency 2 2 2 5 3 2 3" xfId="21078" xr:uid="{00000000-0005-0000-0000-0000682E0000}"/>
    <cellStyle name="Currency 2 2 2 5 3 2 3 2" xfId="40998" xr:uid="{00000000-0005-0000-0000-0000692E0000}"/>
    <cellStyle name="Currency 2 2 2 5 3 2 4" xfId="28693" xr:uid="{00000000-0005-0000-0000-00006A2E0000}"/>
    <cellStyle name="Currency 2 2 2 5 3 3" xfId="11860" xr:uid="{00000000-0005-0000-0000-00006B2E0000}"/>
    <cellStyle name="Currency 2 2 2 5 3 3 2" xfId="31780" xr:uid="{00000000-0005-0000-0000-00006C2E0000}"/>
    <cellStyle name="Currency 2 2 2 5 3 4" xfId="18012" xr:uid="{00000000-0005-0000-0000-00006D2E0000}"/>
    <cellStyle name="Currency 2 2 2 5 3 4 2" xfId="37932" xr:uid="{00000000-0005-0000-0000-00006E2E0000}"/>
    <cellStyle name="Currency 2 2 2 5 3 5" xfId="25627" xr:uid="{00000000-0005-0000-0000-00006F2E0000}"/>
    <cellStyle name="Currency 2 2 2 5 4" xfId="7198" xr:uid="{00000000-0005-0000-0000-0000702E0000}"/>
    <cellStyle name="Currency 2 2 2 5 4 2" xfId="13392" xr:uid="{00000000-0005-0000-0000-0000712E0000}"/>
    <cellStyle name="Currency 2 2 2 5 4 2 2" xfId="33312" xr:uid="{00000000-0005-0000-0000-0000722E0000}"/>
    <cellStyle name="Currency 2 2 2 5 4 3" xfId="19544" xr:uid="{00000000-0005-0000-0000-0000732E0000}"/>
    <cellStyle name="Currency 2 2 2 5 4 3 2" xfId="39464" xr:uid="{00000000-0005-0000-0000-0000742E0000}"/>
    <cellStyle name="Currency 2 2 2 5 4 4" xfId="27159" xr:uid="{00000000-0005-0000-0000-0000752E0000}"/>
    <cellStyle name="Currency 2 2 2 5 5" xfId="10326" xr:uid="{00000000-0005-0000-0000-0000762E0000}"/>
    <cellStyle name="Currency 2 2 2 5 5 2" xfId="30246" xr:uid="{00000000-0005-0000-0000-0000772E0000}"/>
    <cellStyle name="Currency 2 2 2 5 6" xfId="16478" xr:uid="{00000000-0005-0000-0000-0000782E0000}"/>
    <cellStyle name="Currency 2 2 2 5 6 2" xfId="36398" xr:uid="{00000000-0005-0000-0000-0000792E0000}"/>
    <cellStyle name="Currency 2 2 2 5 7" xfId="24093" xr:uid="{00000000-0005-0000-0000-00007A2E0000}"/>
    <cellStyle name="Currency 2 2 20" xfId="3038" xr:uid="{00000000-0005-0000-0000-00007B2E0000}"/>
    <cellStyle name="Currency 2 2 20 2" xfId="4778" xr:uid="{00000000-0005-0000-0000-00007C2E0000}"/>
    <cellStyle name="Currency 2 2 20 2 2" xfId="6403" xr:uid="{00000000-0005-0000-0000-00007D2E0000}"/>
    <cellStyle name="Currency 2 2 20 2 2 2" xfId="9489" xr:uid="{00000000-0005-0000-0000-00007E2E0000}"/>
    <cellStyle name="Currency 2 2 20 2 2 2 2" xfId="15682" xr:uid="{00000000-0005-0000-0000-00007F2E0000}"/>
    <cellStyle name="Currency 2 2 20 2 2 2 2 2" xfId="35602" xr:uid="{00000000-0005-0000-0000-0000802E0000}"/>
    <cellStyle name="Currency 2 2 20 2 2 2 3" xfId="21834" xr:uid="{00000000-0005-0000-0000-0000812E0000}"/>
    <cellStyle name="Currency 2 2 20 2 2 2 3 2" xfId="41754" xr:uid="{00000000-0005-0000-0000-0000822E0000}"/>
    <cellStyle name="Currency 2 2 20 2 2 2 4" xfId="29449" xr:uid="{00000000-0005-0000-0000-0000832E0000}"/>
    <cellStyle name="Currency 2 2 20 2 2 3" xfId="12616" xr:uid="{00000000-0005-0000-0000-0000842E0000}"/>
    <cellStyle name="Currency 2 2 20 2 2 3 2" xfId="32536" xr:uid="{00000000-0005-0000-0000-0000852E0000}"/>
    <cellStyle name="Currency 2 2 20 2 2 4" xfId="18768" xr:uid="{00000000-0005-0000-0000-0000862E0000}"/>
    <cellStyle name="Currency 2 2 20 2 2 4 2" xfId="38688" xr:uid="{00000000-0005-0000-0000-0000872E0000}"/>
    <cellStyle name="Currency 2 2 20 2 2 5" xfId="26383" xr:uid="{00000000-0005-0000-0000-0000882E0000}"/>
    <cellStyle name="Currency 2 2 20 2 3" xfId="7954" xr:uid="{00000000-0005-0000-0000-0000892E0000}"/>
    <cellStyle name="Currency 2 2 20 2 3 2" xfId="14148" xr:uid="{00000000-0005-0000-0000-00008A2E0000}"/>
    <cellStyle name="Currency 2 2 20 2 3 2 2" xfId="34068" xr:uid="{00000000-0005-0000-0000-00008B2E0000}"/>
    <cellStyle name="Currency 2 2 20 2 3 3" xfId="20300" xr:uid="{00000000-0005-0000-0000-00008C2E0000}"/>
    <cellStyle name="Currency 2 2 20 2 3 3 2" xfId="40220" xr:uid="{00000000-0005-0000-0000-00008D2E0000}"/>
    <cellStyle name="Currency 2 2 20 2 3 4" xfId="27915" xr:uid="{00000000-0005-0000-0000-00008E2E0000}"/>
    <cellStyle name="Currency 2 2 20 2 4" xfId="11082" xr:uid="{00000000-0005-0000-0000-00008F2E0000}"/>
    <cellStyle name="Currency 2 2 20 2 4 2" xfId="31002" xr:uid="{00000000-0005-0000-0000-0000902E0000}"/>
    <cellStyle name="Currency 2 2 20 2 5" xfId="17234" xr:uid="{00000000-0005-0000-0000-0000912E0000}"/>
    <cellStyle name="Currency 2 2 20 2 5 2" xfId="37154" xr:uid="{00000000-0005-0000-0000-0000922E0000}"/>
    <cellStyle name="Currency 2 2 20 2 6" xfId="24849" xr:uid="{00000000-0005-0000-0000-0000932E0000}"/>
    <cellStyle name="Currency 2 2 20 3" xfId="5619" xr:uid="{00000000-0005-0000-0000-0000942E0000}"/>
    <cellStyle name="Currency 2 2 20 3 2" xfId="8720" xr:uid="{00000000-0005-0000-0000-0000952E0000}"/>
    <cellStyle name="Currency 2 2 20 3 2 2" xfId="14913" xr:uid="{00000000-0005-0000-0000-0000962E0000}"/>
    <cellStyle name="Currency 2 2 20 3 2 2 2" xfId="34833" xr:uid="{00000000-0005-0000-0000-0000972E0000}"/>
    <cellStyle name="Currency 2 2 20 3 2 3" xfId="21065" xr:uid="{00000000-0005-0000-0000-0000982E0000}"/>
    <cellStyle name="Currency 2 2 20 3 2 3 2" xfId="40985" xr:uid="{00000000-0005-0000-0000-0000992E0000}"/>
    <cellStyle name="Currency 2 2 20 3 2 4" xfId="28680" xr:uid="{00000000-0005-0000-0000-00009A2E0000}"/>
    <cellStyle name="Currency 2 2 20 3 3" xfId="11847" xr:uid="{00000000-0005-0000-0000-00009B2E0000}"/>
    <cellStyle name="Currency 2 2 20 3 3 2" xfId="31767" xr:uid="{00000000-0005-0000-0000-00009C2E0000}"/>
    <cellStyle name="Currency 2 2 20 3 4" xfId="17999" xr:uid="{00000000-0005-0000-0000-00009D2E0000}"/>
    <cellStyle name="Currency 2 2 20 3 4 2" xfId="37919" xr:uid="{00000000-0005-0000-0000-00009E2E0000}"/>
    <cellStyle name="Currency 2 2 20 3 5" xfId="25614" xr:uid="{00000000-0005-0000-0000-00009F2E0000}"/>
    <cellStyle name="Currency 2 2 20 4" xfId="7185" xr:uid="{00000000-0005-0000-0000-0000A02E0000}"/>
    <cellStyle name="Currency 2 2 20 4 2" xfId="13379" xr:uid="{00000000-0005-0000-0000-0000A12E0000}"/>
    <cellStyle name="Currency 2 2 20 4 2 2" xfId="33299" xr:uid="{00000000-0005-0000-0000-0000A22E0000}"/>
    <cellStyle name="Currency 2 2 20 4 3" xfId="19531" xr:uid="{00000000-0005-0000-0000-0000A32E0000}"/>
    <cellStyle name="Currency 2 2 20 4 3 2" xfId="39451" xr:uid="{00000000-0005-0000-0000-0000A42E0000}"/>
    <cellStyle name="Currency 2 2 20 4 4" xfId="27146" xr:uid="{00000000-0005-0000-0000-0000A52E0000}"/>
    <cellStyle name="Currency 2 2 20 5" xfId="10313" xr:uid="{00000000-0005-0000-0000-0000A62E0000}"/>
    <cellStyle name="Currency 2 2 20 5 2" xfId="30233" xr:uid="{00000000-0005-0000-0000-0000A72E0000}"/>
    <cellStyle name="Currency 2 2 20 6" xfId="16465" xr:uid="{00000000-0005-0000-0000-0000A82E0000}"/>
    <cellStyle name="Currency 2 2 20 6 2" xfId="36385" xr:uid="{00000000-0005-0000-0000-0000A92E0000}"/>
    <cellStyle name="Currency 2 2 20 7" xfId="24080" xr:uid="{00000000-0005-0000-0000-0000AA2E0000}"/>
    <cellStyle name="Currency 2 2 3" xfId="3054" xr:uid="{00000000-0005-0000-0000-0000AB2E0000}"/>
    <cellStyle name="Currency 2 2 3 10" xfId="16479" xr:uid="{00000000-0005-0000-0000-0000AC2E0000}"/>
    <cellStyle name="Currency 2 2 3 10 2" xfId="36399" xr:uid="{00000000-0005-0000-0000-0000AD2E0000}"/>
    <cellStyle name="Currency 2 2 3 11" xfId="24094" xr:uid="{00000000-0005-0000-0000-0000AE2E0000}"/>
    <cellStyle name="Currency 2 2 3 2" xfId="3055" xr:uid="{00000000-0005-0000-0000-0000AF2E0000}"/>
    <cellStyle name="Currency 2 2 3 2 2" xfId="4793" xr:uid="{00000000-0005-0000-0000-0000B02E0000}"/>
    <cellStyle name="Currency 2 2 3 2 2 2" xfId="6418" xr:uid="{00000000-0005-0000-0000-0000B12E0000}"/>
    <cellStyle name="Currency 2 2 3 2 2 2 2" xfId="9504" xr:uid="{00000000-0005-0000-0000-0000B22E0000}"/>
    <cellStyle name="Currency 2 2 3 2 2 2 2 2" xfId="15697" xr:uid="{00000000-0005-0000-0000-0000B32E0000}"/>
    <cellStyle name="Currency 2 2 3 2 2 2 2 2 2" xfId="35617" xr:uid="{00000000-0005-0000-0000-0000B42E0000}"/>
    <cellStyle name="Currency 2 2 3 2 2 2 2 3" xfId="21849" xr:uid="{00000000-0005-0000-0000-0000B52E0000}"/>
    <cellStyle name="Currency 2 2 3 2 2 2 2 3 2" xfId="41769" xr:uid="{00000000-0005-0000-0000-0000B62E0000}"/>
    <cellStyle name="Currency 2 2 3 2 2 2 2 4" xfId="29464" xr:uid="{00000000-0005-0000-0000-0000B72E0000}"/>
    <cellStyle name="Currency 2 2 3 2 2 2 3" xfId="12631" xr:uid="{00000000-0005-0000-0000-0000B82E0000}"/>
    <cellStyle name="Currency 2 2 3 2 2 2 3 2" xfId="32551" xr:uid="{00000000-0005-0000-0000-0000B92E0000}"/>
    <cellStyle name="Currency 2 2 3 2 2 2 4" xfId="18783" xr:uid="{00000000-0005-0000-0000-0000BA2E0000}"/>
    <cellStyle name="Currency 2 2 3 2 2 2 4 2" xfId="38703" xr:uid="{00000000-0005-0000-0000-0000BB2E0000}"/>
    <cellStyle name="Currency 2 2 3 2 2 2 5" xfId="26398" xr:uid="{00000000-0005-0000-0000-0000BC2E0000}"/>
    <cellStyle name="Currency 2 2 3 2 2 3" xfId="7969" xr:uid="{00000000-0005-0000-0000-0000BD2E0000}"/>
    <cellStyle name="Currency 2 2 3 2 2 3 2" xfId="14163" xr:uid="{00000000-0005-0000-0000-0000BE2E0000}"/>
    <cellStyle name="Currency 2 2 3 2 2 3 2 2" xfId="34083" xr:uid="{00000000-0005-0000-0000-0000BF2E0000}"/>
    <cellStyle name="Currency 2 2 3 2 2 3 3" xfId="20315" xr:uid="{00000000-0005-0000-0000-0000C02E0000}"/>
    <cellStyle name="Currency 2 2 3 2 2 3 3 2" xfId="40235" xr:uid="{00000000-0005-0000-0000-0000C12E0000}"/>
    <cellStyle name="Currency 2 2 3 2 2 3 4" xfId="27930" xr:uid="{00000000-0005-0000-0000-0000C22E0000}"/>
    <cellStyle name="Currency 2 2 3 2 2 4" xfId="11097" xr:uid="{00000000-0005-0000-0000-0000C32E0000}"/>
    <cellStyle name="Currency 2 2 3 2 2 4 2" xfId="31017" xr:uid="{00000000-0005-0000-0000-0000C42E0000}"/>
    <cellStyle name="Currency 2 2 3 2 2 5" xfId="17249" xr:uid="{00000000-0005-0000-0000-0000C52E0000}"/>
    <cellStyle name="Currency 2 2 3 2 2 5 2" xfId="37169" xr:uid="{00000000-0005-0000-0000-0000C62E0000}"/>
    <cellStyle name="Currency 2 2 3 2 2 6" xfId="24864" xr:uid="{00000000-0005-0000-0000-0000C72E0000}"/>
    <cellStyle name="Currency 2 2 3 2 3" xfId="5634" xr:uid="{00000000-0005-0000-0000-0000C82E0000}"/>
    <cellStyle name="Currency 2 2 3 2 3 2" xfId="8735" xr:uid="{00000000-0005-0000-0000-0000C92E0000}"/>
    <cellStyle name="Currency 2 2 3 2 3 2 2" xfId="14928" xr:uid="{00000000-0005-0000-0000-0000CA2E0000}"/>
    <cellStyle name="Currency 2 2 3 2 3 2 2 2" xfId="34848" xr:uid="{00000000-0005-0000-0000-0000CB2E0000}"/>
    <cellStyle name="Currency 2 2 3 2 3 2 3" xfId="21080" xr:uid="{00000000-0005-0000-0000-0000CC2E0000}"/>
    <cellStyle name="Currency 2 2 3 2 3 2 3 2" xfId="41000" xr:uid="{00000000-0005-0000-0000-0000CD2E0000}"/>
    <cellStyle name="Currency 2 2 3 2 3 2 4" xfId="28695" xr:uid="{00000000-0005-0000-0000-0000CE2E0000}"/>
    <cellStyle name="Currency 2 2 3 2 3 3" xfId="11862" xr:uid="{00000000-0005-0000-0000-0000CF2E0000}"/>
    <cellStyle name="Currency 2 2 3 2 3 3 2" xfId="31782" xr:uid="{00000000-0005-0000-0000-0000D02E0000}"/>
    <cellStyle name="Currency 2 2 3 2 3 4" xfId="18014" xr:uid="{00000000-0005-0000-0000-0000D12E0000}"/>
    <cellStyle name="Currency 2 2 3 2 3 4 2" xfId="37934" xr:uid="{00000000-0005-0000-0000-0000D22E0000}"/>
    <cellStyle name="Currency 2 2 3 2 3 5" xfId="25629" xr:uid="{00000000-0005-0000-0000-0000D32E0000}"/>
    <cellStyle name="Currency 2 2 3 2 4" xfId="7200" xr:uid="{00000000-0005-0000-0000-0000D42E0000}"/>
    <cellStyle name="Currency 2 2 3 2 4 2" xfId="13394" xr:uid="{00000000-0005-0000-0000-0000D52E0000}"/>
    <cellStyle name="Currency 2 2 3 2 4 2 2" xfId="33314" xr:uid="{00000000-0005-0000-0000-0000D62E0000}"/>
    <cellStyle name="Currency 2 2 3 2 4 3" xfId="19546" xr:uid="{00000000-0005-0000-0000-0000D72E0000}"/>
    <cellStyle name="Currency 2 2 3 2 4 3 2" xfId="39466" xr:uid="{00000000-0005-0000-0000-0000D82E0000}"/>
    <cellStyle name="Currency 2 2 3 2 4 4" xfId="27161" xr:uid="{00000000-0005-0000-0000-0000D92E0000}"/>
    <cellStyle name="Currency 2 2 3 2 5" xfId="10328" xr:uid="{00000000-0005-0000-0000-0000DA2E0000}"/>
    <cellStyle name="Currency 2 2 3 2 5 2" xfId="30248" xr:uid="{00000000-0005-0000-0000-0000DB2E0000}"/>
    <cellStyle name="Currency 2 2 3 2 6" xfId="16480" xr:uid="{00000000-0005-0000-0000-0000DC2E0000}"/>
    <cellStyle name="Currency 2 2 3 2 6 2" xfId="36400" xr:uid="{00000000-0005-0000-0000-0000DD2E0000}"/>
    <cellStyle name="Currency 2 2 3 2 7" xfId="24095" xr:uid="{00000000-0005-0000-0000-0000DE2E0000}"/>
    <cellStyle name="Currency 2 2 3 3" xfId="3056" xr:uid="{00000000-0005-0000-0000-0000DF2E0000}"/>
    <cellStyle name="Currency 2 2 3 3 2" xfId="4794" xr:uid="{00000000-0005-0000-0000-0000E02E0000}"/>
    <cellStyle name="Currency 2 2 3 3 2 2" xfId="6419" xr:uid="{00000000-0005-0000-0000-0000E12E0000}"/>
    <cellStyle name="Currency 2 2 3 3 2 2 2" xfId="9505" xr:uid="{00000000-0005-0000-0000-0000E22E0000}"/>
    <cellStyle name="Currency 2 2 3 3 2 2 2 2" xfId="15698" xr:uid="{00000000-0005-0000-0000-0000E32E0000}"/>
    <cellStyle name="Currency 2 2 3 3 2 2 2 2 2" xfId="35618" xr:uid="{00000000-0005-0000-0000-0000E42E0000}"/>
    <cellStyle name="Currency 2 2 3 3 2 2 2 3" xfId="21850" xr:uid="{00000000-0005-0000-0000-0000E52E0000}"/>
    <cellStyle name="Currency 2 2 3 3 2 2 2 3 2" xfId="41770" xr:uid="{00000000-0005-0000-0000-0000E62E0000}"/>
    <cellStyle name="Currency 2 2 3 3 2 2 2 4" xfId="29465" xr:uid="{00000000-0005-0000-0000-0000E72E0000}"/>
    <cellStyle name="Currency 2 2 3 3 2 2 3" xfId="12632" xr:uid="{00000000-0005-0000-0000-0000E82E0000}"/>
    <cellStyle name="Currency 2 2 3 3 2 2 3 2" xfId="32552" xr:uid="{00000000-0005-0000-0000-0000E92E0000}"/>
    <cellStyle name="Currency 2 2 3 3 2 2 4" xfId="18784" xr:uid="{00000000-0005-0000-0000-0000EA2E0000}"/>
    <cellStyle name="Currency 2 2 3 3 2 2 4 2" xfId="38704" xr:uid="{00000000-0005-0000-0000-0000EB2E0000}"/>
    <cellStyle name="Currency 2 2 3 3 2 2 5" xfId="26399" xr:uid="{00000000-0005-0000-0000-0000EC2E0000}"/>
    <cellStyle name="Currency 2 2 3 3 2 3" xfId="7970" xr:uid="{00000000-0005-0000-0000-0000ED2E0000}"/>
    <cellStyle name="Currency 2 2 3 3 2 3 2" xfId="14164" xr:uid="{00000000-0005-0000-0000-0000EE2E0000}"/>
    <cellStyle name="Currency 2 2 3 3 2 3 2 2" xfId="34084" xr:uid="{00000000-0005-0000-0000-0000EF2E0000}"/>
    <cellStyle name="Currency 2 2 3 3 2 3 3" xfId="20316" xr:uid="{00000000-0005-0000-0000-0000F02E0000}"/>
    <cellStyle name="Currency 2 2 3 3 2 3 3 2" xfId="40236" xr:uid="{00000000-0005-0000-0000-0000F12E0000}"/>
    <cellStyle name="Currency 2 2 3 3 2 3 4" xfId="27931" xr:uid="{00000000-0005-0000-0000-0000F22E0000}"/>
    <cellStyle name="Currency 2 2 3 3 2 4" xfId="11098" xr:uid="{00000000-0005-0000-0000-0000F32E0000}"/>
    <cellStyle name="Currency 2 2 3 3 2 4 2" xfId="31018" xr:uid="{00000000-0005-0000-0000-0000F42E0000}"/>
    <cellStyle name="Currency 2 2 3 3 2 5" xfId="17250" xr:uid="{00000000-0005-0000-0000-0000F52E0000}"/>
    <cellStyle name="Currency 2 2 3 3 2 5 2" xfId="37170" xr:uid="{00000000-0005-0000-0000-0000F62E0000}"/>
    <cellStyle name="Currency 2 2 3 3 2 6" xfId="24865" xr:uid="{00000000-0005-0000-0000-0000F72E0000}"/>
    <cellStyle name="Currency 2 2 3 3 3" xfId="5635" xr:uid="{00000000-0005-0000-0000-0000F82E0000}"/>
    <cellStyle name="Currency 2 2 3 3 3 2" xfId="8736" xr:uid="{00000000-0005-0000-0000-0000F92E0000}"/>
    <cellStyle name="Currency 2 2 3 3 3 2 2" xfId="14929" xr:uid="{00000000-0005-0000-0000-0000FA2E0000}"/>
    <cellStyle name="Currency 2 2 3 3 3 2 2 2" xfId="34849" xr:uid="{00000000-0005-0000-0000-0000FB2E0000}"/>
    <cellStyle name="Currency 2 2 3 3 3 2 3" xfId="21081" xr:uid="{00000000-0005-0000-0000-0000FC2E0000}"/>
    <cellStyle name="Currency 2 2 3 3 3 2 3 2" xfId="41001" xr:uid="{00000000-0005-0000-0000-0000FD2E0000}"/>
    <cellStyle name="Currency 2 2 3 3 3 2 4" xfId="28696" xr:uid="{00000000-0005-0000-0000-0000FE2E0000}"/>
    <cellStyle name="Currency 2 2 3 3 3 3" xfId="11863" xr:uid="{00000000-0005-0000-0000-0000FF2E0000}"/>
    <cellStyle name="Currency 2 2 3 3 3 3 2" xfId="31783" xr:uid="{00000000-0005-0000-0000-0000002F0000}"/>
    <cellStyle name="Currency 2 2 3 3 3 4" xfId="18015" xr:uid="{00000000-0005-0000-0000-0000012F0000}"/>
    <cellStyle name="Currency 2 2 3 3 3 4 2" xfId="37935" xr:uid="{00000000-0005-0000-0000-0000022F0000}"/>
    <cellStyle name="Currency 2 2 3 3 3 5" xfId="25630" xr:uid="{00000000-0005-0000-0000-0000032F0000}"/>
    <cellStyle name="Currency 2 2 3 3 4" xfId="7201" xr:uid="{00000000-0005-0000-0000-0000042F0000}"/>
    <cellStyle name="Currency 2 2 3 3 4 2" xfId="13395" xr:uid="{00000000-0005-0000-0000-0000052F0000}"/>
    <cellStyle name="Currency 2 2 3 3 4 2 2" xfId="33315" xr:uid="{00000000-0005-0000-0000-0000062F0000}"/>
    <cellStyle name="Currency 2 2 3 3 4 3" xfId="19547" xr:uid="{00000000-0005-0000-0000-0000072F0000}"/>
    <cellStyle name="Currency 2 2 3 3 4 3 2" xfId="39467" xr:uid="{00000000-0005-0000-0000-0000082F0000}"/>
    <cellStyle name="Currency 2 2 3 3 4 4" xfId="27162" xr:uid="{00000000-0005-0000-0000-0000092F0000}"/>
    <cellStyle name="Currency 2 2 3 3 5" xfId="10329" xr:uid="{00000000-0005-0000-0000-00000A2F0000}"/>
    <cellStyle name="Currency 2 2 3 3 5 2" xfId="30249" xr:uid="{00000000-0005-0000-0000-00000B2F0000}"/>
    <cellStyle name="Currency 2 2 3 3 6" xfId="16481" xr:uid="{00000000-0005-0000-0000-00000C2F0000}"/>
    <cellStyle name="Currency 2 2 3 3 6 2" xfId="36401" xr:uid="{00000000-0005-0000-0000-00000D2F0000}"/>
    <cellStyle name="Currency 2 2 3 3 7" xfId="24096" xr:uid="{00000000-0005-0000-0000-00000E2F0000}"/>
    <cellStyle name="Currency 2 2 3 4" xfId="3057" xr:uid="{00000000-0005-0000-0000-00000F2F0000}"/>
    <cellStyle name="Currency 2 2 3 4 2" xfId="4795" xr:uid="{00000000-0005-0000-0000-0000102F0000}"/>
    <cellStyle name="Currency 2 2 3 4 2 2" xfId="6420" xr:uid="{00000000-0005-0000-0000-0000112F0000}"/>
    <cellStyle name="Currency 2 2 3 4 2 2 2" xfId="9506" xr:uid="{00000000-0005-0000-0000-0000122F0000}"/>
    <cellStyle name="Currency 2 2 3 4 2 2 2 2" xfId="15699" xr:uid="{00000000-0005-0000-0000-0000132F0000}"/>
    <cellStyle name="Currency 2 2 3 4 2 2 2 2 2" xfId="35619" xr:uid="{00000000-0005-0000-0000-0000142F0000}"/>
    <cellStyle name="Currency 2 2 3 4 2 2 2 3" xfId="21851" xr:uid="{00000000-0005-0000-0000-0000152F0000}"/>
    <cellStyle name="Currency 2 2 3 4 2 2 2 3 2" xfId="41771" xr:uid="{00000000-0005-0000-0000-0000162F0000}"/>
    <cellStyle name="Currency 2 2 3 4 2 2 2 4" xfId="29466" xr:uid="{00000000-0005-0000-0000-0000172F0000}"/>
    <cellStyle name="Currency 2 2 3 4 2 2 3" xfId="12633" xr:uid="{00000000-0005-0000-0000-0000182F0000}"/>
    <cellStyle name="Currency 2 2 3 4 2 2 3 2" xfId="32553" xr:uid="{00000000-0005-0000-0000-0000192F0000}"/>
    <cellStyle name="Currency 2 2 3 4 2 2 4" xfId="18785" xr:uid="{00000000-0005-0000-0000-00001A2F0000}"/>
    <cellStyle name="Currency 2 2 3 4 2 2 4 2" xfId="38705" xr:uid="{00000000-0005-0000-0000-00001B2F0000}"/>
    <cellStyle name="Currency 2 2 3 4 2 2 5" xfId="26400" xr:uid="{00000000-0005-0000-0000-00001C2F0000}"/>
    <cellStyle name="Currency 2 2 3 4 2 3" xfId="7971" xr:uid="{00000000-0005-0000-0000-00001D2F0000}"/>
    <cellStyle name="Currency 2 2 3 4 2 3 2" xfId="14165" xr:uid="{00000000-0005-0000-0000-00001E2F0000}"/>
    <cellStyle name="Currency 2 2 3 4 2 3 2 2" xfId="34085" xr:uid="{00000000-0005-0000-0000-00001F2F0000}"/>
    <cellStyle name="Currency 2 2 3 4 2 3 3" xfId="20317" xr:uid="{00000000-0005-0000-0000-0000202F0000}"/>
    <cellStyle name="Currency 2 2 3 4 2 3 3 2" xfId="40237" xr:uid="{00000000-0005-0000-0000-0000212F0000}"/>
    <cellStyle name="Currency 2 2 3 4 2 3 4" xfId="27932" xr:uid="{00000000-0005-0000-0000-0000222F0000}"/>
    <cellStyle name="Currency 2 2 3 4 2 4" xfId="11099" xr:uid="{00000000-0005-0000-0000-0000232F0000}"/>
    <cellStyle name="Currency 2 2 3 4 2 4 2" xfId="31019" xr:uid="{00000000-0005-0000-0000-0000242F0000}"/>
    <cellStyle name="Currency 2 2 3 4 2 5" xfId="17251" xr:uid="{00000000-0005-0000-0000-0000252F0000}"/>
    <cellStyle name="Currency 2 2 3 4 2 5 2" xfId="37171" xr:uid="{00000000-0005-0000-0000-0000262F0000}"/>
    <cellStyle name="Currency 2 2 3 4 2 6" xfId="24866" xr:uid="{00000000-0005-0000-0000-0000272F0000}"/>
    <cellStyle name="Currency 2 2 3 4 3" xfId="5636" xr:uid="{00000000-0005-0000-0000-0000282F0000}"/>
    <cellStyle name="Currency 2 2 3 4 3 2" xfId="8737" xr:uid="{00000000-0005-0000-0000-0000292F0000}"/>
    <cellStyle name="Currency 2 2 3 4 3 2 2" xfId="14930" xr:uid="{00000000-0005-0000-0000-00002A2F0000}"/>
    <cellStyle name="Currency 2 2 3 4 3 2 2 2" xfId="34850" xr:uid="{00000000-0005-0000-0000-00002B2F0000}"/>
    <cellStyle name="Currency 2 2 3 4 3 2 3" xfId="21082" xr:uid="{00000000-0005-0000-0000-00002C2F0000}"/>
    <cellStyle name="Currency 2 2 3 4 3 2 3 2" xfId="41002" xr:uid="{00000000-0005-0000-0000-00002D2F0000}"/>
    <cellStyle name="Currency 2 2 3 4 3 2 4" xfId="28697" xr:uid="{00000000-0005-0000-0000-00002E2F0000}"/>
    <cellStyle name="Currency 2 2 3 4 3 3" xfId="11864" xr:uid="{00000000-0005-0000-0000-00002F2F0000}"/>
    <cellStyle name="Currency 2 2 3 4 3 3 2" xfId="31784" xr:uid="{00000000-0005-0000-0000-0000302F0000}"/>
    <cellStyle name="Currency 2 2 3 4 3 4" xfId="18016" xr:uid="{00000000-0005-0000-0000-0000312F0000}"/>
    <cellStyle name="Currency 2 2 3 4 3 4 2" xfId="37936" xr:uid="{00000000-0005-0000-0000-0000322F0000}"/>
    <cellStyle name="Currency 2 2 3 4 3 5" xfId="25631" xr:uid="{00000000-0005-0000-0000-0000332F0000}"/>
    <cellStyle name="Currency 2 2 3 4 4" xfId="7202" xr:uid="{00000000-0005-0000-0000-0000342F0000}"/>
    <cellStyle name="Currency 2 2 3 4 4 2" xfId="13396" xr:uid="{00000000-0005-0000-0000-0000352F0000}"/>
    <cellStyle name="Currency 2 2 3 4 4 2 2" xfId="33316" xr:uid="{00000000-0005-0000-0000-0000362F0000}"/>
    <cellStyle name="Currency 2 2 3 4 4 3" xfId="19548" xr:uid="{00000000-0005-0000-0000-0000372F0000}"/>
    <cellStyle name="Currency 2 2 3 4 4 3 2" xfId="39468" xr:uid="{00000000-0005-0000-0000-0000382F0000}"/>
    <cellStyle name="Currency 2 2 3 4 4 4" xfId="27163" xr:uid="{00000000-0005-0000-0000-0000392F0000}"/>
    <cellStyle name="Currency 2 2 3 4 5" xfId="10330" xr:uid="{00000000-0005-0000-0000-00003A2F0000}"/>
    <cellStyle name="Currency 2 2 3 4 5 2" xfId="30250" xr:uid="{00000000-0005-0000-0000-00003B2F0000}"/>
    <cellStyle name="Currency 2 2 3 4 6" xfId="16482" xr:uid="{00000000-0005-0000-0000-00003C2F0000}"/>
    <cellStyle name="Currency 2 2 3 4 6 2" xfId="36402" xr:uid="{00000000-0005-0000-0000-00003D2F0000}"/>
    <cellStyle name="Currency 2 2 3 4 7" xfId="24097" xr:uid="{00000000-0005-0000-0000-00003E2F0000}"/>
    <cellStyle name="Currency 2 2 3 5" xfId="3058" xr:uid="{00000000-0005-0000-0000-00003F2F0000}"/>
    <cellStyle name="Currency 2 2 3 5 2" xfId="4796" xr:uid="{00000000-0005-0000-0000-0000402F0000}"/>
    <cellStyle name="Currency 2 2 3 5 2 2" xfId="6421" xr:uid="{00000000-0005-0000-0000-0000412F0000}"/>
    <cellStyle name="Currency 2 2 3 5 2 2 2" xfId="9507" xr:uid="{00000000-0005-0000-0000-0000422F0000}"/>
    <cellStyle name="Currency 2 2 3 5 2 2 2 2" xfId="15700" xr:uid="{00000000-0005-0000-0000-0000432F0000}"/>
    <cellStyle name="Currency 2 2 3 5 2 2 2 2 2" xfId="35620" xr:uid="{00000000-0005-0000-0000-0000442F0000}"/>
    <cellStyle name="Currency 2 2 3 5 2 2 2 3" xfId="21852" xr:uid="{00000000-0005-0000-0000-0000452F0000}"/>
    <cellStyle name="Currency 2 2 3 5 2 2 2 3 2" xfId="41772" xr:uid="{00000000-0005-0000-0000-0000462F0000}"/>
    <cellStyle name="Currency 2 2 3 5 2 2 2 4" xfId="29467" xr:uid="{00000000-0005-0000-0000-0000472F0000}"/>
    <cellStyle name="Currency 2 2 3 5 2 2 3" xfId="12634" xr:uid="{00000000-0005-0000-0000-0000482F0000}"/>
    <cellStyle name="Currency 2 2 3 5 2 2 3 2" xfId="32554" xr:uid="{00000000-0005-0000-0000-0000492F0000}"/>
    <cellStyle name="Currency 2 2 3 5 2 2 4" xfId="18786" xr:uid="{00000000-0005-0000-0000-00004A2F0000}"/>
    <cellStyle name="Currency 2 2 3 5 2 2 4 2" xfId="38706" xr:uid="{00000000-0005-0000-0000-00004B2F0000}"/>
    <cellStyle name="Currency 2 2 3 5 2 2 5" xfId="26401" xr:uid="{00000000-0005-0000-0000-00004C2F0000}"/>
    <cellStyle name="Currency 2 2 3 5 2 3" xfId="7972" xr:uid="{00000000-0005-0000-0000-00004D2F0000}"/>
    <cellStyle name="Currency 2 2 3 5 2 3 2" xfId="14166" xr:uid="{00000000-0005-0000-0000-00004E2F0000}"/>
    <cellStyle name="Currency 2 2 3 5 2 3 2 2" xfId="34086" xr:uid="{00000000-0005-0000-0000-00004F2F0000}"/>
    <cellStyle name="Currency 2 2 3 5 2 3 3" xfId="20318" xr:uid="{00000000-0005-0000-0000-0000502F0000}"/>
    <cellStyle name="Currency 2 2 3 5 2 3 3 2" xfId="40238" xr:uid="{00000000-0005-0000-0000-0000512F0000}"/>
    <cellStyle name="Currency 2 2 3 5 2 3 4" xfId="27933" xr:uid="{00000000-0005-0000-0000-0000522F0000}"/>
    <cellStyle name="Currency 2 2 3 5 2 4" xfId="11100" xr:uid="{00000000-0005-0000-0000-0000532F0000}"/>
    <cellStyle name="Currency 2 2 3 5 2 4 2" xfId="31020" xr:uid="{00000000-0005-0000-0000-0000542F0000}"/>
    <cellStyle name="Currency 2 2 3 5 2 5" xfId="17252" xr:uid="{00000000-0005-0000-0000-0000552F0000}"/>
    <cellStyle name="Currency 2 2 3 5 2 5 2" xfId="37172" xr:uid="{00000000-0005-0000-0000-0000562F0000}"/>
    <cellStyle name="Currency 2 2 3 5 2 6" xfId="24867" xr:uid="{00000000-0005-0000-0000-0000572F0000}"/>
    <cellStyle name="Currency 2 2 3 5 3" xfId="5637" xr:uid="{00000000-0005-0000-0000-0000582F0000}"/>
    <cellStyle name="Currency 2 2 3 5 3 2" xfId="8738" xr:uid="{00000000-0005-0000-0000-0000592F0000}"/>
    <cellStyle name="Currency 2 2 3 5 3 2 2" xfId="14931" xr:uid="{00000000-0005-0000-0000-00005A2F0000}"/>
    <cellStyle name="Currency 2 2 3 5 3 2 2 2" xfId="34851" xr:uid="{00000000-0005-0000-0000-00005B2F0000}"/>
    <cellStyle name="Currency 2 2 3 5 3 2 3" xfId="21083" xr:uid="{00000000-0005-0000-0000-00005C2F0000}"/>
    <cellStyle name="Currency 2 2 3 5 3 2 3 2" xfId="41003" xr:uid="{00000000-0005-0000-0000-00005D2F0000}"/>
    <cellStyle name="Currency 2 2 3 5 3 2 4" xfId="28698" xr:uid="{00000000-0005-0000-0000-00005E2F0000}"/>
    <cellStyle name="Currency 2 2 3 5 3 3" xfId="11865" xr:uid="{00000000-0005-0000-0000-00005F2F0000}"/>
    <cellStyle name="Currency 2 2 3 5 3 3 2" xfId="31785" xr:uid="{00000000-0005-0000-0000-0000602F0000}"/>
    <cellStyle name="Currency 2 2 3 5 3 4" xfId="18017" xr:uid="{00000000-0005-0000-0000-0000612F0000}"/>
    <cellStyle name="Currency 2 2 3 5 3 4 2" xfId="37937" xr:uid="{00000000-0005-0000-0000-0000622F0000}"/>
    <cellStyle name="Currency 2 2 3 5 3 5" xfId="25632" xr:uid="{00000000-0005-0000-0000-0000632F0000}"/>
    <cellStyle name="Currency 2 2 3 5 4" xfId="7203" xr:uid="{00000000-0005-0000-0000-0000642F0000}"/>
    <cellStyle name="Currency 2 2 3 5 4 2" xfId="13397" xr:uid="{00000000-0005-0000-0000-0000652F0000}"/>
    <cellStyle name="Currency 2 2 3 5 4 2 2" xfId="33317" xr:uid="{00000000-0005-0000-0000-0000662F0000}"/>
    <cellStyle name="Currency 2 2 3 5 4 3" xfId="19549" xr:uid="{00000000-0005-0000-0000-0000672F0000}"/>
    <cellStyle name="Currency 2 2 3 5 4 3 2" xfId="39469" xr:uid="{00000000-0005-0000-0000-0000682F0000}"/>
    <cellStyle name="Currency 2 2 3 5 4 4" xfId="27164" xr:uid="{00000000-0005-0000-0000-0000692F0000}"/>
    <cellStyle name="Currency 2 2 3 5 5" xfId="10331" xr:uid="{00000000-0005-0000-0000-00006A2F0000}"/>
    <cellStyle name="Currency 2 2 3 5 5 2" xfId="30251" xr:uid="{00000000-0005-0000-0000-00006B2F0000}"/>
    <cellStyle name="Currency 2 2 3 5 6" xfId="16483" xr:uid="{00000000-0005-0000-0000-00006C2F0000}"/>
    <cellStyle name="Currency 2 2 3 5 6 2" xfId="36403" xr:uid="{00000000-0005-0000-0000-00006D2F0000}"/>
    <cellStyle name="Currency 2 2 3 5 7" xfId="24098" xr:uid="{00000000-0005-0000-0000-00006E2F0000}"/>
    <cellStyle name="Currency 2 2 3 6" xfId="4792" xr:uid="{00000000-0005-0000-0000-00006F2F0000}"/>
    <cellStyle name="Currency 2 2 3 6 2" xfId="6417" xr:uid="{00000000-0005-0000-0000-0000702F0000}"/>
    <cellStyle name="Currency 2 2 3 6 2 2" xfId="9503" xr:uid="{00000000-0005-0000-0000-0000712F0000}"/>
    <cellStyle name="Currency 2 2 3 6 2 2 2" xfId="15696" xr:uid="{00000000-0005-0000-0000-0000722F0000}"/>
    <cellStyle name="Currency 2 2 3 6 2 2 2 2" xfId="35616" xr:uid="{00000000-0005-0000-0000-0000732F0000}"/>
    <cellStyle name="Currency 2 2 3 6 2 2 3" xfId="21848" xr:uid="{00000000-0005-0000-0000-0000742F0000}"/>
    <cellStyle name="Currency 2 2 3 6 2 2 3 2" xfId="41768" xr:uid="{00000000-0005-0000-0000-0000752F0000}"/>
    <cellStyle name="Currency 2 2 3 6 2 2 4" xfId="29463" xr:uid="{00000000-0005-0000-0000-0000762F0000}"/>
    <cellStyle name="Currency 2 2 3 6 2 3" xfId="12630" xr:uid="{00000000-0005-0000-0000-0000772F0000}"/>
    <cellStyle name="Currency 2 2 3 6 2 3 2" xfId="32550" xr:uid="{00000000-0005-0000-0000-0000782F0000}"/>
    <cellStyle name="Currency 2 2 3 6 2 4" xfId="18782" xr:uid="{00000000-0005-0000-0000-0000792F0000}"/>
    <cellStyle name="Currency 2 2 3 6 2 4 2" xfId="38702" xr:uid="{00000000-0005-0000-0000-00007A2F0000}"/>
    <cellStyle name="Currency 2 2 3 6 2 5" xfId="26397" xr:uid="{00000000-0005-0000-0000-00007B2F0000}"/>
    <cellStyle name="Currency 2 2 3 6 3" xfId="7968" xr:uid="{00000000-0005-0000-0000-00007C2F0000}"/>
    <cellStyle name="Currency 2 2 3 6 3 2" xfId="14162" xr:uid="{00000000-0005-0000-0000-00007D2F0000}"/>
    <cellStyle name="Currency 2 2 3 6 3 2 2" xfId="34082" xr:uid="{00000000-0005-0000-0000-00007E2F0000}"/>
    <cellStyle name="Currency 2 2 3 6 3 3" xfId="20314" xr:uid="{00000000-0005-0000-0000-00007F2F0000}"/>
    <cellStyle name="Currency 2 2 3 6 3 3 2" xfId="40234" xr:uid="{00000000-0005-0000-0000-0000802F0000}"/>
    <cellStyle name="Currency 2 2 3 6 3 4" xfId="27929" xr:uid="{00000000-0005-0000-0000-0000812F0000}"/>
    <cellStyle name="Currency 2 2 3 6 4" xfId="11096" xr:uid="{00000000-0005-0000-0000-0000822F0000}"/>
    <cellStyle name="Currency 2 2 3 6 4 2" xfId="31016" xr:uid="{00000000-0005-0000-0000-0000832F0000}"/>
    <cellStyle name="Currency 2 2 3 6 5" xfId="17248" xr:uid="{00000000-0005-0000-0000-0000842F0000}"/>
    <cellStyle name="Currency 2 2 3 6 5 2" xfId="37168" xr:uid="{00000000-0005-0000-0000-0000852F0000}"/>
    <cellStyle name="Currency 2 2 3 6 6" xfId="24863" xr:uid="{00000000-0005-0000-0000-0000862F0000}"/>
    <cellStyle name="Currency 2 2 3 7" xfId="5633" xr:uid="{00000000-0005-0000-0000-0000872F0000}"/>
    <cellStyle name="Currency 2 2 3 7 2" xfId="8734" xr:uid="{00000000-0005-0000-0000-0000882F0000}"/>
    <cellStyle name="Currency 2 2 3 7 2 2" xfId="14927" xr:uid="{00000000-0005-0000-0000-0000892F0000}"/>
    <cellStyle name="Currency 2 2 3 7 2 2 2" xfId="34847" xr:uid="{00000000-0005-0000-0000-00008A2F0000}"/>
    <cellStyle name="Currency 2 2 3 7 2 3" xfId="21079" xr:uid="{00000000-0005-0000-0000-00008B2F0000}"/>
    <cellStyle name="Currency 2 2 3 7 2 3 2" xfId="40999" xr:uid="{00000000-0005-0000-0000-00008C2F0000}"/>
    <cellStyle name="Currency 2 2 3 7 2 4" xfId="28694" xr:uid="{00000000-0005-0000-0000-00008D2F0000}"/>
    <cellStyle name="Currency 2 2 3 7 3" xfId="11861" xr:uid="{00000000-0005-0000-0000-00008E2F0000}"/>
    <cellStyle name="Currency 2 2 3 7 3 2" xfId="31781" xr:uid="{00000000-0005-0000-0000-00008F2F0000}"/>
    <cellStyle name="Currency 2 2 3 7 4" xfId="18013" xr:uid="{00000000-0005-0000-0000-0000902F0000}"/>
    <cellStyle name="Currency 2 2 3 7 4 2" xfId="37933" xr:uid="{00000000-0005-0000-0000-0000912F0000}"/>
    <cellStyle name="Currency 2 2 3 7 5" xfId="25628" xr:uid="{00000000-0005-0000-0000-0000922F0000}"/>
    <cellStyle name="Currency 2 2 3 8" xfId="7199" xr:uid="{00000000-0005-0000-0000-0000932F0000}"/>
    <cellStyle name="Currency 2 2 3 8 2" xfId="13393" xr:uid="{00000000-0005-0000-0000-0000942F0000}"/>
    <cellStyle name="Currency 2 2 3 8 2 2" xfId="33313" xr:uid="{00000000-0005-0000-0000-0000952F0000}"/>
    <cellStyle name="Currency 2 2 3 8 3" xfId="19545" xr:uid="{00000000-0005-0000-0000-0000962F0000}"/>
    <cellStyle name="Currency 2 2 3 8 3 2" xfId="39465" xr:uid="{00000000-0005-0000-0000-0000972F0000}"/>
    <cellStyle name="Currency 2 2 3 8 4" xfId="27160" xr:uid="{00000000-0005-0000-0000-0000982F0000}"/>
    <cellStyle name="Currency 2 2 3 9" xfId="10327" xr:uid="{00000000-0005-0000-0000-0000992F0000}"/>
    <cellStyle name="Currency 2 2 3 9 2" xfId="30247" xr:uid="{00000000-0005-0000-0000-00009A2F0000}"/>
    <cellStyle name="Currency 2 2 4" xfId="3059" xr:uid="{00000000-0005-0000-0000-00009B2F0000}"/>
    <cellStyle name="Currency 2 2 4 2" xfId="4797" xr:uid="{00000000-0005-0000-0000-00009C2F0000}"/>
    <cellStyle name="Currency 2 2 4 2 2" xfId="6422" xr:uid="{00000000-0005-0000-0000-00009D2F0000}"/>
    <cellStyle name="Currency 2 2 4 2 2 2" xfId="9508" xr:uid="{00000000-0005-0000-0000-00009E2F0000}"/>
    <cellStyle name="Currency 2 2 4 2 2 2 2" xfId="15701" xr:uid="{00000000-0005-0000-0000-00009F2F0000}"/>
    <cellStyle name="Currency 2 2 4 2 2 2 2 2" xfId="35621" xr:uid="{00000000-0005-0000-0000-0000A02F0000}"/>
    <cellStyle name="Currency 2 2 4 2 2 2 3" xfId="21853" xr:uid="{00000000-0005-0000-0000-0000A12F0000}"/>
    <cellStyle name="Currency 2 2 4 2 2 2 3 2" xfId="41773" xr:uid="{00000000-0005-0000-0000-0000A22F0000}"/>
    <cellStyle name="Currency 2 2 4 2 2 2 4" xfId="29468" xr:uid="{00000000-0005-0000-0000-0000A32F0000}"/>
    <cellStyle name="Currency 2 2 4 2 2 3" xfId="12635" xr:uid="{00000000-0005-0000-0000-0000A42F0000}"/>
    <cellStyle name="Currency 2 2 4 2 2 3 2" xfId="32555" xr:uid="{00000000-0005-0000-0000-0000A52F0000}"/>
    <cellStyle name="Currency 2 2 4 2 2 4" xfId="18787" xr:uid="{00000000-0005-0000-0000-0000A62F0000}"/>
    <cellStyle name="Currency 2 2 4 2 2 4 2" xfId="38707" xr:uid="{00000000-0005-0000-0000-0000A72F0000}"/>
    <cellStyle name="Currency 2 2 4 2 2 5" xfId="26402" xr:uid="{00000000-0005-0000-0000-0000A82F0000}"/>
    <cellStyle name="Currency 2 2 4 2 3" xfId="7973" xr:uid="{00000000-0005-0000-0000-0000A92F0000}"/>
    <cellStyle name="Currency 2 2 4 2 3 2" xfId="14167" xr:uid="{00000000-0005-0000-0000-0000AA2F0000}"/>
    <cellStyle name="Currency 2 2 4 2 3 2 2" xfId="34087" xr:uid="{00000000-0005-0000-0000-0000AB2F0000}"/>
    <cellStyle name="Currency 2 2 4 2 3 3" xfId="20319" xr:uid="{00000000-0005-0000-0000-0000AC2F0000}"/>
    <cellStyle name="Currency 2 2 4 2 3 3 2" xfId="40239" xr:uid="{00000000-0005-0000-0000-0000AD2F0000}"/>
    <cellStyle name="Currency 2 2 4 2 3 4" xfId="27934" xr:uid="{00000000-0005-0000-0000-0000AE2F0000}"/>
    <cellStyle name="Currency 2 2 4 2 4" xfId="11101" xr:uid="{00000000-0005-0000-0000-0000AF2F0000}"/>
    <cellStyle name="Currency 2 2 4 2 4 2" xfId="31021" xr:uid="{00000000-0005-0000-0000-0000B02F0000}"/>
    <cellStyle name="Currency 2 2 4 2 5" xfId="17253" xr:uid="{00000000-0005-0000-0000-0000B12F0000}"/>
    <cellStyle name="Currency 2 2 4 2 5 2" xfId="37173" xr:uid="{00000000-0005-0000-0000-0000B22F0000}"/>
    <cellStyle name="Currency 2 2 4 2 6" xfId="24868" xr:uid="{00000000-0005-0000-0000-0000B32F0000}"/>
    <cellStyle name="Currency 2 2 4 3" xfId="5638" xr:uid="{00000000-0005-0000-0000-0000B42F0000}"/>
    <cellStyle name="Currency 2 2 4 3 2" xfId="8739" xr:uid="{00000000-0005-0000-0000-0000B52F0000}"/>
    <cellStyle name="Currency 2 2 4 3 2 2" xfId="14932" xr:uid="{00000000-0005-0000-0000-0000B62F0000}"/>
    <cellStyle name="Currency 2 2 4 3 2 2 2" xfId="34852" xr:uid="{00000000-0005-0000-0000-0000B72F0000}"/>
    <cellStyle name="Currency 2 2 4 3 2 3" xfId="21084" xr:uid="{00000000-0005-0000-0000-0000B82F0000}"/>
    <cellStyle name="Currency 2 2 4 3 2 3 2" xfId="41004" xr:uid="{00000000-0005-0000-0000-0000B92F0000}"/>
    <cellStyle name="Currency 2 2 4 3 2 4" xfId="28699" xr:uid="{00000000-0005-0000-0000-0000BA2F0000}"/>
    <cellStyle name="Currency 2 2 4 3 3" xfId="11866" xr:uid="{00000000-0005-0000-0000-0000BB2F0000}"/>
    <cellStyle name="Currency 2 2 4 3 3 2" xfId="31786" xr:uid="{00000000-0005-0000-0000-0000BC2F0000}"/>
    <cellStyle name="Currency 2 2 4 3 4" xfId="18018" xr:uid="{00000000-0005-0000-0000-0000BD2F0000}"/>
    <cellStyle name="Currency 2 2 4 3 4 2" xfId="37938" xr:uid="{00000000-0005-0000-0000-0000BE2F0000}"/>
    <cellStyle name="Currency 2 2 4 3 5" xfId="25633" xr:uid="{00000000-0005-0000-0000-0000BF2F0000}"/>
    <cellStyle name="Currency 2 2 4 4" xfId="7204" xr:uid="{00000000-0005-0000-0000-0000C02F0000}"/>
    <cellStyle name="Currency 2 2 4 4 2" xfId="13398" xr:uid="{00000000-0005-0000-0000-0000C12F0000}"/>
    <cellStyle name="Currency 2 2 4 4 2 2" xfId="33318" xr:uid="{00000000-0005-0000-0000-0000C22F0000}"/>
    <cellStyle name="Currency 2 2 4 4 3" xfId="19550" xr:uid="{00000000-0005-0000-0000-0000C32F0000}"/>
    <cellStyle name="Currency 2 2 4 4 3 2" xfId="39470" xr:uid="{00000000-0005-0000-0000-0000C42F0000}"/>
    <cellStyle name="Currency 2 2 4 4 4" xfId="27165" xr:uid="{00000000-0005-0000-0000-0000C52F0000}"/>
    <cellStyle name="Currency 2 2 4 5" xfId="10332" xr:uid="{00000000-0005-0000-0000-0000C62F0000}"/>
    <cellStyle name="Currency 2 2 4 5 2" xfId="30252" xr:uid="{00000000-0005-0000-0000-0000C72F0000}"/>
    <cellStyle name="Currency 2 2 4 6" xfId="16484" xr:uid="{00000000-0005-0000-0000-0000C82F0000}"/>
    <cellStyle name="Currency 2 2 4 6 2" xfId="36404" xr:uid="{00000000-0005-0000-0000-0000C92F0000}"/>
    <cellStyle name="Currency 2 2 4 7" xfId="24099" xr:uid="{00000000-0005-0000-0000-0000CA2F0000}"/>
    <cellStyle name="Currency 2 2 5" xfId="3060" xr:uid="{00000000-0005-0000-0000-0000CB2F0000}"/>
    <cellStyle name="Currency 2 2 5 2" xfId="4798" xr:uid="{00000000-0005-0000-0000-0000CC2F0000}"/>
    <cellStyle name="Currency 2 2 5 2 2" xfId="6423" xr:uid="{00000000-0005-0000-0000-0000CD2F0000}"/>
    <cellStyle name="Currency 2 2 5 2 2 2" xfId="9509" xr:uid="{00000000-0005-0000-0000-0000CE2F0000}"/>
    <cellStyle name="Currency 2 2 5 2 2 2 2" xfId="15702" xr:uid="{00000000-0005-0000-0000-0000CF2F0000}"/>
    <cellStyle name="Currency 2 2 5 2 2 2 2 2" xfId="35622" xr:uid="{00000000-0005-0000-0000-0000D02F0000}"/>
    <cellStyle name="Currency 2 2 5 2 2 2 3" xfId="21854" xr:uid="{00000000-0005-0000-0000-0000D12F0000}"/>
    <cellStyle name="Currency 2 2 5 2 2 2 3 2" xfId="41774" xr:uid="{00000000-0005-0000-0000-0000D22F0000}"/>
    <cellStyle name="Currency 2 2 5 2 2 2 4" xfId="29469" xr:uid="{00000000-0005-0000-0000-0000D32F0000}"/>
    <cellStyle name="Currency 2 2 5 2 2 3" xfId="12636" xr:uid="{00000000-0005-0000-0000-0000D42F0000}"/>
    <cellStyle name="Currency 2 2 5 2 2 3 2" xfId="32556" xr:uid="{00000000-0005-0000-0000-0000D52F0000}"/>
    <cellStyle name="Currency 2 2 5 2 2 4" xfId="18788" xr:uid="{00000000-0005-0000-0000-0000D62F0000}"/>
    <cellStyle name="Currency 2 2 5 2 2 4 2" xfId="38708" xr:uid="{00000000-0005-0000-0000-0000D72F0000}"/>
    <cellStyle name="Currency 2 2 5 2 2 5" xfId="26403" xr:uid="{00000000-0005-0000-0000-0000D82F0000}"/>
    <cellStyle name="Currency 2 2 5 2 3" xfId="7974" xr:uid="{00000000-0005-0000-0000-0000D92F0000}"/>
    <cellStyle name="Currency 2 2 5 2 3 2" xfId="14168" xr:uid="{00000000-0005-0000-0000-0000DA2F0000}"/>
    <cellStyle name="Currency 2 2 5 2 3 2 2" xfId="34088" xr:uid="{00000000-0005-0000-0000-0000DB2F0000}"/>
    <cellStyle name="Currency 2 2 5 2 3 3" xfId="20320" xr:uid="{00000000-0005-0000-0000-0000DC2F0000}"/>
    <cellStyle name="Currency 2 2 5 2 3 3 2" xfId="40240" xr:uid="{00000000-0005-0000-0000-0000DD2F0000}"/>
    <cellStyle name="Currency 2 2 5 2 3 4" xfId="27935" xr:uid="{00000000-0005-0000-0000-0000DE2F0000}"/>
    <cellStyle name="Currency 2 2 5 2 4" xfId="11102" xr:uid="{00000000-0005-0000-0000-0000DF2F0000}"/>
    <cellStyle name="Currency 2 2 5 2 4 2" xfId="31022" xr:uid="{00000000-0005-0000-0000-0000E02F0000}"/>
    <cellStyle name="Currency 2 2 5 2 5" xfId="17254" xr:uid="{00000000-0005-0000-0000-0000E12F0000}"/>
    <cellStyle name="Currency 2 2 5 2 5 2" xfId="37174" xr:uid="{00000000-0005-0000-0000-0000E22F0000}"/>
    <cellStyle name="Currency 2 2 5 2 6" xfId="24869" xr:uid="{00000000-0005-0000-0000-0000E32F0000}"/>
    <cellStyle name="Currency 2 2 5 3" xfId="5639" xr:uid="{00000000-0005-0000-0000-0000E42F0000}"/>
    <cellStyle name="Currency 2 2 5 3 2" xfId="8740" xr:uid="{00000000-0005-0000-0000-0000E52F0000}"/>
    <cellStyle name="Currency 2 2 5 3 2 2" xfId="14933" xr:uid="{00000000-0005-0000-0000-0000E62F0000}"/>
    <cellStyle name="Currency 2 2 5 3 2 2 2" xfId="34853" xr:uid="{00000000-0005-0000-0000-0000E72F0000}"/>
    <cellStyle name="Currency 2 2 5 3 2 3" xfId="21085" xr:uid="{00000000-0005-0000-0000-0000E82F0000}"/>
    <cellStyle name="Currency 2 2 5 3 2 3 2" xfId="41005" xr:uid="{00000000-0005-0000-0000-0000E92F0000}"/>
    <cellStyle name="Currency 2 2 5 3 2 4" xfId="28700" xr:uid="{00000000-0005-0000-0000-0000EA2F0000}"/>
    <cellStyle name="Currency 2 2 5 3 3" xfId="11867" xr:uid="{00000000-0005-0000-0000-0000EB2F0000}"/>
    <cellStyle name="Currency 2 2 5 3 3 2" xfId="31787" xr:uid="{00000000-0005-0000-0000-0000EC2F0000}"/>
    <cellStyle name="Currency 2 2 5 3 4" xfId="18019" xr:uid="{00000000-0005-0000-0000-0000ED2F0000}"/>
    <cellStyle name="Currency 2 2 5 3 4 2" xfId="37939" xr:uid="{00000000-0005-0000-0000-0000EE2F0000}"/>
    <cellStyle name="Currency 2 2 5 3 5" xfId="25634" xr:uid="{00000000-0005-0000-0000-0000EF2F0000}"/>
    <cellStyle name="Currency 2 2 5 4" xfId="7205" xr:uid="{00000000-0005-0000-0000-0000F02F0000}"/>
    <cellStyle name="Currency 2 2 5 4 2" xfId="13399" xr:uid="{00000000-0005-0000-0000-0000F12F0000}"/>
    <cellStyle name="Currency 2 2 5 4 2 2" xfId="33319" xr:uid="{00000000-0005-0000-0000-0000F22F0000}"/>
    <cellStyle name="Currency 2 2 5 4 3" xfId="19551" xr:uid="{00000000-0005-0000-0000-0000F32F0000}"/>
    <cellStyle name="Currency 2 2 5 4 3 2" xfId="39471" xr:uid="{00000000-0005-0000-0000-0000F42F0000}"/>
    <cellStyle name="Currency 2 2 5 4 4" xfId="27166" xr:uid="{00000000-0005-0000-0000-0000F52F0000}"/>
    <cellStyle name="Currency 2 2 5 5" xfId="10333" xr:uid="{00000000-0005-0000-0000-0000F62F0000}"/>
    <cellStyle name="Currency 2 2 5 5 2" xfId="30253" xr:uid="{00000000-0005-0000-0000-0000F72F0000}"/>
    <cellStyle name="Currency 2 2 5 6" xfId="16485" xr:uid="{00000000-0005-0000-0000-0000F82F0000}"/>
    <cellStyle name="Currency 2 2 5 6 2" xfId="36405" xr:uid="{00000000-0005-0000-0000-0000F92F0000}"/>
    <cellStyle name="Currency 2 2 5 7" xfId="24100" xr:uid="{00000000-0005-0000-0000-0000FA2F0000}"/>
    <cellStyle name="Currency 2 2 6" xfId="3061" xr:uid="{00000000-0005-0000-0000-0000FB2F0000}"/>
    <cellStyle name="Currency 2 2 6 2" xfId="4799" xr:uid="{00000000-0005-0000-0000-0000FC2F0000}"/>
    <cellStyle name="Currency 2 2 6 2 2" xfId="6424" xr:uid="{00000000-0005-0000-0000-0000FD2F0000}"/>
    <cellStyle name="Currency 2 2 6 2 2 2" xfId="9510" xr:uid="{00000000-0005-0000-0000-0000FE2F0000}"/>
    <cellStyle name="Currency 2 2 6 2 2 2 2" xfId="15703" xr:uid="{00000000-0005-0000-0000-0000FF2F0000}"/>
    <cellStyle name="Currency 2 2 6 2 2 2 2 2" xfId="35623" xr:uid="{00000000-0005-0000-0000-000000300000}"/>
    <cellStyle name="Currency 2 2 6 2 2 2 3" xfId="21855" xr:uid="{00000000-0005-0000-0000-000001300000}"/>
    <cellStyle name="Currency 2 2 6 2 2 2 3 2" xfId="41775" xr:uid="{00000000-0005-0000-0000-000002300000}"/>
    <cellStyle name="Currency 2 2 6 2 2 2 4" xfId="29470" xr:uid="{00000000-0005-0000-0000-000003300000}"/>
    <cellStyle name="Currency 2 2 6 2 2 3" xfId="12637" xr:uid="{00000000-0005-0000-0000-000004300000}"/>
    <cellStyle name="Currency 2 2 6 2 2 3 2" xfId="32557" xr:uid="{00000000-0005-0000-0000-000005300000}"/>
    <cellStyle name="Currency 2 2 6 2 2 4" xfId="18789" xr:uid="{00000000-0005-0000-0000-000006300000}"/>
    <cellStyle name="Currency 2 2 6 2 2 4 2" xfId="38709" xr:uid="{00000000-0005-0000-0000-000007300000}"/>
    <cellStyle name="Currency 2 2 6 2 2 5" xfId="26404" xr:uid="{00000000-0005-0000-0000-000008300000}"/>
    <cellStyle name="Currency 2 2 6 2 3" xfId="7975" xr:uid="{00000000-0005-0000-0000-000009300000}"/>
    <cellStyle name="Currency 2 2 6 2 3 2" xfId="14169" xr:uid="{00000000-0005-0000-0000-00000A300000}"/>
    <cellStyle name="Currency 2 2 6 2 3 2 2" xfId="34089" xr:uid="{00000000-0005-0000-0000-00000B300000}"/>
    <cellStyle name="Currency 2 2 6 2 3 3" xfId="20321" xr:uid="{00000000-0005-0000-0000-00000C300000}"/>
    <cellStyle name="Currency 2 2 6 2 3 3 2" xfId="40241" xr:uid="{00000000-0005-0000-0000-00000D300000}"/>
    <cellStyle name="Currency 2 2 6 2 3 4" xfId="27936" xr:uid="{00000000-0005-0000-0000-00000E300000}"/>
    <cellStyle name="Currency 2 2 6 2 4" xfId="11103" xr:uid="{00000000-0005-0000-0000-00000F300000}"/>
    <cellStyle name="Currency 2 2 6 2 4 2" xfId="31023" xr:uid="{00000000-0005-0000-0000-000010300000}"/>
    <cellStyle name="Currency 2 2 6 2 5" xfId="17255" xr:uid="{00000000-0005-0000-0000-000011300000}"/>
    <cellStyle name="Currency 2 2 6 2 5 2" xfId="37175" xr:uid="{00000000-0005-0000-0000-000012300000}"/>
    <cellStyle name="Currency 2 2 6 2 6" xfId="24870" xr:uid="{00000000-0005-0000-0000-000013300000}"/>
    <cellStyle name="Currency 2 2 6 3" xfId="5640" xr:uid="{00000000-0005-0000-0000-000014300000}"/>
    <cellStyle name="Currency 2 2 6 3 2" xfId="8741" xr:uid="{00000000-0005-0000-0000-000015300000}"/>
    <cellStyle name="Currency 2 2 6 3 2 2" xfId="14934" xr:uid="{00000000-0005-0000-0000-000016300000}"/>
    <cellStyle name="Currency 2 2 6 3 2 2 2" xfId="34854" xr:uid="{00000000-0005-0000-0000-000017300000}"/>
    <cellStyle name="Currency 2 2 6 3 2 3" xfId="21086" xr:uid="{00000000-0005-0000-0000-000018300000}"/>
    <cellStyle name="Currency 2 2 6 3 2 3 2" xfId="41006" xr:uid="{00000000-0005-0000-0000-000019300000}"/>
    <cellStyle name="Currency 2 2 6 3 2 4" xfId="28701" xr:uid="{00000000-0005-0000-0000-00001A300000}"/>
    <cellStyle name="Currency 2 2 6 3 3" xfId="11868" xr:uid="{00000000-0005-0000-0000-00001B300000}"/>
    <cellStyle name="Currency 2 2 6 3 3 2" xfId="31788" xr:uid="{00000000-0005-0000-0000-00001C300000}"/>
    <cellStyle name="Currency 2 2 6 3 4" xfId="18020" xr:uid="{00000000-0005-0000-0000-00001D300000}"/>
    <cellStyle name="Currency 2 2 6 3 4 2" xfId="37940" xr:uid="{00000000-0005-0000-0000-00001E300000}"/>
    <cellStyle name="Currency 2 2 6 3 5" xfId="25635" xr:uid="{00000000-0005-0000-0000-00001F300000}"/>
    <cellStyle name="Currency 2 2 6 4" xfId="7206" xr:uid="{00000000-0005-0000-0000-000020300000}"/>
    <cellStyle name="Currency 2 2 6 4 2" xfId="13400" xr:uid="{00000000-0005-0000-0000-000021300000}"/>
    <cellStyle name="Currency 2 2 6 4 2 2" xfId="33320" xr:uid="{00000000-0005-0000-0000-000022300000}"/>
    <cellStyle name="Currency 2 2 6 4 3" xfId="19552" xr:uid="{00000000-0005-0000-0000-000023300000}"/>
    <cellStyle name="Currency 2 2 6 4 3 2" xfId="39472" xr:uid="{00000000-0005-0000-0000-000024300000}"/>
    <cellStyle name="Currency 2 2 6 4 4" xfId="27167" xr:uid="{00000000-0005-0000-0000-000025300000}"/>
    <cellStyle name="Currency 2 2 6 5" xfId="10334" xr:uid="{00000000-0005-0000-0000-000026300000}"/>
    <cellStyle name="Currency 2 2 6 5 2" xfId="30254" xr:uid="{00000000-0005-0000-0000-000027300000}"/>
    <cellStyle name="Currency 2 2 6 6" xfId="16486" xr:uid="{00000000-0005-0000-0000-000028300000}"/>
    <cellStyle name="Currency 2 2 6 6 2" xfId="36406" xr:uid="{00000000-0005-0000-0000-000029300000}"/>
    <cellStyle name="Currency 2 2 6 7" xfId="24101" xr:uid="{00000000-0005-0000-0000-00002A300000}"/>
    <cellStyle name="Currency 2 2 7" xfId="3062" xr:uid="{00000000-0005-0000-0000-00002B300000}"/>
    <cellStyle name="Currency 2 2 7 2" xfId="4800" xr:uid="{00000000-0005-0000-0000-00002C300000}"/>
    <cellStyle name="Currency 2 2 7 2 2" xfId="6425" xr:uid="{00000000-0005-0000-0000-00002D300000}"/>
    <cellStyle name="Currency 2 2 7 2 2 2" xfId="9511" xr:uid="{00000000-0005-0000-0000-00002E300000}"/>
    <cellStyle name="Currency 2 2 7 2 2 2 2" xfId="15704" xr:uid="{00000000-0005-0000-0000-00002F300000}"/>
    <cellStyle name="Currency 2 2 7 2 2 2 2 2" xfId="35624" xr:uid="{00000000-0005-0000-0000-000030300000}"/>
    <cellStyle name="Currency 2 2 7 2 2 2 3" xfId="21856" xr:uid="{00000000-0005-0000-0000-000031300000}"/>
    <cellStyle name="Currency 2 2 7 2 2 2 3 2" xfId="41776" xr:uid="{00000000-0005-0000-0000-000032300000}"/>
    <cellStyle name="Currency 2 2 7 2 2 2 4" xfId="29471" xr:uid="{00000000-0005-0000-0000-000033300000}"/>
    <cellStyle name="Currency 2 2 7 2 2 3" xfId="12638" xr:uid="{00000000-0005-0000-0000-000034300000}"/>
    <cellStyle name="Currency 2 2 7 2 2 3 2" xfId="32558" xr:uid="{00000000-0005-0000-0000-000035300000}"/>
    <cellStyle name="Currency 2 2 7 2 2 4" xfId="18790" xr:uid="{00000000-0005-0000-0000-000036300000}"/>
    <cellStyle name="Currency 2 2 7 2 2 4 2" xfId="38710" xr:uid="{00000000-0005-0000-0000-000037300000}"/>
    <cellStyle name="Currency 2 2 7 2 2 5" xfId="26405" xr:uid="{00000000-0005-0000-0000-000038300000}"/>
    <cellStyle name="Currency 2 2 7 2 3" xfId="7976" xr:uid="{00000000-0005-0000-0000-000039300000}"/>
    <cellStyle name="Currency 2 2 7 2 3 2" xfId="14170" xr:uid="{00000000-0005-0000-0000-00003A300000}"/>
    <cellStyle name="Currency 2 2 7 2 3 2 2" xfId="34090" xr:uid="{00000000-0005-0000-0000-00003B300000}"/>
    <cellStyle name="Currency 2 2 7 2 3 3" xfId="20322" xr:uid="{00000000-0005-0000-0000-00003C300000}"/>
    <cellStyle name="Currency 2 2 7 2 3 3 2" xfId="40242" xr:uid="{00000000-0005-0000-0000-00003D300000}"/>
    <cellStyle name="Currency 2 2 7 2 3 4" xfId="27937" xr:uid="{00000000-0005-0000-0000-00003E300000}"/>
    <cellStyle name="Currency 2 2 7 2 4" xfId="11104" xr:uid="{00000000-0005-0000-0000-00003F300000}"/>
    <cellStyle name="Currency 2 2 7 2 4 2" xfId="31024" xr:uid="{00000000-0005-0000-0000-000040300000}"/>
    <cellStyle name="Currency 2 2 7 2 5" xfId="17256" xr:uid="{00000000-0005-0000-0000-000041300000}"/>
    <cellStyle name="Currency 2 2 7 2 5 2" xfId="37176" xr:uid="{00000000-0005-0000-0000-000042300000}"/>
    <cellStyle name="Currency 2 2 7 2 6" xfId="24871" xr:uid="{00000000-0005-0000-0000-000043300000}"/>
    <cellStyle name="Currency 2 2 7 3" xfId="5641" xr:uid="{00000000-0005-0000-0000-000044300000}"/>
    <cellStyle name="Currency 2 2 7 3 2" xfId="8742" xr:uid="{00000000-0005-0000-0000-000045300000}"/>
    <cellStyle name="Currency 2 2 7 3 2 2" xfId="14935" xr:uid="{00000000-0005-0000-0000-000046300000}"/>
    <cellStyle name="Currency 2 2 7 3 2 2 2" xfId="34855" xr:uid="{00000000-0005-0000-0000-000047300000}"/>
    <cellStyle name="Currency 2 2 7 3 2 3" xfId="21087" xr:uid="{00000000-0005-0000-0000-000048300000}"/>
    <cellStyle name="Currency 2 2 7 3 2 3 2" xfId="41007" xr:uid="{00000000-0005-0000-0000-000049300000}"/>
    <cellStyle name="Currency 2 2 7 3 2 4" xfId="28702" xr:uid="{00000000-0005-0000-0000-00004A300000}"/>
    <cellStyle name="Currency 2 2 7 3 3" xfId="11869" xr:uid="{00000000-0005-0000-0000-00004B300000}"/>
    <cellStyle name="Currency 2 2 7 3 3 2" xfId="31789" xr:uid="{00000000-0005-0000-0000-00004C300000}"/>
    <cellStyle name="Currency 2 2 7 3 4" xfId="18021" xr:uid="{00000000-0005-0000-0000-00004D300000}"/>
    <cellStyle name="Currency 2 2 7 3 4 2" xfId="37941" xr:uid="{00000000-0005-0000-0000-00004E300000}"/>
    <cellStyle name="Currency 2 2 7 3 5" xfId="25636" xr:uid="{00000000-0005-0000-0000-00004F300000}"/>
    <cellStyle name="Currency 2 2 7 4" xfId="7207" xr:uid="{00000000-0005-0000-0000-000050300000}"/>
    <cellStyle name="Currency 2 2 7 4 2" xfId="13401" xr:uid="{00000000-0005-0000-0000-000051300000}"/>
    <cellStyle name="Currency 2 2 7 4 2 2" xfId="33321" xr:uid="{00000000-0005-0000-0000-000052300000}"/>
    <cellStyle name="Currency 2 2 7 4 3" xfId="19553" xr:uid="{00000000-0005-0000-0000-000053300000}"/>
    <cellStyle name="Currency 2 2 7 4 3 2" xfId="39473" xr:uid="{00000000-0005-0000-0000-000054300000}"/>
    <cellStyle name="Currency 2 2 7 4 4" xfId="27168" xr:uid="{00000000-0005-0000-0000-000055300000}"/>
    <cellStyle name="Currency 2 2 7 5" xfId="10335" xr:uid="{00000000-0005-0000-0000-000056300000}"/>
    <cellStyle name="Currency 2 2 7 5 2" xfId="30255" xr:uid="{00000000-0005-0000-0000-000057300000}"/>
    <cellStyle name="Currency 2 2 7 6" xfId="16487" xr:uid="{00000000-0005-0000-0000-000058300000}"/>
    <cellStyle name="Currency 2 2 7 6 2" xfId="36407" xr:uid="{00000000-0005-0000-0000-000059300000}"/>
    <cellStyle name="Currency 2 2 7 7" xfId="24102" xr:uid="{00000000-0005-0000-0000-00005A300000}"/>
    <cellStyle name="Currency 2 2 8" xfId="3063" xr:uid="{00000000-0005-0000-0000-00005B300000}"/>
    <cellStyle name="Currency 2 2 8 2" xfId="4801" xr:uid="{00000000-0005-0000-0000-00005C300000}"/>
    <cellStyle name="Currency 2 2 8 2 2" xfId="6426" xr:uid="{00000000-0005-0000-0000-00005D300000}"/>
    <cellStyle name="Currency 2 2 8 2 2 2" xfId="9512" xr:uid="{00000000-0005-0000-0000-00005E300000}"/>
    <cellStyle name="Currency 2 2 8 2 2 2 2" xfId="15705" xr:uid="{00000000-0005-0000-0000-00005F300000}"/>
    <cellStyle name="Currency 2 2 8 2 2 2 2 2" xfId="35625" xr:uid="{00000000-0005-0000-0000-000060300000}"/>
    <cellStyle name="Currency 2 2 8 2 2 2 3" xfId="21857" xr:uid="{00000000-0005-0000-0000-000061300000}"/>
    <cellStyle name="Currency 2 2 8 2 2 2 3 2" xfId="41777" xr:uid="{00000000-0005-0000-0000-000062300000}"/>
    <cellStyle name="Currency 2 2 8 2 2 2 4" xfId="29472" xr:uid="{00000000-0005-0000-0000-000063300000}"/>
    <cellStyle name="Currency 2 2 8 2 2 3" xfId="12639" xr:uid="{00000000-0005-0000-0000-000064300000}"/>
    <cellStyle name="Currency 2 2 8 2 2 3 2" xfId="32559" xr:uid="{00000000-0005-0000-0000-000065300000}"/>
    <cellStyle name="Currency 2 2 8 2 2 4" xfId="18791" xr:uid="{00000000-0005-0000-0000-000066300000}"/>
    <cellStyle name="Currency 2 2 8 2 2 4 2" xfId="38711" xr:uid="{00000000-0005-0000-0000-000067300000}"/>
    <cellStyle name="Currency 2 2 8 2 2 5" xfId="26406" xr:uid="{00000000-0005-0000-0000-000068300000}"/>
    <cellStyle name="Currency 2 2 8 2 3" xfId="7977" xr:uid="{00000000-0005-0000-0000-000069300000}"/>
    <cellStyle name="Currency 2 2 8 2 3 2" xfId="14171" xr:uid="{00000000-0005-0000-0000-00006A300000}"/>
    <cellStyle name="Currency 2 2 8 2 3 2 2" xfId="34091" xr:uid="{00000000-0005-0000-0000-00006B300000}"/>
    <cellStyle name="Currency 2 2 8 2 3 3" xfId="20323" xr:uid="{00000000-0005-0000-0000-00006C300000}"/>
    <cellStyle name="Currency 2 2 8 2 3 3 2" xfId="40243" xr:uid="{00000000-0005-0000-0000-00006D300000}"/>
    <cellStyle name="Currency 2 2 8 2 3 4" xfId="27938" xr:uid="{00000000-0005-0000-0000-00006E300000}"/>
    <cellStyle name="Currency 2 2 8 2 4" xfId="11105" xr:uid="{00000000-0005-0000-0000-00006F300000}"/>
    <cellStyle name="Currency 2 2 8 2 4 2" xfId="31025" xr:uid="{00000000-0005-0000-0000-000070300000}"/>
    <cellStyle name="Currency 2 2 8 2 5" xfId="17257" xr:uid="{00000000-0005-0000-0000-000071300000}"/>
    <cellStyle name="Currency 2 2 8 2 5 2" xfId="37177" xr:uid="{00000000-0005-0000-0000-000072300000}"/>
    <cellStyle name="Currency 2 2 8 2 6" xfId="24872" xr:uid="{00000000-0005-0000-0000-000073300000}"/>
    <cellStyle name="Currency 2 2 8 3" xfId="5642" xr:uid="{00000000-0005-0000-0000-000074300000}"/>
    <cellStyle name="Currency 2 2 8 3 2" xfId="8743" xr:uid="{00000000-0005-0000-0000-000075300000}"/>
    <cellStyle name="Currency 2 2 8 3 2 2" xfId="14936" xr:uid="{00000000-0005-0000-0000-000076300000}"/>
    <cellStyle name="Currency 2 2 8 3 2 2 2" xfId="34856" xr:uid="{00000000-0005-0000-0000-000077300000}"/>
    <cellStyle name="Currency 2 2 8 3 2 3" xfId="21088" xr:uid="{00000000-0005-0000-0000-000078300000}"/>
    <cellStyle name="Currency 2 2 8 3 2 3 2" xfId="41008" xr:uid="{00000000-0005-0000-0000-000079300000}"/>
    <cellStyle name="Currency 2 2 8 3 2 4" xfId="28703" xr:uid="{00000000-0005-0000-0000-00007A300000}"/>
    <cellStyle name="Currency 2 2 8 3 3" xfId="11870" xr:uid="{00000000-0005-0000-0000-00007B300000}"/>
    <cellStyle name="Currency 2 2 8 3 3 2" xfId="31790" xr:uid="{00000000-0005-0000-0000-00007C300000}"/>
    <cellStyle name="Currency 2 2 8 3 4" xfId="18022" xr:uid="{00000000-0005-0000-0000-00007D300000}"/>
    <cellStyle name="Currency 2 2 8 3 4 2" xfId="37942" xr:uid="{00000000-0005-0000-0000-00007E300000}"/>
    <cellStyle name="Currency 2 2 8 3 5" xfId="25637" xr:uid="{00000000-0005-0000-0000-00007F300000}"/>
    <cellStyle name="Currency 2 2 8 4" xfId="7208" xr:uid="{00000000-0005-0000-0000-000080300000}"/>
    <cellStyle name="Currency 2 2 8 4 2" xfId="13402" xr:uid="{00000000-0005-0000-0000-000081300000}"/>
    <cellStyle name="Currency 2 2 8 4 2 2" xfId="33322" xr:uid="{00000000-0005-0000-0000-000082300000}"/>
    <cellStyle name="Currency 2 2 8 4 3" xfId="19554" xr:uid="{00000000-0005-0000-0000-000083300000}"/>
    <cellStyle name="Currency 2 2 8 4 3 2" xfId="39474" xr:uid="{00000000-0005-0000-0000-000084300000}"/>
    <cellStyle name="Currency 2 2 8 4 4" xfId="27169" xr:uid="{00000000-0005-0000-0000-000085300000}"/>
    <cellStyle name="Currency 2 2 8 5" xfId="10336" xr:uid="{00000000-0005-0000-0000-000086300000}"/>
    <cellStyle name="Currency 2 2 8 5 2" xfId="30256" xr:uid="{00000000-0005-0000-0000-000087300000}"/>
    <cellStyle name="Currency 2 2 8 6" xfId="16488" xr:uid="{00000000-0005-0000-0000-000088300000}"/>
    <cellStyle name="Currency 2 2 8 6 2" xfId="36408" xr:uid="{00000000-0005-0000-0000-000089300000}"/>
    <cellStyle name="Currency 2 2 8 7" xfId="24103" xr:uid="{00000000-0005-0000-0000-00008A300000}"/>
    <cellStyle name="Currency 2 2 9" xfId="3064" xr:uid="{00000000-0005-0000-0000-00008B300000}"/>
    <cellStyle name="Currency 2 2 9 2" xfId="4802" xr:uid="{00000000-0005-0000-0000-00008C300000}"/>
    <cellStyle name="Currency 2 2 9 2 2" xfId="6427" xr:uid="{00000000-0005-0000-0000-00008D300000}"/>
    <cellStyle name="Currency 2 2 9 2 2 2" xfId="9513" xr:uid="{00000000-0005-0000-0000-00008E300000}"/>
    <cellStyle name="Currency 2 2 9 2 2 2 2" xfId="15706" xr:uid="{00000000-0005-0000-0000-00008F300000}"/>
    <cellStyle name="Currency 2 2 9 2 2 2 2 2" xfId="35626" xr:uid="{00000000-0005-0000-0000-000090300000}"/>
    <cellStyle name="Currency 2 2 9 2 2 2 3" xfId="21858" xr:uid="{00000000-0005-0000-0000-000091300000}"/>
    <cellStyle name="Currency 2 2 9 2 2 2 3 2" xfId="41778" xr:uid="{00000000-0005-0000-0000-000092300000}"/>
    <cellStyle name="Currency 2 2 9 2 2 2 4" xfId="29473" xr:uid="{00000000-0005-0000-0000-000093300000}"/>
    <cellStyle name="Currency 2 2 9 2 2 3" xfId="12640" xr:uid="{00000000-0005-0000-0000-000094300000}"/>
    <cellStyle name="Currency 2 2 9 2 2 3 2" xfId="32560" xr:uid="{00000000-0005-0000-0000-000095300000}"/>
    <cellStyle name="Currency 2 2 9 2 2 4" xfId="18792" xr:uid="{00000000-0005-0000-0000-000096300000}"/>
    <cellStyle name="Currency 2 2 9 2 2 4 2" xfId="38712" xr:uid="{00000000-0005-0000-0000-000097300000}"/>
    <cellStyle name="Currency 2 2 9 2 2 5" xfId="26407" xr:uid="{00000000-0005-0000-0000-000098300000}"/>
    <cellStyle name="Currency 2 2 9 2 3" xfId="7978" xr:uid="{00000000-0005-0000-0000-000099300000}"/>
    <cellStyle name="Currency 2 2 9 2 3 2" xfId="14172" xr:uid="{00000000-0005-0000-0000-00009A300000}"/>
    <cellStyle name="Currency 2 2 9 2 3 2 2" xfId="34092" xr:uid="{00000000-0005-0000-0000-00009B300000}"/>
    <cellStyle name="Currency 2 2 9 2 3 3" xfId="20324" xr:uid="{00000000-0005-0000-0000-00009C300000}"/>
    <cellStyle name="Currency 2 2 9 2 3 3 2" xfId="40244" xr:uid="{00000000-0005-0000-0000-00009D300000}"/>
    <cellStyle name="Currency 2 2 9 2 3 4" xfId="27939" xr:uid="{00000000-0005-0000-0000-00009E300000}"/>
    <cellStyle name="Currency 2 2 9 2 4" xfId="11106" xr:uid="{00000000-0005-0000-0000-00009F300000}"/>
    <cellStyle name="Currency 2 2 9 2 4 2" xfId="31026" xr:uid="{00000000-0005-0000-0000-0000A0300000}"/>
    <cellStyle name="Currency 2 2 9 2 5" xfId="17258" xr:uid="{00000000-0005-0000-0000-0000A1300000}"/>
    <cellStyle name="Currency 2 2 9 2 5 2" xfId="37178" xr:uid="{00000000-0005-0000-0000-0000A2300000}"/>
    <cellStyle name="Currency 2 2 9 2 6" xfId="24873" xr:uid="{00000000-0005-0000-0000-0000A3300000}"/>
    <cellStyle name="Currency 2 2 9 3" xfId="5643" xr:uid="{00000000-0005-0000-0000-0000A4300000}"/>
    <cellStyle name="Currency 2 2 9 3 2" xfId="8744" xr:uid="{00000000-0005-0000-0000-0000A5300000}"/>
    <cellStyle name="Currency 2 2 9 3 2 2" xfId="14937" xr:uid="{00000000-0005-0000-0000-0000A6300000}"/>
    <cellStyle name="Currency 2 2 9 3 2 2 2" xfId="34857" xr:uid="{00000000-0005-0000-0000-0000A7300000}"/>
    <cellStyle name="Currency 2 2 9 3 2 3" xfId="21089" xr:uid="{00000000-0005-0000-0000-0000A8300000}"/>
    <cellStyle name="Currency 2 2 9 3 2 3 2" xfId="41009" xr:uid="{00000000-0005-0000-0000-0000A9300000}"/>
    <cellStyle name="Currency 2 2 9 3 2 4" xfId="28704" xr:uid="{00000000-0005-0000-0000-0000AA300000}"/>
    <cellStyle name="Currency 2 2 9 3 3" xfId="11871" xr:uid="{00000000-0005-0000-0000-0000AB300000}"/>
    <cellStyle name="Currency 2 2 9 3 3 2" xfId="31791" xr:uid="{00000000-0005-0000-0000-0000AC300000}"/>
    <cellStyle name="Currency 2 2 9 3 4" xfId="18023" xr:uid="{00000000-0005-0000-0000-0000AD300000}"/>
    <cellStyle name="Currency 2 2 9 3 4 2" xfId="37943" xr:uid="{00000000-0005-0000-0000-0000AE300000}"/>
    <cellStyle name="Currency 2 2 9 3 5" xfId="25638" xr:uid="{00000000-0005-0000-0000-0000AF300000}"/>
    <cellStyle name="Currency 2 2 9 4" xfId="7209" xr:uid="{00000000-0005-0000-0000-0000B0300000}"/>
    <cellStyle name="Currency 2 2 9 4 2" xfId="13403" xr:uid="{00000000-0005-0000-0000-0000B1300000}"/>
    <cellStyle name="Currency 2 2 9 4 2 2" xfId="33323" xr:uid="{00000000-0005-0000-0000-0000B2300000}"/>
    <cellStyle name="Currency 2 2 9 4 3" xfId="19555" xr:uid="{00000000-0005-0000-0000-0000B3300000}"/>
    <cellStyle name="Currency 2 2 9 4 3 2" xfId="39475" xr:uid="{00000000-0005-0000-0000-0000B4300000}"/>
    <cellStyle name="Currency 2 2 9 4 4" xfId="27170" xr:uid="{00000000-0005-0000-0000-0000B5300000}"/>
    <cellStyle name="Currency 2 2 9 5" xfId="10337" xr:uid="{00000000-0005-0000-0000-0000B6300000}"/>
    <cellStyle name="Currency 2 2 9 5 2" xfId="30257" xr:uid="{00000000-0005-0000-0000-0000B7300000}"/>
    <cellStyle name="Currency 2 2 9 6" xfId="16489" xr:uid="{00000000-0005-0000-0000-0000B8300000}"/>
    <cellStyle name="Currency 2 2 9 6 2" xfId="36409" xr:uid="{00000000-0005-0000-0000-0000B9300000}"/>
    <cellStyle name="Currency 2 2 9 7" xfId="24104" xr:uid="{00000000-0005-0000-0000-0000BA300000}"/>
    <cellStyle name="Currency 2 20" xfId="407" xr:uid="{00000000-0005-0000-0000-0000BB300000}"/>
    <cellStyle name="Currency 2 20 2" xfId="3065" xr:uid="{00000000-0005-0000-0000-0000BC300000}"/>
    <cellStyle name="Currency 2 21" xfId="434" xr:uid="{00000000-0005-0000-0000-0000BD300000}"/>
    <cellStyle name="Currency 2 21 2" xfId="3066" xr:uid="{00000000-0005-0000-0000-0000BE300000}"/>
    <cellStyle name="Currency 2 22" xfId="462" xr:uid="{00000000-0005-0000-0000-0000BF300000}"/>
    <cellStyle name="Currency 2 22 2" xfId="3067" xr:uid="{00000000-0005-0000-0000-0000C0300000}"/>
    <cellStyle name="Currency 2 23" xfId="437" xr:uid="{00000000-0005-0000-0000-0000C1300000}"/>
    <cellStyle name="Currency 2 23 2" xfId="3068" xr:uid="{00000000-0005-0000-0000-0000C2300000}"/>
    <cellStyle name="Currency 2 24" xfId="511" xr:uid="{00000000-0005-0000-0000-0000C3300000}"/>
    <cellStyle name="Currency 2 24 2" xfId="3069" xr:uid="{00000000-0005-0000-0000-0000C4300000}"/>
    <cellStyle name="Currency 2 24 3" xfId="3070" xr:uid="{00000000-0005-0000-0000-0000C5300000}"/>
    <cellStyle name="Currency 2 25" xfId="553" xr:uid="{00000000-0005-0000-0000-0000C6300000}"/>
    <cellStyle name="Currency 2 25 2" xfId="3072" xr:uid="{00000000-0005-0000-0000-0000C7300000}"/>
    <cellStyle name="Currency 2 25 3" xfId="3071" xr:uid="{00000000-0005-0000-0000-0000C8300000}"/>
    <cellStyle name="Currency 2 26" xfId="572" xr:uid="{00000000-0005-0000-0000-0000C9300000}"/>
    <cellStyle name="Currency 2 26 2" xfId="3074" xr:uid="{00000000-0005-0000-0000-0000CA300000}"/>
    <cellStyle name="Currency 2 26 3" xfId="3073" xr:uid="{00000000-0005-0000-0000-0000CB300000}"/>
    <cellStyle name="Currency 2 27" xfId="604" xr:uid="{00000000-0005-0000-0000-0000CC300000}"/>
    <cellStyle name="Currency 2 27 2" xfId="4777" xr:uid="{00000000-0005-0000-0000-0000CD300000}"/>
    <cellStyle name="Currency 2 27 2 2" xfId="6402" xr:uid="{00000000-0005-0000-0000-0000CE300000}"/>
    <cellStyle name="Currency 2 27 2 2 2" xfId="9488" xr:uid="{00000000-0005-0000-0000-0000CF300000}"/>
    <cellStyle name="Currency 2 27 2 2 2 2" xfId="15681" xr:uid="{00000000-0005-0000-0000-0000D0300000}"/>
    <cellStyle name="Currency 2 27 2 2 2 2 2" xfId="35601" xr:uid="{00000000-0005-0000-0000-0000D1300000}"/>
    <cellStyle name="Currency 2 27 2 2 2 3" xfId="21833" xr:uid="{00000000-0005-0000-0000-0000D2300000}"/>
    <cellStyle name="Currency 2 27 2 2 2 3 2" xfId="41753" xr:uid="{00000000-0005-0000-0000-0000D3300000}"/>
    <cellStyle name="Currency 2 27 2 2 2 4" xfId="29448" xr:uid="{00000000-0005-0000-0000-0000D4300000}"/>
    <cellStyle name="Currency 2 27 2 2 3" xfId="12615" xr:uid="{00000000-0005-0000-0000-0000D5300000}"/>
    <cellStyle name="Currency 2 27 2 2 3 2" xfId="32535" xr:uid="{00000000-0005-0000-0000-0000D6300000}"/>
    <cellStyle name="Currency 2 27 2 2 4" xfId="18767" xr:uid="{00000000-0005-0000-0000-0000D7300000}"/>
    <cellStyle name="Currency 2 27 2 2 4 2" xfId="38687" xr:uid="{00000000-0005-0000-0000-0000D8300000}"/>
    <cellStyle name="Currency 2 27 2 2 5" xfId="26382" xr:uid="{00000000-0005-0000-0000-0000D9300000}"/>
    <cellStyle name="Currency 2 27 2 3" xfId="7953" xr:uid="{00000000-0005-0000-0000-0000DA300000}"/>
    <cellStyle name="Currency 2 27 2 3 2" xfId="14147" xr:uid="{00000000-0005-0000-0000-0000DB300000}"/>
    <cellStyle name="Currency 2 27 2 3 2 2" xfId="34067" xr:uid="{00000000-0005-0000-0000-0000DC300000}"/>
    <cellStyle name="Currency 2 27 2 3 3" xfId="20299" xr:uid="{00000000-0005-0000-0000-0000DD300000}"/>
    <cellStyle name="Currency 2 27 2 3 3 2" xfId="40219" xr:uid="{00000000-0005-0000-0000-0000DE300000}"/>
    <cellStyle name="Currency 2 27 2 3 4" xfId="27914" xr:uid="{00000000-0005-0000-0000-0000DF300000}"/>
    <cellStyle name="Currency 2 27 2 4" xfId="11081" xr:uid="{00000000-0005-0000-0000-0000E0300000}"/>
    <cellStyle name="Currency 2 27 2 4 2" xfId="31001" xr:uid="{00000000-0005-0000-0000-0000E1300000}"/>
    <cellStyle name="Currency 2 27 2 5" xfId="17233" xr:uid="{00000000-0005-0000-0000-0000E2300000}"/>
    <cellStyle name="Currency 2 27 2 5 2" xfId="37153" xr:uid="{00000000-0005-0000-0000-0000E3300000}"/>
    <cellStyle name="Currency 2 27 2 6" xfId="24848" xr:uid="{00000000-0005-0000-0000-0000E4300000}"/>
    <cellStyle name="Currency 2 27 3" xfId="5618" xr:uid="{00000000-0005-0000-0000-0000E5300000}"/>
    <cellStyle name="Currency 2 27 3 2" xfId="8719" xr:uid="{00000000-0005-0000-0000-0000E6300000}"/>
    <cellStyle name="Currency 2 27 3 2 2" xfId="14912" xr:uid="{00000000-0005-0000-0000-0000E7300000}"/>
    <cellStyle name="Currency 2 27 3 2 2 2" xfId="34832" xr:uid="{00000000-0005-0000-0000-0000E8300000}"/>
    <cellStyle name="Currency 2 27 3 2 3" xfId="21064" xr:uid="{00000000-0005-0000-0000-0000E9300000}"/>
    <cellStyle name="Currency 2 27 3 2 3 2" xfId="40984" xr:uid="{00000000-0005-0000-0000-0000EA300000}"/>
    <cellStyle name="Currency 2 27 3 2 4" xfId="28679" xr:uid="{00000000-0005-0000-0000-0000EB300000}"/>
    <cellStyle name="Currency 2 27 3 3" xfId="11846" xr:uid="{00000000-0005-0000-0000-0000EC300000}"/>
    <cellStyle name="Currency 2 27 3 3 2" xfId="31766" xr:uid="{00000000-0005-0000-0000-0000ED300000}"/>
    <cellStyle name="Currency 2 27 3 4" xfId="17998" xr:uid="{00000000-0005-0000-0000-0000EE300000}"/>
    <cellStyle name="Currency 2 27 3 4 2" xfId="37918" xr:uid="{00000000-0005-0000-0000-0000EF300000}"/>
    <cellStyle name="Currency 2 27 3 5" xfId="25613" xr:uid="{00000000-0005-0000-0000-0000F0300000}"/>
    <cellStyle name="Currency 2 27 4" xfId="7184" xr:uid="{00000000-0005-0000-0000-0000F1300000}"/>
    <cellStyle name="Currency 2 27 4 2" xfId="13378" xr:uid="{00000000-0005-0000-0000-0000F2300000}"/>
    <cellStyle name="Currency 2 27 4 2 2" xfId="33298" xr:uid="{00000000-0005-0000-0000-0000F3300000}"/>
    <cellStyle name="Currency 2 27 4 3" xfId="19530" xr:uid="{00000000-0005-0000-0000-0000F4300000}"/>
    <cellStyle name="Currency 2 27 4 3 2" xfId="39450" xr:uid="{00000000-0005-0000-0000-0000F5300000}"/>
    <cellStyle name="Currency 2 27 4 4" xfId="27145" xr:uid="{00000000-0005-0000-0000-0000F6300000}"/>
    <cellStyle name="Currency 2 27 5" xfId="10312" xr:uid="{00000000-0005-0000-0000-0000F7300000}"/>
    <cellStyle name="Currency 2 27 5 2" xfId="30232" xr:uid="{00000000-0005-0000-0000-0000F8300000}"/>
    <cellStyle name="Currency 2 27 6" xfId="16464" xr:uid="{00000000-0005-0000-0000-0000F9300000}"/>
    <cellStyle name="Currency 2 27 6 2" xfId="36384" xr:uid="{00000000-0005-0000-0000-0000FA300000}"/>
    <cellStyle name="Currency 2 27 7" xfId="3027" xr:uid="{00000000-0005-0000-0000-0000FB300000}"/>
    <cellStyle name="Currency 2 27 7 2" xfId="24079" xr:uid="{00000000-0005-0000-0000-0000FC300000}"/>
    <cellStyle name="Currency 2 28" xfId="631" xr:uid="{00000000-0005-0000-0000-0000FD300000}"/>
    <cellStyle name="Currency 2 28 2" xfId="10104" xr:uid="{00000000-0005-0000-0000-0000FE300000}"/>
    <cellStyle name="Currency 2 29" xfId="657" xr:uid="{00000000-0005-0000-0000-0000FF300000}"/>
    <cellStyle name="Currency 2 3" xfId="19" xr:uid="{00000000-0005-0000-0000-000000310000}"/>
    <cellStyle name="Currency 2 3 2" xfId="3076" xr:uid="{00000000-0005-0000-0000-000001310000}"/>
    <cellStyle name="Currency 2 3 3" xfId="4537" xr:uid="{00000000-0005-0000-0000-000002310000}"/>
    <cellStyle name="Currency 2 3 4" xfId="3075" xr:uid="{00000000-0005-0000-0000-000003310000}"/>
    <cellStyle name="Currency 2 3 5" xfId="10137" xr:uid="{00000000-0005-0000-0000-000004310000}"/>
    <cellStyle name="Currency 2 30" xfId="681" xr:uid="{00000000-0005-0000-0000-000005310000}"/>
    <cellStyle name="Currency 2 4" xfId="128" xr:uid="{00000000-0005-0000-0000-000006310000}"/>
    <cellStyle name="Currency 2 4 2" xfId="4538" xr:uid="{00000000-0005-0000-0000-000007310000}"/>
    <cellStyle name="Currency 2 4 3" xfId="3077" xr:uid="{00000000-0005-0000-0000-000008310000}"/>
    <cellStyle name="Currency 2 5" xfId="146" xr:uid="{00000000-0005-0000-0000-000009310000}"/>
    <cellStyle name="Currency 2 6" xfId="141" xr:uid="{00000000-0005-0000-0000-00000A310000}"/>
    <cellStyle name="Currency 2 6 2" xfId="4539" xr:uid="{00000000-0005-0000-0000-00000B310000}"/>
    <cellStyle name="Currency 2 6 3" xfId="3078" xr:uid="{00000000-0005-0000-0000-00000C310000}"/>
    <cellStyle name="Currency 2 7" xfId="159" xr:uid="{00000000-0005-0000-0000-00000D310000}"/>
    <cellStyle name="Currency 2 7 2" xfId="4540" xr:uid="{00000000-0005-0000-0000-00000E310000}"/>
    <cellStyle name="Currency 2 7 3" xfId="3079" xr:uid="{00000000-0005-0000-0000-00000F310000}"/>
    <cellStyle name="Currency 2 8" xfId="209" xr:uid="{00000000-0005-0000-0000-000010310000}"/>
    <cellStyle name="Currency 2 8 2" xfId="4541" xr:uid="{00000000-0005-0000-0000-000011310000}"/>
    <cellStyle name="Currency 2 8 3" xfId="3080" xr:uid="{00000000-0005-0000-0000-000012310000}"/>
    <cellStyle name="Currency 2 9" xfId="163" xr:uid="{00000000-0005-0000-0000-000013310000}"/>
    <cellStyle name="Currency 2 9 2" xfId="4542" xr:uid="{00000000-0005-0000-0000-000014310000}"/>
    <cellStyle name="Currency 2 9 3" xfId="3081" xr:uid="{00000000-0005-0000-0000-000015310000}"/>
    <cellStyle name="Currency 20" xfId="3082" xr:uid="{00000000-0005-0000-0000-000016310000}"/>
    <cellStyle name="Currency 20 2" xfId="3083" xr:uid="{00000000-0005-0000-0000-000017310000}"/>
    <cellStyle name="Currency 20 3" xfId="3084" xr:uid="{00000000-0005-0000-0000-000018310000}"/>
    <cellStyle name="Currency 21" xfId="3085" xr:uid="{00000000-0005-0000-0000-000019310000}"/>
    <cellStyle name="Currency 22" xfId="3086" xr:uid="{00000000-0005-0000-0000-00001A310000}"/>
    <cellStyle name="Currency 23" xfId="3087" xr:uid="{00000000-0005-0000-0000-00001B310000}"/>
    <cellStyle name="Currency 24" xfId="3088" xr:uid="{00000000-0005-0000-0000-00001C310000}"/>
    <cellStyle name="Currency 25" xfId="3089" xr:uid="{00000000-0005-0000-0000-00001D310000}"/>
    <cellStyle name="Currency 26" xfId="3090" xr:uid="{00000000-0005-0000-0000-00001E310000}"/>
    <cellStyle name="Currency 27" xfId="3091" xr:uid="{00000000-0005-0000-0000-00001F310000}"/>
    <cellStyle name="Currency 28" xfId="3092" xr:uid="{00000000-0005-0000-0000-000020310000}"/>
    <cellStyle name="Currency 29" xfId="3093" xr:uid="{00000000-0005-0000-0000-000021310000}"/>
    <cellStyle name="Currency 3" xfId="13" xr:uid="{00000000-0005-0000-0000-000022310000}"/>
    <cellStyle name="Currency 3 10" xfId="207" xr:uid="{00000000-0005-0000-0000-000023310000}"/>
    <cellStyle name="Currency 3 10 2" xfId="4803" xr:uid="{00000000-0005-0000-0000-000024310000}"/>
    <cellStyle name="Currency 3 10 2 2" xfId="6428" xr:uid="{00000000-0005-0000-0000-000025310000}"/>
    <cellStyle name="Currency 3 10 2 2 2" xfId="9514" xr:uid="{00000000-0005-0000-0000-000026310000}"/>
    <cellStyle name="Currency 3 10 2 2 2 2" xfId="15707" xr:uid="{00000000-0005-0000-0000-000027310000}"/>
    <cellStyle name="Currency 3 10 2 2 2 2 2" xfId="35627" xr:uid="{00000000-0005-0000-0000-000028310000}"/>
    <cellStyle name="Currency 3 10 2 2 2 3" xfId="21859" xr:uid="{00000000-0005-0000-0000-000029310000}"/>
    <cellStyle name="Currency 3 10 2 2 2 3 2" xfId="41779" xr:uid="{00000000-0005-0000-0000-00002A310000}"/>
    <cellStyle name="Currency 3 10 2 2 2 4" xfId="29474" xr:uid="{00000000-0005-0000-0000-00002B310000}"/>
    <cellStyle name="Currency 3 10 2 2 3" xfId="12641" xr:uid="{00000000-0005-0000-0000-00002C310000}"/>
    <cellStyle name="Currency 3 10 2 2 3 2" xfId="32561" xr:uid="{00000000-0005-0000-0000-00002D310000}"/>
    <cellStyle name="Currency 3 10 2 2 4" xfId="18793" xr:uid="{00000000-0005-0000-0000-00002E310000}"/>
    <cellStyle name="Currency 3 10 2 2 4 2" xfId="38713" xr:uid="{00000000-0005-0000-0000-00002F310000}"/>
    <cellStyle name="Currency 3 10 2 2 5" xfId="26408" xr:uid="{00000000-0005-0000-0000-000030310000}"/>
    <cellStyle name="Currency 3 10 2 3" xfId="7979" xr:uid="{00000000-0005-0000-0000-000031310000}"/>
    <cellStyle name="Currency 3 10 2 3 2" xfId="14173" xr:uid="{00000000-0005-0000-0000-000032310000}"/>
    <cellStyle name="Currency 3 10 2 3 2 2" xfId="34093" xr:uid="{00000000-0005-0000-0000-000033310000}"/>
    <cellStyle name="Currency 3 10 2 3 3" xfId="20325" xr:uid="{00000000-0005-0000-0000-000034310000}"/>
    <cellStyle name="Currency 3 10 2 3 3 2" xfId="40245" xr:uid="{00000000-0005-0000-0000-000035310000}"/>
    <cellStyle name="Currency 3 10 2 3 4" xfId="27940" xr:uid="{00000000-0005-0000-0000-000036310000}"/>
    <cellStyle name="Currency 3 10 2 4" xfId="11107" xr:uid="{00000000-0005-0000-0000-000037310000}"/>
    <cellStyle name="Currency 3 10 2 4 2" xfId="31027" xr:uid="{00000000-0005-0000-0000-000038310000}"/>
    <cellStyle name="Currency 3 10 2 5" xfId="17259" xr:uid="{00000000-0005-0000-0000-000039310000}"/>
    <cellStyle name="Currency 3 10 2 5 2" xfId="37179" xr:uid="{00000000-0005-0000-0000-00003A310000}"/>
    <cellStyle name="Currency 3 10 2 6" xfId="24874" xr:uid="{00000000-0005-0000-0000-00003B310000}"/>
    <cellStyle name="Currency 3 10 3" xfId="5644" xr:uid="{00000000-0005-0000-0000-00003C310000}"/>
    <cellStyle name="Currency 3 10 3 2" xfId="8745" xr:uid="{00000000-0005-0000-0000-00003D310000}"/>
    <cellStyle name="Currency 3 10 3 2 2" xfId="14938" xr:uid="{00000000-0005-0000-0000-00003E310000}"/>
    <cellStyle name="Currency 3 10 3 2 2 2" xfId="34858" xr:uid="{00000000-0005-0000-0000-00003F310000}"/>
    <cellStyle name="Currency 3 10 3 2 3" xfId="21090" xr:uid="{00000000-0005-0000-0000-000040310000}"/>
    <cellStyle name="Currency 3 10 3 2 3 2" xfId="41010" xr:uid="{00000000-0005-0000-0000-000041310000}"/>
    <cellStyle name="Currency 3 10 3 2 4" xfId="28705" xr:uid="{00000000-0005-0000-0000-000042310000}"/>
    <cellStyle name="Currency 3 10 3 3" xfId="11872" xr:uid="{00000000-0005-0000-0000-000043310000}"/>
    <cellStyle name="Currency 3 10 3 3 2" xfId="31792" xr:uid="{00000000-0005-0000-0000-000044310000}"/>
    <cellStyle name="Currency 3 10 3 4" xfId="18024" xr:uid="{00000000-0005-0000-0000-000045310000}"/>
    <cellStyle name="Currency 3 10 3 4 2" xfId="37944" xr:uid="{00000000-0005-0000-0000-000046310000}"/>
    <cellStyle name="Currency 3 10 3 5" xfId="25639" xr:uid="{00000000-0005-0000-0000-000047310000}"/>
    <cellStyle name="Currency 3 10 4" xfId="7210" xr:uid="{00000000-0005-0000-0000-000048310000}"/>
    <cellStyle name="Currency 3 10 4 2" xfId="13404" xr:uid="{00000000-0005-0000-0000-000049310000}"/>
    <cellStyle name="Currency 3 10 4 2 2" xfId="33324" xr:uid="{00000000-0005-0000-0000-00004A310000}"/>
    <cellStyle name="Currency 3 10 4 3" xfId="19556" xr:uid="{00000000-0005-0000-0000-00004B310000}"/>
    <cellStyle name="Currency 3 10 4 3 2" xfId="39476" xr:uid="{00000000-0005-0000-0000-00004C310000}"/>
    <cellStyle name="Currency 3 10 4 4" xfId="27171" xr:uid="{00000000-0005-0000-0000-00004D310000}"/>
    <cellStyle name="Currency 3 10 5" xfId="10338" xr:uid="{00000000-0005-0000-0000-00004E310000}"/>
    <cellStyle name="Currency 3 10 5 2" xfId="30258" xr:uid="{00000000-0005-0000-0000-00004F310000}"/>
    <cellStyle name="Currency 3 10 6" xfId="16490" xr:uid="{00000000-0005-0000-0000-000050310000}"/>
    <cellStyle name="Currency 3 10 6 2" xfId="36410" xr:uid="{00000000-0005-0000-0000-000051310000}"/>
    <cellStyle name="Currency 3 10 7" xfId="3094" xr:uid="{00000000-0005-0000-0000-000052310000}"/>
    <cellStyle name="Currency 3 10 7 2" xfId="24105" xr:uid="{00000000-0005-0000-0000-000053310000}"/>
    <cellStyle name="Currency 3 11" xfId="221" xr:uid="{00000000-0005-0000-0000-000054310000}"/>
    <cellStyle name="Currency 3 11 2" xfId="4804" xr:uid="{00000000-0005-0000-0000-000055310000}"/>
    <cellStyle name="Currency 3 11 2 2" xfId="6429" xr:uid="{00000000-0005-0000-0000-000056310000}"/>
    <cellStyle name="Currency 3 11 2 2 2" xfId="9515" xr:uid="{00000000-0005-0000-0000-000057310000}"/>
    <cellStyle name="Currency 3 11 2 2 2 2" xfId="15708" xr:uid="{00000000-0005-0000-0000-000058310000}"/>
    <cellStyle name="Currency 3 11 2 2 2 2 2" xfId="35628" xr:uid="{00000000-0005-0000-0000-000059310000}"/>
    <cellStyle name="Currency 3 11 2 2 2 3" xfId="21860" xr:uid="{00000000-0005-0000-0000-00005A310000}"/>
    <cellStyle name="Currency 3 11 2 2 2 3 2" xfId="41780" xr:uid="{00000000-0005-0000-0000-00005B310000}"/>
    <cellStyle name="Currency 3 11 2 2 2 4" xfId="29475" xr:uid="{00000000-0005-0000-0000-00005C310000}"/>
    <cellStyle name="Currency 3 11 2 2 3" xfId="12642" xr:uid="{00000000-0005-0000-0000-00005D310000}"/>
    <cellStyle name="Currency 3 11 2 2 3 2" xfId="32562" xr:uid="{00000000-0005-0000-0000-00005E310000}"/>
    <cellStyle name="Currency 3 11 2 2 4" xfId="18794" xr:uid="{00000000-0005-0000-0000-00005F310000}"/>
    <cellStyle name="Currency 3 11 2 2 4 2" xfId="38714" xr:uid="{00000000-0005-0000-0000-000060310000}"/>
    <cellStyle name="Currency 3 11 2 2 5" xfId="26409" xr:uid="{00000000-0005-0000-0000-000061310000}"/>
    <cellStyle name="Currency 3 11 2 3" xfId="7980" xr:uid="{00000000-0005-0000-0000-000062310000}"/>
    <cellStyle name="Currency 3 11 2 3 2" xfId="14174" xr:uid="{00000000-0005-0000-0000-000063310000}"/>
    <cellStyle name="Currency 3 11 2 3 2 2" xfId="34094" xr:uid="{00000000-0005-0000-0000-000064310000}"/>
    <cellStyle name="Currency 3 11 2 3 3" xfId="20326" xr:uid="{00000000-0005-0000-0000-000065310000}"/>
    <cellStyle name="Currency 3 11 2 3 3 2" xfId="40246" xr:uid="{00000000-0005-0000-0000-000066310000}"/>
    <cellStyle name="Currency 3 11 2 3 4" xfId="27941" xr:uid="{00000000-0005-0000-0000-000067310000}"/>
    <cellStyle name="Currency 3 11 2 4" xfId="11108" xr:uid="{00000000-0005-0000-0000-000068310000}"/>
    <cellStyle name="Currency 3 11 2 4 2" xfId="31028" xr:uid="{00000000-0005-0000-0000-000069310000}"/>
    <cellStyle name="Currency 3 11 2 5" xfId="17260" xr:uid="{00000000-0005-0000-0000-00006A310000}"/>
    <cellStyle name="Currency 3 11 2 5 2" xfId="37180" xr:uid="{00000000-0005-0000-0000-00006B310000}"/>
    <cellStyle name="Currency 3 11 2 6" xfId="24875" xr:uid="{00000000-0005-0000-0000-00006C310000}"/>
    <cellStyle name="Currency 3 11 3" xfId="5645" xr:uid="{00000000-0005-0000-0000-00006D310000}"/>
    <cellStyle name="Currency 3 11 3 2" xfId="8746" xr:uid="{00000000-0005-0000-0000-00006E310000}"/>
    <cellStyle name="Currency 3 11 3 2 2" xfId="14939" xr:uid="{00000000-0005-0000-0000-00006F310000}"/>
    <cellStyle name="Currency 3 11 3 2 2 2" xfId="34859" xr:uid="{00000000-0005-0000-0000-000070310000}"/>
    <cellStyle name="Currency 3 11 3 2 3" xfId="21091" xr:uid="{00000000-0005-0000-0000-000071310000}"/>
    <cellStyle name="Currency 3 11 3 2 3 2" xfId="41011" xr:uid="{00000000-0005-0000-0000-000072310000}"/>
    <cellStyle name="Currency 3 11 3 2 4" xfId="28706" xr:uid="{00000000-0005-0000-0000-000073310000}"/>
    <cellStyle name="Currency 3 11 3 3" xfId="11873" xr:uid="{00000000-0005-0000-0000-000074310000}"/>
    <cellStyle name="Currency 3 11 3 3 2" xfId="31793" xr:uid="{00000000-0005-0000-0000-000075310000}"/>
    <cellStyle name="Currency 3 11 3 4" xfId="18025" xr:uid="{00000000-0005-0000-0000-000076310000}"/>
    <cellStyle name="Currency 3 11 3 4 2" xfId="37945" xr:uid="{00000000-0005-0000-0000-000077310000}"/>
    <cellStyle name="Currency 3 11 3 5" xfId="25640" xr:uid="{00000000-0005-0000-0000-000078310000}"/>
    <cellStyle name="Currency 3 11 4" xfId="7211" xr:uid="{00000000-0005-0000-0000-000079310000}"/>
    <cellStyle name="Currency 3 11 4 2" xfId="13405" xr:uid="{00000000-0005-0000-0000-00007A310000}"/>
    <cellStyle name="Currency 3 11 4 2 2" xfId="33325" xr:uid="{00000000-0005-0000-0000-00007B310000}"/>
    <cellStyle name="Currency 3 11 4 3" xfId="19557" xr:uid="{00000000-0005-0000-0000-00007C310000}"/>
    <cellStyle name="Currency 3 11 4 3 2" xfId="39477" xr:uid="{00000000-0005-0000-0000-00007D310000}"/>
    <cellStyle name="Currency 3 11 4 4" xfId="27172" xr:uid="{00000000-0005-0000-0000-00007E310000}"/>
    <cellStyle name="Currency 3 11 5" xfId="10339" xr:uid="{00000000-0005-0000-0000-00007F310000}"/>
    <cellStyle name="Currency 3 11 5 2" xfId="30259" xr:uid="{00000000-0005-0000-0000-000080310000}"/>
    <cellStyle name="Currency 3 11 6" xfId="16491" xr:uid="{00000000-0005-0000-0000-000081310000}"/>
    <cellStyle name="Currency 3 11 6 2" xfId="36411" xr:uid="{00000000-0005-0000-0000-000082310000}"/>
    <cellStyle name="Currency 3 11 7" xfId="3095" xr:uid="{00000000-0005-0000-0000-000083310000}"/>
    <cellStyle name="Currency 3 11 7 2" xfId="24106" xr:uid="{00000000-0005-0000-0000-000084310000}"/>
    <cellStyle name="Currency 3 12" xfId="240" xr:uid="{00000000-0005-0000-0000-000085310000}"/>
    <cellStyle name="Currency 3 12 2" xfId="4805" xr:uid="{00000000-0005-0000-0000-000086310000}"/>
    <cellStyle name="Currency 3 12 2 2" xfId="6430" xr:uid="{00000000-0005-0000-0000-000087310000}"/>
    <cellStyle name="Currency 3 12 2 2 2" xfId="9516" xr:uid="{00000000-0005-0000-0000-000088310000}"/>
    <cellStyle name="Currency 3 12 2 2 2 2" xfId="15709" xr:uid="{00000000-0005-0000-0000-000089310000}"/>
    <cellStyle name="Currency 3 12 2 2 2 2 2" xfId="35629" xr:uid="{00000000-0005-0000-0000-00008A310000}"/>
    <cellStyle name="Currency 3 12 2 2 2 3" xfId="21861" xr:uid="{00000000-0005-0000-0000-00008B310000}"/>
    <cellStyle name="Currency 3 12 2 2 2 3 2" xfId="41781" xr:uid="{00000000-0005-0000-0000-00008C310000}"/>
    <cellStyle name="Currency 3 12 2 2 2 4" xfId="29476" xr:uid="{00000000-0005-0000-0000-00008D310000}"/>
    <cellStyle name="Currency 3 12 2 2 3" xfId="12643" xr:uid="{00000000-0005-0000-0000-00008E310000}"/>
    <cellStyle name="Currency 3 12 2 2 3 2" xfId="32563" xr:uid="{00000000-0005-0000-0000-00008F310000}"/>
    <cellStyle name="Currency 3 12 2 2 4" xfId="18795" xr:uid="{00000000-0005-0000-0000-000090310000}"/>
    <cellStyle name="Currency 3 12 2 2 4 2" xfId="38715" xr:uid="{00000000-0005-0000-0000-000091310000}"/>
    <cellStyle name="Currency 3 12 2 2 5" xfId="26410" xr:uid="{00000000-0005-0000-0000-000092310000}"/>
    <cellStyle name="Currency 3 12 2 3" xfId="7981" xr:uid="{00000000-0005-0000-0000-000093310000}"/>
    <cellStyle name="Currency 3 12 2 3 2" xfId="14175" xr:uid="{00000000-0005-0000-0000-000094310000}"/>
    <cellStyle name="Currency 3 12 2 3 2 2" xfId="34095" xr:uid="{00000000-0005-0000-0000-000095310000}"/>
    <cellStyle name="Currency 3 12 2 3 3" xfId="20327" xr:uid="{00000000-0005-0000-0000-000096310000}"/>
    <cellStyle name="Currency 3 12 2 3 3 2" xfId="40247" xr:uid="{00000000-0005-0000-0000-000097310000}"/>
    <cellStyle name="Currency 3 12 2 3 4" xfId="27942" xr:uid="{00000000-0005-0000-0000-000098310000}"/>
    <cellStyle name="Currency 3 12 2 4" xfId="11109" xr:uid="{00000000-0005-0000-0000-000099310000}"/>
    <cellStyle name="Currency 3 12 2 4 2" xfId="31029" xr:uid="{00000000-0005-0000-0000-00009A310000}"/>
    <cellStyle name="Currency 3 12 2 5" xfId="17261" xr:uid="{00000000-0005-0000-0000-00009B310000}"/>
    <cellStyle name="Currency 3 12 2 5 2" xfId="37181" xr:uid="{00000000-0005-0000-0000-00009C310000}"/>
    <cellStyle name="Currency 3 12 2 6" xfId="24876" xr:uid="{00000000-0005-0000-0000-00009D310000}"/>
    <cellStyle name="Currency 3 12 3" xfId="5646" xr:uid="{00000000-0005-0000-0000-00009E310000}"/>
    <cellStyle name="Currency 3 12 3 2" xfId="8747" xr:uid="{00000000-0005-0000-0000-00009F310000}"/>
    <cellStyle name="Currency 3 12 3 2 2" xfId="14940" xr:uid="{00000000-0005-0000-0000-0000A0310000}"/>
    <cellStyle name="Currency 3 12 3 2 2 2" xfId="34860" xr:uid="{00000000-0005-0000-0000-0000A1310000}"/>
    <cellStyle name="Currency 3 12 3 2 3" xfId="21092" xr:uid="{00000000-0005-0000-0000-0000A2310000}"/>
    <cellStyle name="Currency 3 12 3 2 3 2" xfId="41012" xr:uid="{00000000-0005-0000-0000-0000A3310000}"/>
    <cellStyle name="Currency 3 12 3 2 4" xfId="28707" xr:uid="{00000000-0005-0000-0000-0000A4310000}"/>
    <cellStyle name="Currency 3 12 3 3" xfId="11874" xr:uid="{00000000-0005-0000-0000-0000A5310000}"/>
    <cellStyle name="Currency 3 12 3 3 2" xfId="31794" xr:uid="{00000000-0005-0000-0000-0000A6310000}"/>
    <cellStyle name="Currency 3 12 3 4" xfId="18026" xr:uid="{00000000-0005-0000-0000-0000A7310000}"/>
    <cellStyle name="Currency 3 12 3 4 2" xfId="37946" xr:uid="{00000000-0005-0000-0000-0000A8310000}"/>
    <cellStyle name="Currency 3 12 3 5" xfId="25641" xr:uid="{00000000-0005-0000-0000-0000A9310000}"/>
    <cellStyle name="Currency 3 12 4" xfId="7212" xr:uid="{00000000-0005-0000-0000-0000AA310000}"/>
    <cellStyle name="Currency 3 12 4 2" xfId="13406" xr:uid="{00000000-0005-0000-0000-0000AB310000}"/>
    <cellStyle name="Currency 3 12 4 2 2" xfId="33326" xr:uid="{00000000-0005-0000-0000-0000AC310000}"/>
    <cellStyle name="Currency 3 12 4 3" xfId="19558" xr:uid="{00000000-0005-0000-0000-0000AD310000}"/>
    <cellStyle name="Currency 3 12 4 3 2" xfId="39478" xr:uid="{00000000-0005-0000-0000-0000AE310000}"/>
    <cellStyle name="Currency 3 12 4 4" xfId="27173" xr:uid="{00000000-0005-0000-0000-0000AF310000}"/>
    <cellStyle name="Currency 3 12 5" xfId="10340" xr:uid="{00000000-0005-0000-0000-0000B0310000}"/>
    <cellStyle name="Currency 3 12 5 2" xfId="30260" xr:uid="{00000000-0005-0000-0000-0000B1310000}"/>
    <cellStyle name="Currency 3 12 6" xfId="16492" xr:uid="{00000000-0005-0000-0000-0000B2310000}"/>
    <cellStyle name="Currency 3 12 6 2" xfId="36412" xr:uid="{00000000-0005-0000-0000-0000B3310000}"/>
    <cellStyle name="Currency 3 12 7" xfId="3096" xr:uid="{00000000-0005-0000-0000-0000B4310000}"/>
    <cellStyle name="Currency 3 12 7 2" xfId="24107" xr:uid="{00000000-0005-0000-0000-0000B5310000}"/>
    <cellStyle name="Currency 3 13" xfId="255" xr:uid="{00000000-0005-0000-0000-0000B6310000}"/>
    <cellStyle name="Currency 3 13 2" xfId="4806" xr:uid="{00000000-0005-0000-0000-0000B7310000}"/>
    <cellStyle name="Currency 3 13 2 2" xfId="6431" xr:uid="{00000000-0005-0000-0000-0000B8310000}"/>
    <cellStyle name="Currency 3 13 2 2 2" xfId="9517" xr:uid="{00000000-0005-0000-0000-0000B9310000}"/>
    <cellStyle name="Currency 3 13 2 2 2 2" xfId="15710" xr:uid="{00000000-0005-0000-0000-0000BA310000}"/>
    <cellStyle name="Currency 3 13 2 2 2 2 2" xfId="35630" xr:uid="{00000000-0005-0000-0000-0000BB310000}"/>
    <cellStyle name="Currency 3 13 2 2 2 3" xfId="21862" xr:uid="{00000000-0005-0000-0000-0000BC310000}"/>
    <cellStyle name="Currency 3 13 2 2 2 3 2" xfId="41782" xr:uid="{00000000-0005-0000-0000-0000BD310000}"/>
    <cellStyle name="Currency 3 13 2 2 2 4" xfId="29477" xr:uid="{00000000-0005-0000-0000-0000BE310000}"/>
    <cellStyle name="Currency 3 13 2 2 3" xfId="12644" xr:uid="{00000000-0005-0000-0000-0000BF310000}"/>
    <cellStyle name="Currency 3 13 2 2 3 2" xfId="32564" xr:uid="{00000000-0005-0000-0000-0000C0310000}"/>
    <cellStyle name="Currency 3 13 2 2 4" xfId="18796" xr:uid="{00000000-0005-0000-0000-0000C1310000}"/>
    <cellStyle name="Currency 3 13 2 2 4 2" xfId="38716" xr:uid="{00000000-0005-0000-0000-0000C2310000}"/>
    <cellStyle name="Currency 3 13 2 2 5" xfId="26411" xr:uid="{00000000-0005-0000-0000-0000C3310000}"/>
    <cellStyle name="Currency 3 13 2 3" xfId="7982" xr:uid="{00000000-0005-0000-0000-0000C4310000}"/>
    <cellStyle name="Currency 3 13 2 3 2" xfId="14176" xr:uid="{00000000-0005-0000-0000-0000C5310000}"/>
    <cellStyle name="Currency 3 13 2 3 2 2" xfId="34096" xr:uid="{00000000-0005-0000-0000-0000C6310000}"/>
    <cellStyle name="Currency 3 13 2 3 3" xfId="20328" xr:uid="{00000000-0005-0000-0000-0000C7310000}"/>
    <cellStyle name="Currency 3 13 2 3 3 2" xfId="40248" xr:uid="{00000000-0005-0000-0000-0000C8310000}"/>
    <cellStyle name="Currency 3 13 2 3 4" xfId="27943" xr:uid="{00000000-0005-0000-0000-0000C9310000}"/>
    <cellStyle name="Currency 3 13 2 4" xfId="11110" xr:uid="{00000000-0005-0000-0000-0000CA310000}"/>
    <cellStyle name="Currency 3 13 2 4 2" xfId="31030" xr:uid="{00000000-0005-0000-0000-0000CB310000}"/>
    <cellStyle name="Currency 3 13 2 5" xfId="17262" xr:uid="{00000000-0005-0000-0000-0000CC310000}"/>
    <cellStyle name="Currency 3 13 2 5 2" xfId="37182" xr:uid="{00000000-0005-0000-0000-0000CD310000}"/>
    <cellStyle name="Currency 3 13 2 6" xfId="24877" xr:uid="{00000000-0005-0000-0000-0000CE310000}"/>
    <cellStyle name="Currency 3 13 3" xfId="5647" xr:uid="{00000000-0005-0000-0000-0000CF310000}"/>
    <cellStyle name="Currency 3 13 3 2" xfId="8748" xr:uid="{00000000-0005-0000-0000-0000D0310000}"/>
    <cellStyle name="Currency 3 13 3 2 2" xfId="14941" xr:uid="{00000000-0005-0000-0000-0000D1310000}"/>
    <cellStyle name="Currency 3 13 3 2 2 2" xfId="34861" xr:uid="{00000000-0005-0000-0000-0000D2310000}"/>
    <cellStyle name="Currency 3 13 3 2 3" xfId="21093" xr:uid="{00000000-0005-0000-0000-0000D3310000}"/>
    <cellStyle name="Currency 3 13 3 2 3 2" xfId="41013" xr:uid="{00000000-0005-0000-0000-0000D4310000}"/>
    <cellStyle name="Currency 3 13 3 2 4" xfId="28708" xr:uid="{00000000-0005-0000-0000-0000D5310000}"/>
    <cellStyle name="Currency 3 13 3 3" xfId="11875" xr:uid="{00000000-0005-0000-0000-0000D6310000}"/>
    <cellStyle name="Currency 3 13 3 3 2" xfId="31795" xr:uid="{00000000-0005-0000-0000-0000D7310000}"/>
    <cellStyle name="Currency 3 13 3 4" xfId="18027" xr:uid="{00000000-0005-0000-0000-0000D8310000}"/>
    <cellStyle name="Currency 3 13 3 4 2" xfId="37947" xr:uid="{00000000-0005-0000-0000-0000D9310000}"/>
    <cellStyle name="Currency 3 13 3 5" xfId="25642" xr:uid="{00000000-0005-0000-0000-0000DA310000}"/>
    <cellStyle name="Currency 3 13 4" xfId="7213" xr:uid="{00000000-0005-0000-0000-0000DB310000}"/>
    <cellStyle name="Currency 3 13 4 2" xfId="13407" xr:uid="{00000000-0005-0000-0000-0000DC310000}"/>
    <cellStyle name="Currency 3 13 4 2 2" xfId="33327" xr:uid="{00000000-0005-0000-0000-0000DD310000}"/>
    <cellStyle name="Currency 3 13 4 3" xfId="19559" xr:uid="{00000000-0005-0000-0000-0000DE310000}"/>
    <cellStyle name="Currency 3 13 4 3 2" xfId="39479" xr:uid="{00000000-0005-0000-0000-0000DF310000}"/>
    <cellStyle name="Currency 3 13 4 4" xfId="27174" xr:uid="{00000000-0005-0000-0000-0000E0310000}"/>
    <cellStyle name="Currency 3 13 5" xfId="10341" xr:uid="{00000000-0005-0000-0000-0000E1310000}"/>
    <cellStyle name="Currency 3 13 5 2" xfId="30261" xr:uid="{00000000-0005-0000-0000-0000E2310000}"/>
    <cellStyle name="Currency 3 13 6" xfId="16493" xr:uid="{00000000-0005-0000-0000-0000E3310000}"/>
    <cellStyle name="Currency 3 13 6 2" xfId="36413" xr:uid="{00000000-0005-0000-0000-0000E4310000}"/>
    <cellStyle name="Currency 3 13 7" xfId="3097" xr:uid="{00000000-0005-0000-0000-0000E5310000}"/>
    <cellStyle name="Currency 3 13 7 2" xfId="24108" xr:uid="{00000000-0005-0000-0000-0000E6310000}"/>
    <cellStyle name="Currency 3 14" xfId="307" xr:uid="{00000000-0005-0000-0000-0000E7310000}"/>
    <cellStyle name="Currency 3 14 2" xfId="4807" xr:uid="{00000000-0005-0000-0000-0000E8310000}"/>
    <cellStyle name="Currency 3 14 2 2" xfId="6432" xr:uid="{00000000-0005-0000-0000-0000E9310000}"/>
    <cellStyle name="Currency 3 14 2 2 2" xfId="9518" xr:uid="{00000000-0005-0000-0000-0000EA310000}"/>
    <cellStyle name="Currency 3 14 2 2 2 2" xfId="15711" xr:uid="{00000000-0005-0000-0000-0000EB310000}"/>
    <cellStyle name="Currency 3 14 2 2 2 2 2" xfId="35631" xr:uid="{00000000-0005-0000-0000-0000EC310000}"/>
    <cellStyle name="Currency 3 14 2 2 2 3" xfId="21863" xr:uid="{00000000-0005-0000-0000-0000ED310000}"/>
    <cellStyle name="Currency 3 14 2 2 2 3 2" xfId="41783" xr:uid="{00000000-0005-0000-0000-0000EE310000}"/>
    <cellStyle name="Currency 3 14 2 2 2 4" xfId="29478" xr:uid="{00000000-0005-0000-0000-0000EF310000}"/>
    <cellStyle name="Currency 3 14 2 2 3" xfId="12645" xr:uid="{00000000-0005-0000-0000-0000F0310000}"/>
    <cellStyle name="Currency 3 14 2 2 3 2" xfId="32565" xr:uid="{00000000-0005-0000-0000-0000F1310000}"/>
    <cellStyle name="Currency 3 14 2 2 4" xfId="18797" xr:uid="{00000000-0005-0000-0000-0000F2310000}"/>
    <cellStyle name="Currency 3 14 2 2 4 2" xfId="38717" xr:uid="{00000000-0005-0000-0000-0000F3310000}"/>
    <cellStyle name="Currency 3 14 2 2 5" xfId="26412" xr:uid="{00000000-0005-0000-0000-0000F4310000}"/>
    <cellStyle name="Currency 3 14 2 3" xfId="7983" xr:uid="{00000000-0005-0000-0000-0000F5310000}"/>
    <cellStyle name="Currency 3 14 2 3 2" xfId="14177" xr:uid="{00000000-0005-0000-0000-0000F6310000}"/>
    <cellStyle name="Currency 3 14 2 3 2 2" xfId="34097" xr:uid="{00000000-0005-0000-0000-0000F7310000}"/>
    <cellStyle name="Currency 3 14 2 3 3" xfId="20329" xr:uid="{00000000-0005-0000-0000-0000F8310000}"/>
    <cellStyle name="Currency 3 14 2 3 3 2" xfId="40249" xr:uid="{00000000-0005-0000-0000-0000F9310000}"/>
    <cellStyle name="Currency 3 14 2 3 4" xfId="27944" xr:uid="{00000000-0005-0000-0000-0000FA310000}"/>
    <cellStyle name="Currency 3 14 2 4" xfId="11111" xr:uid="{00000000-0005-0000-0000-0000FB310000}"/>
    <cellStyle name="Currency 3 14 2 4 2" xfId="31031" xr:uid="{00000000-0005-0000-0000-0000FC310000}"/>
    <cellStyle name="Currency 3 14 2 5" xfId="17263" xr:uid="{00000000-0005-0000-0000-0000FD310000}"/>
    <cellStyle name="Currency 3 14 2 5 2" xfId="37183" xr:uid="{00000000-0005-0000-0000-0000FE310000}"/>
    <cellStyle name="Currency 3 14 2 6" xfId="24878" xr:uid="{00000000-0005-0000-0000-0000FF310000}"/>
    <cellStyle name="Currency 3 14 3" xfId="5648" xr:uid="{00000000-0005-0000-0000-000000320000}"/>
    <cellStyle name="Currency 3 14 3 2" xfId="8749" xr:uid="{00000000-0005-0000-0000-000001320000}"/>
    <cellStyle name="Currency 3 14 3 2 2" xfId="14942" xr:uid="{00000000-0005-0000-0000-000002320000}"/>
    <cellStyle name="Currency 3 14 3 2 2 2" xfId="34862" xr:uid="{00000000-0005-0000-0000-000003320000}"/>
    <cellStyle name="Currency 3 14 3 2 3" xfId="21094" xr:uid="{00000000-0005-0000-0000-000004320000}"/>
    <cellStyle name="Currency 3 14 3 2 3 2" xfId="41014" xr:uid="{00000000-0005-0000-0000-000005320000}"/>
    <cellStyle name="Currency 3 14 3 2 4" xfId="28709" xr:uid="{00000000-0005-0000-0000-000006320000}"/>
    <cellStyle name="Currency 3 14 3 3" xfId="11876" xr:uid="{00000000-0005-0000-0000-000007320000}"/>
    <cellStyle name="Currency 3 14 3 3 2" xfId="31796" xr:uid="{00000000-0005-0000-0000-000008320000}"/>
    <cellStyle name="Currency 3 14 3 4" xfId="18028" xr:uid="{00000000-0005-0000-0000-000009320000}"/>
    <cellStyle name="Currency 3 14 3 4 2" xfId="37948" xr:uid="{00000000-0005-0000-0000-00000A320000}"/>
    <cellStyle name="Currency 3 14 3 5" xfId="25643" xr:uid="{00000000-0005-0000-0000-00000B320000}"/>
    <cellStyle name="Currency 3 14 4" xfId="7214" xr:uid="{00000000-0005-0000-0000-00000C320000}"/>
    <cellStyle name="Currency 3 14 4 2" xfId="13408" xr:uid="{00000000-0005-0000-0000-00000D320000}"/>
    <cellStyle name="Currency 3 14 4 2 2" xfId="33328" xr:uid="{00000000-0005-0000-0000-00000E320000}"/>
    <cellStyle name="Currency 3 14 4 3" xfId="19560" xr:uid="{00000000-0005-0000-0000-00000F320000}"/>
    <cellStyle name="Currency 3 14 4 3 2" xfId="39480" xr:uid="{00000000-0005-0000-0000-000010320000}"/>
    <cellStyle name="Currency 3 14 4 4" xfId="27175" xr:uid="{00000000-0005-0000-0000-000011320000}"/>
    <cellStyle name="Currency 3 14 5" xfId="10342" xr:uid="{00000000-0005-0000-0000-000012320000}"/>
    <cellStyle name="Currency 3 14 5 2" xfId="30262" xr:uid="{00000000-0005-0000-0000-000013320000}"/>
    <cellStyle name="Currency 3 14 6" xfId="16494" xr:uid="{00000000-0005-0000-0000-000014320000}"/>
    <cellStyle name="Currency 3 14 6 2" xfId="36414" xr:uid="{00000000-0005-0000-0000-000015320000}"/>
    <cellStyle name="Currency 3 14 7" xfId="3098" xr:uid="{00000000-0005-0000-0000-000016320000}"/>
    <cellStyle name="Currency 3 14 7 2" xfId="24109" xr:uid="{00000000-0005-0000-0000-000017320000}"/>
    <cellStyle name="Currency 3 15" xfId="340" xr:uid="{00000000-0005-0000-0000-000018320000}"/>
    <cellStyle name="Currency 3 15 2" xfId="4808" xr:uid="{00000000-0005-0000-0000-000019320000}"/>
    <cellStyle name="Currency 3 15 2 2" xfId="6433" xr:uid="{00000000-0005-0000-0000-00001A320000}"/>
    <cellStyle name="Currency 3 15 2 2 2" xfId="9519" xr:uid="{00000000-0005-0000-0000-00001B320000}"/>
    <cellStyle name="Currency 3 15 2 2 2 2" xfId="15712" xr:uid="{00000000-0005-0000-0000-00001C320000}"/>
    <cellStyle name="Currency 3 15 2 2 2 2 2" xfId="35632" xr:uid="{00000000-0005-0000-0000-00001D320000}"/>
    <cellStyle name="Currency 3 15 2 2 2 3" xfId="21864" xr:uid="{00000000-0005-0000-0000-00001E320000}"/>
    <cellStyle name="Currency 3 15 2 2 2 3 2" xfId="41784" xr:uid="{00000000-0005-0000-0000-00001F320000}"/>
    <cellStyle name="Currency 3 15 2 2 2 4" xfId="29479" xr:uid="{00000000-0005-0000-0000-000020320000}"/>
    <cellStyle name="Currency 3 15 2 2 3" xfId="12646" xr:uid="{00000000-0005-0000-0000-000021320000}"/>
    <cellStyle name="Currency 3 15 2 2 3 2" xfId="32566" xr:uid="{00000000-0005-0000-0000-000022320000}"/>
    <cellStyle name="Currency 3 15 2 2 4" xfId="18798" xr:uid="{00000000-0005-0000-0000-000023320000}"/>
    <cellStyle name="Currency 3 15 2 2 4 2" xfId="38718" xr:uid="{00000000-0005-0000-0000-000024320000}"/>
    <cellStyle name="Currency 3 15 2 2 5" xfId="26413" xr:uid="{00000000-0005-0000-0000-000025320000}"/>
    <cellStyle name="Currency 3 15 2 3" xfId="7984" xr:uid="{00000000-0005-0000-0000-000026320000}"/>
    <cellStyle name="Currency 3 15 2 3 2" xfId="14178" xr:uid="{00000000-0005-0000-0000-000027320000}"/>
    <cellStyle name="Currency 3 15 2 3 2 2" xfId="34098" xr:uid="{00000000-0005-0000-0000-000028320000}"/>
    <cellStyle name="Currency 3 15 2 3 3" xfId="20330" xr:uid="{00000000-0005-0000-0000-000029320000}"/>
    <cellStyle name="Currency 3 15 2 3 3 2" xfId="40250" xr:uid="{00000000-0005-0000-0000-00002A320000}"/>
    <cellStyle name="Currency 3 15 2 3 4" xfId="27945" xr:uid="{00000000-0005-0000-0000-00002B320000}"/>
    <cellStyle name="Currency 3 15 2 4" xfId="11112" xr:uid="{00000000-0005-0000-0000-00002C320000}"/>
    <cellStyle name="Currency 3 15 2 4 2" xfId="31032" xr:uid="{00000000-0005-0000-0000-00002D320000}"/>
    <cellStyle name="Currency 3 15 2 5" xfId="17264" xr:uid="{00000000-0005-0000-0000-00002E320000}"/>
    <cellStyle name="Currency 3 15 2 5 2" xfId="37184" xr:uid="{00000000-0005-0000-0000-00002F320000}"/>
    <cellStyle name="Currency 3 15 2 6" xfId="24879" xr:uid="{00000000-0005-0000-0000-000030320000}"/>
    <cellStyle name="Currency 3 15 3" xfId="5649" xr:uid="{00000000-0005-0000-0000-000031320000}"/>
    <cellStyle name="Currency 3 15 3 2" xfId="8750" xr:uid="{00000000-0005-0000-0000-000032320000}"/>
    <cellStyle name="Currency 3 15 3 2 2" xfId="14943" xr:uid="{00000000-0005-0000-0000-000033320000}"/>
    <cellStyle name="Currency 3 15 3 2 2 2" xfId="34863" xr:uid="{00000000-0005-0000-0000-000034320000}"/>
    <cellStyle name="Currency 3 15 3 2 3" xfId="21095" xr:uid="{00000000-0005-0000-0000-000035320000}"/>
    <cellStyle name="Currency 3 15 3 2 3 2" xfId="41015" xr:uid="{00000000-0005-0000-0000-000036320000}"/>
    <cellStyle name="Currency 3 15 3 2 4" xfId="28710" xr:uid="{00000000-0005-0000-0000-000037320000}"/>
    <cellStyle name="Currency 3 15 3 3" xfId="11877" xr:uid="{00000000-0005-0000-0000-000038320000}"/>
    <cellStyle name="Currency 3 15 3 3 2" xfId="31797" xr:uid="{00000000-0005-0000-0000-000039320000}"/>
    <cellStyle name="Currency 3 15 3 4" xfId="18029" xr:uid="{00000000-0005-0000-0000-00003A320000}"/>
    <cellStyle name="Currency 3 15 3 4 2" xfId="37949" xr:uid="{00000000-0005-0000-0000-00003B320000}"/>
    <cellStyle name="Currency 3 15 3 5" xfId="25644" xr:uid="{00000000-0005-0000-0000-00003C320000}"/>
    <cellStyle name="Currency 3 15 4" xfId="7215" xr:uid="{00000000-0005-0000-0000-00003D320000}"/>
    <cellStyle name="Currency 3 15 4 2" xfId="13409" xr:uid="{00000000-0005-0000-0000-00003E320000}"/>
    <cellStyle name="Currency 3 15 4 2 2" xfId="33329" xr:uid="{00000000-0005-0000-0000-00003F320000}"/>
    <cellStyle name="Currency 3 15 4 3" xfId="19561" xr:uid="{00000000-0005-0000-0000-000040320000}"/>
    <cellStyle name="Currency 3 15 4 3 2" xfId="39481" xr:uid="{00000000-0005-0000-0000-000041320000}"/>
    <cellStyle name="Currency 3 15 4 4" xfId="27176" xr:uid="{00000000-0005-0000-0000-000042320000}"/>
    <cellStyle name="Currency 3 15 5" xfId="10343" xr:uid="{00000000-0005-0000-0000-000043320000}"/>
    <cellStyle name="Currency 3 15 5 2" xfId="30263" xr:uid="{00000000-0005-0000-0000-000044320000}"/>
    <cellStyle name="Currency 3 15 6" xfId="16495" xr:uid="{00000000-0005-0000-0000-000045320000}"/>
    <cellStyle name="Currency 3 15 6 2" xfId="36415" xr:uid="{00000000-0005-0000-0000-000046320000}"/>
    <cellStyle name="Currency 3 15 7" xfId="3099" xr:uid="{00000000-0005-0000-0000-000047320000}"/>
    <cellStyle name="Currency 3 15 7 2" xfId="24110" xr:uid="{00000000-0005-0000-0000-000048320000}"/>
    <cellStyle name="Currency 3 16" xfId="363" xr:uid="{00000000-0005-0000-0000-000049320000}"/>
    <cellStyle name="Currency 3 16 2" xfId="4809" xr:uid="{00000000-0005-0000-0000-00004A320000}"/>
    <cellStyle name="Currency 3 16 2 2" xfId="6434" xr:uid="{00000000-0005-0000-0000-00004B320000}"/>
    <cellStyle name="Currency 3 16 2 2 2" xfId="9520" xr:uid="{00000000-0005-0000-0000-00004C320000}"/>
    <cellStyle name="Currency 3 16 2 2 2 2" xfId="15713" xr:uid="{00000000-0005-0000-0000-00004D320000}"/>
    <cellStyle name="Currency 3 16 2 2 2 2 2" xfId="35633" xr:uid="{00000000-0005-0000-0000-00004E320000}"/>
    <cellStyle name="Currency 3 16 2 2 2 3" xfId="21865" xr:uid="{00000000-0005-0000-0000-00004F320000}"/>
    <cellStyle name="Currency 3 16 2 2 2 3 2" xfId="41785" xr:uid="{00000000-0005-0000-0000-000050320000}"/>
    <cellStyle name="Currency 3 16 2 2 2 4" xfId="29480" xr:uid="{00000000-0005-0000-0000-000051320000}"/>
    <cellStyle name="Currency 3 16 2 2 3" xfId="12647" xr:uid="{00000000-0005-0000-0000-000052320000}"/>
    <cellStyle name="Currency 3 16 2 2 3 2" xfId="32567" xr:uid="{00000000-0005-0000-0000-000053320000}"/>
    <cellStyle name="Currency 3 16 2 2 4" xfId="18799" xr:uid="{00000000-0005-0000-0000-000054320000}"/>
    <cellStyle name="Currency 3 16 2 2 4 2" xfId="38719" xr:uid="{00000000-0005-0000-0000-000055320000}"/>
    <cellStyle name="Currency 3 16 2 2 5" xfId="26414" xr:uid="{00000000-0005-0000-0000-000056320000}"/>
    <cellStyle name="Currency 3 16 2 3" xfId="7985" xr:uid="{00000000-0005-0000-0000-000057320000}"/>
    <cellStyle name="Currency 3 16 2 3 2" xfId="14179" xr:uid="{00000000-0005-0000-0000-000058320000}"/>
    <cellStyle name="Currency 3 16 2 3 2 2" xfId="34099" xr:uid="{00000000-0005-0000-0000-000059320000}"/>
    <cellStyle name="Currency 3 16 2 3 3" xfId="20331" xr:uid="{00000000-0005-0000-0000-00005A320000}"/>
    <cellStyle name="Currency 3 16 2 3 3 2" xfId="40251" xr:uid="{00000000-0005-0000-0000-00005B320000}"/>
    <cellStyle name="Currency 3 16 2 3 4" xfId="27946" xr:uid="{00000000-0005-0000-0000-00005C320000}"/>
    <cellStyle name="Currency 3 16 2 4" xfId="11113" xr:uid="{00000000-0005-0000-0000-00005D320000}"/>
    <cellStyle name="Currency 3 16 2 4 2" xfId="31033" xr:uid="{00000000-0005-0000-0000-00005E320000}"/>
    <cellStyle name="Currency 3 16 2 5" xfId="17265" xr:uid="{00000000-0005-0000-0000-00005F320000}"/>
    <cellStyle name="Currency 3 16 2 5 2" xfId="37185" xr:uid="{00000000-0005-0000-0000-000060320000}"/>
    <cellStyle name="Currency 3 16 2 6" xfId="24880" xr:uid="{00000000-0005-0000-0000-000061320000}"/>
    <cellStyle name="Currency 3 16 3" xfId="5650" xr:uid="{00000000-0005-0000-0000-000062320000}"/>
    <cellStyle name="Currency 3 16 3 2" xfId="8751" xr:uid="{00000000-0005-0000-0000-000063320000}"/>
    <cellStyle name="Currency 3 16 3 2 2" xfId="14944" xr:uid="{00000000-0005-0000-0000-000064320000}"/>
    <cellStyle name="Currency 3 16 3 2 2 2" xfId="34864" xr:uid="{00000000-0005-0000-0000-000065320000}"/>
    <cellStyle name="Currency 3 16 3 2 3" xfId="21096" xr:uid="{00000000-0005-0000-0000-000066320000}"/>
    <cellStyle name="Currency 3 16 3 2 3 2" xfId="41016" xr:uid="{00000000-0005-0000-0000-000067320000}"/>
    <cellStyle name="Currency 3 16 3 2 4" xfId="28711" xr:uid="{00000000-0005-0000-0000-000068320000}"/>
    <cellStyle name="Currency 3 16 3 3" xfId="11878" xr:uid="{00000000-0005-0000-0000-000069320000}"/>
    <cellStyle name="Currency 3 16 3 3 2" xfId="31798" xr:uid="{00000000-0005-0000-0000-00006A320000}"/>
    <cellStyle name="Currency 3 16 3 4" xfId="18030" xr:uid="{00000000-0005-0000-0000-00006B320000}"/>
    <cellStyle name="Currency 3 16 3 4 2" xfId="37950" xr:uid="{00000000-0005-0000-0000-00006C320000}"/>
    <cellStyle name="Currency 3 16 3 5" xfId="25645" xr:uid="{00000000-0005-0000-0000-00006D320000}"/>
    <cellStyle name="Currency 3 16 4" xfId="7216" xr:uid="{00000000-0005-0000-0000-00006E320000}"/>
    <cellStyle name="Currency 3 16 4 2" xfId="13410" xr:uid="{00000000-0005-0000-0000-00006F320000}"/>
    <cellStyle name="Currency 3 16 4 2 2" xfId="33330" xr:uid="{00000000-0005-0000-0000-000070320000}"/>
    <cellStyle name="Currency 3 16 4 3" xfId="19562" xr:uid="{00000000-0005-0000-0000-000071320000}"/>
    <cellStyle name="Currency 3 16 4 3 2" xfId="39482" xr:uid="{00000000-0005-0000-0000-000072320000}"/>
    <cellStyle name="Currency 3 16 4 4" xfId="27177" xr:uid="{00000000-0005-0000-0000-000073320000}"/>
    <cellStyle name="Currency 3 16 5" xfId="10344" xr:uid="{00000000-0005-0000-0000-000074320000}"/>
    <cellStyle name="Currency 3 16 5 2" xfId="30264" xr:uid="{00000000-0005-0000-0000-000075320000}"/>
    <cellStyle name="Currency 3 16 6" xfId="16496" xr:uid="{00000000-0005-0000-0000-000076320000}"/>
    <cellStyle name="Currency 3 16 6 2" xfId="36416" xr:uid="{00000000-0005-0000-0000-000077320000}"/>
    <cellStyle name="Currency 3 16 7" xfId="3100" xr:uid="{00000000-0005-0000-0000-000078320000}"/>
    <cellStyle name="Currency 3 16 7 2" xfId="24111" xr:uid="{00000000-0005-0000-0000-000079320000}"/>
    <cellStyle name="Currency 3 17" xfId="377" xr:uid="{00000000-0005-0000-0000-00007A320000}"/>
    <cellStyle name="Currency 3 17 2" xfId="4810" xr:uid="{00000000-0005-0000-0000-00007B320000}"/>
    <cellStyle name="Currency 3 17 2 2" xfId="6435" xr:uid="{00000000-0005-0000-0000-00007C320000}"/>
    <cellStyle name="Currency 3 17 2 2 2" xfId="9521" xr:uid="{00000000-0005-0000-0000-00007D320000}"/>
    <cellStyle name="Currency 3 17 2 2 2 2" xfId="15714" xr:uid="{00000000-0005-0000-0000-00007E320000}"/>
    <cellStyle name="Currency 3 17 2 2 2 2 2" xfId="35634" xr:uid="{00000000-0005-0000-0000-00007F320000}"/>
    <cellStyle name="Currency 3 17 2 2 2 3" xfId="21866" xr:uid="{00000000-0005-0000-0000-000080320000}"/>
    <cellStyle name="Currency 3 17 2 2 2 3 2" xfId="41786" xr:uid="{00000000-0005-0000-0000-000081320000}"/>
    <cellStyle name="Currency 3 17 2 2 2 4" xfId="29481" xr:uid="{00000000-0005-0000-0000-000082320000}"/>
    <cellStyle name="Currency 3 17 2 2 3" xfId="12648" xr:uid="{00000000-0005-0000-0000-000083320000}"/>
    <cellStyle name="Currency 3 17 2 2 3 2" xfId="32568" xr:uid="{00000000-0005-0000-0000-000084320000}"/>
    <cellStyle name="Currency 3 17 2 2 4" xfId="18800" xr:uid="{00000000-0005-0000-0000-000085320000}"/>
    <cellStyle name="Currency 3 17 2 2 4 2" xfId="38720" xr:uid="{00000000-0005-0000-0000-000086320000}"/>
    <cellStyle name="Currency 3 17 2 2 5" xfId="26415" xr:uid="{00000000-0005-0000-0000-000087320000}"/>
    <cellStyle name="Currency 3 17 2 3" xfId="7986" xr:uid="{00000000-0005-0000-0000-000088320000}"/>
    <cellStyle name="Currency 3 17 2 3 2" xfId="14180" xr:uid="{00000000-0005-0000-0000-000089320000}"/>
    <cellStyle name="Currency 3 17 2 3 2 2" xfId="34100" xr:uid="{00000000-0005-0000-0000-00008A320000}"/>
    <cellStyle name="Currency 3 17 2 3 3" xfId="20332" xr:uid="{00000000-0005-0000-0000-00008B320000}"/>
    <cellStyle name="Currency 3 17 2 3 3 2" xfId="40252" xr:uid="{00000000-0005-0000-0000-00008C320000}"/>
    <cellStyle name="Currency 3 17 2 3 4" xfId="27947" xr:uid="{00000000-0005-0000-0000-00008D320000}"/>
    <cellStyle name="Currency 3 17 2 4" xfId="11114" xr:uid="{00000000-0005-0000-0000-00008E320000}"/>
    <cellStyle name="Currency 3 17 2 4 2" xfId="31034" xr:uid="{00000000-0005-0000-0000-00008F320000}"/>
    <cellStyle name="Currency 3 17 2 5" xfId="17266" xr:uid="{00000000-0005-0000-0000-000090320000}"/>
    <cellStyle name="Currency 3 17 2 5 2" xfId="37186" xr:uid="{00000000-0005-0000-0000-000091320000}"/>
    <cellStyle name="Currency 3 17 2 6" xfId="24881" xr:uid="{00000000-0005-0000-0000-000092320000}"/>
    <cellStyle name="Currency 3 17 3" xfId="5651" xr:uid="{00000000-0005-0000-0000-000093320000}"/>
    <cellStyle name="Currency 3 17 3 2" xfId="8752" xr:uid="{00000000-0005-0000-0000-000094320000}"/>
    <cellStyle name="Currency 3 17 3 2 2" xfId="14945" xr:uid="{00000000-0005-0000-0000-000095320000}"/>
    <cellStyle name="Currency 3 17 3 2 2 2" xfId="34865" xr:uid="{00000000-0005-0000-0000-000096320000}"/>
    <cellStyle name="Currency 3 17 3 2 3" xfId="21097" xr:uid="{00000000-0005-0000-0000-000097320000}"/>
    <cellStyle name="Currency 3 17 3 2 3 2" xfId="41017" xr:uid="{00000000-0005-0000-0000-000098320000}"/>
    <cellStyle name="Currency 3 17 3 2 4" xfId="28712" xr:uid="{00000000-0005-0000-0000-000099320000}"/>
    <cellStyle name="Currency 3 17 3 3" xfId="11879" xr:uid="{00000000-0005-0000-0000-00009A320000}"/>
    <cellStyle name="Currency 3 17 3 3 2" xfId="31799" xr:uid="{00000000-0005-0000-0000-00009B320000}"/>
    <cellStyle name="Currency 3 17 3 4" xfId="18031" xr:uid="{00000000-0005-0000-0000-00009C320000}"/>
    <cellStyle name="Currency 3 17 3 4 2" xfId="37951" xr:uid="{00000000-0005-0000-0000-00009D320000}"/>
    <cellStyle name="Currency 3 17 3 5" xfId="25646" xr:uid="{00000000-0005-0000-0000-00009E320000}"/>
    <cellStyle name="Currency 3 17 4" xfId="7217" xr:uid="{00000000-0005-0000-0000-00009F320000}"/>
    <cellStyle name="Currency 3 17 4 2" xfId="13411" xr:uid="{00000000-0005-0000-0000-0000A0320000}"/>
    <cellStyle name="Currency 3 17 4 2 2" xfId="33331" xr:uid="{00000000-0005-0000-0000-0000A1320000}"/>
    <cellStyle name="Currency 3 17 4 3" xfId="19563" xr:uid="{00000000-0005-0000-0000-0000A2320000}"/>
    <cellStyle name="Currency 3 17 4 3 2" xfId="39483" xr:uid="{00000000-0005-0000-0000-0000A3320000}"/>
    <cellStyle name="Currency 3 17 4 4" xfId="27178" xr:uid="{00000000-0005-0000-0000-0000A4320000}"/>
    <cellStyle name="Currency 3 17 5" xfId="10345" xr:uid="{00000000-0005-0000-0000-0000A5320000}"/>
    <cellStyle name="Currency 3 17 5 2" xfId="30265" xr:uid="{00000000-0005-0000-0000-0000A6320000}"/>
    <cellStyle name="Currency 3 17 6" xfId="16497" xr:uid="{00000000-0005-0000-0000-0000A7320000}"/>
    <cellStyle name="Currency 3 17 6 2" xfId="36417" xr:uid="{00000000-0005-0000-0000-0000A8320000}"/>
    <cellStyle name="Currency 3 17 7" xfId="3101" xr:uid="{00000000-0005-0000-0000-0000A9320000}"/>
    <cellStyle name="Currency 3 17 7 2" xfId="24112" xr:uid="{00000000-0005-0000-0000-0000AA320000}"/>
    <cellStyle name="Currency 3 18" xfId="384" xr:uid="{00000000-0005-0000-0000-0000AB320000}"/>
    <cellStyle name="Currency 3 18 2" xfId="4811" xr:uid="{00000000-0005-0000-0000-0000AC320000}"/>
    <cellStyle name="Currency 3 18 2 2" xfId="6436" xr:uid="{00000000-0005-0000-0000-0000AD320000}"/>
    <cellStyle name="Currency 3 18 2 2 2" xfId="9522" xr:uid="{00000000-0005-0000-0000-0000AE320000}"/>
    <cellStyle name="Currency 3 18 2 2 2 2" xfId="15715" xr:uid="{00000000-0005-0000-0000-0000AF320000}"/>
    <cellStyle name="Currency 3 18 2 2 2 2 2" xfId="35635" xr:uid="{00000000-0005-0000-0000-0000B0320000}"/>
    <cellStyle name="Currency 3 18 2 2 2 3" xfId="21867" xr:uid="{00000000-0005-0000-0000-0000B1320000}"/>
    <cellStyle name="Currency 3 18 2 2 2 3 2" xfId="41787" xr:uid="{00000000-0005-0000-0000-0000B2320000}"/>
    <cellStyle name="Currency 3 18 2 2 2 4" xfId="29482" xr:uid="{00000000-0005-0000-0000-0000B3320000}"/>
    <cellStyle name="Currency 3 18 2 2 3" xfId="12649" xr:uid="{00000000-0005-0000-0000-0000B4320000}"/>
    <cellStyle name="Currency 3 18 2 2 3 2" xfId="32569" xr:uid="{00000000-0005-0000-0000-0000B5320000}"/>
    <cellStyle name="Currency 3 18 2 2 4" xfId="18801" xr:uid="{00000000-0005-0000-0000-0000B6320000}"/>
    <cellStyle name="Currency 3 18 2 2 4 2" xfId="38721" xr:uid="{00000000-0005-0000-0000-0000B7320000}"/>
    <cellStyle name="Currency 3 18 2 2 5" xfId="26416" xr:uid="{00000000-0005-0000-0000-0000B8320000}"/>
    <cellStyle name="Currency 3 18 2 3" xfId="7987" xr:uid="{00000000-0005-0000-0000-0000B9320000}"/>
    <cellStyle name="Currency 3 18 2 3 2" xfId="14181" xr:uid="{00000000-0005-0000-0000-0000BA320000}"/>
    <cellStyle name="Currency 3 18 2 3 2 2" xfId="34101" xr:uid="{00000000-0005-0000-0000-0000BB320000}"/>
    <cellStyle name="Currency 3 18 2 3 3" xfId="20333" xr:uid="{00000000-0005-0000-0000-0000BC320000}"/>
    <cellStyle name="Currency 3 18 2 3 3 2" xfId="40253" xr:uid="{00000000-0005-0000-0000-0000BD320000}"/>
    <cellStyle name="Currency 3 18 2 3 4" xfId="27948" xr:uid="{00000000-0005-0000-0000-0000BE320000}"/>
    <cellStyle name="Currency 3 18 2 4" xfId="11115" xr:uid="{00000000-0005-0000-0000-0000BF320000}"/>
    <cellStyle name="Currency 3 18 2 4 2" xfId="31035" xr:uid="{00000000-0005-0000-0000-0000C0320000}"/>
    <cellStyle name="Currency 3 18 2 5" xfId="17267" xr:uid="{00000000-0005-0000-0000-0000C1320000}"/>
    <cellStyle name="Currency 3 18 2 5 2" xfId="37187" xr:uid="{00000000-0005-0000-0000-0000C2320000}"/>
    <cellStyle name="Currency 3 18 2 6" xfId="24882" xr:uid="{00000000-0005-0000-0000-0000C3320000}"/>
    <cellStyle name="Currency 3 18 3" xfId="5652" xr:uid="{00000000-0005-0000-0000-0000C4320000}"/>
    <cellStyle name="Currency 3 18 3 2" xfId="8753" xr:uid="{00000000-0005-0000-0000-0000C5320000}"/>
    <cellStyle name="Currency 3 18 3 2 2" xfId="14946" xr:uid="{00000000-0005-0000-0000-0000C6320000}"/>
    <cellStyle name="Currency 3 18 3 2 2 2" xfId="34866" xr:uid="{00000000-0005-0000-0000-0000C7320000}"/>
    <cellStyle name="Currency 3 18 3 2 3" xfId="21098" xr:uid="{00000000-0005-0000-0000-0000C8320000}"/>
    <cellStyle name="Currency 3 18 3 2 3 2" xfId="41018" xr:uid="{00000000-0005-0000-0000-0000C9320000}"/>
    <cellStyle name="Currency 3 18 3 2 4" xfId="28713" xr:uid="{00000000-0005-0000-0000-0000CA320000}"/>
    <cellStyle name="Currency 3 18 3 3" xfId="11880" xr:uid="{00000000-0005-0000-0000-0000CB320000}"/>
    <cellStyle name="Currency 3 18 3 3 2" xfId="31800" xr:uid="{00000000-0005-0000-0000-0000CC320000}"/>
    <cellStyle name="Currency 3 18 3 4" xfId="18032" xr:uid="{00000000-0005-0000-0000-0000CD320000}"/>
    <cellStyle name="Currency 3 18 3 4 2" xfId="37952" xr:uid="{00000000-0005-0000-0000-0000CE320000}"/>
    <cellStyle name="Currency 3 18 3 5" xfId="25647" xr:uid="{00000000-0005-0000-0000-0000CF320000}"/>
    <cellStyle name="Currency 3 18 4" xfId="7218" xr:uid="{00000000-0005-0000-0000-0000D0320000}"/>
    <cellStyle name="Currency 3 18 4 2" xfId="13412" xr:uid="{00000000-0005-0000-0000-0000D1320000}"/>
    <cellStyle name="Currency 3 18 4 2 2" xfId="33332" xr:uid="{00000000-0005-0000-0000-0000D2320000}"/>
    <cellStyle name="Currency 3 18 4 3" xfId="19564" xr:uid="{00000000-0005-0000-0000-0000D3320000}"/>
    <cellStyle name="Currency 3 18 4 3 2" xfId="39484" xr:uid="{00000000-0005-0000-0000-0000D4320000}"/>
    <cellStyle name="Currency 3 18 4 4" xfId="27179" xr:uid="{00000000-0005-0000-0000-0000D5320000}"/>
    <cellStyle name="Currency 3 18 5" xfId="10346" xr:uid="{00000000-0005-0000-0000-0000D6320000}"/>
    <cellStyle name="Currency 3 18 5 2" xfId="30266" xr:uid="{00000000-0005-0000-0000-0000D7320000}"/>
    <cellStyle name="Currency 3 18 6" xfId="16498" xr:uid="{00000000-0005-0000-0000-0000D8320000}"/>
    <cellStyle name="Currency 3 18 6 2" xfId="36418" xr:uid="{00000000-0005-0000-0000-0000D9320000}"/>
    <cellStyle name="Currency 3 18 7" xfId="3102" xr:uid="{00000000-0005-0000-0000-0000DA320000}"/>
    <cellStyle name="Currency 3 18 7 2" xfId="24113" xr:uid="{00000000-0005-0000-0000-0000DB320000}"/>
    <cellStyle name="Currency 3 19" xfId="399" xr:uid="{00000000-0005-0000-0000-0000DC320000}"/>
    <cellStyle name="Currency 3 19 2" xfId="4812" xr:uid="{00000000-0005-0000-0000-0000DD320000}"/>
    <cellStyle name="Currency 3 19 2 2" xfId="6437" xr:uid="{00000000-0005-0000-0000-0000DE320000}"/>
    <cellStyle name="Currency 3 19 2 2 2" xfId="9523" xr:uid="{00000000-0005-0000-0000-0000DF320000}"/>
    <cellStyle name="Currency 3 19 2 2 2 2" xfId="15716" xr:uid="{00000000-0005-0000-0000-0000E0320000}"/>
    <cellStyle name="Currency 3 19 2 2 2 2 2" xfId="35636" xr:uid="{00000000-0005-0000-0000-0000E1320000}"/>
    <cellStyle name="Currency 3 19 2 2 2 3" xfId="21868" xr:uid="{00000000-0005-0000-0000-0000E2320000}"/>
    <cellStyle name="Currency 3 19 2 2 2 3 2" xfId="41788" xr:uid="{00000000-0005-0000-0000-0000E3320000}"/>
    <cellStyle name="Currency 3 19 2 2 2 4" xfId="29483" xr:uid="{00000000-0005-0000-0000-0000E4320000}"/>
    <cellStyle name="Currency 3 19 2 2 3" xfId="12650" xr:uid="{00000000-0005-0000-0000-0000E5320000}"/>
    <cellStyle name="Currency 3 19 2 2 3 2" xfId="32570" xr:uid="{00000000-0005-0000-0000-0000E6320000}"/>
    <cellStyle name="Currency 3 19 2 2 4" xfId="18802" xr:uid="{00000000-0005-0000-0000-0000E7320000}"/>
    <cellStyle name="Currency 3 19 2 2 4 2" xfId="38722" xr:uid="{00000000-0005-0000-0000-0000E8320000}"/>
    <cellStyle name="Currency 3 19 2 2 5" xfId="26417" xr:uid="{00000000-0005-0000-0000-0000E9320000}"/>
    <cellStyle name="Currency 3 19 2 3" xfId="7988" xr:uid="{00000000-0005-0000-0000-0000EA320000}"/>
    <cellStyle name="Currency 3 19 2 3 2" xfId="14182" xr:uid="{00000000-0005-0000-0000-0000EB320000}"/>
    <cellStyle name="Currency 3 19 2 3 2 2" xfId="34102" xr:uid="{00000000-0005-0000-0000-0000EC320000}"/>
    <cellStyle name="Currency 3 19 2 3 3" xfId="20334" xr:uid="{00000000-0005-0000-0000-0000ED320000}"/>
    <cellStyle name="Currency 3 19 2 3 3 2" xfId="40254" xr:uid="{00000000-0005-0000-0000-0000EE320000}"/>
    <cellStyle name="Currency 3 19 2 3 4" xfId="27949" xr:uid="{00000000-0005-0000-0000-0000EF320000}"/>
    <cellStyle name="Currency 3 19 2 4" xfId="11116" xr:uid="{00000000-0005-0000-0000-0000F0320000}"/>
    <cellStyle name="Currency 3 19 2 4 2" xfId="31036" xr:uid="{00000000-0005-0000-0000-0000F1320000}"/>
    <cellStyle name="Currency 3 19 2 5" xfId="17268" xr:uid="{00000000-0005-0000-0000-0000F2320000}"/>
    <cellStyle name="Currency 3 19 2 5 2" xfId="37188" xr:uid="{00000000-0005-0000-0000-0000F3320000}"/>
    <cellStyle name="Currency 3 19 2 6" xfId="24883" xr:uid="{00000000-0005-0000-0000-0000F4320000}"/>
    <cellStyle name="Currency 3 19 3" xfId="5653" xr:uid="{00000000-0005-0000-0000-0000F5320000}"/>
    <cellStyle name="Currency 3 19 3 2" xfId="8754" xr:uid="{00000000-0005-0000-0000-0000F6320000}"/>
    <cellStyle name="Currency 3 19 3 2 2" xfId="14947" xr:uid="{00000000-0005-0000-0000-0000F7320000}"/>
    <cellStyle name="Currency 3 19 3 2 2 2" xfId="34867" xr:uid="{00000000-0005-0000-0000-0000F8320000}"/>
    <cellStyle name="Currency 3 19 3 2 3" xfId="21099" xr:uid="{00000000-0005-0000-0000-0000F9320000}"/>
    <cellStyle name="Currency 3 19 3 2 3 2" xfId="41019" xr:uid="{00000000-0005-0000-0000-0000FA320000}"/>
    <cellStyle name="Currency 3 19 3 2 4" xfId="28714" xr:uid="{00000000-0005-0000-0000-0000FB320000}"/>
    <cellStyle name="Currency 3 19 3 3" xfId="11881" xr:uid="{00000000-0005-0000-0000-0000FC320000}"/>
    <cellStyle name="Currency 3 19 3 3 2" xfId="31801" xr:uid="{00000000-0005-0000-0000-0000FD320000}"/>
    <cellStyle name="Currency 3 19 3 4" xfId="18033" xr:uid="{00000000-0005-0000-0000-0000FE320000}"/>
    <cellStyle name="Currency 3 19 3 4 2" xfId="37953" xr:uid="{00000000-0005-0000-0000-0000FF320000}"/>
    <cellStyle name="Currency 3 19 3 5" xfId="25648" xr:uid="{00000000-0005-0000-0000-000000330000}"/>
    <cellStyle name="Currency 3 19 4" xfId="7219" xr:uid="{00000000-0005-0000-0000-000001330000}"/>
    <cellStyle name="Currency 3 19 4 2" xfId="13413" xr:uid="{00000000-0005-0000-0000-000002330000}"/>
    <cellStyle name="Currency 3 19 4 2 2" xfId="33333" xr:uid="{00000000-0005-0000-0000-000003330000}"/>
    <cellStyle name="Currency 3 19 4 3" xfId="19565" xr:uid="{00000000-0005-0000-0000-000004330000}"/>
    <cellStyle name="Currency 3 19 4 3 2" xfId="39485" xr:uid="{00000000-0005-0000-0000-000005330000}"/>
    <cellStyle name="Currency 3 19 4 4" xfId="27180" xr:uid="{00000000-0005-0000-0000-000006330000}"/>
    <cellStyle name="Currency 3 19 5" xfId="10347" xr:uid="{00000000-0005-0000-0000-000007330000}"/>
    <cellStyle name="Currency 3 19 5 2" xfId="30267" xr:uid="{00000000-0005-0000-0000-000008330000}"/>
    <cellStyle name="Currency 3 19 6" xfId="16499" xr:uid="{00000000-0005-0000-0000-000009330000}"/>
    <cellStyle name="Currency 3 19 6 2" xfId="36419" xr:uid="{00000000-0005-0000-0000-00000A330000}"/>
    <cellStyle name="Currency 3 19 7" xfId="3103" xr:uid="{00000000-0005-0000-0000-00000B330000}"/>
    <cellStyle name="Currency 3 19 7 2" xfId="24114" xr:uid="{00000000-0005-0000-0000-00000C330000}"/>
    <cellStyle name="Currency 3 2" xfId="20" xr:uid="{00000000-0005-0000-0000-00000D330000}"/>
    <cellStyle name="Currency 3 2 2" xfId="131" xr:uid="{00000000-0005-0000-0000-00000E330000}"/>
    <cellStyle name="Currency 3 2 2 2" xfId="4813" xr:uid="{00000000-0005-0000-0000-00000F330000}"/>
    <cellStyle name="Currency 3 2 2 2 2" xfId="6438" xr:uid="{00000000-0005-0000-0000-000010330000}"/>
    <cellStyle name="Currency 3 2 2 2 2 2" xfId="9524" xr:uid="{00000000-0005-0000-0000-000011330000}"/>
    <cellStyle name="Currency 3 2 2 2 2 2 2" xfId="15717" xr:uid="{00000000-0005-0000-0000-000012330000}"/>
    <cellStyle name="Currency 3 2 2 2 2 2 2 2" xfId="35637" xr:uid="{00000000-0005-0000-0000-000013330000}"/>
    <cellStyle name="Currency 3 2 2 2 2 2 3" xfId="21869" xr:uid="{00000000-0005-0000-0000-000014330000}"/>
    <cellStyle name="Currency 3 2 2 2 2 2 3 2" xfId="41789" xr:uid="{00000000-0005-0000-0000-000015330000}"/>
    <cellStyle name="Currency 3 2 2 2 2 2 4" xfId="29484" xr:uid="{00000000-0005-0000-0000-000016330000}"/>
    <cellStyle name="Currency 3 2 2 2 2 3" xfId="12651" xr:uid="{00000000-0005-0000-0000-000017330000}"/>
    <cellStyle name="Currency 3 2 2 2 2 3 2" xfId="32571" xr:uid="{00000000-0005-0000-0000-000018330000}"/>
    <cellStyle name="Currency 3 2 2 2 2 4" xfId="18803" xr:uid="{00000000-0005-0000-0000-000019330000}"/>
    <cellStyle name="Currency 3 2 2 2 2 4 2" xfId="38723" xr:uid="{00000000-0005-0000-0000-00001A330000}"/>
    <cellStyle name="Currency 3 2 2 2 2 5" xfId="26418" xr:uid="{00000000-0005-0000-0000-00001B330000}"/>
    <cellStyle name="Currency 3 2 2 2 3" xfId="7989" xr:uid="{00000000-0005-0000-0000-00001C330000}"/>
    <cellStyle name="Currency 3 2 2 2 3 2" xfId="14183" xr:uid="{00000000-0005-0000-0000-00001D330000}"/>
    <cellStyle name="Currency 3 2 2 2 3 2 2" xfId="34103" xr:uid="{00000000-0005-0000-0000-00001E330000}"/>
    <cellStyle name="Currency 3 2 2 2 3 3" xfId="20335" xr:uid="{00000000-0005-0000-0000-00001F330000}"/>
    <cellStyle name="Currency 3 2 2 2 3 3 2" xfId="40255" xr:uid="{00000000-0005-0000-0000-000020330000}"/>
    <cellStyle name="Currency 3 2 2 2 3 4" xfId="27950" xr:uid="{00000000-0005-0000-0000-000021330000}"/>
    <cellStyle name="Currency 3 2 2 2 4" xfId="11117" xr:uid="{00000000-0005-0000-0000-000022330000}"/>
    <cellStyle name="Currency 3 2 2 2 4 2" xfId="31037" xr:uid="{00000000-0005-0000-0000-000023330000}"/>
    <cellStyle name="Currency 3 2 2 2 5" xfId="17269" xr:uid="{00000000-0005-0000-0000-000024330000}"/>
    <cellStyle name="Currency 3 2 2 2 5 2" xfId="37189" xr:uid="{00000000-0005-0000-0000-000025330000}"/>
    <cellStyle name="Currency 3 2 2 2 6" xfId="24884" xr:uid="{00000000-0005-0000-0000-000026330000}"/>
    <cellStyle name="Currency 3 2 2 3" xfId="5654" xr:uid="{00000000-0005-0000-0000-000027330000}"/>
    <cellStyle name="Currency 3 2 2 3 2" xfId="8755" xr:uid="{00000000-0005-0000-0000-000028330000}"/>
    <cellStyle name="Currency 3 2 2 3 2 2" xfId="14948" xr:uid="{00000000-0005-0000-0000-000029330000}"/>
    <cellStyle name="Currency 3 2 2 3 2 2 2" xfId="34868" xr:uid="{00000000-0005-0000-0000-00002A330000}"/>
    <cellStyle name="Currency 3 2 2 3 2 3" xfId="21100" xr:uid="{00000000-0005-0000-0000-00002B330000}"/>
    <cellStyle name="Currency 3 2 2 3 2 3 2" xfId="41020" xr:uid="{00000000-0005-0000-0000-00002C330000}"/>
    <cellStyle name="Currency 3 2 2 3 2 4" xfId="28715" xr:uid="{00000000-0005-0000-0000-00002D330000}"/>
    <cellStyle name="Currency 3 2 2 3 3" xfId="11882" xr:uid="{00000000-0005-0000-0000-00002E330000}"/>
    <cellStyle name="Currency 3 2 2 3 3 2" xfId="31802" xr:uid="{00000000-0005-0000-0000-00002F330000}"/>
    <cellStyle name="Currency 3 2 2 3 4" xfId="18034" xr:uid="{00000000-0005-0000-0000-000030330000}"/>
    <cellStyle name="Currency 3 2 2 3 4 2" xfId="37954" xr:uid="{00000000-0005-0000-0000-000031330000}"/>
    <cellStyle name="Currency 3 2 2 3 5" xfId="25649" xr:uid="{00000000-0005-0000-0000-000032330000}"/>
    <cellStyle name="Currency 3 2 2 4" xfId="7220" xr:uid="{00000000-0005-0000-0000-000033330000}"/>
    <cellStyle name="Currency 3 2 2 4 2" xfId="13414" xr:uid="{00000000-0005-0000-0000-000034330000}"/>
    <cellStyle name="Currency 3 2 2 4 2 2" xfId="33334" xr:uid="{00000000-0005-0000-0000-000035330000}"/>
    <cellStyle name="Currency 3 2 2 4 3" xfId="19566" xr:uid="{00000000-0005-0000-0000-000036330000}"/>
    <cellStyle name="Currency 3 2 2 4 3 2" xfId="39486" xr:uid="{00000000-0005-0000-0000-000037330000}"/>
    <cellStyle name="Currency 3 2 2 4 4" xfId="27181" xr:uid="{00000000-0005-0000-0000-000038330000}"/>
    <cellStyle name="Currency 3 2 2 5" xfId="10348" xr:uid="{00000000-0005-0000-0000-000039330000}"/>
    <cellStyle name="Currency 3 2 2 5 2" xfId="30268" xr:uid="{00000000-0005-0000-0000-00003A330000}"/>
    <cellStyle name="Currency 3 2 2 6" xfId="16500" xr:uid="{00000000-0005-0000-0000-00003B330000}"/>
    <cellStyle name="Currency 3 2 2 6 2" xfId="36420" xr:uid="{00000000-0005-0000-0000-00003C330000}"/>
    <cellStyle name="Currency 3 2 2 7" xfId="3105" xr:uid="{00000000-0005-0000-0000-00003D330000}"/>
    <cellStyle name="Currency 3 2 2 7 2" xfId="24115" xr:uid="{00000000-0005-0000-0000-00003E330000}"/>
    <cellStyle name="Currency 3 2 3" xfId="3106" xr:uid="{00000000-0005-0000-0000-00003F330000}"/>
    <cellStyle name="Currency 3 2 3 2" xfId="4814" xr:uid="{00000000-0005-0000-0000-000040330000}"/>
    <cellStyle name="Currency 3 2 3 2 2" xfId="6439" xr:uid="{00000000-0005-0000-0000-000041330000}"/>
    <cellStyle name="Currency 3 2 3 2 2 2" xfId="9525" xr:uid="{00000000-0005-0000-0000-000042330000}"/>
    <cellStyle name="Currency 3 2 3 2 2 2 2" xfId="15718" xr:uid="{00000000-0005-0000-0000-000043330000}"/>
    <cellStyle name="Currency 3 2 3 2 2 2 2 2" xfId="35638" xr:uid="{00000000-0005-0000-0000-000044330000}"/>
    <cellStyle name="Currency 3 2 3 2 2 2 3" xfId="21870" xr:uid="{00000000-0005-0000-0000-000045330000}"/>
    <cellStyle name="Currency 3 2 3 2 2 2 3 2" xfId="41790" xr:uid="{00000000-0005-0000-0000-000046330000}"/>
    <cellStyle name="Currency 3 2 3 2 2 2 4" xfId="29485" xr:uid="{00000000-0005-0000-0000-000047330000}"/>
    <cellStyle name="Currency 3 2 3 2 2 3" xfId="12652" xr:uid="{00000000-0005-0000-0000-000048330000}"/>
    <cellStyle name="Currency 3 2 3 2 2 3 2" xfId="32572" xr:uid="{00000000-0005-0000-0000-000049330000}"/>
    <cellStyle name="Currency 3 2 3 2 2 4" xfId="18804" xr:uid="{00000000-0005-0000-0000-00004A330000}"/>
    <cellStyle name="Currency 3 2 3 2 2 4 2" xfId="38724" xr:uid="{00000000-0005-0000-0000-00004B330000}"/>
    <cellStyle name="Currency 3 2 3 2 2 5" xfId="26419" xr:uid="{00000000-0005-0000-0000-00004C330000}"/>
    <cellStyle name="Currency 3 2 3 2 3" xfId="7990" xr:uid="{00000000-0005-0000-0000-00004D330000}"/>
    <cellStyle name="Currency 3 2 3 2 3 2" xfId="14184" xr:uid="{00000000-0005-0000-0000-00004E330000}"/>
    <cellStyle name="Currency 3 2 3 2 3 2 2" xfId="34104" xr:uid="{00000000-0005-0000-0000-00004F330000}"/>
    <cellStyle name="Currency 3 2 3 2 3 3" xfId="20336" xr:uid="{00000000-0005-0000-0000-000050330000}"/>
    <cellStyle name="Currency 3 2 3 2 3 3 2" xfId="40256" xr:uid="{00000000-0005-0000-0000-000051330000}"/>
    <cellStyle name="Currency 3 2 3 2 3 4" xfId="27951" xr:uid="{00000000-0005-0000-0000-000052330000}"/>
    <cellStyle name="Currency 3 2 3 2 4" xfId="11118" xr:uid="{00000000-0005-0000-0000-000053330000}"/>
    <cellStyle name="Currency 3 2 3 2 4 2" xfId="31038" xr:uid="{00000000-0005-0000-0000-000054330000}"/>
    <cellStyle name="Currency 3 2 3 2 5" xfId="17270" xr:uid="{00000000-0005-0000-0000-000055330000}"/>
    <cellStyle name="Currency 3 2 3 2 5 2" xfId="37190" xr:uid="{00000000-0005-0000-0000-000056330000}"/>
    <cellStyle name="Currency 3 2 3 2 6" xfId="24885" xr:uid="{00000000-0005-0000-0000-000057330000}"/>
    <cellStyle name="Currency 3 2 3 3" xfId="5655" xr:uid="{00000000-0005-0000-0000-000058330000}"/>
    <cellStyle name="Currency 3 2 3 3 2" xfId="8756" xr:uid="{00000000-0005-0000-0000-000059330000}"/>
    <cellStyle name="Currency 3 2 3 3 2 2" xfId="14949" xr:uid="{00000000-0005-0000-0000-00005A330000}"/>
    <cellStyle name="Currency 3 2 3 3 2 2 2" xfId="34869" xr:uid="{00000000-0005-0000-0000-00005B330000}"/>
    <cellStyle name="Currency 3 2 3 3 2 3" xfId="21101" xr:uid="{00000000-0005-0000-0000-00005C330000}"/>
    <cellStyle name="Currency 3 2 3 3 2 3 2" xfId="41021" xr:uid="{00000000-0005-0000-0000-00005D330000}"/>
    <cellStyle name="Currency 3 2 3 3 2 4" xfId="28716" xr:uid="{00000000-0005-0000-0000-00005E330000}"/>
    <cellStyle name="Currency 3 2 3 3 3" xfId="11883" xr:uid="{00000000-0005-0000-0000-00005F330000}"/>
    <cellStyle name="Currency 3 2 3 3 3 2" xfId="31803" xr:uid="{00000000-0005-0000-0000-000060330000}"/>
    <cellStyle name="Currency 3 2 3 3 4" xfId="18035" xr:uid="{00000000-0005-0000-0000-000061330000}"/>
    <cellStyle name="Currency 3 2 3 3 4 2" xfId="37955" xr:uid="{00000000-0005-0000-0000-000062330000}"/>
    <cellStyle name="Currency 3 2 3 3 5" xfId="25650" xr:uid="{00000000-0005-0000-0000-000063330000}"/>
    <cellStyle name="Currency 3 2 3 4" xfId="7221" xr:uid="{00000000-0005-0000-0000-000064330000}"/>
    <cellStyle name="Currency 3 2 3 4 2" xfId="13415" xr:uid="{00000000-0005-0000-0000-000065330000}"/>
    <cellStyle name="Currency 3 2 3 4 2 2" xfId="33335" xr:uid="{00000000-0005-0000-0000-000066330000}"/>
    <cellStyle name="Currency 3 2 3 4 3" xfId="19567" xr:uid="{00000000-0005-0000-0000-000067330000}"/>
    <cellStyle name="Currency 3 2 3 4 3 2" xfId="39487" xr:uid="{00000000-0005-0000-0000-000068330000}"/>
    <cellStyle name="Currency 3 2 3 4 4" xfId="27182" xr:uid="{00000000-0005-0000-0000-000069330000}"/>
    <cellStyle name="Currency 3 2 3 5" xfId="10349" xr:uid="{00000000-0005-0000-0000-00006A330000}"/>
    <cellStyle name="Currency 3 2 3 5 2" xfId="30269" xr:uid="{00000000-0005-0000-0000-00006B330000}"/>
    <cellStyle name="Currency 3 2 3 6" xfId="16501" xr:uid="{00000000-0005-0000-0000-00006C330000}"/>
    <cellStyle name="Currency 3 2 3 6 2" xfId="36421" xr:uid="{00000000-0005-0000-0000-00006D330000}"/>
    <cellStyle name="Currency 3 2 3 7" xfId="24116" xr:uid="{00000000-0005-0000-0000-00006E330000}"/>
    <cellStyle name="Currency 3 2 4" xfId="3107" xr:uid="{00000000-0005-0000-0000-00006F330000}"/>
    <cellStyle name="Currency 3 2 4 2" xfId="4815" xr:uid="{00000000-0005-0000-0000-000070330000}"/>
    <cellStyle name="Currency 3 2 4 2 2" xfId="6440" xr:uid="{00000000-0005-0000-0000-000071330000}"/>
    <cellStyle name="Currency 3 2 4 2 2 2" xfId="9526" xr:uid="{00000000-0005-0000-0000-000072330000}"/>
    <cellStyle name="Currency 3 2 4 2 2 2 2" xfId="15719" xr:uid="{00000000-0005-0000-0000-000073330000}"/>
    <cellStyle name="Currency 3 2 4 2 2 2 2 2" xfId="35639" xr:uid="{00000000-0005-0000-0000-000074330000}"/>
    <cellStyle name="Currency 3 2 4 2 2 2 3" xfId="21871" xr:uid="{00000000-0005-0000-0000-000075330000}"/>
    <cellStyle name="Currency 3 2 4 2 2 2 3 2" xfId="41791" xr:uid="{00000000-0005-0000-0000-000076330000}"/>
    <cellStyle name="Currency 3 2 4 2 2 2 4" xfId="29486" xr:uid="{00000000-0005-0000-0000-000077330000}"/>
    <cellStyle name="Currency 3 2 4 2 2 3" xfId="12653" xr:uid="{00000000-0005-0000-0000-000078330000}"/>
    <cellStyle name="Currency 3 2 4 2 2 3 2" xfId="32573" xr:uid="{00000000-0005-0000-0000-000079330000}"/>
    <cellStyle name="Currency 3 2 4 2 2 4" xfId="18805" xr:uid="{00000000-0005-0000-0000-00007A330000}"/>
    <cellStyle name="Currency 3 2 4 2 2 4 2" xfId="38725" xr:uid="{00000000-0005-0000-0000-00007B330000}"/>
    <cellStyle name="Currency 3 2 4 2 2 5" xfId="26420" xr:uid="{00000000-0005-0000-0000-00007C330000}"/>
    <cellStyle name="Currency 3 2 4 2 3" xfId="7991" xr:uid="{00000000-0005-0000-0000-00007D330000}"/>
    <cellStyle name="Currency 3 2 4 2 3 2" xfId="14185" xr:uid="{00000000-0005-0000-0000-00007E330000}"/>
    <cellStyle name="Currency 3 2 4 2 3 2 2" xfId="34105" xr:uid="{00000000-0005-0000-0000-00007F330000}"/>
    <cellStyle name="Currency 3 2 4 2 3 3" xfId="20337" xr:uid="{00000000-0005-0000-0000-000080330000}"/>
    <cellStyle name="Currency 3 2 4 2 3 3 2" xfId="40257" xr:uid="{00000000-0005-0000-0000-000081330000}"/>
    <cellStyle name="Currency 3 2 4 2 3 4" xfId="27952" xr:uid="{00000000-0005-0000-0000-000082330000}"/>
    <cellStyle name="Currency 3 2 4 2 4" xfId="11119" xr:uid="{00000000-0005-0000-0000-000083330000}"/>
    <cellStyle name="Currency 3 2 4 2 4 2" xfId="31039" xr:uid="{00000000-0005-0000-0000-000084330000}"/>
    <cellStyle name="Currency 3 2 4 2 5" xfId="17271" xr:uid="{00000000-0005-0000-0000-000085330000}"/>
    <cellStyle name="Currency 3 2 4 2 5 2" xfId="37191" xr:uid="{00000000-0005-0000-0000-000086330000}"/>
    <cellStyle name="Currency 3 2 4 2 6" xfId="24886" xr:uid="{00000000-0005-0000-0000-000087330000}"/>
    <cellStyle name="Currency 3 2 4 3" xfId="5656" xr:uid="{00000000-0005-0000-0000-000088330000}"/>
    <cellStyle name="Currency 3 2 4 3 2" xfId="8757" xr:uid="{00000000-0005-0000-0000-000089330000}"/>
    <cellStyle name="Currency 3 2 4 3 2 2" xfId="14950" xr:uid="{00000000-0005-0000-0000-00008A330000}"/>
    <cellStyle name="Currency 3 2 4 3 2 2 2" xfId="34870" xr:uid="{00000000-0005-0000-0000-00008B330000}"/>
    <cellStyle name="Currency 3 2 4 3 2 3" xfId="21102" xr:uid="{00000000-0005-0000-0000-00008C330000}"/>
    <cellStyle name="Currency 3 2 4 3 2 3 2" xfId="41022" xr:uid="{00000000-0005-0000-0000-00008D330000}"/>
    <cellStyle name="Currency 3 2 4 3 2 4" xfId="28717" xr:uid="{00000000-0005-0000-0000-00008E330000}"/>
    <cellStyle name="Currency 3 2 4 3 3" xfId="11884" xr:uid="{00000000-0005-0000-0000-00008F330000}"/>
    <cellStyle name="Currency 3 2 4 3 3 2" xfId="31804" xr:uid="{00000000-0005-0000-0000-000090330000}"/>
    <cellStyle name="Currency 3 2 4 3 4" xfId="18036" xr:uid="{00000000-0005-0000-0000-000091330000}"/>
    <cellStyle name="Currency 3 2 4 3 4 2" xfId="37956" xr:uid="{00000000-0005-0000-0000-000092330000}"/>
    <cellStyle name="Currency 3 2 4 3 5" xfId="25651" xr:uid="{00000000-0005-0000-0000-000093330000}"/>
    <cellStyle name="Currency 3 2 4 4" xfId="7222" xr:uid="{00000000-0005-0000-0000-000094330000}"/>
    <cellStyle name="Currency 3 2 4 4 2" xfId="13416" xr:uid="{00000000-0005-0000-0000-000095330000}"/>
    <cellStyle name="Currency 3 2 4 4 2 2" xfId="33336" xr:uid="{00000000-0005-0000-0000-000096330000}"/>
    <cellStyle name="Currency 3 2 4 4 3" xfId="19568" xr:uid="{00000000-0005-0000-0000-000097330000}"/>
    <cellStyle name="Currency 3 2 4 4 3 2" xfId="39488" xr:uid="{00000000-0005-0000-0000-000098330000}"/>
    <cellStyle name="Currency 3 2 4 4 4" xfId="27183" xr:uid="{00000000-0005-0000-0000-000099330000}"/>
    <cellStyle name="Currency 3 2 4 5" xfId="10350" xr:uid="{00000000-0005-0000-0000-00009A330000}"/>
    <cellStyle name="Currency 3 2 4 5 2" xfId="30270" xr:uid="{00000000-0005-0000-0000-00009B330000}"/>
    <cellStyle name="Currency 3 2 4 6" xfId="16502" xr:uid="{00000000-0005-0000-0000-00009C330000}"/>
    <cellStyle name="Currency 3 2 4 6 2" xfId="36422" xr:uid="{00000000-0005-0000-0000-00009D330000}"/>
    <cellStyle name="Currency 3 2 4 7" xfId="24117" xr:uid="{00000000-0005-0000-0000-00009E330000}"/>
    <cellStyle name="Currency 3 2 5" xfId="3108" xr:uid="{00000000-0005-0000-0000-00009F330000}"/>
    <cellStyle name="Currency 3 2 5 2" xfId="4816" xr:uid="{00000000-0005-0000-0000-0000A0330000}"/>
    <cellStyle name="Currency 3 2 5 2 2" xfId="6441" xr:uid="{00000000-0005-0000-0000-0000A1330000}"/>
    <cellStyle name="Currency 3 2 5 2 2 2" xfId="9527" xr:uid="{00000000-0005-0000-0000-0000A2330000}"/>
    <cellStyle name="Currency 3 2 5 2 2 2 2" xfId="15720" xr:uid="{00000000-0005-0000-0000-0000A3330000}"/>
    <cellStyle name="Currency 3 2 5 2 2 2 2 2" xfId="35640" xr:uid="{00000000-0005-0000-0000-0000A4330000}"/>
    <cellStyle name="Currency 3 2 5 2 2 2 3" xfId="21872" xr:uid="{00000000-0005-0000-0000-0000A5330000}"/>
    <cellStyle name="Currency 3 2 5 2 2 2 3 2" xfId="41792" xr:uid="{00000000-0005-0000-0000-0000A6330000}"/>
    <cellStyle name="Currency 3 2 5 2 2 2 4" xfId="29487" xr:uid="{00000000-0005-0000-0000-0000A7330000}"/>
    <cellStyle name="Currency 3 2 5 2 2 3" xfId="12654" xr:uid="{00000000-0005-0000-0000-0000A8330000}"/>
    <cellStyle name="Currency 3 2 5 2 2 3 2" xfId="32574" xr:uid="{00000000-0005-0000-0000-0000A9330000}"/>
    <cellStyle name="Currency 3 2 5 2 2 4" xfId="18806" xr:uid="{00000000-0005-0000-0000-0000AA330000}"/>
    <cellStyle name="Currency 3 2 5 2 2 4 2" xfId="38726" xr:uid="{00000000-0005-0000-0000-0000AB330000}"/>
    <cellStyle name="Currency 3 2 5 2 2 5" xfId="26421" xr:uid="{00000000-0005-0000-0000-0000AC330000}"/>
    <cellStyle name="Currency 3 2 5 2 3" xfId="7992" xr:uid="{00000000-0005-0000-0000-0000AD330000}"/>
    <cellStyle name="Currency 3 2 5 2 3 2" xfId="14186" xr:uid="{00000000-0005-0000-0000-0000AE330000}"/>
    <cellStyle name="Currency 3 2 5 2 3 2 2" xfId="34106" xr:uid="{00000000-0005-0000-0000-0000AF330000}"/>
    <cellStyle name="Currency 3 2 5 2 3 3" xfId="20338" xr:uid="{00000000-0005-0000-0000-0000B0330000}"/>
    <cellStyle name="Currency 3 2 5 2 3 3 2" xfId="40258" xr:uid="{00000000-0005-0000-0000-0000B1330000}"/>
    <cellStyle name="Currency 3 2 5 2 3 4" xfId="27953" xr:uid="{00000000-0005-0000-0000-0000B2330000}"/>
    <cellStyle name="Currency 3 2 5 2 4" xfId="11120" xr:uid="{00000000-0005-0000-0000-0000B3330000}"/>
    <cellStyle name="Currency 3 2 5 2 4 2" xfId="31040" xr:uid="{00000000-0005-0000-0000-0000B4330000}"/>
    <cellStyle name="Currency 3 2 5 2 5" xfId="17272" xr:uid="{00000000-0005-0000-0000-0000B5330000}"/>
    <cellStyle name="Currency 3 2 5 2 5 2" xfId="37192" xr:uid="{00000000-0005-0000-0000-0000B6330000}"/>
    <cellStyle name="Currency 3 2 5 2 6" xfId="24887" xr:uid="{00000000-0005-0000-0000-0000B7330000}"/>
    <cellStyle name="Currency 3 2 5 3" xfId="5657" xr:uid="{00000000-0005-0000-0000-0000B8330000}"/>
    <cellStyle name="Currency 3 2 5 3 2" xfId="8758" xr:uid="{00000000-0005-0000-0000-0000B9330000}"/>
    <cellStyle name="Currency 3 2 5 3 2 2" xfId="14951" xr:uid="{00000000-0005-0000-0000-0000BA330000}"/>
    <cellStyle name="Currency 3 2 5 3 2 2 2" xfId="34871" xr:uid="{00000000-0005-0000-0000-0000BB330000}"/>
    <cellStyle name="Currency 3 2 5 3 2 3" xfId="21103" xr:uid="{00000000-0005-0000-0000-0000BC330000}"/>
    <cellStyle name="Currency 3 2 5 3 2 3 2" xfId="41023" xr:uid="{00000000-0005-0000-0000-0000BD330000}"/>
    <cellStyle name="Currency 3 2 5 3 2 4" xfId="28718" xr:uid="{00000000-0005-0000-0000-0000BE330000}"/>
    <cellStyle name="Currency 3 2 5 3 3" xfId="11885" xr:uid="{00000000-0005-0000-0000-0000BF330000}"/>
    <cellStyle name="Currency 3 2 5 3 3 2" xfId="31805" xr:uid="{00000000-0005-0000-0000-0000C0330000}"/>
    <cellStyle name="Currency 3 2 5 3 4" xfId="18037" xr:uid="{00000000-0005-0000-0000-0000C1330000}"/>
    <cellStyle name="Currency 3 2 5 3 4 2" xfId="37957" xr:uid="{00000000-0005-0000-0000-0000C2330000}"/>
    <cellStyle name="Currency 3 2 5 3 5" xfId="25652" xr:uid="{00000000-0005-0000-0000-0000C3330000}"/>
    <cellStyle name="Currency 3 2 5 4" xfId="7223" xr:uid="{00000000-0005-0000-0000-0000C4330000}"/>
    <cellStyle name="Currency 3 2 5 4 2" xfId="13417" xr:uid="{00000000-0005-0000-0000-0000C5330000}"/>
    <cellStyle name="Currency 3 2 5 4 2 2" xfId="33337" xr:uid="{00000000-0005-0000-0000-0000C6330000}"/>
    <cellStyle name="Currency 3 2 5 4 3" xfId="19569" xr:uid="{00000000-0005-0000-0000-0000C7330000}"/>
    <cellStyle name="Currency 3 2 5 4 3 2" xfId="39489" xr:uid="{00000000-0005-0000-0000-0000C8330000}"/>
    <cellStyle name="Currency 3 2 5 4 4" xfId="27184" xr:uid="{00000000-0005-0000-0000-0000C9330000}"/>
    <cellStyle name="Currency 3 2 5 5" xfId="10351" xr:uid="{00000000-0005-0000-0000-0000CA330000}"/>
    <cellStyle name="Currency 3 2 5 5 2" xfId="30271" xr:uid="{00000000-0005-0000-0000-0000CB330000}"/>
    <cellStyle name="Currency 3 2 5 6" xfId="16503" xr:uid="{00000000-0005-0000-0000-0000CC330000}"/>
    <cellStyle name="Currency 3 2 5 6 2" xfId="36423" xr:uid="{00000000-0005-0000-0000-0000CD330000}"/>
    <cellStyle name="Currency 3 2 5 7" xfId="24118" xr:uid="{00000000-0005-0000-0000-0000CE330000}"/>
    <cellStyle name="Currency 3 2 6" xfId="3109" xr:uid="{00000000-0005-0000-0000-0000CF330000}"/>
    <cellStyle name="Currency 3 2 7" xfId="3110" xr:uid="{00000000-0005-0000-0000-0000D0330000}"/>
    <cellStyle name="Currency 3 2 8" xfId="10143" xr:uid="{00000000-0005-0000-0000-0000D1330000}"/>
    <cellStyle name="Currency 3 2 9" xfId="3104" xr:uid="{00000000-0005-0000-0000-0000D2330000}"/>
    <cellStyle name="Currency 3 20" xfId="427" xr:uid="{00000000-0005-0000-0000-0000D3330000}"/>
    <cellStyle name="Currency 3 20 2" xfId="4817" xr:uid="{00000000-0005-0000-0000-0000D4330000}"/>
    <cellStyle name="Currency 3 20 2 2" xfId="6442" xr:uid="{00000000-0005-0000-0000-0000D5330000}"/>
    <cellStyle name="Currency 3 20 2 2 2" xfId="9528" xr:uid="{00000000-0005-0000-0000-0000D6330000}"/>
    <cellStyle name="Currency 3 20 2 2 2 2" xfId="15721" xr:uid="{00000000-0005-0000-0000-0000D7330000}"/>
    <cellStyle name="Currency 3 20 2 2 2 2 2" xfId="35641" xr:uid="{00000000-0005-0000-0000-0000D8330000}"/>
    <cellStyle name="Currency 3 20 2 2 2 3" xfId="21873" xr:uid="{00000000-0005-0000-0000-0000D9330000}"/>
    <cellStyle name="Currency 3 20 2 2 2 3 2" xfId="41793" xr:uid="{00000000-0005-0000-0000-0000DA330000}"/>
    <cellStyle name="Currency 3 20 2 2 2 4" xfId="29488" xr:uid="{00000000-0005-0000-0000-0000DB330000}"/>
    <cellStyle name="Currency 3 20 2 2 3" xfId="12655" xr:uid="{00000000-0005-0000-0000-0000DC330000}"/>
    <cellStyle name="Currency 3 20 2 2 3 2" xfId="32575" xr:uid="{00000000-0005-0000-0000-0000DD330000}"/>
    <cellStyle name="Currency 3 20 2 2 4" xfId="18807" xr:uid="{00000000-0005-0000-0000-0000DE330000}"/>
    <cellStyle name="Currency 3 20 2 2 4 2" xfId="38727" xr:uid="{00000000-0005-0000-0000-0000DF330000}"/>
    <cellStyle name="Currency 3 20 2 2 5" xfId="26422" xr:uid="{00000000-0005-0000-0000-0000E0330000}"/>
    <cellStyle name="Currency 3 20 2 3" xfId="7993" xr:uid="{00000000-0005-0000-0000-0000E1330000}"/>
    <cellStyle name="Currency 3 20 2 3 2" xfId="14187" xr:uid="{00000000-0005-0000-0000-0000E2330000}"/>
    <cellStyle name="Currency 3 20 2 3 2 2" xfId="34107" xr:uid="{00000000-0005-0000-0000-0000E3330000}"/>
    <cellStyle name="Currency 3 20 2 3 3" xfId="20339" xr:uid="{00000000-0005-0000-0000-0000E4330000}"/>
    <cellStyle name="Currency 3 20 2 3 3 2" xfId="40259" xr:uid="{00000000-0005-0000-0000-0000E5330000}"/>
    <cellStyle name="Currency 3 20 2 3 4" xfId="27954" xr:uid="{00000000-0005-0000-0000-0000E6330000}"/>
    <cellStyle name="Currency 3 20 2 4" xfId="11121" xr:uid="{00000000-0005-0000-0000-0000E7330000}"/>
    <cellStyle name="Currency 3 20 2 4 2" xfId="31041" xr:uid="{00000000-0005-0000-0000-0000E8330000}"/>
    <cellStyle name="Currency 3 20 2 5" xfId="17273" xr:uid="{00000000-0005-0000-0000-0000E9330000}"/>
    <cellStyle name="Currency 3 20 2 5 2" xfId="37193" xr:uid="{00000000-0005-0000-0000-0000EA330000}"/>
    <cellStyle name="Currency 3 20 2 6" xfId="24888" xr:uid="{00000000-0005-0000-0000-0000EB330000}"/>
    <cellStyle name="Currency 3 20 3" xfId="5658" xr:uid="{00000000-0005-0000-0000-0000EC330000}"/>
    <cellStyle name="Currency 3 20 3 2" xfId="8759" xr:uid="{00000000-0005-0000-0000-0000ED330000}"/>
    <cellStyle name="Currency 3 20 3 2 2" xfId="14952" xr:uid="{00000000-0005-0000-0000-0000EE330000}"/>
    <cellStyle name="Currency 3 20 3 2 2 2" xfId="34872" xr:uid="{00000000-0005-0000-0000-0000EF330000}"/>
    <cellStyle name="Currency 3 20 3 2 3" xfId="21104" xr:uid="{00000000-0005-0000-0000-0000F0330000}"/>
    <cellStyle name="Currency 3 20 3 2 3 2" xfId="41024" xr:uid="{00000000-0005-0000-0000-0000F1330000}"/>
    <cellStyle name="Currency 3 20 3 2 4" xfId="28719" xr:uid="{00000000-0005-0000-0000-0000F2330000}"/>
    <cellStyle name="Currency 3 20 3 3" xfId="11886" xr:uid="{00000000-0005-0000-0000-0000F3330000}"/>
    <cellStyle name="Currency 3 20 3 3 2" xfId="31806" xr:uid="{00000000-0005-0000-0000-0000F4330000}"/>
    <cellStyle name="Currency 3 20 3 4" xfId="18038" xr:uid="{00000000-0005-0000-0000-0000F5330000}"/>
    <cellStyle name="Currency 3 20 3 4 2" xfId="37958" xr:uid="{00000000-0005-0000-0000-0000F6330000}"/>
    <cellStyle name="Currency 3 20 3 5" xfId="25653" xr:uid="{00000000-0005-0000-0000-0000F7330000}"/>
    <cellStyle name="Currency 3 20 4" xfId="7224" xr:uid="{00000000-0005-0000-0000-0000F8330000}"/>
    <cellStyle name="Currency 3 20 4 2" xfId="13418" xr:uid="{00000000-0005-0000-0000-0000F9330000}"/>
    <cellStyle name="Currency 3 20 4 2 2" xfId="33338" xr:uid="{00000000-0005-0000-0000-0000FA330000}"/>
    <cellStyle name="Currency 3 20 4 3" xfId="19570" xr:uid="{00000000-0005-0000-0000-0000FB330000}"/>
    <cellStyle name="Currency 3 20 4 3 2" xfId="39490" xr:uid="{00000000-0005-0000-0000-0000FC330000}"/>
    <cellStyle name="Currency 3 20 4 4" xfId="27185" xr:uid="{00000000-0005-0000-0000-0000FD330000}"/>
    <cellStyle name="Currency 3 20 5" xfId="10352" xr:uid="{00000000-0005-0000-0000-0000FE330000}"/>
    <cellStyle name="Currency 3 20 5 2" xfId="30272" xr:uid="{00000000-0005-0000-0000-0000FF330000}"/>
    <cellStyle name="Currency 3 20 6" xfId="16504" xr:uid="{00000000-0005-0000-0000-000000340000}"/>
    <cellStyle name="Currency 3 20 6 2" xfId="36424" xr:uid="{00000000-0005-0000-0000-000001340000}"/>
    <cellStyle name="Currency 3 20 7" xfId="3111" xr:uid="{00000000-0005-0000-0000-000002340000}"/>
    <cellStyle name="Currency 3 20 7 2" xfId="24119" xr:uid="{00000000-0005-0000-0000-000003340000}"/>
    <cellStyle name="Currency 3 21" xfId="495" xr:uid="{00000000-0005-0000-0000-000004340000}"/>
    <cellStyle name="Currency 3 21 2" xfId="4818" xr:uid="{00000000-0005-0000-0000-000005340000}"/>
    <cellStyle name="Currency 3 21 2 2" xfId="6443" xr:uid="{00000000-0005-0000-0000-000006340000}"/>
    <cellStyle name="Currency 3 21 2 2 2" xfId="9529" xr:uid="{00000000-0005-0000-0000-000007340000}"/>
    <cellStyle name="Currency 3 21 2 2 2 2" xfId="15722" xr:uid="{00000000-0005-0000-0000-000008340000}"/>
    <cellStyle name="Currency 3 21 2 2 2 2 2" xfId="35642" xr:uid="{00000000-0005-0000-0000-000009340000}"/>
    <cellStyle name="Currency 3 21 2 2 2 3" xfId="21874" xr:uid="{00000000-0005-0000-0000-00000A340000}"/>
    <cellStyle name="Currency 3 21 2 2 2 3 2" xfId="41794" xr:uid="{00000000-0005-0000-0000-00000B340000}"/>
    <cellStyle name="Currency 3 21 2 2 2 4" xfId="29489" xr:uid="{00000000-0005-0000-0000-00000C340000}"/>
    <cellStyle name="Currency 3 21 2 2 3" xfId="12656" xr:uid="{00000000-0005-0000-0000-00000D340000}"/>
    <cellStyle name="Currency 3 21 2 2 3 2" xfId="32576" xr:uid="{00000000-0005-0000-0000-00000E340000}"/>
    <cellStyle name="Currency 3 21 2 2 4" xfId="18808" xr:uid="{00000000-0005-0000-0000-00000F340000}"/>
    <cellStyle name="Currency 3 21 2 2 4 2" xfId="38728" xr:uid="{00000000-0005-0000-0000-000010340000}"/>
    <cellStyle name="Currency 3 21 2 2 5" xfId="26423" xr:uid="{00000000-0005-0000-0000-000011340000}"/>
    <cellStyle name="Currency 3 21 2 3" xfId="7994" xr:uid="{00000000-0005-0000-0000-000012340000}"/>
    <cellStyle name="Currency 3 21 2 3 2" xfId="14188" xr:uid="{00000000-0005-0000-0000-000013340000}"/>
    <cellStyle name="Currency 3 21 2 3 2 2" xfId="34108" xr:uid="{00000000-0005-0000-0000-000014340000}"/>
    <cellStyle name="Currency 3 21 2 3 3" xfId="20340" xr:uid="{00000000-0005-0000-0000-000015340000}"/>
    <cellStyle name="Currency 3 21 2 3 3 2" xfId="40260" xr:uid="{00000000-0005-0000-0000-000016340000}"/>
    <cellStyle name="Currency 3 21 2 3 4" xfId="27955" xr:uid="{00000000-0005-0000-0000-000017340000}"/>
    <cellStyle name="Currency 3 21 2 4" xfId="11122" xr:uid="{00000000-0005-0000-0000-000018340000}"/>
    <cellStyle name="Currency 3 21 2 4 2" xfId="31042" xr:uid="{00000000-0005-0000-0000-000019340000}"/>
    <cellStyle name="Currency 3 21 2 5" xfId="17274" xr:uid="{00000000-0005-0000-0000-00001A340000}"/>
    <cellStyle name="Currency 3 21 2 5 2" xfId="37194" xr:uid="{00000000-0005-0000-0000-00001B340000}"/>
    <cellStyle name="Currency 3 21 2 6" xfId="24889" xr:uid="{00000000-0005-0000-0000-00001C340000}"/>
    <cellStyle name="Currency 3 21 3" xfId="5659" xr:uid="{00000000-0005-0000-0000-00001D340000}"/>
    <cellStyle name="Currency 3 21 3 2" xfId="8760" xr:uid="{00000000-0005-0000-0000-00001E340000}"/>
    <cellStyle name="Currency 3 21 3 2 2" xfId="14953" xr:uid="{00000000-0005-0000-0000-00001F340000}"/>
    <cellStyle name="Currency 3 21 3 2 2 2" xfId="34873" xr:uid="{00000000-0005-0000-0000-000020340000}"/>
    <cellStyle name="Currency 3 21 3 2 3" xfId="21105" xr:uid="{00000000-0005-0000-0000-000021340000}"/>
    <cellStyle name="Currency 3 21 3 2 3 2" xfId="41025" xr:uid="{00000000-0005-0000-0000-000022340000}"/>
    <cellStyle name="Currency 3 21 3 2 4" xfId="28720" xr:uid="{00000000-0005-0000-0000-000023340000}"/>
    <cellStyle name="Currency 3 21 3 3" xfId="11887" xr:uid="{00000000-0005-0000-0000-000024340000}"/>
    <cellStyle name="Currency 3 21 3 3 2" xfId="31807" xr:uid="{00000000-0005-0000-0000-000025340000}"/>
    <cellStyle name="Currency 3 21 3 4" xfId="18039" xr:uid="{00000000-0005-0000-0000-000026340000}"/>
    <cellStyle name="Currency 3 21 3 4 2" xfId="37959" xr:uid="{00000000-0005-0000-0000-000027340000}"/>
    <cellStyle name="Currency 3 21 3 5" xfId="25654" xr:uid="{00000000-0005-0000-0000-000028340000}"/>
    <cellStyle name="Currency 3 21 4" xfId="7225" xr:uid="{00000000-0005-0000-0000-000029340000}"/>
    <cellStyle name="Currency 3 21 4 2" xfId="13419" xr:uid="{00000000-0005-0000-0000-00002A340000}"/>
    <cellStyle name="Currency 3 21 4 2 2" xfId="33339" xr:uid="{00000000-0005-0000-0000-00002B340000}"/>
    <cellStyle name="Currency 3 21 4 3" xfId="19571" xr:uid="{00000000-0005-0000-0000-00002C340000}"/>
    <cellStyle name="Currency 3 21 4 3 2" xfId="39491" xr:uid="{00000000-0005-0000-0000-00002D340000}"/>
    <cellStyle name="Currency 3 21 4 4" xfId="27186" xr:uid="{00000000-0005-0000-0000-00002E340000}"/>
    <cellStyle name="Currency 3 21 5" xfId="10353" xr:uid="{00000000-0005-0000-0000-00002F340000}"/>
    <cellStyle name="Currency 3 21 5 2" xfId="30273" xr:uid="{00000000-0005-0000-0000-000030340000}"/>
    <cellStyle name="Currency 3 21 6" xfId="16505" xr:uid="{00000000-0005-0000-0000-000031340000}"/>
    <cellStyle name="Currency 3 21 6 2" xfId="36425" xr:uid="{00000000-0005-0000-0000-000032340000}"/>
    <cellStyle name="Currency 3 21 7" xfId="3112" xr:uid="{00000000-0005-0000-0000-000033340000}"/>
    <cellStyle name="Currency 3 21 7 2" xfId="24120" xr:uid="{00000000-0005-0000-0000-000034340000}"/>
    <cellStyle name="Currency 3 22" xfId="544" xr:uid="{00000000-0005-0000-0000-000035340000}"/>
    <cellStyle name="Currency 3 22 2" xfId="3114" xr:uid="{00000000-0005-0000-0000-000036340000}"/>
    <cellStyle name="Currency 3 22 3" xfId="3115" xr:uid="{00000000-0005-0000-0000-000037340000}"/>
    <cellStyle name="Currency 3 22 4" xfId="3113" xr:uid="{00000000-0005-0000-0000-000038340000}"/>
    <cellStyle name="Currency 3 23" xfId="555" xr:uid="{00000000-0005-0000-0000-000039340000}"/>
    <cellStyle name="Currency 3 23 2" xfId="10108" xr:uid="{00000000-0005-0000-0000-00003A340000}"/>
    <cellStyle name="Currency 3 24" xfId="584" xr:uid="{00000000-0005-0000-0000-00003B340000}"/>
    <cellStyle name="Currency 3 25" xfId="564" xr:uid="{00000000-0005-0000-0000-00003C340000}"/>
    <cellStyle name="Currency 3 26" xfId="596" xr:uid="{00000000-0005-0000-0000-00003D340000}"/>
    <cellStyle name="Currency 3 27" xfId="624" xr:uid="{00000000-0005-0000-0000-00003E340000}"/>
    <cellStyle name="Currency 3 28" xfId="650" xr:uid="{00000000-0005-0000-0000-00003F340000}"/>
    <cellStyle name="Currency 3 29" xfId="730" xr:uid="{00000000-0005-0000-0000-000040340000}"/>
    <cellStyle name="Currency 3 3" xfId="91" xr:uid="{00000000-0005-0000-0000-000041340000}"/>
    <cellStyle name="Currency 3 3 10" xfId="7226" xr:uid="{00000000-0005-0000-0000-000042340000}"/>
    <cellStyle name="Currency 3 3 10 2" xfId="13420" xr:uid="{00000000-0005-0000-0000-000043340000}"/>
    <cellStyle name="Currency 3 3 10 2 2" xfId="33340" xr:uid="{00000000-0005-0000-0000-000044340000}"/>
    <cellStyle name="Currency 3 3 10 3" xfId="19572" xr:uid="{00000000-0005-0000-0000-000045340000}"/>
    <cellStyle name="Currency 3 3 10 3 2" xfId="39492" xr:uid="{00000000-0005-0000-0000-000046340000}"/>
    <cellStyle name="Currency 3 3 10 4" xfId="27187" xr:uid="{00000000-0005-0000-0000-000047340000}"/>
    <cellStyle name="Currency 3 3 11" xfId="10138" xr:uid="{00000000-0005-0000-0000-000048340000}"/>
    <cellStyle name="Currency 3 3 12" xfId="10354" xr:uid="{00000000-0005-0000-0000-000049340000}"/>
    <cellStyle name="Currency 3 3 12 2" xfId="30274" xr:uid="{00000000-0005-0000-0000-00004A340000}"/>
    <cellStyle name="Currency 3 3 13" xfId="16506" xr:uid="{00000000-0005-0000-0000-00004B340000}"/>
    <cellStyle name="Currency 3 3 13 2" xfId="36426" xr:uid="{00000000-0005-0000-0000-00004C340000}"/>
    <cellStyle name="Currency 3 3 14" xfId="3116" xr:uid="{00000000-0005-0000-0000-00004D340000}"/>
    <cellStyle name="Currency 3 3 14 2" xfId="24121" xr:uid="{00000000-0005-0000-0000-00004E340000}"/>
    <cellStyle name="Currency 3 3 2" xfId="140" xr:uid="{00000000-0005-0000-0000-00004F340000}"/>
    <cellStyle name="Currency 3 3 2 2" xfId="4820" xr:uid="{00000000-0005-0000-0000-000050340000}"/>
    <cellStyle name="Currency 3 3 2 2 2" xfId="6445" xr:uid="{00000000-0005-0000-0000-000051340000}"/>
    <cellStyle name="Currency 3 3 2 2 2 2" xfId="9531" xr:uid="{00000000-0005-0000-0000-000052340000}"/>
    <cellStyle name="Currency 3 3 2 2 2 2 2" xfId="15724" xr:uid="{00000000-0005-0000-0000-000053340000}"/>
    <cellStyle name="Currency 3 3 2 2 2 2 2 2" xfId="35644" xr:uid="{00000000-0005-0000-0000-000054340000}"/>
    <cellStyle name="Currency 3 3 2 2 2 2 3" xfId="21876" xr:uid="{00000000-0005-0000-0000-000055340000}"/>
    <cellStyle name="Currency 3 3 2 2 2 2 3 2" xfId="41796" xr:uid="{00000000-0005-0000-0000-000056340000}"/>
    <cellStyle name="Currency 3 3 2 2 2 2 4" xfId="29491" xr:uid="{00000000-0005-0000-0000-000057340000}"/>
    <cellStyle name="Currency 3 3 2 2 2 3" xfId="12658" xr:uid="{00000000-0005-0000-0000-000058340000}"/>
    <cellStyle name="Currency 3 3 2 2 2 3 2" xfId="32578" xr:uid="{00000000-0005-0000-0000-000059340000}"/>
    <cellStyle name="Currency 3 3 2 2 2 4" xfId="18810" xr:uid="{00000000-0005-0000-0000-00005A340000}"/>
    <cellStyle name="Currency 3 3 2 2 2 4 2" xfId="38730" xr:uid="{00000000-0005-0000-0000-00005B340000}"/>
    <cellStyle name="Currency 3 3 2 2 2 5" xfId="26425" xr:uid="{00000000-0005-0000-0000-00005C340000}"/>
    <cellStyle name="Currency 3 3 2 2 3" xfId="7996" xr:uid="{00000000-0005-0000-0000-00005D340000}"/>
    <cellStyle name="Currency 3 3 2 2 3 2" xfId="14190" xr:uid="{00000000-0005-0000-0000-00005E340000}"/>
    <cellStyle name="Currency 3 3 2 2 3 2 2" xfId="34110" xr:uid="{00000000-0005-0000-0000-00005F340000}"/>
    <cellStyle name="Currency 3 3 2 2 3 3" xfId="20342" xr:uid="{00000000-0005-0000-0000-000060340000}"/>
    <cellStyle name="Currency 3 3 2 2 3 3 2" xfId="40262" xr:uid="{00000000-0005-0000-0000-000061340000}"/>
    <cellStyle name="Currency 3 3 2 2 3 4" xfId="27957" xr:uid="{00000000-0005-0000-0000-000062340000}"/>
    <cellStyle name="Currency 3 3 2 2 4" xfId="11124" xr:uid="{00000000-0005-0000-0000-000063340000}"/>
    <cellStyle name="Currency 3 3 2 2 4 2" xfId="31044" xr:uid="{00000000-0005-0000-0000-000064340000}"/>
    <cellStyle name="Currency 3 3 2 2 5" xfId="17276" xr:uid="{00000000-0005-0000-0000-000065340000}"/>
    <cellStyle name="Currency 3 3 2 2 5 2" xfId="37196" xr:uid="{00000000-0005-0000-0000-000066340000}"/>
    <cellStyle name="Currency 3 3 2 2 6" xfId="24891" xr:uid="{00000000-0005-0000-0000-000067340000}"/>
    <cellStyle name="Currency 3 3 2 3" xfId="5661" xr:uid="{00000000-0005-0000-0000-000068340000}"/>
    <cellStyle name="Currency 3 3 2 3 2" xfId="8762" xr:uid="{00000000-0005-0000-0000-000069340000}"/>
    <cellStyle name="Currency 3 3 2 3 2 2" xfId="14955" xr:uid="{00000000-0005-0000-0000-00006A340000}"/>
    <cellStyle name="Currency 3 3 2 3 2 2 2" xfId="34875" xr:uid="{00000000-0005-0000-0000-00006B340000}"/>
    <cellStyle name="Currency 3 3 2 3 2 3" xfId="21107" xr:uid="{00000000-0005-0000-0000-00006C340000}"/>
    <cellStyle name="Currency 3 3 2 3 2 3 2" xfId="41027" xr:uid="{00000000-0005-0000-0000-00006D340000}"/>
    <cellStyle name="Currency 3 3 2 3 2 4" xfId="28722" xr:uid="{00000000-0005-0000-0000-00006E340000}"/>
    <cellStyle name="Currency 3 3 2 3 3" xfId="11889" xr:uid="{00000000-0005-0000-0000-00006F340000}"/>
    <cellStyle name="Currency 3 3 2 3 3 2" xfId="31809" xr:uid="{00000000-0005-0000-0000-000070340000}"/>
    <cellStyle name="Currency 3 3 2 3 4" xfId="18041" xr:uid="{00000000-0005-0000-0000-000071340000}"/>
    <cellStyle name="Currency 3 3 2 3 4 2" xfId="37961" xr:uid="{00000000-0005-0000-0000-000072340000}"/>
    <cellStyle name="Currency 3 3 2 3 5" xfId="25656" xr:uid="{00000000-0005-0000-0000-000073340000}"/>
    <cellStyle name="Currency 3 3 2 4" xfId="7227" xr:uid="{00000000-0005-0000-0000-000074340000}"/>
    <cellStyle name="Currency 3 3 2 4 2" xfId="13421" xr:uid="{00000000-0005-0000-0000-000075340000}"/>
    <cellStyle name="Currency 3 3 2 4 2 2" xfId="33341" xr:uid="{00000000-0005-0000-0000-000076340000}"/>
    <cellStyle name="Currency 3 3 2 4 3" xfId="19573" xr:uid="{00000000-0005-0000-0000-000077340000}"/>
    <cellStyle name="Currency 3 3 2 4 3 2" xfId="39493" xr:uid="{00000000-0005-0000-0000-000078340000}"/>
    <cellStyle name="Currency 3 3 2 4 4" xfId="27188" xr:uid="{00000000-0005-0000-0000-000079340000}"/>
    <cellStyle name="Currency 3 3 2 5" xfId="10355" xr:uid="{00000000-0005-0000-0000-00007A340000}"/>
    <cellStyle name="Currency 3 3 2 5 2" xfId="30275" xr:uid="{00000000-0005-0000-0000-00007B340000}"/>
    <cellStyle name="Currency 3 3 2 6" xfId="16507" xr:uid="{00000000-0005-0000-0000-00007C340000}"/>
    <cellStyle name="Currency 3 3 2 6 2" xfId="36427" xr:uid="{00000000-0005-0000-0000-00007D340000}"/>
    <cellStyle name="Currency 3 3 2 7" xfId="3117" xr:uid="{00000000-0005-0000-0000-00007E340000}"/>
    <cellStyle name="Currency 3 3 2 7 2" xfId="24122" xr:uid="{00000000-0005-0000-0000-00007F340000}"/>
    <cellStyle name="Currency 3 3 3" xfId="3118" xr:uid="{00000000-0005-0000-0000-000080340000}"/>
    <cellStyle name="Currency 3 3 3 2" xfId="4821" xr:uid="{00000000-0005-0000-0000-000081340000}"/>
    <cellStyle name="Currency 3 3 3 2 2" xfId="6446" xr:uid="{00000000-0005-0000-0000-000082340000}"/>
    <cellStyle name="Currency 3 3 3 2 2 2" xfId="9532" xr:uid="{00000000-0005-0000-0000-000083340000}"/>
    <cellStyle name="Currency 3 3 3 2 2 2 2" xfId="15725" xr:uid="{00000000-0005-0000-0000-000084340000}"/>
    <cellStyle name="Currency 3 3 3 2 2 2 2 2" xfId="35645" xr:uid="{00000000-0005-0000-0000-000085340000}"/>
    <cellStyle name="Currency 3 3 3 2 2 2 3" xfId="21877" xr:uid="{00000000-0005-0000-0000-000086340000}"/>
    <cellStyle name="Currency 3 3 3 2 2 2 3 2" xfId="41797" xr:uid="{00000000-0005-0000-0000-000087340000}"/>
    <cellStyle name="Currency 3 3 3 2 2 2 4" xfId="29492" xr:uid="{00000000-0005-0000-0000-000088340000}"/>
    <cellStyle name="Currency 3 3 3 2 2 3" xfId="12659" xr:uid="{00000000-0005-0000-0000-000089340000}"/>
    <cellStyle name="Currency 3 3 3 2 2 3 2" xfId="32579" xr:uid="{00000000-0005-0000-0000-00008A340000}"/>
    <cellStyle name="Currency 3 3 3 2 2 4" xfId="18811" xr:uid="{00000000-0005-0000-0000-00008B340000}"/>
    <cellStyle name="Currency 3 3 3 2 2 4 2" xfId="38731" xr:uid="{00000000-0005-0000-0000-00008C340000}"/>
    <cellStyle name="Currency 3 3 3 2 2 5" xfId="26426" xr:uid="{00000000-0005-0000-0000-00008D340000}"/>
    <cellStyle name="Currency 3 3 3 2 3" xfId="7997" xr:uid="{00000000-0005-0000-0000-00008E340000}"/>
    <cellStyle name="Currency 3 3 3 2 3 2" xfId="14191" xr:uid="{00000000-0005-0000-0000-00008F340000}"/>
    <cellStyle name="Currency 3 3 3 2 3 2 2" xfId="34111" xr:uid="{00000000-0005-0000-0000-000090340000}"/>
    <cellStyle name="Currency 3 3 3 2 3 3" xfId="20343" xr:uid="{00000000-0005-0000-0000-000091340000}"/>
    <cellStyle name="Currency 3 3 3 2 3 3 2" xfId="40263" xr:uid="{00000000-0005-0000-0000-000092340000}"/>
    <cellStyle name="Currency 3 3 3 2 3 4" xfId="27958" xr:uid="{00000000-0005-0000-0000-000093340000}"/>
    <cellStyle name="Currency 3 3 3 2 4" xfId="11125" xr:uid="{00000000-0005-0000-0000-000094340000}"/>
    <cellStyle name="Currency 3 3 3 2 4 2" xfId="31045" xr:uid="{00000000-0005-0000-0000-000095340000}"/>
    <cellStyle name="Currency 3 3 3 2 5" xfId="17277" xr:uid="{00000000-0005-0000-0000-000096340000}"/>
    <cellStyle name="Currency 3 3 3 2 5 2" xfId="37197" xr:uid="{00000000-0005-0000-0000-000097340000}"/>
    <cellStyle name="Currency 3 3 3 2 6" xfId="24892" xr:uid="{00000000-0005-0000-0000-000098340000}"/>
    <cellStyle name="Currency 3 3 3 3" xfId="5662" xr:uid="{00000000-0005-0000-0000-000099340000}"/>
    <cellStyle name="Currency 3 3 3 3 2" xfId="8763" xr:uid="{00000000-0005-0000-0000-00009A340000}"/>
    <cellStyle name="Currency 3 3 3 3 2 2" xfId="14956" xr:uid="{00000000-0005-0000-0000-00009B340000}"/>
    <cellStyle name="Currency 3 3 3 3 2 2 2" xfId="34876" xr:uid="{00000000-0005-0000-0000-00009C340000}"/>
    <cellStyle name="Currency 3 3 3 3 2 3" xfId="21108" xr:uid="{00000000-0005-0000-0000-00009D340000}"/>
    <cellStyle name="Currency 3 3 3 3 2 3 2" xfId="41028" xr:uid="{00000000-0005-0000-0000-00009E340000}"/>
    <cellStyle name="Currency 3 3 3 3 2 4" xfId="28723" xr:uid="{00000000-0005-0000-0000-00009F340000}"/>
    <cellStyle name="Currency 3 3 3 3 3" xfId="11890" xr:uid="{00000000-0005-0000-0000-0000A0340000}"/>
    <cellStyle name="Currency 3 3 3 3 3 2" xfId="31810" xr:uid="{00000000-0005-0000-0000-0000A1340000}"/>
    <cellStyle name="Currency 3 3 3 3 4" xfId="18042" xr:uid="{00000000-0005-0000-0000-0000A2340000}"/>
    <cellStyle name="Currency 3 3 3 3 4 2" xfId="37962" xr:uid="{00000000-0005-0000-0000-0000A3340000}"/>
    <cellStyle name="Currency 3 3 3 3 5" xfId="25657" xr:uid="{00000000-0005-0000-0000-0000A4340000}"/>
    <cellStyle name="Currency 3 3 3 4" xfId="7228" xr:uid="{00000000-0005-0000-0000-0000A5340000}"/>
    <cellStyle name="Currency 3 3 3 4 2" xfId="13422" xr:uid="{00000000-0005-0000-0000-0000A6340000}"/>
    <cellStyle name="Currency 3 3 3 4 2 2" xfId="33342" xr:uid="{00000000-0005-0000-0000-0000A7340000}"/>
    <cellStyle name="Currency 3 3 3 4 3" xfId="19574" xr:uid="{00000000-0005-0000-0000-0000A8340000}"/>
    <cellStyle name="Currency 3 3 3 4 3 2" xfId="39494" xr:uid="{00000000-0005-0000-0000-0000A9340000}"/>
    <cellStyle name="Currency 3 3 3 4 4" xfId="27189" xr:uid="{00000000-0005-0000-0000-0000AA340000}"/>
    <cellStyle name="Currency 3 3 3 5" xfId="10356" xr:uid="{00000000-0005-0000-0000-0000AB340000}"/>
    <cellStyle name="Currency 3 3 3 5 2" xfId="30276" xr:uid="{00000000-0005-0000-0000-0000AC340000}"/>
    <cellStyle name="Currency 3 3 3 6" xfId="16508" xr:uid="{00000000-0005-0000-0000-0000AD340000}"/>
    <cellStyle name="Currency 3 3 3 6 2" xfId="36428" xr:uid="{00000000-0005-0000-0000-0000AE340000}"/>
    <cellStyle name="Currency 3 3 3 7" xfId="24123" xr:uid="{00000000-0005-0000-0000-0000AF340000}"/>
    <cellStyle name="Currency 3 3 4" xfId="3119" xr:uid="{00000000-0005-0000-0000-0000B0340000}"/>
    <cellStyle name="Currency 3 3 4 2" xfId="4822" xr:uid="{00000000-0005-0000-0000-0000B1340000}"/>
    <cellStyle name="Currency 3 3 4 2 2" xfId="6447" xr:uid="{00000000-0005-0000-0000-0000B2340000}"/>
    <cellStyle name="Currency 3 3 4 2 2 2" xfId="9533" xr:uid="{00000000-0005-0000-0000-0000B3340000}"/>
    <cellStyle name="Currency 3 3 4 2 2 2 2" xfId="15726" xr:uid="{00000000-0005-0000-0000-0000B4340000}"/>
    <cellStyle name="Currency 3 3 4 2 2 2 2 2" xfId="35646" xr:uid="{00000000-0005-0000-0000-0000B5340000}"/>
    <cellStyle name="Currency 3 3 4 2 2 2 3" xfId="21878" xr:uid="{00000000-0005-0000-0000-0000B6340000}"/>
    <cellStyle name="Currency 3 3 4 2 2 2 3 2" xfId="41798" xr:uid="{00000000-0005-0000-0000-0000B7340000}"/>
    <cellStyle name="Currency 3 3 4 2 2 2 4" xfId="29493" xr:uid="{00000000-0005-0000-0000-0000B8340000}"/>
    <cellStyle name="Currency 3 3 4 2 2 3" xfId="12660" xr:uid="{00000000-0005-0000-0000-0000B9340000}"/>
    <cellStyle name="Currency 3 3 4 2 2 3 2" xfId="32580" xr:uid="{00000000-0005-0000-0000-0000BA340000}"/>
    <cellStyle name="Currency 3 3 4 2 2 4" xfId="18812" xr:uid="{00000000-0005-0000-0000-0000BB340000}"/>
    <cellStyle name="Currency 3 3 4 2 2 4 2" xfId="38732" xr:uid="{00000000-0005-0000-0000-0000BC340000}"/>
    <cellStyle name="Currency 3 3 4 2 2 5" xfId="26427" xr:uid="{00000000-0005-0000-0000-0000BD340000}"/>
    <cellStyle name="Currency 3 3 4 2 3" xfId="7998" xr:uid="{00000000-0005-0000-0000-0000BE340000}"/>
    <cellStyle name="Currency 3 3 4 2 3 2" xfId="14192" xr:uid="{00000000-0005-0000-0000-0000BF340000}"/>
    <cellStyle name="Currency 3 3 4 2 3 2 2" xfId="34112" xr:uid="{00000000-0005-0000-0000-0000C0340000}"/>
    <cellStyle name="Currency 3 3 4 2 3 3" xfId="20344" xr:uid="{00000000-0005-0000-0000-0000C1340000}"/>
    <cellStyle name="Currency 3 3 4 2 3 3 2" xfId="40264" xr:uid="{00000000-0005-0000-0000-0000C2340000}"/>
    <cellStyle name="Currency 3 3 4 2 3 4" xfId="27959" xr:uid="{00000000-0005-0000-0000-0000C3340000}"/>
    <cellStyle name="Currency 3 3 4 2 4" xfId="11126" xr:uid="{00000000-0005-0000-0000-0000C4340000}"/>
    <cellStyle name="Currency 3 3 4 2 4 2" xfId="31046" xr:uid="{00000000-0005-0000-0000-0000C5340000}"/>
    <cellStyle name="Currency 3 3 4 2 5" xfId="17278" xr:uid="{00000000-0005-0000-0000-0000C6340000}"/>
    <cellStyle name="Currency 3 3 4 2 5 2" xfId="37198" xr:uid="{00000000-0005-0000-0000-0000C7340000}"/>
    <cellStyle name="Currency 3 3 4 2 6" xfId="24893" xr:uid="{00000000-0005-0000-0000-0000C8340000}"/>
    <cellStyle name="Currency 3 3 4 3" xfId="5663" xr:uid="{00000000-0005-0000-0000-0000C9340000}"/>
    <cellStyle name="Currency 3 3 4 3 2" xfId="8764" xr:uid="{00000000-0005-0000-0000-0000CA340000}"/>
    <cellStyle name="Currency 3 3 4 3 2 2" xfId="14957" xr:uid="{00000000-0005-0000-0000-0000CB340000}"/>
    <cellStyle name="Currency 3 3 4 3 2 2 2" xfId="34877" xr:uid="{00000000-0005-0000-0000-0000CC340000}"/>
    <cellStyle name="Currency 3 3 4 3 2 3" xfId="21109" xr:uid="{00000000-0005-0000-0000-0000CD340000}"/>
    <cellStyle name="Currency 3 3 4 3 2 3 2" xfId="41029" xr:uid="{00000000-0005-0000-0000-0000CE340000}"/>
    <cellStyle name="Currency 3 3 4 3 2 4" xfId="28724" xr:uid="{00000000-0005-0000-0000-0000CF340000}"/>
    <cellStyle name="Currency 3 3 4 3 3" xfId="11891" xr:uid="{00000000-0005-0000-0000-0000D0340000}"/>
    <cellStyle name="Currency 3 3 4 3 3 2" xfId="31811" xr:uid="{00000000-0005-0000-0000-0000D1340000}"/>
    <cellStyle name="Currency 3 3 4 3 4" xfId="18043" xr:uid="{00000000-0005-0000-0000-0000D2340000}"/>
    <cellStyle name="Currency 3 3 4 3 4 2" xfId="37963" xr:uid="{00000000-0005-0000-0000-0000D3340000}"/>
    <cellStyle name="Currency 3 3 4 3 5" xfId="25658" xr:uid="{00000000-0005-0000-0000-0000D4340000}"/>
    <cellStyle name="Currency 3 3 4 4" xfId="7229" xr:uid="{00000000-0005-0000-0000-0000D5340000}"/>
    <cellStyle name="Currency 3 3 4 4 2" xfId="13423" xr:uid="{00000000-0005-0000-0000-0000D6340000}"/>
    <cellStyle name="Currency 3 3 4 4 2 2" xfId="33343" xr:uid="{00000000-0005-0000-0000-0000D7340000}"/>
    <cellStyle name="Currency 3 3 4 4 3" xfId="19575" xr:uid="{00000000-0005-0000-0000-0000D8340000}"/>
    <cellStyle name="Currency 3 3 4 4 3 2" xfId="39495" xr:uid="{00000000-0005-0000-0000-0000D9340000}"/>
    <cellStyle name="Currency 3 3 4 4 4" xfId="27190" xr:uid="{00000000-0005-0000-0000-0000DA340000}"/>
    <cellStyle name="Currency 3 3 4 5" xfId="10357" xr:uid="{00000000-0005-0000-0000-0000DB340000}"/>
    <cellStyle name="Currency 3 3 4 5 2" xfId="30277" xr:uid="{00000000-0005-0000-0000-0000DC340000}"/>
    <cellStyle name="Currency 3 3 4 6" xfId="16509" xr:uid="{00000000-0005-0000-0000-0000DD340000}"/>
    <cellStyle name="Currency 3 3 4 6 2" xfId="36429" xr:uid="{00000000-0005-0000-0000-0000DE340000}"/>
    <cellStyle name="Currency 3 3 4 7" xfId="24124" xr:uid="{00000000-0005-0000-0000-0000DF340000}"/>
    <cellStyle name="Currency 3 3 5" xfId="3120" xr:uid="{00000000-0005-0000-0000-0000E0340000}"/>
    <cellStyle name="Currency 3 3 5 2" xfId="4823" xr:uid="{00000000-0005-0000-0000-0000E1340000}"/>
    <cellStyle name="Currency 3 3 5 2 2" xfId="6448" xr:uid="{00000000-0005-0000-0000-0000E2340000}"/>
    <cellStyle name="Currency 3 3 5 2 2 2" xfId="9534" xr:uid="{00000000-0005-0000-0000-0000E3340000}"/>
    <cellStyle name="Currency 3 3 5 2 2 2 2" xfId="15727" xr:uid="{00000000-0005-0000-0000-0000E4340000}"/>
    <cellStyle name="Currency 3 3 5 2 2 2 2 2" xfId="35647" xr:uid="{00000000-0005-0000-0000-0000E5340000}"/>
    <cellStyle name="Currency 3 3 5 2 2 2 3" xfId="21879" xr:uid="{00000000-0005-0000-0000-0000E6340000}"/>
    <cellStyle name="Currency 3 3 5 2 2 2 3 2" xfId="41799" xr:uid="{00000000-0005-0000-0000-0000E7340000}"/>
    <cellStyle name="Currency 3 3 5 2 2 2 4" xfId="29494" xr:uid="{00000000-0005-0000-0000-0000E8340000}"/>
    <cellStyle name="Currency 3 3 5 2 2 3" xfId="12661" xr:uid="{00000000-0005-0000-0000-0000E9340000}"/>
    <cellStyle name="Currency 3 3 5 2 2 3 2" xfId="32581" xr:uid="{00000000-0005-0000-0000-0000EA340000}"/>
    <cellStyle name="Currency 3 3 5 2 2 4" xfId="18813" xr:uid="{00000000-0005-0000-0000-0000EB340000}"/>
    <cellStyle name="Currency 3 3 5 2 2 4 2" xfId="38733" xr:uid="{00000000-0005-0000-0000-0000EC340000}"/>
    <cellStyle name="Currency 3 3 5 2 2 5" xfId="26428" xr:uid="{00000000-0005-0000-0000-0000ED340000}"/>
    <cellStyle name="Currency 3 3 5 2 3" xfId="7999" xr:uid="{00000000-0005-0000-0000-0000EE340000}"/>
    <cellStyle name="Currency 3 3 5 2 3 2" xfId="14193" xr:uid="{00000000-0005-0000-0000-0000EF340000}"/>
    <cellStyle name="Currency 3 3 5 2 3 2 2" xfId="34113" xr:uid="{00000000-0005-0000-0000-0000F0340000}"/>
    <cellStyle name="Currency 3 3 5 2 3 3" xfId="20345" xr:uid="{00000000-0005-0000-0000-0000F1340000}"/>
    <cellStyle name="Currency 3 3 5 2 3 3 2" xfId="40265" xr:uid="{00000000-0005-0000-0000-0000F2340000}"/>
    <cellStyle name="Currency 3 3 5 2 3 4" xfId="27960" xr:uid="{00000000-0005-0000-0000-0000F3340000}"/>
    <cellStyle name="Currency 3 3 5 2 4" xfId="11127" xr:uid="{00000000-0005-0000-0000-0000F4340000}"/>
    <cellStyle name="Currency 3 3 5 2 4 2" xfId="31047" xr:uid="{00000000-0005-0000-0000-0000F5340000}"/>
    <cellStyle name="Currency 3 3 5 2 5" xfId="17279" xr:uid="{00000000-0005-0000-0000-0000F6340000}"/>
    <cellStyle name="Currency 3 3 5 2 5 2" xfId="37199" xr:uid="{00000000-0005-0000-0000-0000F7340000}"/>
    <cellStyle name="Currency 3 3 5 2 6" xfId="24894" xr:uid="{00000000-0005-0000-0000-0000F8340000}"/>
    <cellStyle name="Currency 3 3 5 3" xfId="5664" xr:uid="{00000000-0005-0000-0000-0000F9340000}"/>
    <cellStyle name="Currency 3 3 5 3 2" xfId="8765" xr:uid="{00000000-0005-0000-0000-0000FA340000}"/>
    <cellStyle name="Currency 3 3 5 3 2 2" xfId="14958" xr:uid="{00000000-0005-0000-0000-0000FB340000}"/>
    <cellStyle name="Currency 3 3 5 3 2 2 2" xfId="34878" xr:uid="{00000000-0005-0000-0000-0000FC340000}"/>
    <cellStyle name="Currency 3 3 5 3 2 3" xfId="21110" xr:uid="{00000000-0005-0000-0000-0000FD340000}"/>
    <cellStyle name="Currency 3 3 5 3 2 3 2" xfId="41030" xr:uid="{00000000-0005-0000-0000-0000FE340000}"/>
    <cellStyle name="Currency 3 3 5 3 2 4" xfId="28725" xr:uid="{00000000-0005-0000-0000-0000FF340000}"/>
    <cellStyle name="Currency 3 3 5 3 3" xfId="11892" xr:uid="{00000000-0005-0000-0000-000000350000}"/>
    <cellStyle name="Currency 3 3 5 3 3 2" xfId="31812" xr:uid="{00000000-0005-0000-0000-000001350000}"/>
    <cellStyle name="Currency 3 3 5 3 4" xfId="18044" xr:uid="{00000000-0005-0000-0000-000002350000}"/>
    <cellStyle name="Currency 3 3 5 3 4 2" xfId="37964" xr:uid="{00000000-0005-0000-0000-000003350000}"/>
    <cellStyle name="Currency 3 3 5 3 5" xfId="25659" xr:uid="{00000000-0005-0000-0000-000004350000}"/>
    <cellStyle name="Currency 3 3 5 4" xfId="7230" xr:uid="{00000000-0005-0000-0000-000005350000}"/>
    <cellStyle name="Currency 3 3 5 4 2" xfId="13424" xr:uid="{00000000-0005-0000-0000-000006350000}"/>
    <cellStyle name="Currency 3 3 5 4 2 2" xfId="33344" xr:uid="{00000000-0005-0000-0000-000007350000}"/>
    <cellStyle name="Currency 3 3 5 4 3" xfId="19576" xr:uid="{00000000-0005-0000-0000-000008350000}"/>
    <cellStyle name="Currency 3 3 5 4 3 2" xfId="39496" xr:uid="{00000000-0005-0000-0000-000009350000}"/>
    <cellStyle name="Currency 3 3 5 4 4" xfId="27191" xr:uid="{00000000-0005-0000-0000-00000A350000}"/>
    <cellStyle name="Currency 3 3 5 5" xfId="10358" xr:uid="{00000000-0005-0000-0000-00000B350000}"/>
    <cellStyle name="Currency 3 3 5 5 2" xfId="30278" xr:uid="{00000000-0005-0000-0000-00000C350000}"/>
    <cellStyle name="Currency 3 3 5 6" xfId="16510" xr:uid="{00000000-0005-0000-0000-00000D350000}"/>
    <cellStyle name="Currency 3 3 5 6 2" xfId="36430" xr:uid="{00000000-0005-0000-0000-00000E350000}"/>
    <cellStyle name="Currency 3 3 5 7" xfId="24125" xr:uid="{00000000-0005-0000-0000-00000F350000}"/>
    <cellStyle name="Currency 3 3 6" xfId="3121" xr:uid="{00000000-0005-0000-0000-000010350000}"/>
    <cellStyle name="Currency 3 3 6 2" xfId="4824" xr:uid="{00000000-0005-0000-0000-000011350000}"/>
    <cellStyle name="Currency 3 3 6 2 2" xfId="6449" xr:uid="{00000000-0005-0000-0000-000012350000}"/>
    <cellStyle name="Currency 3 3 6 2 2 2" xfId="9535" xr:uid="{00000000-0005-0000-0000-000013350000}"/>
    <cellStyle name="Currency 3 3 6 2 2 2 2" xfId="15728" xr:uid="{00000000-0005-0000-0000-000014350000}"/>
    <cellStyle name="Currency 3 3 6 2 2 2 2 2" xfId="35648" xr:uid="{00000000-0005-0000-0000-000015350000}"/>
    <cellStyle name="Currency 3 3 6 2 2 2 3" xfId="21880" xr:uid="{00000000-0005-0000-0000-000016350000}"/>
    <cellStyle name="Currency 3 3 6 2 2 2 3 2" xfId="41800" xr:uid="{00000000-0005-0000-0000-000017350000}"/>
    <cellStyle name="Currency 3 3 6 2 2 2 4" xfId="29495" xr:uid="{00000000-0005-0000-0000-000018350000}"/>
    <cellStyle name="Currency 3 3 6 2 2 3" xfId="12662" xr:uid="{00000000-0005-0000-0000-000019350000}"/>
    <cellStyle name="Currency 3 3 6 2 2 3 2" xfId="32582" xr:uid="{00000000-0005-0000-0000-00001A350000}"/>
    <cellStyle name="Currency 3 3 6 2 2 4" xfId="18814" xr:uid="{00000000-0005-0000-0000-00001B350000}"/>
    <cellStyle name="Currency 3 3 6 2 2 4 2" xfId="38734" xr:uid="{00000000-0005-0000-0000-00001C350000}"/>
    <cellStyle name="Currency 3 3 6 2 2 5" xfId="26429" xr:uid="{00000000-0005-0000-0000-00001D350000}"/>
    <cellStyle name="Currency 3 3 6 2 3" xfId="8000" xr:uid="{00000000-0005-0000-0000-00001E350000}"/>
    <cellStyle name="Currency 3 3 6 2 3 2" xfId="14194" xr:uid="{00000000-0005-0000-0000-00001F350000}"/>
    <cellStyle name="Currency 3 3 6 2 3 2 2" xfId="34114" xr:uid="{00000000-0005-0000-0000-000020350000}"/>
    <cellStyle name="Currency 3 3 6 2 3 3" xfId="20346" xr:uid="{00000000-0005-0000-0000-000021350000}"/>
    <cellStyle name="Currency 3 3 6 2 3 3 2" xfId="40266" xr:uid="{00000000-0005-0000-0000-000022350000}"/>
    <cellStyle name="Currency 3 3 6 2 3 4" xfId="27961" xr:uid="{00000000-0005-0000-0000-000023350000}"/>
    <cellStyle name="Currency 3 3 6 2 4" xfId="11128" xr:uid="{00000000-0005-0000-0000-000024350000}"/>
    <cellStyle name="Currency 3 3 6 2 4 2" xfId="31048" xr:uid="{00000000-0005-0000-0000-000025350000}"/>
    <cellStyle name="Currency 3 3 6 2 5" xfId="17280" xr:uid="{00000000-0005-0000-0000-000026350000}"/>
    <cellStyle name="Currency 3 3 6 2 5 2" xfId="37200" xr:uid="{00000000-0005-0000-0000-000027350000}"/>
    <cellStyle name="Currency 3 3 6 2 6" xfId="24895" xr:uid="{00000000-0005-0000-0000-000028350000}"/>
    <cellStyle name="Currency 3 3 6 3" xfId="5665" xr:uid="{00000000-0005-0000-0000-000029350000}"/>
    <cellStyle name="Currency 3 3 6 3 2" xfId="8766" xr:uid="{00000000-0005-0000-0000-00002A350000}"/>
    <cellStyle name="Currency 3 3 6 3 2 2" xfId="14959" xr:uid="{00000000-0005-0000-0000-00002B350000}"/>
    <cellStyle name="Currency 3 3 6 3 2 2 2" xfId="34879" xr:uid="{00000000-0005-0000-0000-00002C350000}"/>
    <cellStyle name="Currency 3 3 6 3 2 3" xfId="21111" xr:uid="{00000000-0005-0000-0000-00002D350000}"/>
    <cellStyle name="Currency 3 3 6 3 2 3 2" xfId="41031" xr:uid="{00000000-0005-0000-0000-00002E350000}"/>
    <cellStyle name="Currency 3 3 6 3 2 4" xfId="28726" xr:uid="{00000000-0005-0000-0000-00002F350000}"/>
    <cellStyle name="Currency 3 3 6 3 3" xfId="11893" xr:uid="{00000000-0005-0000-0000-000030350000}"/>
    <cellStyle name="Currency 3 3 6 3 3 2" xfId="31813" xr:uid="{00000000-0005-0000-0000-000031350000}"/>
    <cellStyle name="Currency 3 3 6 3 4" xfId="18045" xr:uid="{00000000-0005-0000-0000-000032350000}"/>
    <cellStyle name="Currency 3 3 6 3 4 2" xfId="37965" xr:uid="{00000000-0005-0000-0000-000033350000}"/>
    <cellStyle name="Currency 3 3 6 3 5" xfId="25660" xr:uid="{00000000-0005-0000-0000-000034350000}"/>
    <cellStyle name="Currency 3 3 6 4" xfId="7231" xr:uid="{00000000-0005-0000-0000-000035350000}"/>
    <cellStyle name="Currency 3 3 6 4 2" xfId="13425" xr:uid="{00000000-0005-0000-0000-000036350000}"/>
    <cellStyle name="Currency 3 3 6 4 2 2" xfId="33345" xr:uid="{00000000-0005-0000-0000-000037350000}"/>
    <cellStyle name="Currency 3 3 6 4 3" xfId="19577" xr:uid="{00000000-0005-0000-0000-000038350000}"/>
    <cellStyle name="Currency 3 3 6 4 3 2" xfId="39497" xr:uid="{00000000-0005-0000-0000-000039350000}"/>
    <cellStyle name="Currency 3 3 6 4 4" xfId="27192" xr:uid="{00000000-0005-0000-0000-00003A350000}"/>
    <cellStyle name="Currency 3 3 6 5" xfId="10359" xr:uid="{00000000-0005-0000-0000-00003B350000}"/>
    <cellStyle name="Currency 3 3 6 5 2" xfId="30279" xr:uid="{00000000-0005-0000-0000-00003C350000}"/>
    <cellStyle name="Currency 3 3 6 6" xfId="16511" xr:uid="{00000000-0005-0000-0000-00003D350000}"/>
    <cellStyle name="Currency 3 3 6 6 2" xfId="36431" xr:uid="{00000000-0005-0000-0000-00003E350000}"/>
    <cellStyle name="Currency 3 3 6 7" xfId="24126" xr:uid="{00000000-0005-0000-0000-00003F350000}"/>
    <cellStyle name="Currency 3 3 7" xfId="3122" xr:uid="{00000000-0005-0000-0000-000040350000}"/>
    <cellStyle name="Currency 3 3 8" xfId="4819" xr:uid="{00000000-0005-0000-0000-000041350000}"/>
    <cellStyle name="Currency 3 3 8 2" xfId="6444" xr:uid="{00000000-0005-0000-0000-000042350000}"/>
    <cellStyle name="Currency 3 3 8 2 2" xfId="9530" xr:uid="{00000000-0005-0000-0000-000043350000}"/>
    <cellStyle name="Currency 3 3 8 2 2 2" xfId="15723" xr:uid="{00000000-0005-0000-0000-000044350000}"/>
    <cellStyle name="Currency 3 3 8 2 2 2 2" xfId="35643" xr:uid="{00000000-0005-0000-0000-000045350000}"/>
    <cellStyle name="Currency 3 3 8 2 2 3" xfId="21875" xr:uid="{00000000-0005-0000-0000-000046350000}"/>
    <cellStyle name="Currency 3 3 8 2 2 3 2" xfId="41795" xr:uid="{00000000-0005-0000-0000-000047350000}"/>
    <cellStyle name="Currency 3 3 8 2 2 4" xfId="29490" xr:uid="{00000000-0005-0000-0000-000048350000}"/>
    <cellStyle name="Currency 3 3 8 2 3" xfId="12657" xr:uid="{00000000-0005-0000-0000-000049350000}"/>
    <cellStyle name="Currency 3 3 8 2 3 2" xfId="32577" xr:uid="{00000000-0005-0000-0000-00004A350000}"/>
    <cellStyle name="Currency 3 3 8 2 4" xfId="18809" xr:uid="{00000000-0005-0000-0000-00004B350000}"/>
    <cellStyle name="Currency 3 3 8 2 4 2" xfId="38729" xr:uid="{00000000-0005-0000-0000-00004C350000}"/>
    <cellStyle name="Currency 3 3 8 2 5" xfId="26424" xr:uid="{00000000-0005-0000-0000-00004D350000}"/>
    <cellStyle name="Currency 3 3 8 3" xfId="7995" xr:uid="{00000000-0005-0000-0000-00004E350000}"/>
    <cellStyle name="Currency 3 3 8 3 2" xfId="14189" xr:uid="{00000000-0005-0000-0000-00004F350000}"/>
    <cellStyle name="Currency 3 3 8 3 2 2" xfId="34109" xr:uid="{00000000-0005-0000-0000-000050350000}"/>
    <cellStyle name="Currency 3 3 8 3 3" xfId="20341" xr:uid="{00000000-0005-0000-0000-000051350000}"/>
    <cellStyle name="Currency 3 3 8 3 3 2" xfId="40261" xr:uid="{00000000-0005-0000-0000-000052350000}"/>
    <cellStyle name="Currency 3 3 8 3 4" xfId="27956" xr:uid="{00000000-0005-0000-0000-000053350000}"/>
    <cellStyle name="Currency 3 3 8 4" xfId="11123" xr:uid="{00000000-0005-0000-0000-000054350000}"/>
    <cellStyle name="Currency 3 3 8 4 2" xfId="31043" xr:uid="{00000000-0005-0000-0000-000055350000}"/>
    <cellStyle name="Currency 3 3 8 5" xfId="17275" xr:uid="{00000000-0005-0000-0000-000056350000}"/>
    <cellStyle name="Currency 3 3 8 5 2" xfId="37195" xr:uid="{00000000-0005-0000-0000-000057350000}"/>
    <cellStyle name="Currency 3 3 8 6" xfId="24890" xr:uid="{00000000-0005-0000-0000-000058350000}"/>
    <cellStyle name="Currency 3 3 9" xfId="5660" xr:uid="{00000000-0005-0000-0000-000059350000}"/>
    <cellStyle name="Currency 3 3 9 2" xfId="8761" xr:uid="{00000000-0005-0000-0000-00005A350000}"/>
    <cellStyle name="Currency 3 3 9 2 2" xfId="14954" xr:uid="{00000000-0005-0000-0000-00005B350000}"/>
    <cellStyle name="Currency 3 3 9 2 2 2" xfId="34874" xr:uid="{00000000-0005-0000-0000-00005C350000}"/>
    <cellStyle name="Currency 3 3 9 2 3" xfId="21106" xr:uid="{00000000-0005-0000-0000-00005D350000}"/>
    <cellStyle name="Currency 3 3 9 2 3 2" xfId="41026" xr:uid="{00000000-0005-0000-0000-00005E350000}"/>
    <cellStyle name="Currency 3 3 9 2 4" xfId="28721" xr:uid="{00000000-0005-0000-0000-00005F350000}"/>
    <cellStyle name="Currency 3 3 9 3" xfId="11888" xr:uid="{00000000-0005-0000-0000-000060350000}"/>
    <cellStyle name="Currency 3 3 9 3 2" xfId="31808" xr:uid="{00000000-0005-0000-0000-000061350000}"/>
    <cellStyle name="Currency 3 3 9 4" xfId="18040" xr:uid="{00000000-0005-0000-0000-000062350000}"/>
    <cellStyle name="Currency 3 3 9 4 2" xfId="37960" xr:uid="{00000000-0005-0000-0000-000063350000}"/>
    <cellStyle name="Currency 3 3 9 5" xfId="25655" xr:uid="{00000000-0005-0000-0000-000064350000}"/>
    <cellStyle name="Currency 3 30" xfId="734" xr:uid="{00000000-0005-0000-0000-000065350000}"/>
    <cellStyle name="Currency 3 30 2" xfId="23616" xr:uid="{00000000-0005-0000-0000-000066350000}"/>
    <cellStyle name="Currency 3 31" xfId="1041" xr:uid="{00000000-0005-0000-0000-000067350000}"/>
    <cellStyle name="Currency 3 32" xfId="22699" xr:uid="{00000000-0005-0000-0000-000068350000}"/>
    <cellStyle name="Currency 3 32 2" xfId="42610" xr:uid="{00000000-0005-0000-0000-000069350000}"/>
    <cellStyle name="Currency 3 33" xfId="23002" xr:uid="{00000000-0005-0000-0000-00006A350000}"/>
    <cellStyle name="Currency 3 33 2" xfId="42913" xr:uid="{00000000-0005-0000-0000-00006B350000}"/>
    <cellStyle name="Currency 3 34" xfId="23325" xr:uid="{00000000-0005-0000-0000-00006C350000}"/>
    <cellStyle name="Currency 3 4" xfId="168" xr:uid="{00000000-0005-0000-0000-00006D350000}"/>
    <cellStyle name="Currency 3 4 2" xfId="3124" xr:uid="{00000000-0005-0000-0000-00006E350000}"/>
    <cellStyle name="Currency 3 4 2 2" xfId="4826" xr:uid="{00000000-0005-0000-0000-00006F350000}"/>
    <cellStyle name="Currency 3 4 2 2 2" xfId="6451" xr:uid="{00000000-0005-0000-0000-000070350000}"/>
    <cellStyle name="Currency 3 4 2 2 2 2" xfId="9537" xr:uid="{00000000-0005-0000-0000-000071350000}"/>
    <cellStyle name="Currency 3 4 2 2 2 2 2" xfId="15730" xr:uid="{00000000-0005-0000-0000-000072350000}"/>
    <cellStyle name="Currency 3 4 2 2 2 2 2 2" xfId="35650" xr:uid="{00000000-0005-0000-0000-000073350000}"/>
    <cellStyle name="Currency 3 4 2 2 2 2 3" xfId="21882" xr:uid="{00000000-0005-0000-0000-000074350000}"/>
    <cellStyle name="Currency 3 4 2 2 2 2 3 2" xfId="41802" xr:uid="{00000000-0005-0000-0000-000075350000}"/>
    <cellStyle name="Currency 3 4 2 2 2 2 4" xfId="29497" xr:uid="{00000000-0005-0000-0000-000076350000}"/>
    <cellStyle name="Currency 3 4 2 2 2 3" xfId="12664" xr:uid="{00000000-0005-0000-0000-000077350000}"/>
    <cellStyle name="Currency 3 4 2 2 2 3 2" xfId="32584" xr:uid="{00000000-0005-0000-0000-000078350000}"/>
    <cellStyle name="Currency 3 4 2 2 2 4" xfId="18816" xr:uid="{00000000-0005-0000-0000-000079350000}"/>
    <cellStyle name="Currency 3 4 2 2 2 4 2" xfId="38736" xr:uid="{00000000-0005-0000-0000-00007A350000}"/>
    <cellStyle name="Currency 3 4 2 2 2 5" xfId="26431" xr:uid="{00000000-0005-0000-0000-00007B350000}"/>
    <cellStyle name="Currency 3 4 2 2 3" xfId="8002" xr:uid="{00000000-0005-0000-0000-00007C350000}"/>
    <cellStyle name="Currency 3 4 2 2 3 2" xfId="14196" xr:uid="{00000000-0005-0000-0000-00007D350000}"/>
    <cellStyle name="Currency 3 4 2 2 3 2 2" xfId="34116" xr:uid="{00000000-0005-0000-0000-00007E350000}"/>
    <cellStyle name="Currency 3 4 2 2 3 3" xfId="20348" xr:uid="{00000000-0005-0000-0000-00007F350000}"/>
    <cellStyle name="Currency 3 4 2 2 3 3 2" xfId="40268" xr:uid="{00000000-0005-0000-0000-000080350000}"/>
    <cellStyle name="Currency 3 4 2 2 3 4" xfId="27963" xr:uid="{00000000-0005-0000-0000-000081350000}"/>
    <cellStyle name="Currency 3 4 2 2 4" xfId="11130" xr:uid="{00000000-0005-0000-0000-000082350000}"/>
    <cellStyle name="Currency 3 4 2 2 4 2" xfId="31050" xr:uid="{00000000-0005-0000-0000-000083350000}"/>
    <cellStyle name="Currency 3 4 2 2 5" xfId="17282" xr:uid="{00000000-0005-0000-0000-000084350000}"/>
    <cellStyle name="Currency 3 4 2 2 5 2" xfId="37202" xr:uid="{00000000-0005-0000-0000-000085350000}"/>
    <cellStyle name="Currency 3 4 2 2 6" xfId="24897" xr:uid="{00000000-0005-0000-0000-000086350000}"/>
    <cellStyle name="Currency 3 4 2 3" xfId="5667" xr:uid="{00000000-0005-0000-0000-000087350000}"/>
    <cellStyle name="Currency 3 4 2 3 2" xfId="8768" xr:uid="{00000000-0005-0000-0000-000088350000}"/>
    <cellStyle name="Currency 3 4 2 3 2 2" xfId="14961" xr:uid="{00000000-0005-0000-0000-000089350000}"/>
    <cellStyle name="Currency 3 4 2 3 2 2 2" xfId="34881" xr:uid="{00000000-0005-0000-0000-00008A350000}"/>
    <cellStyle name="Currency 3 4 2 3 2 3" xfId="21113" xr:uid="{00000000-0005-0000-0000-00008B350000}"/>
    <cellStyle name="Currency 3 4 2 3 2 3 2" xfId="41033" xr:uid="{00000000-0005-0000-0000-00008C350000}"/>
    <cellStyle name="Currency 3 4 2 3 2 4" xfId="28728" xr:uid="{00000000-0005-0000-0000-00008D350000}"/>
    <cellStyle name="Currency 3 4 2 3 3" xfId="11895" xr:uid="{00000000-0005-0000-0000-00008E350000}"/>
    <cellStyle name="Currency 3 4 2 3 3 2" xfId="31815" xr:uid="{00000000-0005-0000-0000-00008F350000}"/>
    <cellStyle name="Currency 3 4 2 3 4" xfId="18047" xr:uid="{00000000-0005-0000-0000-000090350000}"/>
    <cellStyle name="Currency 3 4 2 3 4 2" xfId="37967" xr:uid="{00000000-0005-0000-0000-000091350000}"/>
    <cellStyle name="Currency 3 4 2 3 5" xfId="25662" xr:uid="{00000000-0005-0000-0000-000092350000}"/>
    <cellStyle name="Currency 3 4 2 4" xfId="7233" xr:uid="{00000000-0005-0000-0000-000093350000}"/>
    <cellStyle name="Currency 3 4 2 4 2" xfId="13427" xr:uid="{00000000-0005-0000-0000-000094350000}"/>
    <cellStyle name="Currency 3 4 2 4 2 2" xfId="33347" xr:uid="{00000000-0005-0000-0000-000095350000}"/>
    <cellStyle name="Currency 3 4 2 4 3" xfId="19579" xr:uid="{00000000-0005-0000-0000-000096350000}"/>
    <cellStyle name="Currency 3 4 2 4 3 2" xfId="39499" xr:uid="{00000000-0005-0000-0000-000097350000}"/>
    <cellStyle name="Currency 3 4 2 4 4" xfId="27194" xr:uid="{00000000-0005-0000-0000-000098350000}"/>
    <cellStyle name="Currency 3 4 2 5" xfId="10361" xr:uid="{00000000-0005-0000-0000-000099350000}"/>
    <cellStyle name="Currency 3 4 2 5 2" xfId="30281" xr:uid="{00000000-0005-0000-0000-00009A350000}"/>
    <cellStyle name="Currency 3 4 2 6" xfId="16513" xr:uid="{00000000-0005-0000-0000-00009B350000}"/>
    <cellStyle name="Currency 3 4 2 6 2" xfId="36433" xr:uid="{00000000-0005-0000-0000-00009C350000}"/>
    <cellStyle name="Currency 3 4 2 7" xfId="24128" xr:uid="{00000000-0005-0000-0000-00009D350000}"/>
    <cellStyle name="Currency 3 4 3" xfId="4825" xr:uid="{00000000-0005-0000-0000-00009E350000}"/>
    <cellStyle name="Currency 3 4 3 2" xfId="6450" xr:uid="{00000000-0005-0000-0000-00009F350000}"/>
    <cellStyle name="Currency 3 4 3 2 2" xfId="9536" xr:uid="{00000000-0005-0000-0000-0000A0350000}"/>
    <cellStyle name="Currency 3 4 3 2 2 2" xfId="15729" xr:uid="{00000000-0005-0000-0000-0000A1350000}"/>
    <cellStyle name="Currency 3 4 3 2 2 2 2" xfId="35649" xr:uid="{00000000-0005-0000-0000-0000A2350000}"/>
    <cellStyle name="Currency 3 4 3 2 2 3" xfId="21881" xr:uid="{00000000-0005-0000-0000-0000A3350000}"/>
    <cellStyle name="Currency 3 4 3 2 2 3 2" xfId="41801" xr:uid="{00000000-0005-0000-0000-0000A4350000}"/>
    <cellStyle name="Currency 3 4 3 2 2 4" xfId="29496" xr:uid="{00000000-0005-0000-0000-0000A5350000}"/>
    <cellStyle name="Currency 3 4 3 2 3" xfId="12663" xr:uid="{00000000-0005-0000-0000-0000A6350000}"/>
    <cellStyle name="Currency 3 4 3 2 3 2" xfId="32583" xr:uid="{00000000-0005-0000-0000-0000A7350000}"/>
    <cellStyle name="Currency 3 4 3 2 4" xfId="18815" xr:uid="{00000000-0005-0000-0000-0000A8350000}"/>
    <cellStyle name="Currency 3 4 3 2 4 2" xfId="38735" xr:uid="{00000000-0005-0000-0000-0000A9350000}"/>
    <cellStyle name="Currency 3 4 3 2 5" xfId="26430" xr:uid="{00000000-0005-0000-0000-0000AA350000}"/>
    <cellStyle name="Currency 3 4 3 3" xfId="8001" xr:uid="{00000000-0005-0000-0000-0000AB350000}"/>
    <cellStyle name="Currency 3 4 3 3 2" xfId="14195" xr:uid="{00000000-0005-0000-0000-0000AC350000}"/>
    <cellStyle name="Currency 3 4 3 3 2 2" xfId="34115" xr:uid="{00000000-0005-0000-0000-0000AD350000}"/>
    <cellStyle name="Currency 3 4 3 3 3" xfId="20347" xr:uid="{00000000-0005-0000-0000-0000AE350000}"/>
    <cellStyle name="Currency 3 4 3 3 3 2" xfId="40267" xr:uid="{00000000-0005-0000-0000-0000AF350000}"/>
    <cellStyle name="Currency 3 4 3 3 4" xfId="27962" xr:uid="{00000000-0005-0000-0000-0000B0350000}"/>
    <cellStyle name="Currency 3 4 3 4" xfId="11129" xr:uid="{00000000-0005-0000-0000-0000B1350000}"/>
    <cellStyle name="Currency 3 4 3 4 2" xfId="31049" xr:uid="{00000000-0005-0000-0000-0000B2350000}"/>
    <cellStyle name="Currency 3 4 3 5" xfId="17281" xr:uid="{00000000-0005-0000-0000-0000B3350000}"/>
    <cellStyle name="Currency 3 4 3 5 2" xfId="37201" xr:uid="{00000000-0005-0000-0000-0000B4350000}"/>
    <cellStyle name="Currency 3 4 3 6" xfId="24896" xr:uid="{00000000-0005-0000-0000-0000B5350000}"/>
    <cellStyle name="Currency 3 4 4" xfId="5666" xr:uid="{00000000-0005-0000-0000-0000B6350000}"/>
    <cellStyle name="Currency 3 4 4 2" xfId="8767" xr:uid="{00000000-0005-0000-0000-0000B7350000}"/>
    <cellStyle name="Currency 3 4 4 2 2" xfId="14960" xr:uid="{00000000-0005-0000-0000-0000B8350000}"/>
    <cellStyle name="Currency 3 4 4 2 2 2" xfId="34880" xr:uid="{00000000-0005-0000-0000-0000B9350000}"/>
    <cellStyle name="Currency 3 4 4 2 3" xfId="21112" xr:uid="{00000000-0005-0000-0000-0000BA350000}"/>
    <cellStyle name="Currency 3 4 4 2 3 2" xfId="41032" xr:uid="{00000000-0005-0000-0000-0000BB350000}"/>
    <cellStyle name="Currency 3 4 4 2 4" xfId="28727" xr:uid="{00000000-0005-0000-0000-0000BC350000}"/>
    <cellStyle name="Currency 3 4 4 3" xfId="11894" xr:uid="{00000000-0005-0000-0000-0000BD350000}"/>
    <cellStyle name="Currency 3 4 4 3 2" xfId="31814" xr:uid="{00000000-0005-0000-0000-0000BE350000}"/>
    <cellStyle name="Currency 3 4 4 4" xfId="18046" xr:uid="{00000000-0005-0000-0000-0000BF350000}"/>
    <cellStyle name="Currency 3 4 4 4 2" xfId="37966" xr:uid="{00000000-0005-0000-0000-0000C0350000}"/>
    <cellStyle name="Currency 3 4 4 5" xfId="25661" xr:uid="{00000000-0005-0000-0000-0000C1350000}"/>
    <cellStyle name="Currency 3 4 5" xfId="7232" xr:uid="{00000000-0005-0000-0000-0000C2350000}"/>
    <cellStyle name="Currency 3 4 5 2" xfId="13426" xr:uid="{00000000-0005-0000-0000-0000C3350000}"/>
    <cellStyle name="Currency 3 4 5 2 2" xfId="33346" xr:uid="{00000000-0005-0000-0000-0000C4350000}"/>
    <cellStyle name="Currency 3 4 5 3" xfId="19578" xr:uid="{00000000-0005-0000-0000-0000C5350000}"/>
    <cellStyle name="Currency 3 4 5 3 2" xfId="39498" xr:uid="{00000000-0005-0000-0000-0000C6350000}"/>
    <cellStyle name="Currency 3 4 5 4" xfId="27193" xr:uid="{00000000-0005-0000-0000-0000C7350000}"/>
    <cellStyle name="Currency 3 4 6" xfId="10360" xr:uid="{00000000-0005-0000-0000-0000C8350000}"/>
    <cellStyle name="Currency 3 4 6 2" xfId="30280" xr:uid="{00000000-0005-0000-0000-0000C9350000}"/>
    <cellStyle name="Currency 3 4 7" xfId="16512" xr:uid="{00000000-0005-0000-0000-0000CA350000}"/>
    <cellStyle name="Currency 3 4 7 2" xfId="36432" xr:uid="{00000000-0005-0000-0000-0000CB350000}"/>
    <cellStyle name="Currency 3 4 8" xfId="3123" xr:uid="{00000000-0005-0000-0000-0000CC350000}"/>
    <cellStyle name="Currency 3 4 8 2" xfId="24127" xr:uid="{00000000-0005-0000-0000-0000CD350000}"/>
    <cellStyle name="Currency 3 5" xfId="194" xr:uid="{00000000-0005-0000-0000-0000CE350000}"/>
    <cellStyle name="Currency 3 5 2" xfId="3126" xr:uid="{00000000-0005-0000-0000-0000CF350000}"/>
    <cellStyle name="Currency 3 5 2 2" xfId="4828" xr:uid="{00000000-0005-0000-0000-0000D0350000}"/>
    <cellStyle name="Currency 3 5 2 2 2" xfId="6453" xr:uid="{00000000-0005-0000-0000-0000D1350000}"/>
    <cellStyle name="Currency 3 5 2 2 2 2" xfId="9539" xr:uid="{00000000-0005-0000-0000-0000D2350000}"/>
    <cellStyle name="Currency 3 5 2 2 2 2 2" xfId="15732" xr:uid="{00000000-0005-0000-0000-0000D3350000}"/>
    <cellStyle name="Currency 3 5 2 2 2 2 2 2" xfId="35652" xr:uid="{00000000-0005-0000-0000-0000D4350000}"/>
    <cellStyle name="Currency 3 5 2 2 2 2 3" xfId="21884" xr:uid="{00000000-0005-0000-0000-0000D5350000}"/>
    <cellStyle name="Currency 3 5 2 2 2 2 3 2" xfId="41804" xr:uid="{00000000-0005-0000-0000-0000D6350000}"/>
    <cellStyle name="Currency 3 5 2 2 2 2 4" xfId="29499" xr:uid="{00000000-0005-0000-0000-0000D7350000}"/>
    <cellStyle name="Currency 3 5 2 2 2 3" xfId="12666" xr:uid="{00000000-0005-0000-0000-0000D8350000}"/>
    <cellStyle name="Currency 3 5 2 2 2 3 2" xfId="32586" xr:uid="{00000000-0005-0000-0000-0000D9350000}"/>
    <cellStyle name="Currency 3 5 2 2 2 4" xfId="18818" xr:uid="{00000000-0005-0000-0000-0000DA350000}"/>
    <cellStyle name="Currency 3 5 2 2 2 4 2" xfId="38738" xr:uid="{00000000-0005-0000-0000-0000DB350000}"/>
    <cellStyle name="Currency 3 5 2 2 2 5" xfId="26433" xr:uid="{00000000-0005-0000-0000-0000DC350000}"/>
    <cellStyle name="Currency 3 5 2 2 3" xfId="8004" xr:uid="{00000000-0005-0000-0000-0000DD350000}"/>
    <cellStyle name="Currency 3 5 2 2 3 2" xfId="14198" xr:uid="{00000000-0005-0000-0000-0000DE350000}"/>
    <cellStyle name="Currency 3 5 2 2 3 2 2" xfId="34118" xr:uid="{00000000-0005-0000-0000-0000DF350000}"/>
    <cellStyle name="Currency 3 5 2 2 3 3" xfId="20350" xr:uid="{00000000-0005-0000-0000-0000E0350000}"/>
    <cellStyle name="Currency 3 5 2 2 3 3 2" xfId="40270" xr:uid="{00000000-0005-0000-0000-0000E1350000}"/>
    <cellStyle name="Currency 3 5 2 2 3 4" xfId="27965" xr:uid="{00000000-0005-0000-0000-0000E2350000}"/>
    <cellStyle name="Currency 3 5 2 2 4" xfId="11132" xr:uid="{00000000-0005-0000-0000-0000E3350000}"/>
    <cellStyle name="Currency 3 5 2 2 4 2" xfId="31052" xr:uid="{00000000-0005-0000-0000-0000E4350000}"/>
    <cellStyle name="Currency 3 5 2 2 5" xfId="17284" xr:uid="{00000000-0005-0000-0000-0000E5350000}"/>
    <cellStyle name="Currency 3 5 2 2 5 2" xfId="37204" xr:uid="{00000000-0005-0000-0000-0000E6350000}"/>
    <cellStyle name="Currency 3 5 2 2 6" xfId="24899" xr:uid="{00000000-0005-0000-0000-0000E7350000}"/>
    <cellStyle name="Currency 3 5 2 3" xfId="5669" xr:uid="{00000000-0005-0000-0000-0000E8350000}"/>
    <cellStyle name="Currency 3 5 2 3 2" xfId="8770" xr:uid="{00000000-0005-0000-0000-0000E9350000}"/>
    <cellStyle name="Currency 3 5 2 3 2 2" xfId="14963" xr:uid="{00000000-0005-0000-0000-0000EA350000}"/>
    <cellStyle name="Currency 3 5 2 3 2 2 2" xfId="34883" xr:uid="{00000000-0005-0000-0000-0000EB350000}"/>
    <cellStyle name="Currency 3 5 2 3 2 3" xfId="21115" xr:uid="{00000000-0005-0000-0000-0000EC350000}"/>
    <cellStyle name="Currency 3 5 2 3 2 3 2" xfId="41035" xr:uid="{00000000-0005-0000-0000-0000ED350000}"/>
    <cellStyle name="Currency 3 5 2 3 2 4" xfId="28730" xr:uid="{00000000-0005-0000-0000-0000EE350000}"/>
    <cellStyle name="Currency 3 5 2 3 3" xfId="11897" xr:uid="{00000000-0005-0000-0000-0000EF350000}"/>
    <cellStyle name="Currency 3 5 2 3 3 2" xfId="31817" xr:uid="{00000000-0005-0000-0000-0000F0350000}"/>
    <cellStyle name="Currency 3 5 2 3 4" xfId="18049" xr:uid="{00000000-0005-0000-0000-0000F1350000}"/>
    <cellStyle name="Currency 3 5 2 3 4 2" xfId="37969" xr:uid="{00000000-0005-0000-0000-0000F2350000}"/>
    <cellStyle name="Currency 3 5 2 3 5" xfId="25664" xr:uid="{00000000-0005-0000-0000-0000F3350000}"/>
    <cellStyle name="Currency 3 5 2 4" xfId="7235" xr:uid="{00000000-0005-0000-0000-0000F4350000}"/>
    <cellStyle name="Currency 3 5 2 4 2" xfId="13429" xr:uid="{00000000-0005-0000-0000-0000F5350000}"/>
    <cellStyle name="Currency 3 5 2 4 2 2" xfId="33349" xr:uid="{00000000-0005-0000-0000-0000F6350000}"/>
    <cellStyle name="Currency 3 5 2 4 3" xfId="19581" xr:uid="{00000000-0005-0000-0000-0000F7350000}"/>
    <cellStyle name="Currency 3 5 2 4 3 2" xfId="39501" xr:uid="{00000000-0005-0000-0000-0000F8350000}"/>
    <cellStyle name="Currency 3 5 2 4 4" xfId="27196" xr:uid="{00000000-0005-0000-0000-0000F9350000}"/>
    <cellStyle name="Currency 3 5 2 5" xfId="10363" xr:uid="{00000000-0005-0000-0000-0000FA350000}"/>
    <cellStyle name="Currency 3 5 2 5 2" xfId="30283" xr:uid="{00000000-0005-0000-0000-0000FB350000}"/>
    <cellStyle name="Currency 3 5 2 6" xfId="16515" xr:uid="{00000000-0005-0000-0000-0000FC350000}"/>
    <cellStyle name="Currency 3 5 2 6 2" xfId="36435" xr:uid="{00000000-0005-0000-0000-0000FD350000}"/>
    <cellStyle name="Currency 3 5 2 7" xfId="24130" xr:uid="{00000000-0005-0000-0000-0000FE350000}"/>
    <cellStyle name="Currency 3 5 3" xfId="4827" xr:uid="{00000000-0005-0000-0000-0000FF350000}"/>
    <cellStyle name="Currency 3 5 3 2" xfId="6452" xr:uid="{00000000-0005-0000-0000-000000360000}"/>
    <cellStyle name="Currency 3 5 3 2 2" xfId="9538" xr:uid="{00000000-0005-0000-0000-000001360000}"/>
    <cellStyle name="Currency 3 5 3 2 2 2" xfId="15731" xr:uid="{00000000-0005-0000-0000-000002360000}"/>
    <cellStyle name="Currency 3 5 3 2 2 2 2" xfId="35651" xr:uid="{00000000-0005-0000-0000-000003360000}"/>
    <cellStyle name="Currency 3 5 3 2 2 3" xfId="21883" xr:uid="{00000000-0005-0000-0000-000004360000}"/>
    <cellStyle name="Currency 3 5 3 2 2 3 2" xfId="41803" xr:uid="{00000000-0005-0000-0000-000005360000}"/>
    <cellStyle name="Currency 3 5 3 2 2 4" xfId="29498" xr:uid="{00000000-0005-0000-0000-000006360000}"/>
    <cellStyle name="Currency 3 5 3 2 3" xfId="12665" xr:uid="{00000000-0005-0000-0000-000007360000}"/>
    <cellStyle name="Currency 3 5 3 2 3 2" xfId="32585" xr:uid="{00000000-0005-0000-0000-000008360000}"/>
    <cellStyle name="Currency 3 5 3 2 4" xfId="18817" xr:uid="{00000000-0005-0000-0000-000009360000}"/>
    <cellStyle name="Currency 3 5 3 2 4 2" xfId="38737" xr:uid="{00000000-0005-0000-0000-00000A360000}"/>
    <cellStyle name="Currency 3 5 3 2 5" xfId="26432" xr:uid="{00000000-0005-0000-0000-00000B360000}"/>
    <cellStyle name="Currency 3 5 3 3" xfId="8003" xr:uid="{00000000-0005-0000-0000-00000C360000}"/>
    <cellStyle name="Currency 3 5 3 3 2" xfId="14197" xr:uid="{00000000-0005-0000-0000-00000D360000}"/>
    <cellStyle name="Currency 3 5 3 3 2 2" xfId="34117" xr:uid="{00000000-0005-0000-0000-00000E360000}"/>
    <cellStyle name="Currency 3 5 3 3 3" xfId="20349" xr:uid="{00000000-0005-0000-0000-00000F360000}"/>
    <cellStyle name="Currency 3 5 3 3 3 2" xfId="40269" xr:uid="{00000000-0005-0000-0000-000010360000}"/>
    <cellStyle name="Currency 3 5 3 3 4" xfId="27964" xr:uid="{00000000-0005-0000-0000-000011360000}"/>
    <cellStyle name="Currency 3 5 3 4" xfId="11131" xr:uid="{00000000-0005-0000-0000-000012360000}"/>
    <cellStyle name="Currency 3 5 3 4 2" xfId="31051" xr:uid="{00000000-0005-0000-0000-000013360000}"/>
    <cellStyle name="Currency 3 5 3 5" xfId="17283" xr:uid="{00000000-0005-0000-0000-000014360000}"/>
    <cellStyle name="Currency 3 5 3 5 2" xfId="37203" xr:uid="{00000000-0005-0000-0000-000015360000}"/>
    <cellStyle name="Currency 3 5 3 6" xfId="24898" xr:uid="{00000000-0005-0000-0000-000016360000}"/>
    <cellStyle name="Currency 3 5 4" xfId="5668" xr:uid="{00000000-0005-0000-0000-000017360000}"/>
    <cellStyle name="Currency 3 5 4 2" xfId="8769" xr:uid="{00000000-0005-0000-0000-000018360000}"/>
    <cellStyle name="Currency 3 5 4 2 2" xfId="14962" xr:uid="{00000000-0005-0000-0000-000019360000}"/>
    <cellStyle name="Currency 3 5 4 2 2 2" xfId="34882" xr:uid="{00000000-0005-0000-0000-00001A360000}"/>
    <cellStyle name="Currency 3 5 4 2 3" xfId="21114" xr:uid="{00000000-0005-0000-0000-00001B360000}"/>
    <cellStyle name="Currency 3 5 4 2 3 2" xfId="41034" xr:uid="{00000000-0005-0000-0000-00001C360000}"/>
    <cellStyle name="Currency 3 5 4 2 4" xfId="28729" xr:uid="{00000000-0005-0000-0000-00001D360000}"/>
    <cellStyle name="Currency 3 5 4 3" xfId="11896" xr:uid="{00000000-0005-0000-0000-00001E360000}"/>
    <cellStyle name="Currency 3 5 4 3 2" xfId="31816" xr:uid="{00000000-0005-0000-0000-00001F360000}"/>
    <cellStyle name="Currency 3 5 4 4" xfId="18048" xr:uid="{00000000-0005-0000-0000-000020360000}"/>
    <cellStyle name="Currency 3 5 4 4 2" xfId="37968" xr:uid="{00000000-0005-0000-0000-000021360000}"/>
    <cellStyle name="Currency 3 5 4 5" xfId="25663" xr:uid="{00000000-0005-0000-0000-000022360000}"/>
    <cellStyle name="Currency 3 5 5" xfId="7234" xr:uid="{00000000-0005-0000-0000-000023360000}"/>
    <cellStyle name="Currency 3 5 5 2" xfId="13428" xr:uid="{00000000-0005-0000-0000-000024360000}"/>
    <cellStyle name="Currency 3 5 5 2 2" xfId="33348" xr:uid="{00000000-0005-0000-0000-000025360000}"/>
    <cellStyle name="Currency 3 5 5 3" xfId="19580" xr:uid="{00000000-0005-0000-0000-000026360000}"/>
    <cellStyle name="Currency 3 5 5 3 2" xfId="39500" xr:uid="{00000000-0005-0000-0000-000027360000}"/>
    <cellStyle name="Currency 3 5 5 4" xfId="27195" xr:uid="{00000000-0005-0000-0000-000028360000}"/>
    <cellStyle name="Currency 3 5 6" xfId="10362" xr:uid="{00000000-0005-0000-0000-000029360000}"/>
    <cellStyle name="Currency 3 5 6 2" xfId="30282" xr:uid="{00000000-0005-0000-0000-00002A360000}"/>
    <cellStyle name="Currency 3 5 7" xfId="16514" xr:uid="{00000000-0005-0000-0000-00002B360000}"/>
    <cellStyle name="Currency 3 5 7 2" xfId="36434" xr:uid="{00000000-0005-0000-0000-00002C360000}"/>
    <cellStyle name="Currency 3 5 8" xfId="3125" xr:uid="{00000000-0005-0000-0000-00002D360000}"/>
    <cellStyle name="Currency 3 5 8 2" xfId="24129" xr:uid="{00000000-0005-0000-0000-00002E360000}"/>
    <cellStyle name="Currency 3 6" xfId="185" xr:uid="{00000000-0005-0000-0000-00002F360000}"/>
    <cellStyle name="Currency 3 6 2" xfId="3128" xr:uid="{00000000-0005-0000-0000-000030360000}"/>
    <cellStyle name="Currency 3 6 2 2" xfId="4830" xr:uid="{00000000-0005-0000-0000-000031360000}"/>
    <cellStyle name="Currency 3 6 2 2 2" xfId="6455" xr:uid="{00000000-0005-0000-0000-000032360000}"/>
    <cellStyle name="Currency 3 6 2 2 2 2" xfId="9541" xr:uid="{00000000-0005-0000-0000-000033360000}"/>
    <cellStyle name="Currency 3 6 2 2 2 2 2" xfId="15734" xr:uid="{00000000-0005-0000-0000-000034360000}"/>
    <cellStyle name="Currency 3 6 2 2 2 2 2 2" xfId="35654" xr:uid="{00000000-0005-0000-0000-000035360000}"/>
    <cellStyle name="Currency 3 6 2 2 2 2 3" xfId="21886" xr:uid="{00000000-0005-0000-0000-000036360000}"/>
    <cellStyle name="Currency 3 6 2 2 2 2 3 2" xfId="41806" xr:uid="{00000000-0005-0000-0000-000037360000}"/>
    <cellStyle name="Currency 3 6 2 2 2 2 4" xfId="29501" xr:uid="{00000000-0005-0000-0000-000038360000}"/>
    <cellStyle name="Currency 3 6 2 2 2 3" xfId="12668" xr:uid="{00000000-0005-0000-0000-000039360000}"/>
    <cellStyle name="Currency 3 6 2 2 2 3 2" xfId="32588" xr:uid="{00000000-0005-0000-0000-00003A360000}"/>
    <cellStyle name="Currency 3 6 2 2 2 4" xfId="18820" xr:uid="{00000000-0005-0000-0000-00003B360000}"/>
    <cellStyle name="Currency 3 6 2 2 2 4 2" xfId="38740" xr:uid="{00000000-0005-0000-0000-00003C360000}"/>
    <cellStyle name="Currency 3 6 2 2 2 5" xfId="26435" xr:uid="{00000000-0005-0000-0000-00003D360000}"/>
    <cellStyle name="Currency 3 6 2 2 3" xfId="8006" xr:uid="{00000000-0005-0000-0000-00003E360000}"/>
    <cellStyle name="Currency 3 6 2 2 3 2" xfId="14200" xr:uid="{00000000-0005-0000-0000-00003F360000}"/>
    <cellStyle name="Currency 3 6 2 2 3 2 2" xfId="34120" xr:uid="{00000000-0005-0000-0000-000040360000}"/>
    <cellStyle name="Currency 3 6 2 2 3 3" xfId="20352" xr:uid="{00000000-0005-0000-0000-000041360000}"/>
    <cellStyle name="Currency 3 6 2 2 3 3 2" xfId="40272" xr:uid="{00000000-0005-0000-0000-000042360000}"/>
    <cellStyle name="Currency 3 6 2 2 3 4" xfId="27967" xr:uid="{00000000-0005-0000-0000-000043360000}"/>
    <cellStyle name="Currency 3 6 2 2 4" xfId="11134" xr:uid="{00000000-0005-0000-0000-000044360000}"/>
    <cellStyle name="Currency 3 6 2 2 4 2" xfId="31054" xr:uid="{00000000-0005-0000-0000-000045360000}"/>
    <cellStyle name="Currency 3 6 2 2 5" xfId="17286" xr:uid="{00000000-0005-0000-0000-000046360000}"/>
    <cellStyle name="Currency 3 6 2 2 5 2" xfId="37206" xr:uid="{00000000-0005-0000-0000-000047360000}"/>
    <cellStyle name="Currency 3 6 2 2 6" xfId="24901" xr:uid="{00000000-0005-0000-0000-000048360000}"/>
    <cellStyle name="Currency 3 6 2 3" xfId="5671" xr:uid="{00000000-0005-0000-0000-000049360000}"/>
    <cellStyle name="Currency 3 6 2 3 2" xfId="8772" xr:uid="{00000000-0005-0000-0000-00004A360000}"/>
    <cellStyle name="Currency 3 6 2 3 2 2" xfId="14965" xr:uid="{00000000-0005-0000-0000-00004B360000}"/>
    <cellStyle name="Currency 3 6 2 3 2 2 2" xfId="34885" xr:uid="{00000000-0005-0000-0000-00004C360000}"/>
    <cellStyle name="Currency 3 6 2 3 2 3" xfId="21117" xr:uid="{00000000-0005-0000-0000-00004D360000}"/>
    <cellStyle name="Currency 3 6 2 3 2 3 2" xfId="41037" xr:uid="{00000000-0005-0000-0000-00004E360000}"/>
    <cellStyle name="Currency 3 6 2 3 2 4" xfId="28732" xr:uid="{00000000-0005-0000-0000-00004F360000}"/>
    <cellStyle name="Currency 3 6 2 3 3" xfId="11899" xr:uid="{00000000-0005-0000-0000-000050360000}"/>
    <cellStyle name="Currency 3 6 2 3 3 2" xfId="31819" xr:uid="{00000000-0005-0000-0000-000051360000}"/>
    <cellStyle name="Currency 3 6 2 3 4" xfId="18051" xr:uid="{00000000-0005-0000-0000-000052360000}"/>
    <cellStyle name="Currency 3 6 2 3 4 2" xfId="37971" xr:uid="{00000000-0005-0000-0000-000053360000}"/>
    <cellStyle name="Currency 3 6 2 3 5" xfId="25666" xr:uid="{00000000-0005-0000-0000-000054360000}"/>
    <cellStyle name="Currency 3 6 2 4" xfId="7237" xr:uid="{00000000-0005-0000-0000-000055360000}"/>
    <cellStyle name="Currency 3 6 2 4 2" xfId="13431" xr:uid="{00000000-0005-0000-0000-000056360000}"/>
    <cellStyle name="Currency 3 6 2 4 2 2" xfId="33351" xr:uid="{00000000-0005-0000-0000-000057360000}"/>
    <cellStyle name="Currency 3 6 2 4 3" xfId="19583" xr:uid="{00000000-0005-0000-0000-000058360000}"/>
    <cellStyle name="Currency 3 6 2 4 3 2" xfId="39503" xr:uid="{00000000-0005-0000-0000-000059360000}"/>
    <cellStyle name="Currency 3 6 2 4 4" xfId="27198" xr:uid="{00000000-0005-0000-0000-00005A360000}"/>
    <cellStyle name="Currency 3 6 2 5" xfId="10365" xr:uid="{00000000-0005-0000-0000-00005B360000}"/>
    <cellStyle name="Currency 3 6 2 5 2" xfId="30285" xr:uid="{00000000-0005-0000-0000-00005C360000}"/>
    <cellStyle name="Currency 3 6 2 6" xfId="16517" xr:uid="{00000000-0005-0000-0000-00005D360000}"/>
    <cellStyle name="Currency 3 6 2 6 2" xfId="36437" xr:uid="{00000000-0005-0000-0000-00005E360000}"/>
    <cellStyle name="Currency 3 6 2 7" xfId="24132" xr:uid="{00000000-0005-0000-0000-00005F360000}"/>
    <cellStyle name="Currency 3 6 3" xfId="4829" xr:uid="{00000000-0005-0000-0000-000060360000}"/>
    <cellStyle name="Currency 3 6 3 2" xfId="6454" xr:uid="{00000000-0005-0000-0000-000061360000}"/>
    <cellStyle name="Currency 3 6 3 2 2" xfId="9540" xr:uid="{00000000-0005-0000-0000-000062360000}"/>
    <cellStyle name="Currency 3 6 3 2 2 2" xfId="15733" xr:uid="{00000000-0005-0000-0000-000063360000}"/>
    <cellStyle name="Currency 3 6 3 2 2 2 2" xfId="35653" xr:uid="{00000000-0005-0000-0000-000064360000}"/>
    <cellStyle name="Currency 3 6 3 2 2 3" xfId="21885" xr:uid="{00000000-0005-0000-0000-000065360000}"/>
    <cellStyle name="Currency 3 6 3 2 2 3 2" xfId="41805" xr:uid="{00000000-0005-0000-0000-000066360000}"/>
    <cellStyle name="Currency 3 6 3 2 2 4" xfId="29500" xr:uid="{00000000-0005-0000-0000-000067360000}"/>
    <cellStyle name="Currency 3 6 3 2 3" xfId="12667" xr:uid="{00000000-0005-0000-0000-000068360000}"/>
    <cellStyle name="Currency 3 6 3 2 3 2" xfId="32587" xr:uid="{00000000-0005-0000-0000-000069360000}"/>
    <cellStyle name="Currency 3 6 3 2 4" xfId="18819" xr:uid="{00000000-0005-0000-0000-00006A360000}"/>
    <cellStyle name="Currency 3 6 3 2 4 2" xfId="38739" xr:uid="{00000000-0005-0000-0000-00006B360000}"/>
    <cellStyle name="Currency 3 6 3 2 5" xfId="26434" xr:uid="{00000000-0005-0000-0000-00006C360000}"/>
    <cellStyle name="Currency 3 6 3 3" xfId="8005" xr:uid="{00000000-0005-0000-0000-00006D360000}"/>
    <cellStyle name="Currency 3 6 3 3 2" xfId="14199" xr:uid="{00000000-0005-0000-0000-00006E360000}"/>
    <cellStyle name="Currency 3 6 3 3 2 2" xfId="34119" xr:uid="{00000000-0005-0000-0000-00006F360000}"/>
    <cellStyle name="Currency 3 6 3 3 3" xfId="20351" xr:uid="{00000000-0005-0000-0000-000070360000}"/>
    <cellStyle name="Currency 3 6 3 3 3 2" xfId="40271" xr:uid="{00000000-0005-0000-0000-000071360000}"/>
    <cellStyle name="Currency 3 6 3 3 4" xfId="27966" xr:uid="{00000000-0005-0000-0000-000072360000}"/>
    <cellStyle name="Currency 3 6 3 4" xfId="11133" xr:uid="{00000000-0005-0000-0000-000073360000}"/>
    <cellStyle name="Currency 3 6 3 4 2" xfId="31053" xr:uid="{00000000-0005-0000-0000-000074360000}"/>
    <cellStyle name="Currency 3 6 3 5" xfId="17285" xr:uid="{00000000-0005-0000-0000-000075360000}"/>
    <cellStyle name="Currency 3 6 3 5 2" xfId="37205" xr:uid="{00000000-0005-0000-0000-000076360000}"/>
    <cellStyle name="Currency 3 6 3 6" xfId="24900" xr:uid="{00000000-0005-0000-0000-000077360000}"/>
    <cellStyle name="Currency 3 6 4" xfId="5670" xr:uid="{00000000-0005-0000-0000-000078360000}"/>
    <cellStyle name="Currency 3 6 4 2" xfId="8771" xr:uid="{00000000-0005-0000-0000-000079360000}"/>
    <cellStyle name="Currency 3 6 4 2 2" xfId="14964" xr:uid="{00000000-0005-0000-0000-00007A360000}"/>
    <cellStyle name="Currency 3 6 4 2 2 2" xfId="34884" xr:uid="{00000000-0005-0000-0000-00007B360000}"/>
    <cellStyle name="Currency 3 6 4 2 3" xfId="21116" xr:uid="{00000000-0005-0000-0000-00007C360000}"/>
    <cellStyle name="Currency 3 6 4 2 3 2" xfId="41036" xr:uid="{00000000-0005-0000-0000-00007D360000}"/>
    <cellStyle name="Currency 3 6 4 2 4" xfId="28731" xr:uid="{00000000-0005-0000-0000-00007E360000}"/>
    <cellStyle name="Currency 3 6 4 3" xfId="11898" xr:uid="{00000000-0005-0000-0000-00007F360000}"/>
    <cellStyle name="Currency 3 6 4 3 2" xfId="31818" xr:uid="{00000000-0005-0000-0000-000080360000}"/>
    <cellStyle name="Currency 3 6 4 4" xfId="18050" xr:uid="{00000000-0005-0000-0000-000081360000}"/>
    <cellStyle name="Currency 3 6 4 4 2" xfId="37970" xr:uid="{00000000-0005-0000-0000-000082360000}"/>
    <cellStyle name="Currency 3 6 4 5" xfId="25665" xr:uid="{00000000-0005-0000-0000-000083360000}"/>
    <cellStyle name="Currency 3 6 5" xfId="7236" xr:uid="{00000000-0005-0000-0000-000084360000}"/>
    <cellStyle name="Currency 3 6 5 2" xfId="13430" xr:uid="{00000000-0005-0000-0000-000085360000}"/>
    <cellStyle name="Currency 3 6 5 2 2" xfId="33350" xr:uid="{00000000-0005-0000-0000-000086360000}"/>
    <cellStyle name="Currency 3 6 5 3" xfId="19582" xr:uid="{00000000-0005-0000-0000-000087360000}"/>
    <cellStyle name="Currency 3 6 5 3 2" xfId="39502" xr:uid="{00000000-0005-0000-0000-000088360000}"/>
    <cellStyle name="Currency 3 6 5 4" xfId="27197" xr:uid="{00000000-0005-0000-0000-000089360000}"/>
    <cellStyle name="Currency 3 6 6" xfId="10364" xr:uid="{00000000-0005-0000-0000-00008A360000}"/>
    <cellStyle name="Currency 3 6 6 2" xfId="30284" xr:uid="{00000000-0005-0000-0000-00008B360000}"/>
    <cellStyle name="Currency 3 6 7" xfId="16516" xr:uid="{00000000-0005-0000-0000-00008C360000}"/>
    <cellStyle name="Currency 3 6 7 2" xfId="36436" xr:uid="{00000000-0005-0000-0000-00008D360000}"/>
    <cellStyle name="Currency 3 6 8" xfId="3127" xr:uid="{00000000-0005-0000-0000-00008E360000}"/>
    <cellStyle name="Currency 3 6 8 2" xfId="24131" xr:uid="{00000000-0005-0000-0000-00008F360000}"/>
    <cellStyle name="Currency 3 7" xfId="223" xr:uid="{00000000-0005-0000-0000-000090360000}"/>
    <cellStyle name="Currency 3 7 2" xfId="4831" xr:uid="{00000000-0005-0000-0000-000091360000}"/>
    <cellStyle name="Currency 3 7 2 2" xfId="6456" xr:uid="{00000000-0005-0000-0000-000092360000}"/>
    <cellStyle name="Currency 3 7 2 2 2" xfId="9542" xr:uid="{00000000-0005-0000-0000-000093360000}"/>
    <cellStyle name="Currency 3 7 2 2 2 2" xfId="15735" xr:uid="{00000000-0005-0000-0000-000094360000}"/>
    <cellStyle name="Currency 3 7 2 2 2 2 2" xfId="35655" xr:uid="{00000000-0005-0000-0000-000095360000}"/>
    <cellStyle name="Currency 3 7 2 2 2 3" xfId="21887" xr:uid="{00000000-0005-0000-0000-000096360000}"/>
    <cellStyle name="Currency 3 7 2 2 2 3 2" xfId="41807" xr:uid="{00000000-0005-0000-0000-000097360000}"/>
    <cellStyle name="Currency 3 7 2 2 2 4" xfId="29502" xr:uid="{00000000-0005-0000-0000-000098360000}"/>
    <cellStyle name="Currency 3 7 2 2 3" xfId="12669" xr:uid="{00000000-0005-0000-0000-000099360000}"/>
    <cellStyle name="Currency 3 7 2 2 3 2" xfId="32589" xr:uid="{00000000-0005-0000-0000-00009A360000}"/>
    <cellStyle name="Currency 3 7 2 2 4" xfId="18821" xr:uid="{00000000-0005-0000-0000-00009B360000}"/>
    <cellStyle name="Currency 3 7 2 2 4 2" xfId="38741" xr:uid="{00000000-0005-0000-0000-00009C360000}"/>
    <cellStyle name="Currency 3 7 2 2 5" xfId="26436" xr:uid="{00000000-0005-0000-0000-00009D360000}"/>
    <cellStyle name="Currency 3 7 2 3" xfId="8007" xr:uid="{00000000-0005-0000-0000-00009E360000}"/>
    <cellStyle name="Currency 3 7 2 3 2" xfId="14201" xr:uid="{00000000-0005-0000-0000-00009F360000}"/>
    <cellStyle name="Currency 3 7 2 3 2 2" xfId="34121" xr:uid="{00000000-0005-0000-0000-0000A0360000}"/>
    <cellStyle name="Currency 3 7 2 3 3" xfId="20353" xr:uid="{00000000-0005-0000-0000-0000A1360000}"/>
    <cellStyle name="Currency 3 7 2 3 3 2" xfId="40273" xr:uid="{00000000-0005-0000-0000-0000A2360000}"/>
    <cellStyle name="Currency 3 7 2 3 4" xfId="27968" xr:uid="{00000000-0005-0000-0000-0000A3360000}"/>
    <cellStyle name="Currency 3 7 2 4" xfId="11135" xr:uid="{00000000-0005-0000-0000-0000A4360000}"/>
    <cellStyle name="Currency 3 7 2 4 2" xfId="31055" xr:uid="{00000000-0005-0000-0000-0000A5360000}"/>
    <cellStyle name="Currency 3 7 2 5" xfId="17287" xr:uid="{00000000-0005-0000-0000-0000A6360000}"/>
    <cellStyle name="Currency 3 7 2 5 2" xfId="37207" xr:uid="{00000000-0005-0000-0000-0000A7360000}"/>
    <cellStyle name="Currency 3 7 2 6" xfId="24902" xr:uid="{00000000-0005-0000-0000-0000A8360000}"/>
    <cellStyle name="Currency 3 7 3" xfId="5672" xr:uid="{00000000-0005-0000-0000-0000A9360000}"/>
    <cellStyle name="Currency 3 7 3 2" xfId="8773" xr:uid="{00000000-0005-0000-0000-0000AA360000}"/>
    <cellStyle name="Currency 3 7 3 2 2" xfId="14966" xr:uid="{00000000-0005-0000-0000-0000AB360000}"/>
    <cellStyle name="Currency 3 7 3 2 2 2" xfId="34886" xr:uid="{00000000-0005-0000-0000-0000AC360000}"/>
    <cellStyle name="Currency 3 7 3 2 3" xfId="21118" xr:uid="{00000000-0005-0000-0000-0000AD360000}"/>
    <cellStyle name="Currency 3 7 3 2 3 2" xfId="41038" xr:uid="{00000000-0005-0000-0000-0000AE360000}"/>
    <cellStyle name="Currency 3 7 3 2 4" xfId="28733" xr:uid="{00000000-0005-0000-0000-0000AF360000}"/>
    <cellStyle name="Currency 3 7 3 3" xfId="11900" xr:uid="{00000000-0005-0000-0000-0000B0360000}"/>
    <cellStyle name="Currency 3 7 3 3 2" xfId="31820" xr:uid="{00000000-0005-0000-0000-0000B1360000}"/>
    <cellStyle name="Currency 3 7 3 4" xfId="18052" xr:uid="{00000000-0005-0000-0000-0000B2360000}"/>
    <cellStyle name="Currency 3 7 3 4 2" xfId="37972" xr:uid="{00000000-0005-0000-0000-0000B3360000}"/>
    <cellStyle name="Currency 3 7 3 5" xfId="25667" xr:uid="{00000000-0005-0000-0000-0000B4360000}"/>
    <cellStyle name="Currency 3 7 4" xfId="7238" xr:uid="{00000000-0005-0000-0000-0000B5360000}"/>
    <cellStyle name="Currency 3 7 4 2" xfId="13432" xr:uid="{00000000-0005-0000-0000-0000B6360000}"/>
    <cellStyle name="Currency 3 7 4 2 2" xfId="33352" xr:uid="{00000000-0005-0000-0000-0000B7360000}"/>
    <cellStyle name="Currency 3 7 4 3" xfId="19584" xr:uid="{00000000-0005-0000-0000-0000B8360000}"/>
    <cellStyle name="Currency 3 7 4 3 2" xfId="39504" xr:uid="{00000000-0005-0000-0000-0000B9360000}"/>
    <cellStyle name="Currency 3 7 4 4" xfId="27199" xr:uid="{00000000-0005-0000-0000-0000BA360000}"/>
    <cellStyle name="Currency 3 7 5" xfId="10366" xr:uid="{00000000-0005-0000-0000-0000BB360000}"/>
    <cellStyle name="Currency 3 7 5 2" xfId="30286" xr:uid="{00000000-0005-0000-0000-0000BC360000}"/>
    <cellStyle name="Currency 3 7 6" xfId="16518" xr:uid="{00000000-0005-0000-0000-0000BD360000}"/>
    <cellStyle name="Currency 3 7 6 2" xfId="36438" xr:uid="{00000000-0005-0000-0000-0000BE360000}"/>
    <cellStyle name="Currency 3 7 7" xfId="3129" xr:uid="{00000000-0005-0000-0000-0000BF360000}"/>
    <cellStyle name="Currency 3 7 7 2" xfId="24133" xr:uid="{00000000-0005-0000-0000-0000C0360000}"/>
    <cellStyle name="Currency 3 8" xfId="191" xr:uid="{00000000-0005-0000-0000-0000C1360000}"/>
    <cellStyle name="Currency 3 8 2" xfId="4832" xr:uid="{00000000-0005-0000-0000-0000C2360000}"/>
    <cellStyle name="Currency 3 8 2 2" xfId="6457" xr:uid="{00000000-0005-0000-0000-0000C3360000}"/>
    <cellStyle name="Currency 3 8 2 2 2" xfId="9543" xr:uid="{00000000-0005-0000-0000-0000C4360000}"/>
    <cellStyle name="Currency 3 8 2 2 2 2" xfId="15736" xr:uid="{00000000-0005-0000-0000-0000C5360000}"/>
    <cellStyle name="Currency 3 8 2 2 2 2 2" xfId="35656" xr:uid="{00000000-0005-0000-0000-0000C6360000}"/>
    <cellStyle name="Currency 3 8 2 2 2 3" xfId="21888" xr:uid="{00000000-0005-0000-0000-0000C7360000}"/>
    <cellStyle name="Currency 3 8 2 2 2 3 2" xfId="41808" xr:uid="{00000000-0005-0000-0000-0000C8360000}"/>
    <cellStyle name="Currency 3 8 2 2 2 4" xfId="29503" xr:uid="{00000000-0005-0000-0000-0000C9360000}"/>
    <cellStyle name="Currency 3 8 2 2 3" xfId="12670" xr:uid="{00000000-0005-0000-0000-0000CA360000}"/>
    <cellStyle name="Currency 3 8 2 2 3 2" xfId="32590" xr:uid="{00000000-0005-0000-0000-0000CB360000}"/>
    <cellStyle name="Currency 3 8 2 2 4" xfId="18822" xr:uid="{00000000-0005-0000-0000-0000CC360000}"/>
    <cellStyle name="Currency 3 8 2 2 4 2" xfId="38742" xr:uid="{00000000-0005-0000-0000-0000CD360000}"/>
    <cellStyle name="Currency 3 8 2 2 5" xfId="26437" xr:uid="{00000000-0005-0000-0000-0000CE360000}"/>
    <cellStyle name="Currency 3 8 2 3" xfId="8008" xr:uid="{00000000-0005-0000-0000-0000CF360000}"/>
    <cellStyle name="Currency 3 8 2 3 2" xfId="14202" xr:uid="{00000000-0005-0000-0000-0000D0360000}"/>
    <cellStyle name="Currency 3 8 2 3 2 2" xfId="34122" xr:uid="{00000000-0005-0000-0000-0000D1360000}"/>
    <cellStyle name="Currency 3 8 2 3 3" xfId="20354" xr:uid="{00000000-0005-0000-0000-0000D2360000}"/>
    <cellStyle name="Currency 3 8 2 3 3 2" xfId="40274" xr:uid="{00000000-0005-0000-0000-0000D3360000}"/>
    <cellStyle name="Currency 3 8 2 3 4" xfId="27969" xr:uid="{00000000-0005-0000-0000-0000D4360000}"/>
    <cellStyle name="Currency 3 8 2 4" xfId="11136" xr:uid="{00000000-0005-0000-0000-0000D5360000}"/>
    <cellStyle name="Currency 3 8 2 4 2" xfId="31056" xr:uid="{00000000-0005-0000-0000-0000D6360000}"/>
    <cellStyle name="Currency 3 8 2 5" xfId="17288" xr:uid="{00000000-0005-0000-0000-0000D7360000}"/>
    <cellStyle name="Currency 3 8 2 5 2" xfId="37208" xr:uid="{00000000-0005-0000-0000-0000D8360000}"/>
    <cellStyle name="Currency 3 8 2 6" xfId="24903" xr:uid="{00000000-0005-0000-0000-0000D9360000}"/>
    <cellStyle name="Currency 3 8 3" xfId="5673" xr:uid="{00000000-0005-0000-0000-0000DA360000}"/>
    <cellStyle name="Currency 3 8 3 2" xfId="8774" xr:uid="{00000000-0005-0000-0000-0000DB360000}"/>
    <cellStyle name="Currency 3 8 3 2 2" xfId="14967" xr:uid="{00000000-0005-0000-0000-0000DC360000}"/>
    <cellStyle name="Currency 3 8 3 2 2 2" xfId="34887" xr:uid="{00000000-0005-0000-0000-0000DD360000}"/>
    <cellStyle name="Currency 3 8 3 2 3" xfId="21119" xr:uid="{00000000-0005-0000-0000-0000DE360000}"/>
    <cellStyle name="Currency 3 8 3 2 3 2" xfId="41039" xr:uid="{00000000-0005-0000-0000-0000DF360000}"/>
    <cellStyle name="Currency 3 8 3 2 4" xfId="28734" xr:uid="{00000000-0005-0000-0000-0000E0360000}"/>
    <cellStyle name="Currency 3 8 3 3" xfId="11901" xr:uid="{00000000-0005-0000-0000-0000E1360000}"/>
    <cellStyle name="Currency 3 8 3 3 2" xfId="31821" xr:uid="{00000000-0005-0000-0000-0000E2360000}"/>
    <cellStyle name="Currency 3 8 3 4" xfId="18053" xr:uid="{00000000-0005-0000-0000-0000E3360000}"/>
    <cellStyle name="Currency 3 8 3 4 2" xfId="37973" xr:uid="{00000000-0005-0000-0000-0000E4360000}"/>
    <cellStyle name="Currency 3 8 3 5" xfId="25668" xr:uid="{00000000-0005-0000-0000-0000E5360000}"/>
    <cellStyle name="Currency 3 8 4" xfId="7239" xr:uid="{00000000-0005-0000-0000-0000E6360000}"/>
    <cellStyle name="Currency 3 8 4 2" xfId="13433" xr:uid="{00000000-0005-0000-0000-0000E7360000}"/>
    <cellStyle name="Currency 3 8 4 2 2" xfId="33353" xr:uid="{00000000-0005-0000-0000-0000E8360000}"/>
    <cellStyle name="Currency 3 8 4 3" xfId="19585" xr:uid="{00000000-0005-0000-0000-0000E9360000}"/>
    <cellStyle name="Currency 3 8 4 3 2" xfId="39505" xr:uid="{00000000-0005-0000-0000-0000EA360000}"/>
    <cellStyle name="Currency 3 8 4 4" xfId="27200" xr:uid="{00000000-0005-0000-0000-0000EB360000}"/>
    <cellStyle name="Currency 3 8 5" xfId="10367" xr:uid="{00000000-0005-0000-0000-0000EC360000}"/>
    <cellStyle name="Currency 3 8 5 2" xfId="30287" xr:uid="{00000000-0005-0000-0000-0000ED360000}"/>
    <cellStyle name="Currency 3 8 6" xfId="16519" xr:uid="{00000000-0005-0000-0000-0000EE360000}"/>
    <cellStyle name="Currency 3 8 6 2" xfId="36439" xr:uid="{00000000-0005-0000-0000-0000EF360000}"/>
    <cellStyle name="Currency 3 8 7" xfId="3130" xr:uid="{00000000-0005-0000-0000-0000F0360000}"/>
    <cellStyle name="Currency 3 8 7 2" xfId="24134" xr:uid="{00000000-0005-0000-0000-0000F1360000}"/>
    <cellStyle name="Currency 3 9" xfId="184" xr:uid="{00000000-0005-0000-0000-0000F2360000}"/>
    <cellStyle name="Currency 3 9 2" xfId="4833" xr:uid="{00000000-0005-0000-0000-0000F3360000}"/>
    <cellStyle name="Currency 3 9 2 2" xfId="6458" xr:uid="{00000000-0005-0000-0000-0000F4360000}"/>
    <cellStyle name="Currency 3 9 2 2 2" xfId="9544" xr:uid="{00000000-0005-0000-0000-0000F5360000}"/>
    <cellStyle name="Currency 3 9 2 2 2 2" xfId="15737" xr:uid="{00000000-0005-0000-0000-0000F6360000}"/>
    <cellStyle name="Currency 3 9 2 2 2 2 2" xfId="35657" xr:uid="{00000000-0005-0000-0000-0000F7360000}"/>
    <cellStyle name="Currency 3 9 2 2 2 3" xfId="21889" xr:uid="{00000000-0005-0000-0000-0000F8360000}"/>
    <cellStyle name="Currency 3 9 2 2 2 3 2" xfId="41809" xr:uid="{00000000-0005-0000-0000-0000F9360000}"/>
    <cellStyle name="Currency 3 9 2 2 2 4" xfId="29504" xr:uid="{00000000-0005-0000-0000-0000FA360000}"/>
    <cellStyle name="Currency 3 9 2 2 3" xfId="12671" xr:uid="{00000000-0005-0000-0000-0000FB360000}"/>
    <cellStyle name="Currency 3 9 2 2 3 2" xfId="32591" xr:uid="{00000000-0005-0000-0000-0000FC360000}"/>
    <cellStyle name="Currency 3 9 2 2 4" xfId="18823" xr:uid="{00000000-0005-0000-0000-0000FD360000}"/>
    <cellStyle name="Currency 3 9 2 2 4 2" xfId="38743" xr:uid="{00000000-0005-0000-0000-0000FE360000}"/>
    <cellStyle name="Currency 3 9 2 2 5" xfId="26438" xr:uid="{00000000-0005-0000-0000-0000FF360000}"/>
    <cellStyle name="Currency 3 9 2 3" xfId="8009" xr:uid="{00000000-0005-0000-0000-000000370000}"/>
    <cellStyle name="Currency 3 9 2 3 2" xfId="14203" xr:uid="{00000000-0005-0000-0000-000001370000}"/>
    <cellStyle name="Currency 3 9 2 3 2 2" xfId="34123" xr:uid="{00000000-0005-0000-0000-000002370000}"/>
    <cellStyle name="Currency 3 9 2 3 3" xfId="20355" xr:uid="{00000000-0005-0000-0000-000003370000}"/>
    <cellStyle name="Currency 3 9 2 3 3 2" xfId="40275" xr:uid="{00000000-0005-0000-0000-000004370000}"/>
    <cellStyle name="Currency 3 9 2 3 4" xfId="27970" xr:uid="{00000000-0005-0000-0000-000005370000}"/>
    <cellStyle name="Currency 3 9 2 4" xfId="11137" xr:uid="{00000000-0005-0000-0000-000006370000}"/>
    <cellStyle name="Currency 3 9 2 4 2" xfId="31057" xr:uid="{00000000-0005-0000-0000-000007370000}"/>
    <cellStyle name="Currency 3 9 2 5" xfId="17289" xr:uid="{00000000-0005-0000-0000-000008370000}"/>
    <cellStyle name="Currency 3 9 2 5 2" xfId="37209" xr:uid="{00000000-0005-0000-0000-000009370000}"/>
    <cellStyle name="Currency 3 9 2 6" xfId="24904" xr:uid="{00000000-0005-0000-0000-00000A370000}"/>
    <cellStyle name="Currency 3 9 3" xfId="5674" xr:uid="{00000000-0005-0000-0000-00000B370000}"/>
    <cellStyle name="Currency 3 9 3 2" xfId="8775" xr:uid="{00000000-0005-0000-0000-00000C370000}"/>
    <cellStyle name="Currency 3 9 3 2 2" xfId="14968" xr:uid="{00000000-0005-0000-0000-00000D370000}"/>
    <cellStyle name="Currency 3 9 3 2 2 2" xfId="34888" xr:uid="{00000000-0005-0000-0000-00000E370000}"/>
    <cellStyle name="Currency 3 9 3 2 3" xfId="21120" xr:uid="{00000000-0005-0000-0000-00000F370000}"/>
    <cellStyle name="Currency 3 9 3 2 3 2" xfId="41040" xr:uid="{00000000-0005-0000-0000-000010370000}"/>
    <cellStyle name="Currency 3 9 3 2 4" xfId="28735" xr:uid="{00000000-0005-0000-0000-000011370000}"/>
    <cellStyle name="Currency 3 9 3 3" xfId="11902" xr:uid="{00000000-0005-0000-0000-000012370000}"/>
    <cellStyle name="Currency 3 9 3 3 2" xfId="31822" xr:uid="{00000000-0005-0000-0000-000013370000}"/>
    <cellStyle name="Currency 3 9 3 4" xfId="18054" xr:uid="{00000000-0005-0000-0000-000014370000}"/>
    <cellStyle name="Currency 3 9 3 4 2" xfId="37974" xr:uid="{00000000-0005-0000-0000-000015370000}"/>
    <cellStyle name="Currency 3 9 3 5" xfId="25669" xr:uid="{00000000-0005-0000-0000-000016370000}"/>
    <cellStyle name="Currency 3 9 4" xfId="7240" xr:uid="{00000000-0005-0000-0000-000017370000}"/>
    <cellStyle name="Currency 3 9 4 2" xfId="13434" xr:uid="{00000000-0005-0000-0000-000018370000}"/>
    <cellStyle name="Currency 3 9 4 2 2" xfId="33354" xr:uid="{00000000-0005-0000-0000-000019370000}"/>
    <cellStyle name="Currency 3 9 4 3" xfId="19586" xr:uid="{00000000-0005-0000-0000-00001A370000}"/>
    <cellStyle name="Currency 3 9 4 3 2" xfId="39506" xr:uid="{00000000-0005-0000-0000-00001B370000}"/>
    <cellStyle name="Currency 3 9 4 4" xfId="27201" xr:uid="{00000000-0005-0000-0000-00001C370000}"/>
    <cellStyle name="Currency 3 9 5" xfId="10368" xr:uid="{00000000-0005-0000-0000-00001D370000}"/>
    <cellStyle name="Currency 3 9 5 2" xfId="30288" xr:uid="{00000000-0005-0000-0000-00001E370000}"/>
    <cellStyle name="Currency 3 9 6" xfId="16520" xr:uid="{00000000-0005-0000-0000-00001F370000}"/>
    <cellStyle name="Currency 3 9 6 2" xfId="36440" xr:uid="{00000000-0005-0000-0000-000020370000}"/>
    <cellStyle name="Currency 3 9 7" xfId="3131" xr:uid="{00000000-0005-0000-0000-000021370000}"/>
    <cellStyle name="Currency 3 9 7 2" xfId="24135" xr:uid="{00000000-0005-0000-0000-000022370000}"/>
    <cellStyle name="Currency 30" xfId="3132" xr:uid="{00000000-0005-0000-0000-000023370000}"/>
    <cellStyle name="Currency 31" xfId="3133" xr:uid="{00000000-0005-0000-0000-000024370000}"/>
    <cellStyle name="Currency 32" xfId="3134" xr:uid="{00000000-0005-0000-0000-000025370000}"/>
    <cellStyle name="Currency 33" xfId="3135" xr:uid="{00000000-0005-0000-0000-000026370000}"/>
    <cellStyle name="Currency 34" xfId="3136" xr:uid="{00000000-0005-0000-0000-000027370000}"/>
    <cellStyle name="Currency 35" xfId="3137" xr:uid="{00000000-0005-0000-0000-000028370000}"/>
    <cellStyle name="Currency 36" xfId="3138" xr:uid="{00000000-0005-0000-0000-000029370000}"/>
    <cellStyle name="Currency 37" xfId="3139" xr:uid="{00000000-0005-0000-0000-00002A370000}"/>
    <cellStyle name="Currency 38" xfId="3140" xr:uid="{00000000-0005-0000-0000-00002B370000}"/>
    <cellStyle name="Currency 39" xfId="3141" xr:uid="{00000000-0005-0000-0000-00002C370000}"/>
    <cellStyle name="Currency 4" xfId="21" xr:uid="{00000000-0005-0000-0000-00002D370000}"/>
    <cellStyle name="Currency 4 2" xfId="3143" xr:uid="{00000000-0005-0000-0000-00002E370000}"/>
    <cellStyle name="Currency 4 2 2" xfId="10128" xr:uid="{00000000-0005-0000-0000-00002F370000}"/>
    <cellStyle name="Currency 4 2 2 2" xfId="16300" xr:uid="{00000000-0005-0000-0000-000030370000}"/>
    <cellStyle name="Currency 4 2 2 2 2" xfId="36220" xr:uid="{00000000-0005-0000-0000-000031370000}"/>
    <cellStyle name="Currency 4 2 2 3" xfId="22452" xr:uid="{00000000-0005-0000-0000-000032370000}"/>
    <cellStyle name="Currency 4 2 2 3 2" xfId="42372" xr:uid="{00000000-0005-0000-0000-000033370000}"/>
    <cellStyle name="Currency 4 2 2 4" xfId="30067" xr:uid="{00000000-0005-0000-0000-000034370000}"/>
    <cellStyle name="Currency 4 2 3" xfId="10110" xr:uid="{00000000-0005-0000-0000-000035370000}"/>
    <cellStyle name="Currency 4 2 3 2" xfId="16291" xr:uid="{00000000-0005-0000-0000-000036370000}"/>
    <cellStyle name="Currency 4 2 3 2 2" xfId="36211" xr:uid="{00000000-0005-0000-0000-000037370000}"/>
    <cellStyle name="Currency 4 2 3 3" xfId="22443" xr:uid="{00000000-0005-0000-0000-000038370000}"/>
    <cellStyle name="Currency 4 2 3 3 2" xfId="42363" xr:uid="{00000000-0005-0000-0000-000039370000}"/>
    <cellStyle name="Currency 4 2 3 4" xfId="30058" xr:uid="{00000000-0005-0000-0000-00003A370000}"/>
    <cellStyle name="Currency 4 3" xfId="3144" xr:uid="{00000000-0005-0000-0000-00003B370000}"/>
    <cellStyle name="Currency 4 3 2" xfId="3145" xr:uid="{00000000-0005-0000-0000-00003C370000}"/>
    <cellStyle name="Currency 4 3 3" xfId="3146" xr:uid="{00000000-0005-0000-0000-00003D370000}"/>
    <cellStyle name="Currency 4 3 4" xfId="3147" xr:uid="{00000000-0005-0000-0000-00003E370000}"/>
    <cellStyle name="Currency 4 3 5" xfId="10127" xr:uid="{00000000-0005-0000-0000-00003F370000}"/>
    <cellStyle name="Currency 4 3 5 2" xfId="16299" xr:uid="{00000000-0005-0000-0000-000040370000}"/>
    <cellStyle name="Currency 4 3 5 2 2" xfId="36219" xr:uid="{00000000-0005-0000-0000-000041370000}"/>
    <cellStyle name="Currency 4 3 5 3" xfId="22451" xr:uid="{00000000-0005-0000-0000-000042370000}"/>
    <cellStyle name="Currency 4 3 5 3 2" xfId="42371" xr:uid="{00000000-0005-0000-0000-000043370000}"/>
    <cellStyle name="Currency 4 3 5 4" xfId="30066" xr:uid="{00000000-0005-0000-0000-000044370000}"/>
    <cellStyle name="Currency 4 4" xfId="3148" xr:uid="{00000000-0005-0000-0000-000045370000}"/>
    <cellStyle name="Currency 4 4 2" xfId="10144" xr:uid="{00000000-0005-0000-0000-000046370000}"/>
    <cellStyle name="Currency 4 5" xfId="4543" xr:uid="{00000000-0005-0000-0000-000047370000}"/>
    <cellStyle name="Currency 4 6" xfId="3142" xr:uid="{00000000-0005-0000-0000-000048370000}"/>
    <cellStyle name="Currency 4 7" xfId="10109" xr:uid="{00000000-0005-0000-0000-000049370000}"/>
    <cellStyle name="Currency 4 7 2" xfId="16290" xr:uid="{00000000-0005-0000-0000-00004A370000}"/>
    <cellStyle name="Currency 4 7 2 2" xfId="36210" xr:uid="{00000000-0005-0000-0000-00004B370000}"/>
    <cellStyle name="Currency 4 7 3" xfId="22442" xr:uid="{00000000-0005-0000-0000-00004C370000}"/>
    <cellStyle name="Currency 4 7 3 2" xfId="42362" xr:uid="{00000000-0005-0000-0000-00004D370000}"/>
    <cellStyle name="Currency 4 7 4" xfId="30057" xr:uid="{00000000-0005-0000-0000-00004E370000}"/>
    <cellStyle name="Currency 4 8" xfId="1100" xr:uid="{00000000-0005-0000-0000-00004F370000}"/>
    <cellStyle name="Currency 40" xfId="3149" xr:uid="{00000000-0005-0000-0000-000050370000}"/>
    <cellStyle name="Currency 41" xfId="3150" xr:uid="{00000000-0005-0000-0000-000051370000}"/>
    <cellStyle name="Currency 42" xfId="3151" xr:uid="{00000000-0005-0000-0000-000052370000}"/>
    <cellStyle name="Currency 43" xfId="3152" xr:uid="{00000000-0005-0000-0000-000053370000}"/>
    <cellStyle name="Currency 44" xfId="3153" xr:uid="{00000000-0005-0000-0000-000054370000}"/>
    <cellStyle name="Currency 45" xfId="3154" xr:uid="{00000000-0005-0000-0000-000055370000}"/>
    <cellStyle name="Currency 46" xfId="3155" xr:uid="{00000000-0005-0000-0000-000056370000}"/>
    <cellStyle name="Currency 47" xfId="3156" xr:uid="{00000000-0005-0000-0000-000057370000}"/>
    <cellStyle name="Currency 48" xfId="3157" xr:uid="{00000000-0005-0000-0000-000058370000}"/>
    <cellStyle name="Currency 49" xfId="3158" xr:uid="{00000000-0005-0000-0000-000059370000}"/>
    <cellStyle name="Currency 5" xfId="22" xr:uid="{00000000-0005-0000-0000-00005A370000}"/>
    <cellStyle name="Currency 5 10" xfId="16310" xr:uid="{00000000-0005-0000-0000-00005B370000}"/>
    <cellStyle name="Currency 5 10 2" xfId="36230" xr:uid="{00000000-0005-0000-0000-00005C370000}"/>
    <cellStyle name="Currency 5 11" xfId="1101" xr:uid="{00000000-0005-0000-0000-00005D370000}"/>
    <cellStyle name="Currency 5 11 2" xfId="23925" xr:uid="{00000000-0005-0000-0000-00005E370000}"/>
    <cellStyle name="Currency 5 2" xfId="1173" xr:uid="{00000000-0005-0000-0000-00005F370000}"/>
    <cellStyle name="Currency 5 2 10" xfId="16316" xr:uid="{00000000-0005-0000-0000-000060370000}"/>
    <cellStyle name="Currency 5 2 10 2" xfId="36236" xr:uid="{00000000-0005-0000-0000-000061370000}"/>
    <cellStyle name="Currency 5 2 11" xfId="23931" xr:uid="{00000000-0005-0000-0000-000062370000}"/>
    <cellStyle name="Currency 5 2 2" xfId="1192" xr:uid="{00000000-0005-0000-0000-000063370000}"/>
    <cellStyle name="Currency 5 2 2 2" xfId="4605" xr:uid="{00000000-0005-0000-0000-000064370000}"/>
    <cellStyle name="Currency 5 2 2 2 2" xfId="5381" xr:uid="{00000000-0005-0000-0000-000065370000}"/>
    <cellStyle name="Currency 5 2 2 2 2 2" xfId="7006" xr:uid="{00000000-0005-0000-0000-000066370000}"/>
    <cellStyle name="Currency 5 2 2 2 2 2 2" xfId="10092" xr:uid="{00000000-0005-0000-0000-000067370000}"/>
    <cellStyle name="Currency 5 2 2 2 2 2 2 2" xfId="16285" xr:uid="{00000000-0005-0000-0000-000068370000}"/>
    <cellStyle name="Currency 5 2 2 2 2 2 2 2 2" xfId="36205" xr:uid="{00000000-0005-0000-0000-000069370000}"/>
    <cellStyle name="Currency 5 2 2 2 2 2 2 3" xfId="22437" xr:uid="{00000000-0005-0000-0000-00006A370000}"/>
    <cellStyle name="Currency 5 2 2 2 2 2 2 3 2" xfId="42357" xr:uid="{00000000-0005-0000-0000-00006B370000}"/>
    <cellStyle name="Currency 5 2 2 2 2 2 2 4" xfId="30052" xr:uid="{00000000-0005-0000-0000-00006C370000}"/>
    <cellStyle name="Currency 5 2 2 2 2 2 3" xfId="13219" xr:uid="{00000000-0005-0000-0000-00006D370000}"/>
    <cellStyle name="Currency 5 2 2 2 2 2 3 2" xfId="33139" xr:uid="{00000000-0005-0000-0000-00006E370000}"/>
    <cellStyle name="Currency 5 2 2 2 2 2 4" xfId="19371" xr:uid="{00000000-0005-0000-0000-00006F370000}"/>
    <cellStyle name="Currency 5 2 2 2 2 2 4 2" xfId="39291" xr:uid="{00000000-0005-0000-0000-000070370000}"/>
    <cellStyle name="Currency 5 2 2 2 2 2 5" xfId="26986" xr:uid="{00000000-0005-0000-0000-000071370000}"/>
    <cellStyle name="Currency 5 2 2 2 2 3" xfId="8557" xr:uid="{00000000-0005-0000-0000-000072370000}"/>
    <cellStyle name="Currency 5 2 2 2 2 3 2" xfId="14751" xr:uid="{00000000-0005-0000-0000-000073370000}"/>
    <cellStyle name="Currency 5 2 2 2 2 3 2 2" xfId="34671" xr:uid="{00000000-0005-0000-0000-000074370000}"/>
    <cellStyle name="Currency 5 2 2 2 2 3 3" xfId="20903" xr:uid="{00000000-0005-0000-0000-000075370000}"/>
    <cellStyle name="Currency 5 2 2 2 2 3 3 2" xfId="40823" xr:uid="{00000000-0005-0000-0000-000076370000}"/>
    <cellStyle name="Currency 5 2 2 2 2 3 4" xfId="28518" xr:uid="{00000000-0005-0000-0000-000077370000}"/>
    <cellStyle name="Currency 5 2 2 2 2 4" xfId="11685" xr:uid="{00000000-0005-0000-0000-000078370000}"/>
    <cellStyle name="Currency 5 2 2 2 2 4 2" xfId="31605" xr:uid="{00000000-0005-0000-0000-000079370000}"/>
    <cellStyle name="Currency 5 2 2 2 2 5" xfId="17837" xr:uid="{00000000-0005-0000-0000-00007A370000}"/>
    <cellStyle name="Currency 5 2 2 2 2 5 2" xfId="37757" xr:uid="{00000000-0005-0000-0000-00007B370000}"/>
    <cellStyle name="Currency 5 2 2 2 2 6" xfId="25452" xr:uid="{00000000-0005-0000-0000-00007C370000}"/>
    <cellStyle name="Currency 5 2 2 2 3" xfId="6237" xr:uid="{00000000-0005-0000-0000-00007D370000}"/>
    <cellStyle name="Currency 5 2 2 2 3 2" xfId="9323" xr:uid="{00000000-0005-0000-0000-00007E370000}"/>
    <cellStyle name="Currency 5 2 2 2 3 2 2" xfId="15516" xr:uid="{00000000-0005-0000-0000-00007F370000}"/>
    <cellStyle name="Currency 5 2 2 2 3 2 2 2" xfId="35436" xr:uid="{00000000-0005-0000-0000-000080370000}"/>
    <cellStyle name="Currency 5 2 2 2 3 2 3" xfId="21668" xr:uid="{00000000-0005-0000-0000-000081370000}"/>
    <cellStyle name="Currency 5 2 2 2 3 2 3 2" xfId="41588" xr:uid="{00000000-0005-0000-0000-000082370000}"/>
    <cellStyle name="Currency 5 2 2 2 3 2 4" xfId="29283" xr:uid="{00000000-0005-0000-0000-000083370000}"/>
    <cellStyle name="Currency 5 2 2 2 3 3" xfId="12450" xr:uid="{00000000-0005-0000-0000-000084370000}"/>
    <cellStyle name="Currency 5 2 2 2 3 3 2" xfId="32370" xr:uid="{00000000-0005-0000-0000-000085370000}"/>
    <cellStyle name="Currency 5 2 2 2 3 4" xfId="18602" xr:uid="{00000000-0005-0000-0000-000086370000}"/>
    <cellStyle name="Currency 5 2 2 2 3 4 2" xfId="38522" xr:uid="{00000000-0005-0000-0000-000087370000}"/>
    <cellStyle name="Currency 5 2 2 2 3 5" xfId="26217" xr:uid="{00000000-0005-0000-0000-000088370000}"/>
    <cellStyle name="Currency 5 2 2 2 4" xfId="7788" xr:uid="{00000000-0005-0000-0000-000089370000}"/>
    <cellStyle name="Currency 5 2 2 2 4 2" xfId="13982" xr:uid="{00000000-0005-0000-0000-00008A370000}"/>
    <cellStyle name="Currency 5 2 2 2 4 2 2" xfId="33902" xr:uid="{00000000-0005-0000-0000-00008B370000}"/>
    <cellStyle name="Currency 5 2 2 2 4 3" xfId="20134" xr:uid="{00000000-0005-0000-0000-00008C370000}"/>
    <cellStyle name="Currency 5 2 2 2 4 3 2" xfId="40054" xr:uid="{00000000-0005-0000-0000-00008D370000}"/>
    <cellStyle name="Currency 5 2 2 2 4 4" xfId="27749" xr:uid="{00000000-0005-0000-0000-00008E370000}"/>
    <cellStyle name="Currency 5 2 2 2 5" xfId="10916" xr:uid="{00000000-0005-0000-0000-00008F370000}"/>
    <cellStyle name="Currency 5 2 2 2 5 2" xfId="30836" xr:uid="{00000000-0005-0000-0000-000090370000}"/>
    <cellStyle name="Currency 5 2 2 2 6" xfId="17068" xr:uid="{00000000-0005-0000-0000-000091370000}"/>
    <cellStyle name="Currency 5 2 2 2 6 2" xfId="36988" xr:uid="{00000000-0005-0000-0000-000092370000}"/>
    <cellStyle name="Currency 5 2 2 2 7" xfId="24683" xr:uid="{00000000-0005-0000-0000-000093370000}"/>
    <cellStyle name="Currency 5 2 2 3" xfId="3161" xr:uid="{00000000-0005-0000-0000-000094370000}"/>
    <cellStyle name="Currency 5 2 2 4" xfId="4640" xr:uid="{00000000-0005-0000-0000-000095370000}"/>
    <cellStyle name="Currency 5 2 2 4 2" xfId="6265" xr:uid="{00000000-0005-0000-0000-000096370000}"/>
    <cellStyle name="Currency 5 2 2 4 2 2" xfId="9351" xr:uid="{00000000-0005-0000-0000-000097370000}"/>
    <cellStyle name="Currency 5 2 2 4 2 2 2" xfId="15544" xr:uid="{00000000-0005-0000-0000-000098370000}"/>
    <cellStyle name="Currency 5 2 2 4 2 2 2 2" xfId="35464" xr:uid="{00000000-0005-0000-0000-000099370000}"/>
    <cellStyle name="Currency 5 2 2 4 2 2 3" xfId="21696" xr:uid="{00000000-0005-0000-0000-00009A370000}"/>
    <cellStyle name="Currency 5 2 2 4 2 2 3 2" xfId="41616" xr:uid="{00000000-0005-0000-0000-00009B370000}"/>
    <cellStyle name="Currency 5 2 2 4 2 2 4" xfId="29311" xr:uid="{00000000-0005-0000-0000-00009C370000}"/>
    <cellStyle name="Currency 5 2 2 4 2 3" xfId="12478" xr:uid="{00000000-0005-0000-0000-00009D370000}"/>
    <cellStyle name="Currency 5 2 2 4 2 3 2" xfId="32398" xr:uid="{00000000-0005-0000-0000-00009E370000}"/>
    <cellStyle name="Currency 5 2 2 4 2 4" xfId="18630" xr:uid="{00000000-0005-0000-0000-00009F370000}"/>
    <cellStyle name="Currency 5 2 2 4 2 4 2" xfId="38550" xr:uid="{00000000-0005-0000-0000-0000A0370000}"/>
    <cellStyle name="Currency 5 2 2 4 2 5" xfId="26245" xr:uid="{00000000-0005-0000-0000-0000A1370000}"/>
    <cellStyle name="Currency 5 2 2 4 3" xfId="7816" xr:uid="{00000000-0005-0000-0000-0000A2370000}"/>
    <cellStyle name="Currency 5 2 2 4 3 2" xfId="14010" xr:uid="{00000000-0005-0000-0000-0000A3370000}"/>
    <cellStyle name="Currency 5 2 2 4 3 2 2" xfId="33930" xr:uid="{00000000-0005-0000-0000-0000A4370000}"/>
    <cellStyle name="Currency 5 2 2 4 3 3" xfId="20162" xr:uid="{00000000-0005-0000-0000-0000A5370000}"/>
    <cellStyle name="Currency 5 2 2 4 3 3 2" xfId="40082" xr:uid="{00000000-0005-0000-0000-0000A6370000}"/>
    <cellStyle name="Currency 5 2 2 4 3 4" xfId="27777" xr:uid="{00000000-0005-0000-0000-0000A7370000}"/>
    <cellStyle name="Currency 5 2 2 4 4" xfId="10944" xr:uid="{00000000-0005-0000-0000-0000A8370000}"/>
    <cellStyle name="Currency 5 2 2 4 4 2" xfId="30864" xr:uid="{00000000-0005-0000-0000-0000A9370000}"/>
    <cellStyle name="Currency 5 2 2 4 5" xfId="17096" xr:uid="{00000000-0005-0000-0000-0000AA370000}"/>
    <cellStyle name="Currency 5 2 2 4 5 2" xfId="37016" xr:uid="{00000000-0005-0000-0000-0000AB370000}"/>
    <cellStyle name="Currency 5 2 2 4 6" xfId="24711" xr:uid="{00000000-0005-0000-0000-0000AC370000}"/>
    <cellStyle name="Currency 5 2 2 5" xfId="5479" xr:uid="{00000000-0005-0000-0000-0000AD370000}"/>
    <cellStyle name="Currency 5 2 2 5 2" xfId="8582" xr:uid="{00000000-0005-0000-0000-0000AE370000}"/>
    <cellStyle name="Currency 5 2 2 5 2 2" xfId="14775" xr:uid="{00000000-0005-0000-0000-0000AF370000}"/>
    <cellStyle name="Currency 5 2 2 5 2 2 2" xfId="34695" xr:uid="{00000000-0005-0000-0000-0000B0370000}"/>
    <cellStyle name="Currency 5 2 2 5 2 3" xfId="20927" xr:uid="{00000000-0005-0000-0000-0000B1370000}"/>
    <cellStyle name="Currency 5 2 2 5 2 3 2" xfId="40847" xr:uid="{00000000-0005-0000-0000-0000B2370000}"/>
    <cellStyle name="Currency 5 2 2 5 2 4" xfId="28542" xr:uid="{00000000-0005-0000-0000-0000B3370000}"/>
    <cellStyle name="Currency 5 2 2 5 3" xfId="11709" xr:uid="{00000000-0005-0000-0000-0000B4370000}"/>
    <cellStyle name="Currency 5 2 2 5 3 2" xfId="31629" xr:uid="{00000000-0005-0000-0000-0000B5370000}"/>
    <cellStyle name="Currency 5 2 2 5 4" xfId="17861" xr:uid="{00000000-0005-0000-0000-0000B6370000}"/>
    <cellStyle name="Currency 5 2 2 5 4 2" xfId="37781" xr:uid="{00000000-0005-0000-0000-0000B7370000}"/>
    <cellStyle name="Currency 5 2 2 5 5" xfId="25476" xr:uid="{00000000-0005-0000-0000-0000B8370000}"/>
    <cellStyle name="Currency 5 2 2 6" xfId="7047" xr:uid="{00000000-0005-0000-0000-0000B9370000}"/>
    <cellStyle name="Currency 5 2 2 6 2" xfId="13241" xr:uid="{00000000-0005-0000-0000-0000BA370000}"/>
    <cellStyle name="Currency 5 2 2 6 2 2" xfId="33161" xr:uid="{00000000-0005-0000-0000-0000BB370000}"/>
    <cellStyle name="Currency 5 2 2 6 3" xfId="19393" xr:uid="{00000000-0005-0000-0000-0000BC370000}"/>
    <cellStyle name="Currency 5 2 2 6 3 2" xfId="39313" xr:uid="{00000000-0005-0000-0000-0000BD370000}"/>
    <cellStyle name="Currency 5 2 2 6 4" xfId="27008" xr:uid="{00000000-0005-0000-0000-0000BE370000}"/>
    <cellStyle name="Currency 5 2 2 7" xfId="10175" xr:uid="{00000000-0005-0000-0000-0000BF370000}"/>
    <cellStyle name="Currency 5 2 2 7 2" xfId="30095" xr:uid="{00000000-0005-0000-0000-0000C0370000}"/>
    <cellStyle name="Currency 5 2 2 8" xfId="16327" xr:uid="{00000000-0005-0000-0000-0000C1370000}"/>
    <cellStyle name="Currency 5 2 2 8 2" xfId="36247" xr:uid="{00000000-0005-0000-0000-0000C2370000}"/>
    <cellStyle name="Currency 5 2 2 9" xfId="23942" xr:uid="{00000000-0005-0000-0000-0000C3370000}"/>
    <cellStyle name="Currency 5 2 3" xfId="3162" xr:uid="{00000000-0005-0000-0000-0000C4370000}"/>
    <cellStyle name="Currency 5 2 4" xfId="4588" xr:uid="{00000000-0005-0000-0000-0000C5370000}"/>
    <cellStyle name="Currency 5 2 4 2" xfId="5372" xr:uid="{00000000-0005-0000-0000-0000C6370000}"/>
    <cellStyle name="Currency 5 2 4 2 2" xfId="6997" xr:uid="{00000000-0005-0000-0000-0000C7370000}"/>
    <cellStyle name="Currency 5 2 4 2 2 2" xfId="10083" xr:uid="{00000000-0005-0000-0000-0000C8370000}"/>
    <cellStyle name="Currency 5 2 4 2 2 2 2" xfId="16276" xr:uid="{00000000-0005-0000-0000-0000C9370000}"/>
    <cellStyle name="Currency 5 2 4 2 2 2 2 2" xfId="36196" xr:uid="{00000000-0005-0000-0000-0000CA370000}"/>
    <cellStyle name="Currency 5 2 4 2 2 2 3" xfId="22428" xr:uid="{00000000-0005-0000-0000-0000CB370000}"/>
    <cellStyle name="Currency 5 2 4 2 2 2 3 2" xfId="42348" xr:uid="{00000000-0005-0000-0000-0000CC370000}"/>
    <cellStyle name="Currency 5 2 4 2 2 2 4" xfId="30043" xr:uid="{00000000-0005-0000-0000-0000CD370000}"/>
    <cellStyle name="Currency 5 2 4 2 2 3" xfId="13210" xr:uid="{00000000-0005-0000-0000-0000CE370000}"/>
    <cellStyle name="Currency 5 2 4 2 2 3 2" xfId="33130" xr:uid="{00000000-0005-0000-0000-0000CF370000}"/>
    <cellStyle name="Currency 5 2 4 2 2 4" xfId="19362" xr:uid="{00000000-0005-0000-0000-0000D0370000}"/>
    <cellStyle name="Currency 5 2 4 2 2 4 2" xfId="39282" xr:uid="{00000000-0005-0000-0000-0000D1370000}"/>
    <cellStyle name="Currency 5 2 4 2 2 5" xfId="26977" xr:uid="{00000000-0005-0000-0000-0000D2370000}"/>
    <cellStyle name="Currency 5 2 4 2 3" xfId="8548" xr:uid="{00000000-0005-0000-0000-0000D3370000}"/>
    <cellStyle name="Currency 5 2 4 2 3 2" xfId="14742" xr:uid="{00000000-0005-0000-0000-0000D4370000}"/>
    <cellStyle name="Currency 5 2 4 2 3 2 2" xfId="34662" xr:uid="{00000000-0005-0000-0000-0000D5370000}"/>
    <cellStyle name="Currency 5 2 4 2 3 3" xfId="20894" xr:uid="{00000000-0005-0000-0000-0000D6370000}"/>
    <cellStyle name="Currency 5 2 4 2 3 3 2" xfId="40814" xr:uid="{00000000-0005-0000-0000-0000D7370000}"/>
    <cellStyle name="Currency 5 2 4 2 3 4" xfId="28509" xr:uid="{00000000-0005-0000-0000-0000D8370000}"/>
    <cellStyle name="Currency 5 2 4 2 4" xfId="11676" xr:uid="{00000000-0005-0000-0000-0000D9370000}"/>
    <cellStyle name="Currency 5 2 4 2 4 2" xfId="31596" xr:uid="{00000000-0005-0000-0000-0000DA370000}"/>
    <cellStyle name="Currency 5 2 4 2 5" xfId="17828" xr:uid="{00000000-0005-0000-0000-0000DB370000}"/>
    <cellStyle name="Currency 5 2 4 2 5 2" xfId="37748" xr:uid="{00000000-0005-0000-0000-0000DC370000}"/>
    <cellStyle name="Currency 5 2 4 2 6" xfId="25443" xr:uid="{00000000-0005-0000-0000-0000DD370000}"/>
    <cellStyle name="Currency 5 2 4 3" xfId="6228" xr:uid="{00000000-0005-0000-0000-0000DE370000}"/>
    <cellStyle name="Currency 5 2 4 3 2" xfId="9314" xr:uid="{00000000-0005-0000-0000-0000DF370000}"/>
    <cellStyle name="Currency 5 2 4 3 2 2" xfId="15507" xr:uid="{00000000-0005-0000-0000-0000E0370000}"/>
    <cellStyle name="Currency 5 2 4 3 2 2 2" xfId="35427" xr:uid="{00000000-0005-0000-0000-0000E1370000}"/>
    <cellStyle name="Currency 5 2 4 3 2 3" xfId="21659" xr:uid="{00000000-0005-0000-0000-0000E2370000}"/>
    <cellStyle name="Currency 5 2 4 3 2 3 2" xfId="41579" xr:uid="{00000000-0005-0000-0000-0000E3370000}"/>
    <cellStyle name="Currency 5 2 4 3 2 4" xfId="29274" xr:uid="{00000000-0005-0000-0000-0000E4370000}"/>
    <cellStyle name="Currency 5 2 4 3 3" xfId="12441" xr:uid="{00000000-0005-0000-0000-0000E5370000}"/>
    <cellStyle name="Currency 5 2 4 3 3 2" xfId="32361" xr:uid="{00000000-0005-0000-0000-0000E6370000}"/>
    <cellStyle name="Currency 5 2 4 3 4" xfId="18593" xr:uid="{00000000-0005-0000-0000-0000E7370000}"/>
    <cellStyle name="Currency 5 2 4 3 4 2" xfId="38513" xr:uid="{00000000-0005-0000-0000-0000E8370000}"/>
    <cellStyle name="Currency 5 2 4 3 5" xfId="26208" xr:uid="{00000000-0005-0000-0000-0000E9370000}"/>
    <cellStyle name="Currency 5 2 4 4" xfId="7779" xr:uid="{00000000-0005-0000-0000-0000EA370000}"/>
    <cellStyle name="Currency 5 2 4 4 2" xfId="13973" xr:uid="{00000000-0005-0000-0000-0000EB370000}"/>
    <cellStyle name="Currency 5 2 4 4 2 2" xfId="33893" xr:uid="{00000000-0005-0000-0000-0000EC370000}"/>
    <cellStyle name="Currency 5 2 4 4 3" xfId="20125" xr:uid="{00000000-0005-0000-0000-0000ED370000}"/>
    <cellStyle name="Currency 5 2 4 4 3 2" xfId="40045" xr:uid="{00000000-0005-0000-0000-0000EE370000}"/>
    <cellStyle name="Currency 5 2 4 4 4" xfId="27740" xr:uid="{00000000-0005-0000-0000-0000EF370000}"/>
    <cellStyle name="Currency 5 2 4 5" xfId="10907" xr:uid="{00000000-0005-0000-0000-0000F0370000}"/>
    <cellStyle name="Currency 5 2 4 5 2" xfId="30827" xr:uid="{00000000-0005-0000-0000-0000F1370000}"/>
    <cellStyle name="Currency 5 2 4 6" xfId="17059" xr:uid="{00000000-0005-0000-0000-0000F2370000}"/>
    <cellStyle name="Currency 5 2 4 6 2" xfId="36979" xr:uid="{00000000-0005-0000-0000-0000F3370000}"/>
    <cellStyle name="Currency 5 2 4 7" xfId="24674" xr:uid="{00000000-0005-0000-0000-0000F4370000}"/>
    <cellStyle name="Currency 5 2 5" xfId="3160" xr:uid="{00000000-0005-0000-0000-0000F5370000}"/>
    <cellStyle name="Currency 5 2 6" xfId="4629" xr:uid="{00000000-0005-0000-0000-0000F6370000}"/>
    <cellStyle name="Currency 5 2 6 2" xfId="6254" xr:uid="{00000000-0005-0000-0000-0000F7370000}"/>
    <cellStyle name="Currency 5 2 6 2 2" xfId="9340" xr:uid="{00000000-0005-0000-0000-0000F8370000}"/>
    <cellStyle name="Currency 5 2 6 2 2 2" xfId="15533" xr:uid="{00000000-0005-0000-0000-0000F9370000}"/>
    <cellStyle name="Currency 5 2 6 2 2 2 2" xfId="35453" xr:uid="{00000000-0005-0000-0000-0000FA370000}"/>
    <cellStyle name="Currency 5 2 6 2 2 3" xfId="21685" xr:uid="{00000000-0005-0000-0000-0000FB370000}"/>
    <cellStyle name="Currency 5 2 6 2 2 3 2" xfId="41605" xr:uid="{00000000-0005-0000-0000-0000FC370000}"/>
    <cellStyle name="Currency 5 2 6 2 2 4" xfId="29300" xr:uid="{00000000-0005-0000-0000-0000FD370000}"/>
    <cellStyle name="Currency 5 2 6 2 3" xfId="12467" xr:uid="{00000000-0005-0000-0000-0000FE370000}"/>
    <cellStyle name="Currency 5 2 6 2 3 2" xfId="32387" xr:uid="{00000000-0005-0000-0000-0000FF370000}"/>
    <cellStyle name="Currency 5 2 6 2 4" xfId="18619" xr:uid="{00000000-0005-0000-0000-000000380000}"/>
    <cellStyle name="Currency 5 2 6 2 4 2" xfId="38539" xr:uid="{00000000-0005-0000-0000-000001380000}"/>
    <cellStyle name="Currency 5 2 6 2 5" xfId="26234" xr:uid="{00000000-0005-0000-0000-000002380000}"/>
    <cellStyle name="Currency 5 2 6 3" xfId="7805" xr:uid="{00000000-0005-0000-0000-000003380000}"/>
    <cellStyle name="Currency 5 2 6 3 2" xfId="13999" xr:uid="{00000000-0005-0000-0000-000004380000}"/>
    <cellStyle name="Currency 5 2 6 3 2 2" xfId="33919" xr:uid="{00000000-0005-0000-0000-000005380000}"/>
    <cellStyle name="Currency 5 2 6 3 3" xfId="20151" xr:uid="{00000000-0005-0000-0000-000006380000}"/>
    <cellStyle name="Currency 5 2 6 3 3 2" xfId="40071" xr:uid="{00000000-0005-0000-0000-000007380000}"/>
    <cellStyle name="Currency 5 2 6 3 4" xfId="27766" xr:uid="{00000000-0005-0000-0000-000008380000}"/>
    <cellStyle name="Currency 5 2 6 4" xfId="10933" xr:uid="{00000000-0005-0000-0000-000009380000}"/>
    <cellStyle name="Currency 5 2 6 4 2" xfId="30853" xr:uid="{00000000-0005-0000-0000-00000A380000}"/>
    <cellStyle name="Currency 5 2 6 5" xfId="17085" xr:uid="{00000000-0005-0000-0000-00000B380000}"/>
    <cellStyle name="Currency 5 2 6 5 2" xfId="37005" xr:uid="{00000000-0005-0000-0000-00000C380000}"/>
    <cellStyle name="Currency 5 2 6 6" xfId="24700" xr:uid="{00000000-0005-0000-0000-00000D380000}"/>
    <cellStyle name="Currency 5 2 7" xfId="5467" xr:uid="{00000000-0005-0000-0000-00000E380000}"/>
    <cellStyle name="Currency 5 2 7 2" xfId="8571" xr:uid="{00000000-0005-0000-0000-00000F380000}"/>
    <cellStyle name="Currency 5 2 7 2 2" xfId="14764" xr:uid="{00000000-0005-0000-0000-000010380000}"/>
    <cellStyle name="Currency 5 2 7 2 2 2" xfId="34684" xr:uid="{00000000-0005-0000-0000-000011380000}"/>
    <cellStyle name="Currency 5 2 7 2 3" xfId="20916" xr:uid="{00000000-0005-0000-0000-000012380000}"/>
    <cellStyle name="Currency 5 2 7 2 3 2" xfId="40836" xr:uid="{00000000-0005-0000-0000-000013380000}"/>
    <cellStyle name="Currency 5 2 7 2 4" xfId="28531" xr:uid="{00000000-0005-0000-0000-000014380000}"/>
    <cellStyle name="Currency 5 2 7 3" xfId="11698" xr:uid="{00000000-0005-0000-0000-000015380000}"/>
    <cellStyle name="Currency 5 2 7 3 2" xfId="31618" xr:uid="{00000000-0005-0000-0000-000016380000}"/>
    <cellStyle name="Currency 5 2 7 4" xfId="17850" xr:uid="{00000000-0005-0000-0000-000017380000}"/>
    <cellStyle name="Currency 5 2 7 4 2" xfId="37770" xr:uid="{00000000-0005-0000-0000-000018380000}"/>
    <cellStyle name="Currency 5 2 7 5" xfId="25465" xr:uid="{00000000-0005-0000-0000-000019380000}"/>
    <cellStyle name="Currency 5 2 8" xfId="7036" xr:uid="{00000000-0005-0000-0000-00001A380000}"/>
    <cellStyle name="Currency 5 2 8 2" xfId="13230" xr:uid="{00000000-0005-0000-0000-00001B380000}"/>
    <cellStyle name="Currency 5 2 8 2 2" xfId="33150" xr:uid="{00000000-0005-0000-0000-00001C380000}"/>
    <cellStyle name="Currency 5 2 8 3" xfId="19382" xr:uid="{00000000-0005-0000-0000-00001D380000}"/>
    <cellStyle name="Currency 5 2 8 3 2" xfId="39302" xr:uid="{00000000-0005-0000-0000-00001E380000}"/>
    <cellStyle name="Currency 5 2 8 4" xfId="26997" xr:uid="{00000000-0005-0000-0000-00001F380000}"/>
    <cellStyle name="Currency 5 2 9" xfId="10164" xr:uid="{00000000-0005-0000-0000-000020380000}"/>
    <cellStyle name="Currency 5 2 9 2" xfId="30084" xr:uid="{00000000-0005-0000-0000-000021380000}"/>
    <cellStyle name="Currency 5 3" xfId="1186" xr:uid="{00000000-0005-0000-0000-000022380000}"/>
    <cellStyle name="Currency 5 3 2" xfId="4600" xr:uid="{00000000-0005-0000-0000-000023380000}"/>
    <cellStyle name="Currency 5 3 2 2" xfId="5376" xr:uid="{00000000-0005-0000-0000-000024380000}"/>
    <cellStyle name="Currency 5 3 2 2 2" xfId="7001" xr:uid="{00000000-0005-0000-0000-000025380000}"/>
    <cellStyle name="Currency 5 3 2 2 2 2" xfId="10087" xr:uid="{00000000-0005-0000-0000-000026380000}"/>
    <cellStyle name="Currency 5 3 2 2 2 2 2" xfId="16280" xr:uid="{00000000-0005-0000-0000-000027380000}"/>
    <cellStyle name="Currency 5 3 2 2 2 2 2 2" xfId="36200" xr:uid="{00000000-0005-0000-0000-000028380000}"/>
    <cellStyle name="Currency 5 3 2 2 2 2 3" xfId="22432" xr:uid="{00000000-0005-0000-0000-000029380000}"/>
    <cellStyle name="Currency 5 3 2 2 2 2 3 2" xfId="42352" xr:uid="{00000000-0005-0000-0000-00002A380000}"/>
    <cellStyle name="Currency 5 3 2 2 2 2 4" xfId="30047" xr:uid="{00000000-0005-0000-0000-00002B380000}"/>
    <cellStyle name="Currency 5 3 2 2 2 3" xfId="13214" xr:uid="{00000000-0005-0000-0000-00002C380000}"/>
    <cellStyle name="Currency 5 3 2 2 2 3 2" xfId="33134" xr:uid="{00000000-0005-0000-0000-00002D380000}"/>
    <cellStyle name="Currency 5 3 2 2 2 4" xfId="19366" xr:uid="{00000000-0005-0000-0000-00002E380000}"/>
    <cellStyle name="Currency 5 3 2 2 2 4 2" xfId="39286" xr:uid="{00000000-0005-0000-0000-00002F380000}"/>
    <cellStyle name="Currency 5 3 2 2 2 5" xfId="26981" xr:uid="{00000000-0005-0000-0000-000030380000}"/>
    <cellStyle name="Currency 5 3 2 2 3" xfId="8552" xr:uid="{00000000-0005-0000-0000-000031380000}"/>
    <cellStyle name="Currency 5 3 2 2 3 2" xfId="14746" xr:uid="{00000000-0005-0000-0000-000032380000}"/>
    <cellStyle name="Currency 5 3 2 2 3 2 2" xfId="34666" xr:uid="{00000000-0005-0000-0000-000033380000}"/>
    <cellStyle name="Currency 5 3 2 2 3 3" xfId="20898" xr:uid="{00000000-0005-0000-0000-000034380000}"/>
    <cellStyle name="Currency 5 3 2 2 3 3 2" xfId="40818" xr:uid="{00000000-0005-0000-0000-000035380000}"/>
    <cellStyle name="Currency 5 3 2 2 3 4" xfId="28513" xr:uid="{00000000-0005-0000-0000-000036380000}"/>
    <cellStyle name="Currency 5 3 2 2 4" xfId="11680" xr:uid="{00000000-0005-0000-0000-000037380000}"/>
    <cellStyle name="Currency 5 3 2 2 4 2" xfId="31600" xr:uid="{00000000-0005-0000-0000-000038380000}"/>
    <cellStyle name="Currency 5 3 2 2 5" xfId="17832" xr:uid="{00000000-0005-0000-0000-000039380000}"/>
    <cellStyle name="Currency 5 3 2 2 5 2" xfId="37752" xr:uid="{00000000-0005-0000-0000-00003A380000}"/>
    <cellStyle name="Currency 5 3 2 2 6" xfId="25447" xr:uid="{00000000-0005-0000-0000-00003B380000}"/>
    <cellStyle name="Currency 5 3 2 3" xfId="6232" xr:uid="{00000000-0005-0000-0000-00003C380000}"/>
    <cellStyle name="Currency 5 3 2 3 2" xfId="9318" xr:uid="{00000000-0005-0000-0000-00003D380000}"/>
    <cellStyle name="Currency 5 3 2 3 2 2" xfId="15511" xr:uid="{00000000-0005-0000-0000-00003E380000}"/>
    <cellStyle name="Currency 5 3 2 3 2 2 2" xfId="35431" xr:uid="{00000000-0005-0000-0000-00003F380000}"/>
    <cellStyle name="Currency 5 3 2 3 2 3" xfId="21663" xr:uid="{00000000-0005-0000-0000-000040380000}"/>
    <cellStyle name="Currency 5 3 2 3 2 3 2" xfId="41583" xr:uid="{00000000-0005-0000-0000-000041380000}"/>
    <cellStyle name="Currency 5 3 2 3 2 4" xfId="29278" xr:uid="{00000000-0005-0000-0000-000042380000}"/>
    <cellStyle name="Currency 5 3 2 3 3" xfId="12445" xr:uid="{00000000-0005-0000-0000-000043380000}"/>
    <cellStyle name="Currency 5 3 2 3 3 2" xfId="32365" xr:uid="{00000000-0005-0000-0000-000044380000}"/>
    <cellStyle name="Currency 5 3 2 3 4" xfId="18597" xr:uid="{00000000-0005-0000-0000-000045380000}"/>
    <cellStyle name="Currency 5 3 2 3 4 2" xfId="38517" xr:uid="{00000000-0005-0000-0000-000046380000}"/>
    <cellStyle name="Currency 5 3 2 3 5" xfId="26212" xr:uid="{00000000-0005-0000-0000-000047380000}"/>
    <cellStyle name="Currency 5 3 2 4" xfId="7783" xr:uid="{00000000-0005-0000-0000-000048380000}"/>
    <cellStyle name="Currency 5 3 2 4 2" xfId="13977" xr:uid="{00000000-0005-0000-0000-000049380000}"/>
    <cellStyle name="Currency 5 3 2 4 2 2" xfId="33897" xr:uid="{00000000-0005-0000-0000-00004A380000}"/>
    <cellStyle name="Currency 5 3 2 4 3" xfId="20129" xr:uid="{00000000-0005-0000-0000-00004B380000}"/>
    <cellStyle name="Currency 5 3 2 4 3 2" xfId="40049" xr:uid="{00000000-0005-0000-0000-00004C380000}"/>
    <cellStyle name="Currency 5 3 2 4 4" xfId="27744" xr:uid="{00000000-0005-0000-0000-00004D380000}"/>
    <cellStyle name="Currency 5 3 2 5" xfId="10911" xr:uid="{00000000-0005-0000-0000-00004E380000}"/>
    <cellStyle name="Currency 5 3 2 5 2" xfId="30831" xr:uid="{00000000-0005-0000-0000-00004F380000}"/>
    <cellStyle name="Currency 5 3 2 6" xfId="17063" xr:uid="{00000000-0005-0000-0000-000050380000}"/>
    <cellStyle name="Currency 5 3 2 6 2" xfId="36983" xr:uid="{00000000-0005-0000-0000-000051380000}"/>
    <cellStyle name="Currency 5 3 2 7" xfId="24678" xr:uid="{00000000-0005-0000-0000-000052380000}"/>
    <cellStyle name="Currency 5 3 3" xfId="3163" xr:uid="{00000000-0005-0000-0000-000053380000}"/>
    <cellStyle name="Currency 5 3 4" xfId="4634" xr:uid="{00000000-0005-0000-0000-000054380000}"/>
    <cellStyle name="Currency 5 3 4 2" xfId="6259" xr:uid="{00000000-0005-0000-0000-000055380000}"/>
    <cellStyle name="Currency 5 3 4 2 2" xfId="9345" xr:uid="{00000000-0005-0000-0000-000056380000}"/>
    <cellStyle name="Currency 5 3 4 2 2 2" xfId="15538" xr:uid="{00000000-0005-0000-0000-000057380000}"/>
    <cellStyle name="Currency 5 3 4 2 2 2 2" xfId="35458" xr:uid="{00000000-0005-0000-0000-000058380000}"/>
    <cellStyle name="Currency 5 3 4 2 2 3" xfId="21690" xr:uid="{00000000-0005-0000-0000-000059380000}"/>
    <cellStyle name="Currency 5 3 4 2 2 3 2" xfId="41610" xr:uid="{00000000-0005-0000-0000-00005A380000}"/>
    <cellStyle name="Currency 5 3 4 2 2 4" xfId="29305" xr:uid="{00000000-0005-0000-0000-00005B380000}"/>
    <cellStyle name="Currency 5 3 4 2 3" xfId="12472" xr:uid="{00000000-0005-0000-0000-00005C380000}"/>
    <cellStyle name="Currency 5 3 4 2 3 2" xfId="32392" xr:uid="{00000000-0005-0000-0000-00005D380000}"/>
    <cellStyle name="Currency 5 3 4 2 4" xfId="18624" xr:uid="{00000000-0005-0000-0000-00005E380000}"/>
    <cellStyle name="Currency 5 3 4 2 4 2" xfId="38544" xr:uid="{00000000-0005-0000-0000-00005F380000}"/>
    <cellStyle name="Currency 5 3 4 2 5" xfId="26239" xr:uid="{00000000-0005-0000-0000-000060380000}"/>
    <cellStyle name="Currency 5 3 4 3" xfId="7810" xr:uid="{00000000-0005-0000-0000-000061380000}"/>
    <cellStyle name="Currency 5 3 4 3 2" xfId="14004" xr:uid="{00000000-0005-0000-0000-000062380000}"/>
    <cellStyle name="Currency 5 3 4 3 2 2" xfId="33924" xr:uid="{00000000-0005-0000-0000-000063380000}"/>
    <cellStyle name="Currency 5 3 4 3 3" xfId="20156" xr:uid="{00000000-0005-0000-0000-000064380000}"/>
    <cellStyle name="Currency 5 3 4 3 3 2" xfId="40076" xr:uid="{00000000-0005-0000-0000-000065380000}"/>
    <cellStyle name="Currency 5 3 4 3 4" xfId="27771" xr:uid="{00000000-0005-0000-0000-000066380000}"/>
    <cellStyle name="Currency 5 3 4 4" xfId="10938" xr:uid="{00000000-0005-0000-0000-000067380000}"/>
    <cellStyle name="Currency 5 3 4 4 2" xfId="30858" xr:uid="{00000000-0005-0000-0000-000068380000}"/>
    <cellStyle name="Currency 5 3 4 5" xfId="17090" xr:uid="{00000000-0005-0000-0000-000069380000}"/>
    <cellStyle name="Currency 5 3 4 5 2" xfId="37010" xr:uid="{00000000-0005-0000-0000-00006A380000}"/>
    <cellStyle name="Currency 5 3 4 6" xfId="24705" xr:uid="{00000000-0005-0000-0000-00006B380000}"/>
    <cellStyle name="Currency 5 3 5" xfId="5473" xr:uid="{00000000-0005-0000-0000-00006C380000}"/>
    <cellStyle name="Currency 5 3 5 2" xfId="8576" xr:uid="{00000000-0005-0000-0000-00006D380000}"/>
    <cellStyle name="Currency 5 3 5 2 2" xfId="14769" xr:uid="{00000000-0005-0000-0000-00006E380000}"/>
    <cellStyle name="Currency 5 3 5 2 2 2" xfId="34689" xr:uid="{00000000-0005-0000-0000-00006F380000}"/>
    <cellStyle name="Currency 5 3 5 2 3" xfId="20921" xr:uid="{00000000-0005-0000-0000-000070380000}"/>
    <cellStyle name="Currency 5 3 5 2 3 2" xfId="40841" xr:uid="{00000000-0005-0000-0000-000071380000}"/>
    <cellStyle name="Currency 5 3 5 2 4" xfId="28536" xr:uid="{00000000-0005-0000-0000-000072380000}"/>
    <cellStyle name="Currency 5 3 5 3" xfId="11703" xr:uid="{00000000-0005-0000-0000-000073380000}"/>
    <cellStyle name="Currency 5 3 5 3 2" xfId="31623" xr:uid="{00000000-0005-0000-0000-000074380000}"/>
    <cellStyle name="Currency 5 3 5 4" xfId="17855" xr:uid="{00000000-0005-0000-0000-000075380000}"/>
    <cellStyle name="Currency 5 3 5 4 2" xfId="37775" xr:uid="{00000000-0005-0000-0000-000076380000}"/>
    <cellStyle name="Currency 5 3 5 5" xfId="25470" xr:uid="{00000000-0005-0000-0000-000077380000}"/>
    <cellStyle name="Currency 5 3 6" xfId="7041" xr:uid="{00000000-0005-0000-0000-000078380000}"/>
    <cellStyle name="Currency 5 3 6 2" xfId="13235" xr:uid="{00000000-0005-0000-0000-000079380000}"/>
    <cellStyle name="Currency 5 3 6 2 2" xfId="33155" xr:uid="{00000000-0005-0000-0000-00007A380000}"/>
    <cellStyle name="Currency 5 3 6 3" xfId="19387" xr:uid="{00000000-0005-0000-0000-00007B380000}"/>
    <cellStyle name="Currency 5 3 6 3 2" xfId="39307" xr:uid="{00000000-0005-0000-0000-00007C380000}"/>
    <cellStyle name="Currency 5 3 6 4" xfId="27002" xr:uid="{00000000-0005-0000-0000-00007D380000}"/>
    <cellStyle name="Currency 5 3 7" xfId="10169" xr:uid="{00000000-0005-0000-0000-00007E380000}"/>
    <cellStyle name="Currency 5 3 7 2" xfId="30089" xr:uid="{00000000-0005-0000-0000-00007F380000}"/>
    <cellStyle name="Currency 5 3 8" xfId="16321" xr:uid="{00000000-0005-0000-0000-000080380000}"/>
    <cellStyle name="Currency 5 3 8 2" xfId="36241" xr:uid="{00000000-0005-0000-0000-000081380000}"/>
    <cellStyle name="Currency 5 3 9" xfId="23936" xr:uid="{00000000-0005-0000-0000-000082380000}"/>
    <cellStyle name="Currency 5 4" xfId="4544" xr:uid="{00000000-0005-0000-0000-000083380000}"/>
    <cellStyle name="Currency 5 4 2" xfId="5368" xr:uid="{00000000-0005-0000-0000-000084380000}"/>
    <cellStyle name="Currency 5 4 2 2" xfId="6993" xr:uid="{00000000-0005-0000-0000-000085380000}"/>
    <cellStyle name="Currency 5 4 2 2 2" xfId="10079" xr:uid="{00000000-0005-0000-0000-000086380000}"/>
    <cellStyle name="Currency 5 4 2 2 2 2" xfId="16272" xr:uid="{00000000-0005-0000-0000-000087380000}"/>
    <cellStyle name="Currency 5 4 2 2 2 2 2" xfId="36192" xr:uid="{00000000-0005-0000-0000-000088380000}"/>
    <cellStyle name="Currency 5 4 2 2 2 3" xfId="22424" xr:uid="{00000000-0005-0000-0000-000089380000}"/>
    <cellStyle name="Currency 5 4 2 2 2 3 2" xfId="42344" xr:uid="{00000000-0005-0000-0000-00008A380000}"/>
    <cellStyle name="Currency 5 4 2 2 2 4" xfId="30039" xr:uid="{00000000-0005-0000-0000-00008B380000}"/>
    <cellStyle name="Currency 5 4 2 2 3" xfId="13206" xr:uid="{00000000-0005-0000-0000-00008C380000}"/>
    <cellStyle name="Currency 5 4 2 2 3 2" xfId="33126" xr:uid="{00000000-0005-0000-0000-00008D380000}"/>
    <cellStyle name="Currency 5 4 2 2 4" xfId="19358" xr:uid="{00000000-0005-0000-0000-00008E380000}"/>
    <cellStyle name="Currency 5 4 2 2 4 2" xfId="39278" xr:uid="{00000000-0005-0000-0000-00008F380000}"/>
    <cellStyle name="Currency 5 4 2 2 5" xfId="26973" xr:uid="{00000000-0005-0000-0000-000090380000}"/>
    <cellStyle name="Currency 5 4 2 3" xfId="8544" xr:uid="{00000000-0005-0000-0000-000091380000}"/>
    <cellStyle name="Currency 5 4 2 3 2" xfId="14738" xr:uid="{00000000-0005-0000-0000-000092380000}"/>
    <cellStyle name="Currency 5 4 2 3 2 2" xfId="34658" xr:uid="{00000000-0005-0000-0000-000093380000}"/>
    <cellStyle name="Currency 5 4 2 3 3" xfId="20890" xr:uid="{00000000-0005-0000-0000-000094380000}"/>
    <cellStyle name="Currency 5 4 2 3 3 2" xfId="40810" xr:uid="{00000000-0005-0000-0000-000095380000}"/>
    <cellStyle name="Currency 5 4 2 3 4" xfId="28505" xr:uid="{00000000-0005-0000-0000-000096380000}"/>
    <cellStyle name="Currency 5 4 2 4" xfId="11672" xr:uid="{00000000-0005-0000-0000-000097380000}"/>
    <cellStyle name="Currency 5 4 2 4 2" xfId="31592" xr:uid="{00000000-0005-0000-0000-000098380000}"/>
    <cellStyle name="Currency 5 4 2 5" xfId="17824" xr:uid="{00000000-0005-0000-0000-000099380000}"/>
    <cellStyle name="Currency 5 4 2 5 2" xfId="37744" xr:uid="{00000000-0005-0000-0000-00009A380000}"/>
    <cellStyle name="Currency 5 4 2 6" xfId="25439" xr:uid="{00000000-0005-0000-0000-00009B380000}"/>
    <cellStyle name="Currency 5 4 3" xfId="6223" xr:uid="{00000000-0005-0000-0000-00009C380000}"/>
    <cellStyle name="Currency 5 4 3 2" xfId="9310" xr:uid="{00000000-0005-0000-0000-00009D380000}"/>
    <cellStyle name="Currency 5 4 3 2 2" xfId="15503" xr:uid="{00000000-0005-0000-0000-00009E380000}"/>
    <cellStyle name="Currency 5 4 3 2 2 2" xfId="35423" xr:uid="{00000000-0005-0000-0000-00009F380000}"/>
    <cellStyle name="Currency 5 4 3 2 3" xfId="21655" xr:uid="{00000000-0005-0000-0000-0000A0380000}"/>
    <cellStyle name="Currency 5 4 3 2 3 2" xfId="41575" xr:uid="{00000000-0005-0000-0000-0000A1380000}"/>
    <cellStyle name="Currency 5 4 3 2 4" xfId="29270" xr:uid="{00000000-0005-0000-0000-0000A2380000}"/>
    <cellStyle name="Currency 5 4 3 3" xfId="12437" xr:uid="{00000000-0005-0000-0000-0000A3380000}"/>
    <cellStyle name="Currency 5 4 3 3 2" xfId="32357" xr:uid="{00000000-0005-0000-0000-0000A4380000}"/>
    <cellStyle name="Currency 5 4 3 4" xfId="18589" xr:uid="{00000000-0005-0000-0000-0000A5380000}"/>
    <cellStyle name="Currency 5 4 3 4 2" xfId="38509" xr:uid="{00000000-0005-0000-0000-0000A6380000}"/>
    <cellStyle name="Currency 5 4 3 5" xfId="26204" xr:uid="{00000000-0005-0000-0000-0000A7380000}"/>
    <cellStyle name="Currency 5 4 4" xfId="7775" xr:uid="{00000000-0005-0000-0000-0000A8380000}"/>
    <cellStyle name="Currency 5 4 4 2" xfId="13969" xr:uid="{00000000-0005-0000-0000-0000A9380000}"/>
    <cellStyle name="Currency 5 4 4 2 2" xfId="33889" xr:uid="{00000000-0005-0000-0000-0000AA380000}"/>
    <cellStyle name="Currency 5 4 4 3" xfId="20121" xr:uid="{00000000-0005-0000-0000-0000AB380000}"/>
    <cellStyle name="Currency 5 4 4 3 2" xfId="40041" xr:uid="{00000000-0005-0000-0000-0000AC380000}"/>
    <cellStyle name="Currency 5 4 4 4" xfId="27736" xr:uid="{00000000-0005-0000-0000-0000AD380000}"/>
    <cellStyle name="Currency 5 4 5" xfId="10903" xr:uid="{00000000-0005-0000-0000-0000AE380000}"/>
    <cellStyle name="Currency 5 4 5 2" xfId="30823" xr:uid="{00000000-0005-0000-0000-0000AF380000}"/>
    <cellStyle name="Currency 5 4 6" xfId="17055" xr:uid="{00000000-0005-0000-0000-0000B0380000}"/>
    <cellStyle name="Currency 5 4 6 2" xfId="36975" xr:uid="{00000000-0005-0000-0000-0000B1380000}"/>
    <cellStyle name="Currency 5 4 7" xfId="24670" xr:uid="{00000000-0005-0000-0000-0000B2380000}"/>
    <cellStyle name="Currency 5 5" xfId="3159" xr:uid="{00000000-0005-0000-0000-0000B3380000}"/>
    <cellStyle name="Currency 5 6" xfId="4613" xr:uid="{00000000-0005-0000-0000-0000B4380000}"/>
    <cellStyle name="Currency 5 6 2" xfId="6245" xr:uid="{00000000-0005-0000-0000-0000B5380000}"/>
    <cellStyle name="Currency 5 6 2 2" xfId="9331" xr:uid="{00000000-0005-0000-0000-0000B6380000}"/>
    <cellStyle name="Currency 5 6 2 2 2" xfId="15524" xr:uid="{00000000-0005-0000-0000-0000B7380000}"/>
    <cellStyle name="Currency 5 6 2 2 2 2" xfId="35444" xr:uid="{00000000-0005-0000-0000-0000B8380000}"/>
    <cellStyle name="Currency 5 6 2 2 3" xfId="21676" xr:uid="{00000000-0005-0000-0000-0000B9380000}"/>
    <cellStyle name="Currency 5 6 2 2 3 2" xfId="41596" xr:uid="{00000000-0005-0000-0000-0000BA380000}"/>
    <cellStyle name="Currency 5 6 2 2 4" xfId="29291" xr:uid="{00000000-0005-0000-0000-0000BB380000}"/>
    <cellStyle name="Currency 5 6 2 3" xfId="12458" xr:uid="{00000000-0005-0000-0000-0000BC380000}"/>
    <cellStyle name="Currency 5 6 2 3 2" xfId="32378" xr:uid="{00000000-0005-0000-0000-0000BD380000}"/>
    <cellStyle name="Currency 5 6 2 4" xfId="18610" xr:uid="{00000000-0005-0000-0000-0000BE380000}"/>
    <cellStyle name="Currency 5 6 2 4 2" xfId="38530" xr:uid="{00000000-0005-0000-0000-0000BF380000}"/>
    <cellStyle name="Currency 5 6 2 5" xfId="26225" xr:uid="{00000000-0005-0000-0000-0000C0380000}"/>
    <cellStyle name="Currency 5 6 3" xfId="7796" xr:uid="{00000000-0005-0000-0000-0000C1380000}"/>
    <cellStyle name="Currency 5 6 3 2" xfId="13990" xr:uid="{00000000-0005-0000-0000-0000C2380000}"/>
    <cellStyle name="Currency 5 6 3 2 2" xfId="33910" xr:uid="{00000000-0005-0000-0000-0000C3380000}"/>
    <cellStyle name="Currency 5 6 3 3" xfId="20142" xr:uid="{00000000-0005-0000-0000-0000C4380000}"/>
    <cellStyle name="Currency 5 6 3 3 2" xfId="40062" xr:uid="{00000000-0005-0000-0000-0000C5380000}"/>
    <cellStyle name="Currency 5 6 3 4" xfId="27757" xr:uid="{00000000-0005-0000-0000-0000C6380000}"/>
    <cellStyle name="Currency 5 6 4" xfId="10924" xr:uid="{00000000-0005-0000-0000-0000C7380000}"/>
    <cellStyle name="Currency 5 6 4 2" xfId="30844" xr:uid="{00000000-0005-0000-0000-0000C8380000}"/>
    <cellStyle name="Currency 5 6 5" xfId="17076" xr:uid="{00000000-0005-0000-0000-0000C9380000}"/>
    <cellStyle name="Currency 5 6 5 2" xfId="36996" xr:uid="{00000000-0005-0000-0000-0000CA380000}"/>
    <cellStyle name="Currency 5 6 6" xfId="24691" xr:uid="{00000000-0005-0000-0000-0000CB380000}"/>
    <cellStyle name="Currency 5 7" xfId="5461" xr:uid="{00000000-0005-0000-0000-0000CC380000}"/>
    <cellStyle name="Currency 5 7 2" xfId="8565" xr:uid="{00000000-0005-0000-0000-0000CD380000}"/>
    <cellStyle name="Currency 5 7 2 2" xfId="14758" xr:uid="{00000000-0005-0000-0000-0000CE380000}"/>
    <cellStyle name="Currency 5 7 2 2 2" xfId="34678" xr:uid="{00000000-0005-0000-0000-0000CF380000}"/>
    <cellStyle name="Currency 5 7 2 3" xfId="20910" xr:uid="{00000000-0005-0000-0000-0000D0380000}"/>
    <cellStyle name="Currency 5 7 2 3 2" xfId="40830" xr:uid="{00000000-0005-0000-0000-0000D1380000}"/>
    <cellStyle name="Currency 5 7 2 4" xfId="28525" xr:uid="{00000000-0005-0000-0000-0000D2380000}"/>
    <cellStyle name="Currency 5 7 3" xfId="11692" xr:uid="{00000000-0005-0000-0000-0000D3380000}"/>
    <cellStyle name="Currency 5 7 3 2" xfId="31612" xr:uid="{00000000-0005-0000-0000-0000D4380000}"/>
    <cellStyle name="Currency 5 7 4" xfId="17844" xr:uid="{00000000-0005-0000-0000-0000D5380000}"/>
    <cellStyle name="Currency 5 7 4 2" xfId="37764" xr:uid="{00000000-0005-0000-0000-0000D6380000}"/>
    <cellStyle name="Currency 5 7 5" xfId="25459" xr:uid="{00000000-0005-0000-0000-0000D7380000}"/>
    <cellStyle name="Currency 5 8" xfId="7030" xr:uid="{00000000-0005-0000-0000-0000D8380000}"/>
    <cellStyle name="Currency 5 8 2" xfId="13224" xr:uid="{00000000-0005-0000-0000-0000D9380000}"/>
    <cellStyle name="Currency 5 8 2 2" xfId="33144" xr:uid="{00000000-0005-0000-0000-0000DA380000}"/>
    <cellStyle name="Currency 5 8 3" xfId="19376" xr:uid="{00000000-0005-0000-0000-0000DB380000}"/>
    <cellStyle name="Currency 5 8 3 2" xfId="39296" xr:uid="{00000000-0005-0000-0000-0000DC380000}"/>
    <cellStyle name="Currency 5 8 4" xfId="26991" xr:uid="{00000000-0005-0000-0000-0000DD380000}"/>
    <cellStyle name="Currency 5 9" xfId="10158" xr:uid="{00000000-0005-0000-0000-0000DE380000}"/>
    <cellStyle name="Currency 5 9 2" xfId="30078" xr:uid="{00000000-0005-0000-0000-0000DF380000}"/>
    <cellStyle name="Currency 50" xfId="3164" xr:uid="{00000000-0005-0000-0000-0000E0380000}"/>
    <cellStyle name="Currency 51" xfId="3165" xr:uid="{00000000-0005-0000-0000-0000E1380000}"/>
    <cellStyle name="Currency 52" xfId="3166" xr:uid="{00000000-0005-0000-0000-0000E2380000}"/>
    <cellStyle name="Currency 53" xfId="3167" xr:uid="{00000000-0005-0000-0000-0000E3380000}"/>
    <cellStyle name="Currency 54" xfId="3168" xr:uid="{00000000-0005-0000-0000-0000E4380000}"/>
    <cellStyle name="Currency 55" xfId="3169" xr:uid="{00000000-0005-0000-0000-0000E5380000}"/>
    <cellStyle name="Currency 56" xfId="3170" xr:uid="{00000000-0005-0000-0000-0000E6380000}"/>
    <cellStyle name="Currency 57" xfId="3171" xr:uid="{00000000-0005-0000-0000-0000E7380000}"/>
    <cellStyle name="Currency 58" xfId="3172" xr:uid="{00000000-0005-0000-0000-0000E8380000}"/>
    <cellStyle name="Currency 59" xfId="3173" xr:uid="{00000000-0005-0000-0000-0000E9380000}"/>
    <cellStyle name="Currency 6" xfId="1035" xr:uid="{00000000-0005-0000-0000-0000EA380000}"/>
    <cellStyle name="Currency 6 2" xfId="3175" xr:uid="{00000000-0005-0000-0000-0000EB380000}"/>
    <cellStyle name="Currency 6 2 2" xfId="3176" xr:uid="{00000000-0005-0000-0000-0000EC380000}"/>
    <cellStyle name="Currency 6 2 3" xfId="3177" xr:uid="{00000000-0005-0000-0000-0000ED380000}"/>
    <cellStyle name="Currency 6 3" xfId="3178" xr:uid="{00000000-0005-0000-0000-0000EE380000}"/>
    <cellStyle name="Currency 6 4" xfId="4586" xr:uid="{00000000-0005-0000-0000-0000EF380000}"/>
    <cellStyle name="Currency 6 5" xfId="3174" xr:uid="{00000000-0005-0000-0000-0000F0380000}"/>
    <cellStyle name="Currency 6 6" xfId="1169" xr:uid="{00000000-0005-0000-0000-0000F1380000}"/>
    <cellStyle name="Currency 60" xfId="3179" xr:uid="{00000000-0005-0000-0000-0000F2380000}"/>
    <cellStyle name="Currency 61" xfId="3180" xr:uid="{00000000-0005-0000-0000-0000F3380000}"/>
    <cellStyle name="Currency 62" xfId="3181" xr:uid="{00000000-0005-0000-0000-0000F4380000}"/>
    <cellStyle name="Currency 63" xfId="3182" xr:uid="{00000000-0005-0000-0000-0000F5380000}"/>
    <cellStyle name="Currency 64" xfId="3183" xr:uid="{00000000-0005-0000-0000-0000F6380000}"/>
    <cellStyle name="Currency 65" xfId="3184" xr:uid="{00000000-0005-0000-0000-0000F7380000}"/>
    <cellStyle name="Currency 66" xfId="3185" xr:uid="{00000000-0005-0000-0000-0000F8380000}"/>
    <cellStyle name="Currency 67" xfId="3186" xr:uid="{00000000-0005-0000-0000-0000F9380000}"/>
    <cellStyle name="Currency 68" xfId="3187" xr:uid="{00000000-0005-0000-0000-0000FA380000}"/>
    <cellStyle name="Currency 69" xfId="3188" xr:uid="{00000000-0005-0000-0000-0000FB380000}"/>
    <cellStyle name="Currency 7" xfId="1179" xr:uid="{00000000-0005-0000-0000-0000FC380000}"/>
    <cellStyle name="Currency 7 2" xfId="3190" xr:uid="{00000000-0005-0000-0000-0000FD380000}"/>
    <cellStyle name="Currency 7 2 2" xfId="3191" xr:uid="{00000000-0005-0000-0000-0000FE380000}"/>
    <cellStyle name="Currency 7 2 3" xfId="3192" xr:uid="{00000000-0005-0000-0000-0000FF380000}"/>
    <cellStyle name="Currency 7 2 4" xfId="10129" xr:uid="{00000000-0005-0000-0000-000000390000}"/>
    <cellStyle name="Currency 7 2 4 2" xfId="16301" xr:uid="{00000000-0005-0000-0000-000001390000}"/>
    <cellStyle name="Currency 7 2 4 2 2" xfId="36221" xr:uid="{00000000-0005-0000-0000-000002390000}"/>
    <cellStyle name="Currency 7 2 4 3" xfId="22453" xr:uid="{00000000-0005-0000-0000-000003390000}"/>
    <cellStyle name="Currency 7 2 4 3 2" xfId="42373" xr:uid="{00000000-0005-0000-0000-000004390000}"/>
    <cellStyle name="Currency 7 2 4 4" xfId="30068" xr:uid="{00000000-0005-0000-0000-000005390000}"/>
    <cellStyle name="Currency 7 3" xfId="3193" xr:uid="{00000000-0005-0000-0000-000006390000}"/>
    <cellStyle name="Currency 7 4" xfId="4593" xr:uid="{00000000-0005-0000-0000-000007390000}"/>
    <cellStyle name="Currency 7 5" xfId="3189" xr:uid="{00000000-0005-0000-0000-000008390000}"/>
    <cellStyle name="Currency 7 6" xfId="10111" xr:uid="{00000000-0005-0000-0000-000009390000}"/>
    <cellStyle name="Currency 7 6 2" xfId="16292" xr:uid="{00000000-0005-0000-0000-00000A390000}"/>
    <cellStyle name="Currency 7 6 2 2" xfId="36212" xr:uid="{00000000-0005-0000-0000-00000B390000}"/>
    <cellStyle name="Currency 7 6 3" xfId="22444" xr:uid="{00000000-0005-0000-0000-00000C390000}"/>
    <cellStyle name="Currency 7 6 3 2" xfId="42364" xr:uid="{00000000-0005-0000-0000-00000D390000}"/>
    <cellStyle name="Currency 7 6 4" xfId="30059" xr:uid="{00000000-0005-0000-0000-00000E390000}"/>
    <cellStyle name="Currency 70" xfId="3194" xr:uid="{00000000-0005-0000-0000-00000F390000}"/>
    <cellStyle name="Currency 71" xfId="3195" xr:uid="{00000000-0005-0000-0000-000010390000}"/>
    <cellStyle name="Currency 72" xfId="3196" xr:uid="{00000000-0005-0000-0000-000011390000}"/>
    <cellStyle name="Currency 73" xfId="3197" xr:uid="{00000000-0005-0000-0000-000012390000}"/>
    <cellStyle name="Currency 74" xfId="3198" xr:uid="{00000000-0005-0000-0000-000013390000}"/>
    <cellStyle name="Currency 75" xfId="3199" xr:uid="{00000000-0005-0000-0000-000014390000}"/>
    <cellStyle name="Currency 76" xfId="3200" xr:uid="{00000000-0005-0000-0000-000015390000}"/>
    <cellStyle name="Currency 77" xfId="3201" xr:uid="{00000000-0005-0000-0000-000016390000}"/>
    <cellStyle name="Currency 78" xfId="3202" xr:uid="{00000000-0005-0000-0000-000017390000}"/>
    <cellStyle name="Currency 79" xfId="3203" xr:uid="{00000000-0005-0000-0000-000018390000}"/>
    <cellStyle name="Currency 8" xfId="1185" xr:uid="{00000000-0005-0000-0000-000019390000}"/>
    <cellStyle name="Currency 8 2" xfId="3205" xr:uid="{00000000-0005-0000-0000-00001A390000}"/>
    <cellStyle name="Currency 8 2 2" xfId="3206" xr:uid="{00000000-0005-0000-0000-00001B390000}"/>
    <cellStyle name="Currency 8 2 3" xfId="3207" xr:uid="{00000000-0005-0000-0000-00001C390000}"/>
    <cellStyle name="Currency 8 3" xfId="3208" xr:uid="{00000000-0005-0000-0000-00001D390000}"/>
    <cellStyle name="Currency 8 4" xfId="4599" xr:uid="{00000000-0005-0000-0000-00001E390000}"/>
    <cellStyle name="Currency 8 5" xfId="3204" xr:uid="{00000000-0005-0000-0000-00001F390000}"/>
    <cellStyle name="Currency 8 6" xfId="10147" xr:uid="{00000000-0005-0000-0000-000020390000}"/>
    <cellStyle name="Currency 80" xfId="3209" xr:uid="{00000000-0005-0000-0000-000021390000}"/>
    <cellStyle name="Currency 81" xfId="3210" xr:uid="{00000000-0005-0000-0000-000022390000}"/>
    <cellStyle name="Currency 82" xfId="3211" xr:uid="{00000000-0005-0000-0000-000023390000}"/>
    <cellStyle name="Currency 83" xfId="3212" xr:uid="{00000000-0005-0000-0000-000024390000}"/>
    <cellStyle name="Currency 84" xfId="3213" xr:uid="{00000000-0005-0000-0000-000025390000}"/>
    <cellStyle name="Currency 85" xfId="3214" xr:uid="{00000000-0005-0000-0000-000026390000}"/>
    <cellStyle name="Currency 86" xfId="3215" xr:uid="{00000000-0005-0000-0000-000027390000}"/>
    <cellStyle name="Currency 87" xfId="3216" xr:uid="{00000000-0005-0000-0000-000028390000}"/>
    <cellStyle name="Currency 88" xfId="3217" xr:uid="{00000000-0005-0000-0000-000029390000}"/>
    <cellStyle name="Currency 89" xfId="3218" xr:uid="{00000000-0005-0000-0000-00002A390000}"/>
    <cellStyle name="Currency 9" xfId="1181" xr:uid="{00000000-0005-0000-0000-00002B390000}"/>
    <cellStyle name="Currency 9 2" xfId="3220" xr:uid="{00000000-0005-0000-0000-00002C390000}"/>
    <cellStyle name="Currency 9 2 2" xfId="3221" xr:uid="{00000000-0005-0000-0000-00002D390000}"/>
    <cellStyle name="Currency 9 2 3" xfId="3222" xr:uid="{00000000-0005-0000-0000-00002E390000}"/>
    <cellStyle name="Currency 9 3" xfId="3223" xr:uid="{00000000-0005-0000-0000-00002F390000}"/>
    <cellStyle name="Currency 9 4" xfId="4595" xr:uid="{00000000-0005-0000-0000-000030390000}"/>
    <cellStyle name="Currency 9 5" xfId="3219" xr:uid="{00000000-0005-0000-0000-000031390000}"/>
    <cellStyle name="Currency 90" xfId="3224" xr:uid="{00000000-0005-0000-0000-000032390000}"/>
    <cellStyle name="Currency 91" xfId="3225" xr:uid="{00000000-0005-0000-0000-000033390000}"/>
    <cellStyle name="Currency 92" xfId="3226" xr:uid="{00000000-0005-0000-0000-000034390000}"/>
    <cellStyle name="Currency 93" xfId="3227" xr:uid="{00000000-0005-0000-0000-000035390000}"/>
    <cellStyle name="Currency 94" xfId="3228" xr:uid="{00000000-0005-0000-0000-000036390000}"/>
    <cellStyle name="Currency 95" xfId="3229" xr:uid="{00000000-0005-0000-0000-000037390000}"/>
    <cellStyle name="Currency 96" xfId="3230" xr:uid="{00000000-0005-0000-0000-000038390000}"/>
    <cellStyle name="Currency 97" xfId="3231" xr:uid="{00000000-0005-0000-0000-000039390000}"/>
    <cellStyle name="Currency 98" xfId="3232" xr:uid="{00000000-0005-0000-0000-00003A390000}"/>
    <cellStyle name="Currency 99" xfId="3233" xr:uid="{00000000-0005-0000-0000-00003B390000}"/>
    <cellStyle name="Currency(+Credit)" xfId="3234" xr:uid="{00000000-0005-0000-0000-00003C390000}"/>
    <cellStyle name="Currency0" xfId="135" xr:uid="{00000000-0005-0000-0000-00003D390000}"/>
    <cellStyle name="Currency0 2" xfId="10112" xr:uid="{00000000-0005-0000-0000-00003E390000}"/>
    <cellStyle name="Date" xfId="136" xr:uid="{00000000-0005-0000-0000-00003F390000}"/>
    <cellStyle name="Date 2" xfId="10113" xr:uid="{00000000-0005-0000-0000-000040390000}"/>
    <cellStyle name="Date 3" xfId="3235" xr:uid="{00000000-0005-0000-0000-000041390000}"/>
    <cellStyle name="exceptions" xfId="3236" xr:uid="{00000000-0005-0000-0000-000042390000}"/>
    <cellStyle name="Explanatory Text" xfId="59" builtinId="53" customBuiltin="1"/>
    <cellStyle name="Explanatory Text 2" xfId="3237" xr:uid="{00000000-0005-0000-0000-000044390000}"/>
    <cellStyle name="Explanatory Text 3" xfId="3238" xr:uid="{00000000-0005-0000-0000-000045390000}"/>
    <cellStyle name="Explanatory Text 4" xfId="3239" xr:uid="{00000000-0005-0000-0000-000046390000}"/>
    <cellStyle name="Explanatory Text 5" xfId="3240" xr:uid="{00000000-0005-0000-0000-000047390000}"/>
    <cellStyle name="Fixed" xfId="137" xr:uid="{00000000-0005-0000-0000-000048390000}"/>
    <cellStyle name="Fixed 2" xfId="10114" xr:uid="{00000000-0005-0000-0000-000049390000}"/>
    <cellStyle name="FRxAmtStyle" xfId="3241" xr:uid="{00000000-0005-0000-0000-00004A390000}"/>
    <cellStyle name="FRxAmtStyle 2" xfId="3242" xr:uid="{00000000-0005-0000-0000-00004B390000}"/>
    <cellStyle name="FRxAmtStyle 2 10" xfId="3243" xr:uid="{00000000-0005-0000-0000-00004C390000}"/>
    <cellStyle name="FRxAmtStyle 2 2" xfId="3244" xr:uid="{00000000-0005-0000-0000-00004D390000}"/>
    <cellStyle name="FRxAmtStyle 2 3" xfId="3245" xr:uid="{00000000-0005-0000-0000-00004E390000}"/>
    <cellStyle name="FRxAmtStyle 3" xfId="3246" xr:uid="{00000000-0005-0000-0000-00004F390000}"/>
    <cellStyle name="FRxAmtStyle 4" xfId="3247" xr:uid="{00000000-0005-0000-0000-000050390000}"/>
    <cellStyle name="FRxAmtStyle 5" xfId="3248" xr:uid="{00000000-0005-0000-0000-000051390000}"/>
    <cellStyle name="FRxCurrStyle" xfId="3249" xr:uid="{00000000-0005-0000-0000-000052390000}"/>
    <cellStyle name="FRxCurrStyle 2" xfId="3250" xr:uid="{00000000-0005-0000-0000-000053390000}"/>
    <cellStyle name="FRxPcntStyle" xfId="3251" xr:uid="{00000000-0005-0000-0000-000054390000}"/>
    <cellStyle name="Good" xfId="50" builtinId="26" customBuiltin="1"/>
    <cellStyle name="Good 2" xfId="3252" xr:uid="{00000000-0005-0000-0000-000056390000}"/>
    <cellStyle name="Good 3" xfId="3253" xr:uid="{00000000-0005-0000-0000-000057390000}"/>
    <cellStyle name="Good 4" xfId="3254" xr:uid="{00000000-0005-0000-0000-000058390000}"/>
    <cellStyle name="Good 5" xfId="3255" xr:uid="{00000000-0005-0000-0000-000059390000}"/>
    <cellStyle name="Heading 1" xfId="46" builtinId="16" customBuiltin="1"/>
    <cellStyle name="Heading 1 2" xfId="3256" xr:uid="{00000000-0005-0000-0000-00005B390000}"/>
    <cellStyle name="Heading 1 3" xfId="3257" xr:uid="{00000000-0005-0000-0000-00005C390000}"/>
    <cellStyle name="Heading 1 4" xfId="3258" xr:uid="{00000000-0005-0000-0000-00005D390000}"/>
    <cellStyle name="Heading 1 5" xfId="3259" xr:uid="{00000000-0005-0000-0000-00005E390000}"/>
    <cellStyle name="Heading 1 6" xfId="3260" xr:uid="{00000000-0005-0000-0000-00005F390000}"/>
    <cellStyle name="Heading 2" xfId="47" builtinId="17" customBuiltin="1"/>
    <cellStyle name="Heading 2 2" xfId="3261" xr:uid="{00000000-0005-0000-0000-000061390000}"/>
    <cellStyle name="Heading 2 3" xfId="3262" xr:uid="{00000000-0005-0000-0000-000062390000}"/>
    <cellStyle name="Heading 2 4" xfId="3263" xr:uid="{00000000-0005-0000-0000-000063390000}"/>
    <cellStyle name="Heading 2 5" xfId="3264" xr:uid="{00000000-0005-0000-0000-000064390000}"/>
    <cellStyle name="Heading 2 6" xfId="3265" xr:uid="{00000000-0005-0000-0000-000065390000}"/>
    <cellStyle name="Heading 3" xfId="48" builtinId="18" customBuiltin="1"/>
    <cellStyle name="Heading 3 10" xfId="10152" xr:uid="{00000000-0005-0000-0000-000067390000}"/>
    <cellStyle name="Heading 3 11" xfId="1057" xr:uid="{00000000-0005-0000-0000-000068390000}"/>
    <cellStyle name="Heading 3 2" xfId="1162" xr:uid="{00000000-0005-0000-0000-000069390000}"/>
    <cellStyle name="Heading 3 3" xfId="1167" xr:uid="{00000000-0005-0000-0000-00006A390000}"/>
    <cellStyle name="Heading 3 3 2" xfId="4584" xr:uid="{00000000-0005-0000-0000-00006B390000}"/>
    <cellStyle name="Heading 3 3 3" xfId="3266" xr:uid="{00000000-0005-0000-0000-00006C390000}"/>
    <cellStyle name="Heading 3 4" xfId="3267" xr:uid="{00000000-0005-0000-0000-00006D390000}"/>
    <cellStyle name="Heading 3 5" xfId="3268" xr:uid="{00000000-0005-0000-0000-00006E390000}"/>
    <cellStyle name="Heading 3 6" xfId="3269" xr:uid="{00000000-0005-0000-0000-00006F390000}"/>
    <cellStyle name="Heading 3 7" xfId="4498" xr:uid="{00000000-0005-0000-0000-000070390000}"/>
    <cellStyle name="Heading 3 8" xfId="4619" xr:uid="{00000000-0005-0000-0000-000071390000}"/>
    <cellStyle name="Heading 3 9" xfId="7024" xr:uid="{00000000-0005-0000-0000-000072390000}"/>
    <cellStyle name="Heading 4" xfId="49" builtinId="19" customBuiltin="1"/>
    <cellStyle name="Heading 4 2" xfId="3270" xr:uid="{00000000-0005-0000-0000-000074390000}"/>
    <cellStyle name="Heading 4 3" xfId="3271" xr:uid="{00000000-0005-0000-0000-000075390000}"/>
    <cellStyle name="Heading 4 4" xfId="3272" xr:uid="{00000000-0005-0000-0000-000076390000}"/>
    <cellStyle name="Heading 4 5" xfId="3273" xr:uid="{00000000-0005-0000-0000-000077390000}"/>
    <cellStyle name="Heading 4 6" xfId="3274" xr:uid="{00000000-0005-0000-0000-000078390000}"/>
    <cellStyle name="Heading No Underline" xfId="3275" xr:uid="{00000000-0005-0000-0000-000079390000}"/>
    <cellStyle name="Heading No Underline 2" xfId="3276" xr:uid="{00000000-0005-0000-0000-00007A390000}"/>
    <cellStyle name="Heading No Underline 3" xfId="3277" xr:uid="{00000000-0005-0000-0000-00007B390000}"/>
    <cellStyle name="Heading With Underline" xfId="3278" xr:uid="{00000000-0005-0000-0000-00007C390000}"/>
    <cellStyle name="Heading With Underline 2" xfId="3279" xr:uid="{00000000-0005-0000-0000-00007D390000}"/>
    <cellStyle name="Heading With Underline 3" xfId="3280" xr:uid="{00000000-0005-0000-0000-00007E390000}"/>
    <cellStyle name="HNU" xfId="3281" xr:uid="{00000000-0005-0000-0000-00007F390000}"/>
    <cellStyle name="Hyperlink 2" xfId="1102" xr:uid="{00000000-0005-0000-0000-000080390000}"/>
    <cellStyle name="Hyperlink 2 2" xfId="1103" xr:uid="{00000000-0005-0000-0000-000081390000}"/>
    <cellStyle name="Hyperlink 2 3" xfId="4545" xr:uid="{00000000-0005-0000-0000-000082390000}"/>
    <cellStyle name="Hyperlink 2 4" xfId="3282" xr:uid="{00000000-0005-0000-0000-000083390000}"/>
    <cellStyle name="Hyperlink 3" xfId="1104" xr:uid="{00000000-0005-0000-0000-000084390000}"/>
    <cellStyle name="Input" xfId="53" builtinId="20" customBuiltin="1"/>
    <cellStyle name="Input 2" xfId="3283" xr:uid="{00000000-0005-0000-0000-000086390000}"/>
    <cellStyle name="Input 3" xfId="3284" xr:uid="{00000000-0005-0000-0000-000087390000}"/>
    <cellStyle name="Input 4" xfId="3285" xr:uid="{00000000-0005-0000-0000-000088390000}"/>
    <cellStyle name="Input 5" xfId="3286" xr:uid="{00000000-0005-0000-0000-000089390000}"/>
    <cellStyle name="Input 5 2" xfId="5419" xr:uid="{00000000-0005-0000-0000-00008A390000}"/>
    <cellStyle name="Input 5 2 2" xfId="7016" xr:uid="{00000000-0005-0000-0000-00008B390000}"/>
    <cellStyle name="Input 5 3" xfId="5418" xr:uid="{00000000-0005-0000-0000-00008C390000}"/>
    <cellStyle name="Input 5 3 2" xfId="6100" xr:uid="{00000000-0005-0000-0000-00008D390000}"/>
    <cellStyle name="Input 5 4" xfId="5456" xr:uid="{00000000-0005-0000-0000-00008E390000}"/>
    <cellStyle name="Input 5 4 2" xfId="6210" xr:uid="{00000000-0005-0000-0000-00008F390000}"/>
    <cellStyle name="Input 5 5" xfId="5417" xr:uid="{00000000-0005-0000-0000-000090390000}"/>
    <cellStyle name="Input 5 5 2" xfId="7017" xr:uid="{00000000-0005-0000-0000-000091390000}"/>
    <cellStyle name="Input 5 6" xfId="7020" xr:uid="{00000000-0005-0000-0000-000092390000}"/>
    <cellStyle name="Input Cells_EXTERNAL" xfId="138" xr:uid="{00000000-0005-0000-0000-000093390000}"/>
    <cellStyle name="input highlight" xfId="3287" xr:uid="{00000000-0005-0000-0000-000094390000}"/>
    <cellStyle name="input highlight 2" xfId="3288" xr:uid="{00000000-0005-0000-0000-000095390000}"/>
    <cellStyle name="LineItemPrompt" xfId="1105" xr:uid="{00000000-0005-0000-0000-000096390000}"/>
    <cellStyle name="LineItemValue" xfId="1106" xr:uid="{00000000-0005-0000-0000-000097390000}"/>
    <cellStyle name="Linked Cell" xfId="56" builtinId="24" customBuiltin="1"/>
    <cellStyle name="Linked Cell 2" xfId="3289" xr:uid="{00000000-0005-0000-0000-000099390000}"/>
    <cellStyle name="Linked Cell 3" xfId="3290" xr:uid="{00000000-0005-0000-0000-00009A390000}"/>
    <cellStyle name="Linked Cell 4" xfId="3291" xr:uid="{00000000-0005-0000-0000-00009B390000}"/>
    <cellStyle name="Linked Cell 5" xfId="3292" xr:uid="{00000000-0005-0000-0000-00009C390000}"/>
    <cellStyle name="Manual-Input" xfId="101" xr:uid="{00000000-0005-0000-0000-00009D390000}"/>
    <cellStyle name="MonthHeader" xfId="1164" xr:uid="{00000000-0005-0000-0000-00009E390000}"/>
    <cellStyle name="Neutral" xfId="52" builtinId="28" customBuiltin="1"/>
    <cellStyle name="Neutral 2" xfId="3293" xr:uid="{00000000-0005-0000-0000-0000A0390000}"/>
    <cellStyle name="Neutral 3" xfId="3294" xr:uid="{00000000-0005-0000-0000-0000A1390000}"/>
    <cellStyle name="Neutral 4" xfId="3295" xr:uid="{00000000-0005-0000-0000-0000A2390000}"/>
    <cellStyle name="Neutral 5" xfId="3296" xr:uid="{00000000-0005-0000-0000-0000A3390000}"/>
    <cellStyle name="Normal" xfId="0" builtinId="0"/>
    <cellStyle name="Normal 10" xfId="85" xr:uid="{00000000-0005-0000-0000-0000A5390000}"/>
    <cellStyle name="Normal 10 10" xfId="10125" xr:uid="{00000000-0005-0000-0000-0000A6390000}"/>
    <cellStyle name="Normal 10 11" xfId="1107" xr:uid="{00000000-0005-0000-0000-0000A7390000}"/>
    <cellStyle name="Normal 10 12" xfId="1045" xr:uid="{00000000-0005-0000-0000-0000A8390000}"/>
    <cellStyle name="Normal 10 2" xfId="93" xr:uid="{00000000-0005-0000-0000-0000A9390000}"/>
    <cellStyle name="Normal 10 2 2" xfId="750" xr:uid="{00000000-0005-0000-0000-0000AA390000}"/>
    <cellStyle name="Normal 10 2 2 2" xfId="3299" xr:uid="{00000000-0005-0000-0000-0000AB390000}"/>
    <cellStyle name="Normal 10 2 2 3" xfId="3298" xr:uid="{00000000-0005-0000-0000-0000AC390000}"/>
    <cellStyle name="Normal 10 2 2 4" xfId="23632" xr:uid="{00000000-0005-0000-0000-0000AD390000}"/>
    <cellStyle name="Normal 10 2 3" xfId="3300" xr:uid="{00000000-0005-0000-0000-0000AE390000}"/>
    <cellStyle name="Normal 10 2 4" xfId="3297" xr:uid="{00000000-0005-0000-0000-0000AF390000}"/>
    <cellStyle name="Normal 10 2 5" xfId="22688" xr:uid="{00000000-0005-0000-0000-0000B0390000}"/>
    <cellStyle name="Normal 10 2 5 2" xfId="42599" xr:uid="{00000000-0005-0000-0000-0000B1390000}"/>
    <cellStyle name="Normal 10 2 6" xfId="22715" xr:uid="{00000000-0005-0000-0000-0000B2390000}"/>
    <cellStyle name="Normal 10 2 6 2" xfId="42626" xr:uid="{00000000-0005-0000-0000-0000B3390000}"/>
    <cellStyle name="Normal 10 2 7" xfId="23018" xr:uid="{00000000-0005-0000-0000-0000B4390000}"/>
    <cellStyle name="Normal 10 2 7 2" xfId="42929" xr:uid="{00000000-0005-0000-0000-0000B5390000}"/>
    <cellStyle name="Normal 10 2 8" xfId="23329" xr:uid="{00000000-0005-0000-0000-0000B6390000}"/>
    <cellStyle name="Normal 10 3" xfId="3301" xr:uid="{00000000-0005-0000-0000-0000B7390000}"/>
    <cellStyle name="Normal 10 3 10" xfId="16521" xr:uid="{00000000-0005-0000-0000-0000B8390000}"/>
    <cellStyle name="Normal 10 3 10 2" xfId="36441" xr:uid="{00000000-0005-0000-0000-0000B9390000}"/>
    <cellStyle name="Normal 10 3 11" xfId="24136" xr:uid="{00000000-0005-0000-0000-0000BA390000}"/>
    <cellStyle name="Normal 10 3 2" xfId="3302" xr:uid="{00000000-0005-0000-0000-0000BB390000}"/>
    <cellStyle name="Normal 10 3 2 10" xfId="24137" xr:uid="{00000000-0005-0000-0000-0000BC390000}"/>
    <cellStyle name="Normal 10 3 2 2" xfId="3303" xr:uid="{00000000-0005-0000-0000-0000BD390000}"/>
    <cellStyle name="Normal 10 3 2 2 2" xfId="3304" xr:uid="{00000000-0005-0000-0000-0000BE390000}"/>
    <cellStyle name="Normal 10 3 2 2 2 2" xfId="4837" xr:uid="{00000000-0005-0000-0000-0000BF390000}"/>
    <cellStyle name="Normal 10 3 2 2 2 2 2" xfId="6462" xr:uid="{00000000-0005-0000-0000-0000C0390000}"/>
    <cellStyle name="Normal 10 3 2 2 2 2 2 2" xfId="9548" xr:uid="{00000000-0005-0000-0000-0000C1390000}"/>
    <cellStyle name="Normal 10 3 2 2 2 2 2 2 2" xfId="15741" xr:uid="{00000000-0005-0000-0000-0000C2390000}"/>
    <cellStyle name="Normal 10 3 2 2 2 2 2 2 2 2" xfId="35661" xr:uid="{00000000-0005-0000-0000-0000C3390000}"/>
    <cellStyle name="Normal 10 3 2 2 2 2 2 2 3" xfId="21893" xr:uid="{00000000-0005-0000-0000-0000C4390000}"/>
    <cellStyle name="Normal 10 3 2 2 2 2 2 2 3 2" xfId="41813" xr:uid="{00000000-0005-0000-0000-0000C5390000}"/>
    <cellStyle name="Normal 10 3 2 2 2 2 2 2 4" xfId="29508" xr:uid="{00000000-0005-0000-0000-0000C6390000}"/>
    <cellStyle name="Normal 10 3 2 2 2 2 2 3" xfId="12675" xr:uid="{00000000-0005-0000-0000-0000C7390000}"/>
    <cellStyle name="Normal 10 3 2 2 2 2 2 3 2" xfId="32595" xr:uid="{00000000-0005-0000-0000-0000C8390000}"/>
    <cellStyle name="Normal 10 3 2 2 2 2 2 4" xfId="18827" xr:uid="{00000000-0005-0000-0000-0000C9390000}"/>
    <cellStyle name="Normal 10 3 2 2 2 2 2 4 2" xfId="38747" xr:uid="{00000000-0005-0000-0000-0000CA390000}"/>
    <cellStyle name="Normal 10 3 2 2 2 2 2 5" xfId="26442" xr:uid="{00000000-0005-0000-0000-0000CB390000}"/>
    <cellStyle name="Normal 10 3 2 2 2 2 3" xfId="8013" xr:uid="{00000000-0005-0000-0000-0000CC390000}"/>
    <cellStyle name="Normal 10 3 2 2 2 2 3 2" xfId="14207" xr:uid="{00000000-0005-0000-0000-0000CD390000}"/>
    <cellStyle name="Normal 10 3 2 2 2 2 3 2 2" xfId="34127" xr:uid="{00000000-0005-0000-0000-0000CE390000}"/>
    <cellStyle name="Normal 10 3 2 2 2 2 3 3" xfId="20359" xr:uid="{00000000-0005-0000-0000-0000CF390000}"/>
    <cellStyle name="Normal 10 3 2 2 2 2 3 3 2" xfId="40279" xr:uid="{00000000-0005-0000-0000-0000D0390000}"/>
    <cellStyle name="Normal 10 3 2 2 2 2 3 4" xfId="27974" xr:uid="{00000000-0005-0000-0000-0000D1390000}"/>
    <cellStyle name="Normal 10 3 2 2 2 2 4" xfId="11141" xr:uid="{00000000-0005-0000-0000-0000D2390000}"/>
    <cellStyle name="Normal 10 3 2 2 2 2 4 2" xfId="31061" xr:uid="{00000000-0005-0000-0000-0000D3390000}"/>
    <cellStyle name="Normal 10 3 2 2 2 2 5" xfId="17293" xr:uid="{00000000-0005-0000-0000-0000D4390000}"/>
    <cellStyle name="Normal 10 3 2 2 2 2 5 2" xfId="37213" xr:uid="{00000000-0005-0000-0000-0000D5390000}"/>
    <cellStyle name="Normal 10 3 2 2 2 2 6" xfId="24908" xr:uid="{00000000-0005-0000-0000-0000D6390000}"/>
    <cellStyle name="Normal 10 3 2 2 2 3" xfId="5679" xr:uid="{00000000-0005-0000-0000-0000D7390000}"/>
    <cellStyle name="Normal 10 3 2 2 2 3 2" xfId="8779" xr:uid="{00000000-0005-0000-0000-0000D8390000}"/>
    <cellStyle name="Normal 10 3 2 2 2 3 2 2" xfId="14972" xr:uid="{00000000-0005-0000-0000-0000D9390000}"/>
    <cellStyle name="Normal 10 3 2 2 2 3 2 2 2" xfId="34892" xr:uid="{00000000-0005-0000-0000-0000DA390000}"/>
    <cellStyle name="Normal 10 3 2 2 2 3 2 3" xfId="21124" xr:uid="{00000000-0005-0000-0000-0000DB390000}"/>
    <cellStyle name="Normal 10 3 2 2 2 3 2 3 2" xfId="41044" xr:uid="{00000000-0005-0000-0000-0000DC390000}"/>
    <cellStyle name="Normal 10 3 2 2 2 3 2 4" xfId="28739" xr:uid="{00000000-0005-0000-0000-0000DD390000}"/>
    <cellStyle name="Normal 10 3 2 2 2 3 3" xfId="11906" xr:uid="{00000000-0005-0000-0000-0000DE390000}"/>
    <cellStyle name="Normal 10 3 2 2 2 3 3 2" xfId="31826" xr:uid="{00000000-0005-0000-0000-0000DF390000}"/>
    <cellStyle name="Normal 10 3 2 2 2 3 4" xfId="18058" xr:uid="{00000000-0005-0000-0000-0000E0390000}"/>
    <cellStyle name="Normal 10 3 2 2 2 3 4 2" xfId="37978" xr:uid="{00000000-0005-0000-0000-0000E1390000}"/>
    <cellStyle name="Normal 10 3 2 2 2 3 5" xfId="25673" xr:uid="{00000000-0005-0000-0000-0000E2390000}"/>
    <cellStyle name="Normal 10 3 2 2 2 4" xfId="7244" xr:uid="{00000000-0005-0000-0000-0000E3390000}"/>
    <cellStyle name="Normal 10 3 2 2 2 4 2" xfId="13438" xr:uid="{00000000-0005-0000-0000-0000E4390000}"/>
    <cellStyle name="Normal 10 3 2 2 2 4 2 2" xfId="33358" xr:uid="{00000000-0005-0000-0000-0000E5390000}"/>
    <cellStyle name="Normal 10 3 2 2 2 4 3" xfId="19590" xr:uid="{00000000-0005-0000-0000-0000E6390000}"/>
    <cellStyle name="Normal 10 3 2 2 2 4 3 2" xfId="39510" xr:uid="{00000000-0005-0000-0000-0000E7390000}"/>
    <cellStyle name="Normal 10 3 2 2 2 4 4" xfId="27205" xr:uid="{00000000-0005-0000-0000-0000E8390000}"/>
    <cellStyle name="Normal 10 3 2 2 2 5" xfId="10372" xr:uid="{00000000-0005-0000-0000-0000E9390000}"/>
    <cellStyle name="Normal 10 3 2 2 2 5 2" xfId="30292" xr:uid="{00000000-0005-0000-0000-0000EA390000}"/>
    <cellStyle name="Normal 10 3 2 2 2 6" xfId="16524" xr:uid="{00000000-0005-0000-0000-0000EB390000}"/>
    <cellStyle name="Normal 10 3 2 2 2 6 2" xfId="36444" xr:uid="{00000000-0005-0000-0000-0000EC390000}"/>
    <cellStyle name="Normal 10 3 2 2 2 7" xfId="24139" xr:uid="{00000000-0005-0000-0000-0000ED390000}"/>
    <cellStyle name="Normal 10 3 2 2 3" xfId="4836" xr:uid="{00000000-0005-0000-0000-0000EE390000}"/>
    <cellStyle name="Normal 10 3 2 2 3 2" xfId="6461" xr:uid="{00000000-0005-0000-0000-0000EF390000}"/>
    <cellStyle name="Normal 10 3 2 2 3 2 2" xfId="9547" xr:uid="{00000000-0005-0000-0000-0000F0390000}"/>
    <cellStyle name="Normal 10 3 2 2 3 2 2 2" xfId="15740" xr:uid="{00000000-0005-0000-0000-0000F1390000}"/>
    <cellStyle name="Normal 10 3 2 2 3 2 2 2 2" xfId="35660" xr:uid="{00000000-0005-0000-0000-0000F2390000}"/>
    <cellStyle name="Normal 10 3 2 2 3 2 2 3" xfId="21892" xr:uid="{00000000-0005-0000-0000-0000F3390000}"/>
    <cellStyle name="Normal 10 3 2 2 3 2 2 3 2" xfId="41812" xr:uid="{00000000-0005-0000-0000-0000F4390000}"/>
    <cellStyle name="Normal 10 3 2 2 3 2 2 4" xfId="29507" xr:uid="{00000000-0005-0000-0000-0000F5390000}"/>
    <cellStyle name="Normal 10 3 2 2 3 2 3" xfId="12674" xr:uid="{00000000-0005-0000-0000-0000F6390000}"/>
    <cellStyle name="Normal 10 3 2 2 3 2 3 2" xfId="32594" xr:uid="{00000000-0005-0000-0000-0000F7390000}"/>
    <cellStyle name="Normal 10 3 2 2 3 2 4" xfId="18826" xr:uid="{00000000-0005-0000-0000-0000F8390000}"/>
    <cellStyle name="Normal 10 3 2 2 3 2 4 2" xfId="38746" xr:uid="{00000000-0005-0000-0000-0000F9390000}"/>
    <cellStyle name="Normal 10 3 2 2 3 2 5" xfId="26441" xr:uid="{00000000-0005-0000-0000-0000FA390000}"/>
    <cellStyle name="Normal 10 3 2 2 3 3" xfId="8012" xr:uid="{00000000-0005-0000-0000-0000FB390000}"/>
    <cellStyle name="Normal 10 3 2 2 3 3 2" xfId="14206" xr:uid="{00000000-0005-0000-0000-0000FC390000}"/>
    <cellStyle name="Normal 10 3 2 2 3 3 2 2" xfId="34126" xr:uid="{00000000-0005-0000-0000-0000FD390000}"/>
    <cellStyle name="Normal 10 3 2 2 3 3 3" xfId="20358" xr:uid="{00000000-0005-0000-0000-0000FE390000}"/>
    <cellStyle name="Normal 10 3 2 2 3 3 3 2" xfId="40278" xr:uid="{00000000-0005-0000-0000-0000FF390000}"/>
    <cellStyle name="Normal 10 3 2 2 3 3 4" xfId="27973" xr:uid="{00000000-0005-0000-0000-0000003A0000}"/>
    <cellStyle name="Normal 10 3 2 2 3 4" xfId="11140" xr:uid="{00000000-0005-0000-0000-0000013A0000}"/>
    <cellStyle name="Normal 10 3 2 2 3 4 2" xfId="31060" xr:uid="{00000000-0005-0000-0000-0000023A0000}"/>
    <cellStyle name="Normal 10 3 2 2 3 5" xfId="17292" xr:uid="{00000000-0005-0000-0000-0000033A0000}"/>
    <cellStyle name="Normal 10 3 2 2 3 5 2" xfId="37212" xr:uid="{00000000-0005-0000-0000-0000043A0000}"/>
    <cellStyle name="Normal 10 3 2 2 3 6" xfId="24907" xr:uid="{00000000-0005-0000-0000-0000053A0000}"/>
    <cellStyle name="Normal 10 3 2 2 4" xfId="5678" xr:uid="{00000000-0005-0000-0000-0000063A0000}"/>
    <cellStyle name="Normal 10 3 2 2 4 2" xfId="8778" xr:uid="{00000000-0005-0000-0000-0000073A0000}"/>
    <cellStyle name="Normal 10 3 2 2 4 2 2" xfId="14971" xr:uid="{00000000-0005-0000-0000-0000083A0000}"/>
    <cellStyle name="Normal 10 3 2 2 4 2 2 2" xfId="34891" xr:uid="{00000000-0005-0000-0000-0000093A0000}"/>
    <cellStyle name="Normal 10 3 2 2 4 2 3" xfId="21123" xr:uid="{00000000-0005-0000-0000-00000A3A0000}"/>
    <cellStyle name="Normal 10 3 2 2 4 2 3 2" xfId="41043" xr:uid="{00000000-0005-0000-0000-00000B3A0000}"/>
    <cellStyle name="Normal 10 3 2 2 4 2 4" xfId="28738" xr:uid="{00000000-0005-0000-0000-00000C3A0000}"/>
    <cellStyle name="Normal 10 3 2 2 4 3" xfId="11905" xr:uid="{00000000-0005-0000-0000-00000D3A0000}"/>
    <cellStyle name="Normal 10 3 2 2 4 3 2" xfId="31825" xr:uid="{00000000-0005-0000-0000-00000E3A0000}"/>
    <cellStyle name="Normal 10 3 2 2 4 4" xfId="18057" xr:uid="{00000000-0005-0000-0000-00000F3A0000}"/>
    <cellStyle name="Normal 10 3 2 2 4 4 2" xfId="37977" xr:uid="{00000000-0005-0000-0000-0000103A0000}"/>
    <cellStyle name="Normal 10 3 2 2 4 5" xfId="25672" xr:uid="{00000000-0005-0000-0000-0000113A0000}"/>
    <cellStyle name="Normal 10 3 2 2 5" xfId="7243" xr:uid="{00000000-0005-0000-0000-0000123A0000}"/>
    <cellStyle name="Normal 10 3 2 2 5 2" xfId="13437" xr:uid="{00000000-0005-0000-0000-0000133A0000}"/>
    <cellStyle name="Normal 10 3 2 2 5 2 2" xfId="33357" xr:uid="{00000000-0005-0000-0000-0000143A0000}"/>
    <cellStyle name="Normal 10 3 2 2 5 3" xfId="19589" xr:uid="{00000000-0005-0000-0000-0000153A0000}"/>
    <cellStyle name="Normal 10 3 2 2 5 3 2" xfId="39509" xr:uid="{00000000-0005-0000-0000-0000163A0000}"/>
    <cellStyle name="Normal 10 3 2 2 5 4" xfId="27204" xr:uid="{00000000-0005-0000-0000-0000173A0000}"/>
    <cellStyle name="Normal 10 3 2 2 6" xfId="10371" xr:uid="{00000000-0005-0000-0000-0000183A0000}"/>
    <cellStyle name="Normal 10 3 2 2 6 2" xfId="30291" xr:uid="{00000000-0005-0000-0000-0000193A0000}"/>
    <cellStyle name="Normal 10 3 2 2 7" xfId="16523" xr:uid="{00000000-0005-0000-0000-00001A3A0000}"/>
    <cellStyle name="Normal 10 3 2 2 7 2" xfId="36443" xr:uid="{00000000-0005-0000-0000-00001B3A0000}"/>
    <cellStyle name="Normal 10 3 2 2 8" xfId="24138" xr:uid="{00000000-0005-0000-0000-00001C3A0000}"/>
    <cellStyle name="Normal 10 3 2 3" xfId="3305" xr:uid="{00000000-0005-0000-0000-00001D3A0000}"/>
    <cellStyle name="Normal 10 3 2 3 2" xfId="3306" xr:uid="{00000000-0005-0000-0000-00001E3A0000}"/>
    <cellStyle name="Normal 10 3 2 3 2 2" xfId="4839" xr:uid="{00000000-0005-0000-0000-00001F3A0000}"/>
    <cellStyle name="Normal 10 3 2 3 2 2 2" xfId="6464" xr:uid="{00000000-0005-0000-0000-0000203A0000}"/>
    <cellStyle name="Normal 10 3 2 3 2 2 2 2" xfId="9550" xr:uid="{00000000-0005-0000-0000-0000213A0000}"/>
    <cellStyle name="Normal 10 3 2 3 2 2 2 2 2" xfId="15743" xr:uid="{00000000-0005-0000-0000-0000223A0000}"/>
    <cellStyle name="Normal 10 3 2 3 2 2 2 2 2 2" xfId="35663" xr:uid="{00000000-0005-0000-0000-0000233A0000}"/>
    <cellStyle name="Normal 10 3 2 3 2 2 2 2 3" xfId="21895" xr:uid="{00000000-0005-0000-0000-0000243A0000}"/>
    <cellStyle name="Normal 10 3 2 3 2 2 2 2 3 2" xfId="41815" xr:uid="{00000000-0005-0000-0000-0000253A0000}"/>
    <cellStyle name="Normal 10 3 2 3 2 2 2 2 4" xfId="29510" xr:uid="{00000000-0005-0000-0000-0000263A0000}"/>
    <cellStyle name="Normal 10 3 2 3 2 2 2 3" xfId="12677" xr:uid="{00000000-0005-0000-0000-0000273A0000}"/>
    <cellStyle name="Normal 10 3 2 3 2 2 2 3 2" xfId="32597" xr:uid="{00000000-0005-0000-0000-0000283A0000}"/>
    <cellStyle name="Normal 10 3 2 3 2 2 2 4" xfId="18829" xr:uid="{00000000-0005-0000-0000-0000293A0000}"/>
    <cellStyle name="Normal 10 3 2 3 2 2 2 4 2" xfId="38749" xr:uid="{00000000-0005-0000-0000-00002A3A0000}"/>
    <cellStyle name="Normal 10 3 2 3 2 2 2 5" xfId="26444" xr:uid="{00000000-0005-0000-0000-00002B3A0000}"/>
    <cellStyle name="Normal 10 3 2 3 2 2 3" xfId="8015" xr:uid="{00000000-0005-0000-0000-00002C3A0000}"/>
    <cellStyle name="Normal 10 3 2 3 2 2 3 2" xfId="14209" xr:uid="{00000000-0005-0000-0000-00002D3A0000}"/>
    <cellStyle name="Normal 10 3 2 3 2 2 3 2 2" xfId="34129" xr:uid="{00000000-0005-0000-0000-00002E3A0000}"/>
    <cellStyle name="Normal 10 3 2 3 2 2 3 3" xfId="20361" xr:uid="{00000000-0005-0000-0000-00002F3A0000}"/>
    <cellStyle name="Normal 10 3 2 3 2 2 3 3 2" xfId="40281" xr:uid="{00000000-0005-0000-0000-0000303A0000}"/>
    <cellStyle name="Normal 10 3 2 3 2 2 3 4" xfId="27976" xr:uid="{00000000-0005-0000-0000-0000313A0000}"/>
    <cellStyle name="Normal 10 3 2 3 2 2 4" xfId="11143" xr:uid="{00000000-0005-0000-0000-0000323A0000}"/>
    <cellStyle name="Normal 10 3 2 3 2 2 4 2" xfId="31063" xr:uid="{00000000-0005-0000-0000-0000333A0000}"/>
    <cellStyle name="Normal 10 3 2 3 2 2 5" xfId="17295" xr:uid="{00000000-0005-0000-0000-0000343A0000}"/>
    <cellStyle name="Normal 10 3 2 3 2 2 5 2" xfId="37215" xr:uid="{00000000-0005-0000-0000-0000353A0000}"/>
    <cellStyle name="Normal 10 3 2 3 2 2 6" xfId="24910" xr:uid="{00000000-0005-0000-0000-0000363A0000}"/>
    <cellStyle name="Normal 10 3 2 3 2 3" xfId="5681" xr:uid="{00000000-0005-0000-0000-0000373A0000}"/>
    <cellStyle name="Normal 10 3 2 3 2 3 2" xfId="8781" xr:uid="{00000000-0005-0000-0000-0000383A0000}"/>
    <cellStyle name="Normal 10 3 2 3 2 3 2 2" xfId="14974" xr:uid="{00000000-0005-0000-0000-0000393A0000}"/>
    <cellStyle name="Normal 10 3 2 3 2 3 2 2 2" xfId="34894" xr:uid="{00000000-0005-0000-0000-00003A3A0000}"/>
    <cellStyle name="Normal 10 3 2 3 2 3 2 3" xfId="21126" xr:uid="{00000000-0005-0000-0000-00003B3A0000}"/>
    <cellStyle name="Normal 10 3 2 3 2 3 2 3 2" xfId="41046" xr:uid="{00000000-0005-0000-0000-00003C3A0000}"/>
    <cellStyle name="Normal 10 3 2 3 2 3 2 4" xfId="28741" xr:uid="{00000000-0005-0000-0000-00003D3A0000}"/>
    <cellStyle name="Normal 10 3 2 3 2 3 3" xfId="11908" xr:uid="{00000000-0005-0000-0000-00003E3A0000}"/>
    <cellStyle name="Normal 10 3 2 3 2 3 3 2" xfId="31828" xr:uid="{00000000-0005-0000-0000-00003F3A0000}"/>
    <cellStyle name="Normal 10 3 2 3 2 3 4" xfId="18060" xr:uid="{00000000-0005-0000-0000-0000403A0000}"/>
    <cellStyle name="Normal 10 3 2 3 2 3 4 2" xfId="37980" xr:uid="{00000000-0005-0000-0000-0000413A0000}"/>
    <cellStyle name="Normal 10 3 2 3 2 3 5" xfId="25675" xr:uid="{00000000-0005-0000-0000-0000423A0000}"/>
    <cellStyle name="Normal 10 3 2 3 2 4" xfId="7246" xr:uid="{00000000-0005-0000-0000-0000433A0000}"/>
    <cellStyle name="Normal 10 3 2 3 2 4 2" xfId="13440" xr:uid="{00000000-0005-0000-0000-0000443A0000}"/>
    <cellStyle name="Normal 10 3 2 3 2 4 2 2" xfId="33360" xr:uid="{00000000-0005-0000-0000-0000453A0000}"/>
    <cellStyle name="Normal 10 3 2 3 2 4 3" xfId="19592" xr:uid="{00000000-0005-0000-0000-0000463A0000}"/>
    <cellStyle name="Normal 10 3 2 3 2 4 3 2" xfId="39512" xr:uid="{00000000-0005-0000-0000-0000473A0000}"/>
    <cellStyle name="Normal 10 3 2 3 2 4 4" xfId="27207" xr:uid="{00000000-0005-0000-0000-0000483A0000}"/>
    <cellStyle name="Normal 10 3 2 3 2 5" xfId="10374" xr:uid="{00000000-0005-0000-0000-0000493A0000}"/>
    <cellStyle name="Normal 10 3 2 3 2 5 2" xfId="30294" xr:uid="{00000000-0005-0000-0000-00004A3A0000}"/>
    <cellStyle name="Normal 10 3 2 3 2 6" xfId="16526" xr:uid="{00000000-0005-0000-0000-00004B3A0000}"/>
    <cellStyle name="Normal 10 3 2 3 2 6 2" xfId="36446" xr:uid="{00000000-0005-0000-0000-00004C3A0000}"/>
    <cellStyle name="Normal 10 3 2 3 2 7" xfId="24141" xr:uid="{00000000-0005-0000-0000-00004D3A0000}"/>
    <cellStyle name="Normal 10 3 2 3 3" xfId="4838" xr:uid="{00000000-0005-0000-0000-00004E3A0000}"/>
    <cellStyle name="Normal 10 3 2 3 3 2" xfId="6463" xr:uid="{00000000-0005-0000-0000-00004F3A0000}"/>
    <cellStyle name="Normal 10 3 2 3 3 2 2" xfId="9549" xr:uid="{00000000-0005-0000-0000-0000503A0000}"/>
    <cellStyle name="Normal 10 3 2 3 3 2 2 2" xfId="15742" xr:uid="{00000000-0005-0000-0000-0000513A0000}"/>
    <cellStyle name="Normal 10 3 2 3 3 2 2 2 2" xfId="35662" xr:uid="{00000000-0005-0000-0000-0000523A0000}"/>
    <cellStyle name="Normal 10 3 2 3 3 2 2 3" xfId="21894" xr:uid="{00000000-0005-0000-0000-0000533A0000}"/>
    <cellStyle name="Normal 10 3 2 3 3 2 2 3 2" xfId="41814" xr:uid="{00000000-0005-0000-0000-0000543A0000}"/>
    <cellStyle name="Normal 10 3 2 3 3 2 2 4" xfId="29509" xr:uid="{00000000-0005-0000-0000-0000553A0000}"/>
    <cellStyle name="Normal 10 3 2 3 3 2 3" xfId="12676" xr:uid="{00000000-0005-0000-0000-0000563A0000}"/>
    <cellStyle name="Normal 10 3 2 3 3 2 3 2" xfId="32596" xr:uid="{00000000-0005-0000-0000-0000573A0000}"/>
    <cellStyle name="Normal 10 3 2 3 3 2 4" xfId="18828" xr:uid="{00000000-0005-0000-0000-0000583A0000}"/>
    <cellStyle name="Normal 10 3 2 3 3 2 4 2" xfId="38748" xr:uid="{00000000-0005-0000-0000-0000593A0000}"/>
    <cellStyle name="Normal 10 3 2 3 3 2 5" xfId="26443" xr:uid="{00000000-0005-0000-0000-00005A3A0000}"/>
    <cellStyle name="Normal 10 3 2 3 3 3" xfId="8014" xr:uid="{00000000-0005-0000-0000-00005B3A0000}"/>
    <cellStyle name="Normal 10 3 2 3 3 3 2" xfId="14208" xr:uid="{00000000-0005-0000-0000-00005C3A0000}"/>
    <cellStyle name="Normal 10 3 2 3 3 3 2 2" xfId="34128" xr:uid="{00000000-0005-0000-0000-00005D3A0000}"/>
    <cellStyle name="Normal 10 3 2 3 3 3 3" xfId="20360" xr:uid="{00000000-0005-0000-0000-00005E3A0000}"/>
    <cellStyle name="Normal 10 3 2 3 3 3 3 2" xfId="40280" xr:uid="{00000000-0005-0000-0000-00005F3A0000}"/>
    <cellStyle name="Normal 10 3 2 3 3 3 4" xfId="27975" xr:uid="{00000000-0005-0000-0000-0000603A0000}"/>
    <cellStyle name="Normal 10 3 2 3 3 4" xfId="11142" xr:uid="{00000000-0005-0000-0000-0000613A0000}"/>
    <cellStyle name="Normal 10 3 2 3 3 4 2" xfId="31062" xr:uid="{00000000-0005-0000-0000-0000623A0000}"/>
    <cellStyle name="Normal 10 3 2 3 3 5" xfId="17294" xr:uid="{00000000-0005-0000-0000-0000633A0000}"/>
    <cellStyle name="Normal 10 3 2 3 3 5 2" xfId="37214" xr:uid="{00000000-0005-0000-0000-0000643A0000}"/>
    <cellStyle name="Normal 10 3 2 3 3 6" xfId="24909" xr:uid="{00000000-0005-0000-0000-0000653A0000}"/>
    <cellStyle name="Normal 10 3 2 3 4" xfId="5680" xr:uid="{00000000-0005-0000-0000-0000663A0000}"/>
    <cellStyle name="Normal 10 3 2 3 4 2" xfId="8780" xr:uid="{00000000-0005-0000-0000-0000673A0000}"/>
    <cellStyle name="Normal 10 3 2 3 4 2 2" xfId="14973" xr:uid="{00000000-0005-0000-0000-0000683A0000}"/>
    <cellStyle name="Normal 10 3 2 3 4 2 2 2" xfId="34893" xr:uid="{00000000-0005-0000-0000-0000693A0000}"/>
    <cellStyle name="Normal 10 3 2 3 4 2 3" xfId="21125" xr:uid="{00000000-0005-0000-0000-00006A3A0000}"/>
    <cellStyle name="Normal 10 3 2 3 4 2 3 2" xfId="41045" xr:uid="{00000000-0005-0000-0000-00006B3A0000}"/>
    <cellStyle name="Normal 10 3 2 3 4 2 4" xfId="28740" xr:uid="{00000000-0005-0000-0000-00006C3A0000}"/>
    <cellStyle name="Normal 10 3 2 3 4 3" xfId="11907" xr:uid="{00000000-0005-0000-0000-00006D3A0000}"/>
    <cellStyle name="Normal 10 3 2 3 4 3 2" xfId="31827" xr:uid="{00000000-0005-0000-0000-00006E3A0000}"/>
    <cellStyle name="Normal 10 3 2 3 4 4" xfId="18059" xr:uid="{00000000-0005-0000-0000-00006F3A0000}"/>
    <cellStyle name="Normal 10 3 2 3 4 4 2" xfId="37979" xr:uid="{00000000-0005-0000-0000-0000703A0000}"/>
    <cellStyle name="Normal 10 3 2 3 4 5" xfId="25674" xr:uid="{00000000-0005-0000-0000-0000713A0000}"/>
    <cellStyle name="Normal 10 3 2 3 5" xfId="7245" xr:uid="{00000000-0005-0000-0000-0000723A0000}"/>
    <cellStyle name="Normal 10 3 2 3 5 2" xfId="13439" xr:uid="{00000000-0005-0000-0000-0000733A0000}"/>
    <cellStyle name="Normal 10 3 2 3 5 2 2" xfId="33359" xr:uid="{00000000-0005-0000-0000-0000743A0000}"/>
    <cellStyle name="Normal 10 3 2 3 5 3" xfId="19591" xr:uid="{00000000-0005-0000-0000-0000753A0000}"/>
    <cellStyle name="Normal 10 3 2 3 5 3 2" xfId="39511" xr:uid="{00000000-0005-0000-0000-0000763A0000}"/>
    <cellStyle name="Normal 10 3 2 3 5 4" xfId="27206" xr:uid="{00000000-0005-0000-0000-0000773A0000}"/>
    <cellStyle name="Normal 10 3 2 3 6" xfId="10373" xr:uid="{00000000-0005-0000-0000-0000783A0000}"/>
    <cellStyle name="Normal 10 3 2 3 6 2" xfId="30293" xr:uid="{00000000-0005-0000-0000-0000793A0000}"/>
    <cellStyle name="Normal 10 3 2 3 7" xfId="16525" xr:uid="{00000000-0005-0000-0000-00007A3A0000}"/>
    <cellStyle name="Normal 10 3 2 3 7 2" xfId="36445" xr:uid="{00000000-0005-0000-0000-00007B3A0000}"/>
    <cellStyle name="Normal 10 3 2 3 8" xfId="24140" xr:uid="{00000000-0005-0000-0000-00007C3A0000}"/>
    <cellStyle name="Normal 10 3 2 4" xfId="3307" xr:uid="{00000000-0005-0000-0000-00007D3A0000}"/>
    <cellStyle name="Normal 10 3 2 4 2" xfId="4840" xr:uid="{00000000-0005-0000-0000-00007E3A0000}"/>
    <cellStyle name="Normal 10 3 2 4 2 2" xfId="6465" xr:uid="{00000000-0005-0000-0000-00007F3A0000}"/>
    <cellStyle name="Normal 10 3 2 4 2 2 2" xfId="9551" xr:uid="{00000000-0005-0000-0000-0000803A0000}"/>
    <cellStyle name="Normal 10 3 2 4 2 2 2 2" xfId="15744" xr:uid="{00000000-0005-0000-0000-0000813A0000}"/>
    <cellStyle name="Normal 10 3 2 4 2 2 2 2 2" xfId="35664" xr:uid="{00000000-0005-0000-0000-0000823A0000}"/>
    <cellStyle name="Normal 10 3 2 4 2 2 2 3" xfId="21896" xr:uid="{00000000-0005-0000-0000-0000833A0000}"/>
    <cellStyle name="Normal 10 3 2 4 2 2 2 3 2" xfId="41816" xr:uid="{00000000-0005-0000-0000-0000843A0000}"/>
    <cellStyle name="Normal 10 3 2 4 2 2 2 4" xfId="29511" xr:uid="{00000000-0005-0000-0000-0000853A0000}"/>
    <cellStyle name="Normal 10 3 2 4 2 2 3" xfId="12678" xr:uid="{00000000-0005-0000-0000-0000863A0000}"/>
    <cellStyle name="Normal 10 3 2 4 2 2 3 2" xfId="32598" xr:uid="{00000000-0005-0000-0000-0000873A0000}"/>
    <cellStyle name="Normal 10 3 2 4 2 2 4" xfId="18830" xr:uid="{00000000-0005-0000-0000-0000883A0000}"/>
    <cellStyle name="Normal 10 3 2 4 2 2 4 2" xfId="38750" xr:uid="{00000000-0005-0000-0000-0000893A0000}"/>
    <cellStyle name="Normal 10 3 2 4 2 2 5" xfId="26445" xr:uid="{00000000-0005-0000-0000-00008A3A0000}"/>
    <cellStyle name="Normal 10 3 2 4 2 3" xfId="8016" xr:uid="{00000000-0005-0000-0000-00008B3A0000}"/>
    <cellStyle name="Normal 10 3 2 4 2 3 2" xfId="14210" xr:uid="{00000000-0005-0000-0000-00008C3A0000}"/>
    <cellStyle name="Normal 10 3 2 4 2 3 2 2" xfId="34130" xr:uid="{00000000-0005-0000-0000-00008D3A0000}"/>
    <cellStyle name="Normal 10 3 2 4 2 3 3" xfId="20362" xr:uid="{00000000-0005-0000-0000-00008E3A0000}"/>
    <cellStyle name="Normal 10 3 2 4 2 3 3 2" xfId="40282" xr:uid="{00000000-0005-0000-0000-00008F3A0000}"/>
    <cellStyle name="Normal 10 3 2 4 2 3 4" xfId="27977" xr:uid="{00000000-0005-0000-0000-0000903A0000}"/>
    <cellStyle name="Normal 10 3 2 4 2 4" xfId="11144" xr:uid="{00000000-0005-0000-0000-0000913A0000}"/>
    <cellStyle name="Normal 10 3 2 4 2 4 2" xfId="31064" xr:uid="{00000000-0005-0000-0000-0000923A0000}"/>
    <cellStyle name="Normal 10 3 2 4 2 5" xfId="17296" xr:uid="{00000000-0005-0000-0000-0000933A0000}"/>
    <cellStyle name="Normal 10 3 2 4 2 5 2" xfId="37216" xr:uid="{00000000-0005-0000-0000-0000943A0000}"/>
    <cellStyle name="Normal 10 3 2 4 2 6" xfId="24911" xr:uid="{00000000-0005-0000-0000-0000953A0000}"/>
    <cellStyle name="Normal 10 3 2 4 3" xfId="5682" xr:uid="{00000000-0005-0000-0000-0000963A0000}"/>
    <cellStyle name="Normal 10 3 2 4 3 2" xfId="8782" xr:uid="{00000000-0005-0000-0000-0000973A0000}"/>
    <cellStyle name="Normal 10 3 2 4 3 2 2" xfId="14975" xr:uid="{00000000-0005-0000-0000-0000983A0000}"/>
    <cellStyle name="Normal 10 3 2 4 3 2 2 2" xfId="34895" xr:uid="{00000000-0005-0000-0000-0000993A0000}"/>
    <cellStyle name="Normal 10 3 2 4 3 2 3" xfId="21127" xr:uid="{00000000-0005-0000-0000-00009A3A0000}"/>
    <cellStyle name="Normal 10 3 2 4 3 2 3 2" xfId="41047" xr:uid="{00000000-0005-0000-0000-00009B3A0000}"/>
    <cellStyle name="Normal 10 3 2 4 3 2 4" xfId="28742" xr:uid="{00000000-0005-0000-0000-00009C3A0000}"/>
    <cellStyle name="Normal 10 3 2 4 3 3" xfId="11909" xr:uid="{00000000-0005-0000-0000-00009D3A0000}"/>
    <cellStyle name="Normal 10 3 2 4 3 3 2" xfId="31829" xr:uid="{00000000-0005-0000-0000-00009E3A0000}"/>
    <cellStyle name="Normal 10 3 2 4 3 4" xfId="18061" xr:uid="{00000000-0005-0000-0000-00009F3A0000}"/>
    <cellStyle name="Normal 10 3 2 4 3 4 2" xfId="37981" xr:uid="{00000000-0005-0000-0000-0000A03A0000}"/>
    <cellStyle name="Normal 10 3 2 4 3 5" xfId="25676" xr:uid="{00000000-0005-0000-0000-0000A13A0000}"/>
    <cellStyle name="Normal 10 3 2 4 4" xfId="7247" xr:uid="{00000000-0005-0000-0000-0000A23A0000}"/>
    <cellStyle name="Normal 10 3 2 4 4 2" xfId="13441" xr:uid="{00000000-0005-0000-0000-0000A33A0000}"/>
    <cellStyle name="Normal 10 3 2 4 4 2 2" xfId="33361" xr:uid="{00000000-0005-0000-0000-0000A43A0000}"/>
    <cellStyle name="Normal 10 3 2 4 4 3" xfId="19593" xr:uid="{00000000-0005-0000-0000-0000A53A0000}"/>
    <cellStyle name="Normal 10 3 2 4 4 3 2" xfId="39513" xr:uid="{00000000-0005-0000-0000-0000A63A0000}"/>
    <cellStyle name="Normal 10 3 2 4 4 4" xfId="27208" xr:uid="{00000000-0005-0000-0000-0000A73A0000}"/>
    <cellStyle name="Normal 10 3 2 4 5" xfId="10375" xr:uid="{00000000-0005-0000-0000-0000A83A0000}"/>
    <cellStyle name="Normal 10 3 2 4 5 2" xfId="30295" xr:uid="{00000000-0005-0000-0000-0000A93A0000}"/>
    <cellStyle name="Normal 10 3 2 4 6" xfId="16527" xr:uid="{00000000-0005-0000-0000-0000AA3A0000}"/>
    <cellStyle name="Normal 10 3 2 4 6 2" xfId="36447" xr:uid="{00000000-0005-0000-0000-0000AB3A0000}"/>
    <cellStyle name="Normal 10 3 2 4 7" xfId="24142" xr:uid="{00000000-0005-0000-0000-0000AC3A0000}"/>
    <cellStyle name="Normal 10 3 2 5" xfId="4835" xr:uid="{00000000-0005-0000-0000-0000AD3A0000}"/>
    <cellStyle name="Normal 10 3 2 5 2" xfId="6460" xr:uid="{00000000-0005-0000-0000-0000AE3A0000}"/>
    <cellStyle name="Normal 10 3 2 5 2 2" xfId="9546" xr:uid="{00000000-0005-0000-0000-0000AF3A0000}"/>
    <cellStyle name="Normal 10 3 2 5 2 2 2" xfId="15739" xr:uid="{00000000-0005-0000-0000-0000B03A0000}"/>
    <cellStyle name="Normal 10 3 2 5 2 2 2 2" xfId="35659" xr:uid="{00000000-0005-0000-0000-0000B13A0000}"/>
    <cellStyle name="Normal 10 3 2 5 2 2 3" xfId="21891" xr:uid="{00000000-0005-0000-0000-0000B23A0000}"/>
    <cellStyle name="Normal 10 3 2 5 2 2 3 2" xfId="41811" xr:uid="{00000000-0005-0000-0000-0000B33A0000}"/>
    <cellStyle name="Normal 10 3 2 5 2 2 4" xfId="29506" xr:uid="{00000000-0005-0000-0000-0000B43A0000}"/>
    <cellStyle name="Normal 10 3 2 5 2 3" xfId="12673" xr:uid="{00000000-0005-0000-0000-0000B53A0000}"/>
    <cellStyle name="Normal 10 3 2 5 2 3 2" xfId="32593" xr:uid="{00000000-0005-0000-0000-0000B63A0000}"/>
    <cellStyle name="Normal 10 3 2 5 2 4" xfId="18825" xr:uid="{00000000-0005-0000-0000-0000B73A0000}"/>
    <cellStyle name="Normal 10 3 2 5 2 4 2" xfId="38745" xr:uid="{00000000-0005-0000-0000-0000B83A0000}"/>
    <cellStyle name="Normal 10 3 2 5 2 5" xfId="26440" xr:uid="{00000000-0005-0000-0000-0000B93A0000}"/>
    <cellStyle name="Normal 10 3 2 5 3" xfId="8011" xr:uid="{00000000-0005-0000-0000-0000BA3A0000}"/>
    <cellStyle name="Normal 10 3 2 5 3 2" xfId="14205" xr:uid="{00000000-0005-0000-0000-0000BB3A0000}"/>
    <cellStyle name="Normal 10 3 2 5 3 2 2" xfId="34125" xr:uid="{00000000-0005-0000-0000-0000BC3A0000}"/>
    <cellStyle name="Normal 10 3 2 5 3 3" xfId="20357" xr:uid="{00000000-0005-0000-0000-0000BD3A0000}"/>
    <cellStyle name="Normal 10 3 2 5 3 3 2" xfId="40277" xr:uid="{00000000-0005-0000-0000-0000BE3A0000}"/>
    <cellStyle name="Normal 10 3 2 5 3 4" xfId="27972" xr:uid="{00000000-0005-0000-0000-0000BF3A0000}"/>
    <cellStyle name="Normal 10 3 2 5 4" xfId="11139" xr:uid="{00000000-0005-0000-0000-0000C03A0000}"/>
    <cellStyle name="Normal 10 3 2 5 4 2" xfId="31059" xr:uid="{00000000-0005-0000-0000-0000C13A0000}"/>
    <cellStyle name="Normal 10 3 2 5 5" xfId="17291" xr:uid="{00000000-0005-0000-0000-0000C23A0000}"/>
    <cellStyle name="Normal 10 3 2 5 5 2" xfId="37211" xr:uid="{00000000-0005-0000-0000-0000C33A0000}"/>
    <cellStyle name="Normal 10 3 2 5 6" xfId="24906" xr:uid="{00000000-0005-0000-0000-0000C43A0000}"/>
    <cellStyle name="Normal 10 3 2 6" xfId="5677" xr:uid="{00000000-0005-0000-0000-0000C53A0000}"/>
    <cellStyle name="Normal 10 3 2 6 2" xfId="8777" xr:uid="{00000000-0005-0000-0000-0000C63A0000}"/>
    <cellStyle name="Normal 10 3 2 6 2 2" xfId="14970" xr:uid="{00000000-0005-0000-0000-0000C73A0000}"/>
    <cellStyle name="Normal 10 3 2 6 2 2 2" xfId="34890" xr:uid="{00000000-0005-0000-0000-0000C83A0000}"/>
    <cellStyle name="Normal 10 3 2 6 2 3" xfId="21122" xr:uid="{00000000-0005-0000-0000-0000C93A0000}"/>
    <cellStyle name="Normal 10 3 2 6 2 3 2" xfId="41042" xr:uid="{00000000-0005-0000-0000-0000CA3A0000}"/>
    <cellStyle name="Normal 10 3 2 6 2 4" xfId="28737" xr:uid="{00000000-0005-0000-0000-0000CB3A0000}"/>
    <cellStyle name="Normal 10 3 2 6 3" xfId="11904" xr:uid="{00000000-0005-0000-0000-0000CC3A0000}"/>
    <cellStyle name="Normal 10 3 2 6 3 2" xfId="31824" xr:uid="{00000000-0005-0000-0000-0000CD3A0000}"/>
    <cellStyle name="Normal 10 3 2 6 4" xfId="18056" xr:uid="{00000000-0005-0000-0000-0000CE3A0000}"/>
    <cellStyle name="Normal 10 3 2 6 4 2" xfId="37976" xr:uid="{00000000-0005-0000-0000-0000CF3A0000}"/>
    <cellStyle name="Normal 10 3 2 6 5" xfId="25671" xr:uid="{00000000-0005-0000-0000-0000D03A0000}"/>
    <cellStyle name="Normal 10 3 2 7" xfId="7242" xr:uid="{00000000-0005-0000-0000-0000D13A0000}"/>
    <cellStyle name="Normal 10 3 2 7 2" xfId="13436" xr:uid="{00000000-0005-0000-0000-0000D23A0000}"/>
    <cellStyle name="Normal 10 3 2 7 2 2" xfId="33356" xr:uid="{00000000-0005-0000-0000-0000D33A0000}"/>
    <cellStyle name="Normal 10 3 2 7 3" xfId="19588" xr:uid="{00000000-0005-0000-0000-0000D43A0000}"/>
    <cellStyle name="Normal 10 3 2 7 3 2" xfId="39508" xr:uid="{00000000-0005-0000-0000-0000D53A0000}"/>
    <cellStyle name="Normal 10 3 2 7 4" xfId="27203" xr:uid="{00000000-0005-0000-0000-0000D63A0000}"/>
    <cellStyle name="Normal 10 3 2 8" xfId="10370" xr:uid="{00000000-0005-0000-0000-0000D73A0000}"/>
    <cellStyle name="Normal 10 3 2 8 2" xfId="30290" xr:uid="{00000000-0005-0000-0000-0000D83A0000}"/>
    <cellStyle name="Normal 10 3 2 9" xfId="16522" xr:uid="{00000000-0005-0000-0000-0000D93A0000}"/>
    <cellStyle name="Normal 10 3 2 9 2" xfId="36442" xr:uid="{00000000-0005-0000-0000-0000DA3A0000}"/>
    <cellStyle name="Normal 10 3 3" xfId="3308" xr:uid="{00000000-0005-0000-0000-0000DB3A0000}"/>
    <cellStyle name="Normal 10 3 3 2" xfId="3309" xr:uid="{00000000-0005-0000-0000-0000DC3A0000}"/>
    <cellStyle name="Normal 10 3 3 2 2" xfId="4842" xr:uid="{00000000-0005-0000-0000-0000DD3A0000}"/>
    <cellStyle name="Normal 10 3 3 2 2 2" xfId="6467" xr:uid="{00000000-0005-0000-0000-0000DE3A0000}"/>
    <cellStyle name="Normal 10 3 3 2 2 2 2" xfId="9553" xr:uid="{00000000-0005-0000-0000-0000DF3A0000}"/>
    <cellStyle name="Normal 10 3 3 2 2 2 2 2" xfId="15746" xr:uid="{00000000-0005-0000-0000-0000E03A0000}"/>
    <cellStyle name="Normal 10 3 3 2 2 2 2 2 2" xfId="35666" xr:uid="{00000000-0005-0000-0000-0000E13A0000}"/>
    <cellStyle name="Normal 10 3 3 2 2 2 2 3" xfId="21898" xr:uid="{00000000-0005-0000-0000-0000E23A0000}"/>
    <cellStyle name="Normal 10 3 3 2 2 2 2 3 2" xfId="41818" xr:uid="{00000000-0005-0000-0000-0000E33A0000}"/>
    <cellStyle name="Normal 10 3 3 2 2 2 2 4" xfId="29513" xr:uid="{00000000-0005-0000-0000-0000E43A0000}"/>
    <cellStyle name="Normal 10 3 3 2 2 2 3" xfId="12680" xr:uid="{00000000-0005-0000-0000-0000E53A0000}"/>
    <cellStyle name="Normal 10 3 3 2 2 2 3 2" xfId="32600" xr:uid="{00000000-0005-0000-0000-0000E63A0000}"/>
    <cellStyle name="Normal 10 3 3 2 2 2 4" xfId="18832" xr:uid="{00000000-0005-0000-0000-0000E73A0000}"/>
    <cellStyle name="Normal 10 3 3 2 2 2 4 2" xfId="38752" xr:uid="{00000000-0005-0000-0000-0000E83A0000}"/>
    <cellStyle name="Normal 10 3 3 2 2 2 5" xfId="26447" xr:uid="{00000000-0005-0000-0000-0000E93A0000}"/>
    <cellStyle name="Normal 10 3 3 2 2 3" xfId="8018" xr:uid="{00000000-0005-0000-0000-0000EA3A0000}"/>
    <cellStyle name="Normal 10 3 3 2 2 3 2" xfId="14212" xr:uid="{00000000-0005-0000-0000-0000EB3A0000}"/>
    <cellStyle name="Normal 10 3 3 2 2 3 2 2" xfId="34132" xr:uid="{00000000-0005-0000-0000-0000EC3A0000}"/>
    <cellStyle name="Normal 10 3 3 2 2 3 3" xfId="20364" xr:uid="{00000000-0005-0000-0000-0000ED3A0000}"/>
    <cellStyle name="Normal 10 3 3 2 2 3 3 2" xfId="40284" xr:uid="{00000000-0005-0000-0000-0000EE3A0000}"/>
    <cellStyle name="Normal 10 3 3 2 2 3 4" xfId="27979" xr:uid="{00000000-0005-0000-0000-0000EF3A0000}"/>
    <cellStyle name="Normal 10 3 3 2 2 4" xfId="11146" xr:uid="{00000000-0005-0000-0000-0000F03A0000}"/>
    <cellStyle name="Normal 10 3 3 2 2 4 2" xfId="31066" xr:uid="{00000000-0005-0000-0000-0000F13A0000}"/>
    <cellStyle name="Normal 10 3 3 2 2 5" xfId="17298" xr:uid="{00000000-0005-0000-0000-0000F23A0000}"/>
    <cellStyle name="Normal 10 3 3 2 2 5 2" xfId="37218" xr:uid="{00000000-0005-0000-0000-0000F33A0000}"/>
    <cellStyle name="Normal 10 3 3 2 2 6" xfId="24913" xr:uid="{00000000-0005-0000-0000-0000F43A0000}"/>
    <cellStyle name="Normal 10 3 3 2 3" xfId="5684" xr:uid="{00000000-0005-0000-0000-0000F53A0000}"/>
    <cellStyle name="Normal 10 3 3 2 3 2" xfId="8784" xr:uid="{00000000-0005-0000-0000-0000F63A0000}"/>
    <cellStyle name="Normal 10 3 3 2 3 2 2" xfId="14977" xr:uid="{00000000-0005-0000-0000-0000F73A0000}"/>
    <cellStyle name="Normal 10 3 3 2 3 2 2 2" xfId="34897" xr:uid="{00000000-0005-0000-0000-0000F83A0000}"/>
    <cellStyle name="Normal 10 3 3 2 3 2 3" xfId="21129" xr:uid="{00000000-0005-0000-0000-0000F93A0000}"/>
    <cellStyle name="Normal 10 3 3 2 3 2 3 2" xfId="41049" xr:uid="{00000000-0005-0000-0000-0000FA3A0000}"/>
    <cellStyle name="Normal 10 3 3 2 3 2 4" xfId="28744" xr:uid="{00000000-0005-0000-0000-0000FB3A0000}"/>
    <cellStyle name="Normal 10 3 3 2 3 3" xfId="11911" xr:uid="{00000000-0005-0000-0000-0000FC3A0000}"/>
    <cellStyle name="Normal 10 3 3 2 3 3 2" xfId="31831" xr:uid="{00000000-0005-0000-0000-0000FD3A0000}"/>
    <cellStyle name="Normal 10 3 3 2 3 4" xfId="18063" xr:uid="{00000000-0005-0000-0000-0000FE3A0000}"/>
    <cellStyle name="Normal 10 3 3 2 3 4 2" xfId="37983" xr:uid="{00000000-0005-0000-0000-0000FF3A0000}"/>
    <cellStyle name="Normal 10 3 3 2 3 5" xfId="25678" xr:uid="{00000000-0005-0000-0000-0000003B0000}"/>
    <cellStyle name="Normal 10 3 3 2 4" xfId="7249" xr:uid="{00000000-0005-0000-0000-0000013B0000}"/>
    <cellStyle name="Normal 10 3 3 2 4 2" xfId="13443" xr:uid="{00000000-0005-0000-0000-0000023B0000}"/>
    <cellStyle name="Normal 10 3 3 2 4 2 2" xfId="33363" xr:uid="{00000000-0005-0000-0000-0000033B0000}"/>
    <cellStyle name="Normal 10 3 3 2 4 3" xfId="19595" xr:uid="{00000000-0005-0000-0000-0000043B0000}"/>
    <cellStyle name="Normal 10 3 3 2 4 3 2" xfId="39515" xr:uid="{00000000-0005-0000-0000-0000053B0000}"/>
    <cellStyle name="Normal 10 3 3 2 4 4" xfId="27210" xr:uid="{00000000-0005-0000-0000-0000063B0000}"/>
    <cellStyle name="Normal 10 3 3 2 5" xfId="10377" xr:uid="{00000000-0005-0000-0000-0000073B0000}"/>
    <cellStyle name="Normal 10 3 3 2 5 2" xfId="30297" xr:uid="{00000000-0005-0000-0000-0000083B0000}"/>
    <cellStyle name="Normal 10 3 3 2 6" xfId="16529" xr:uid="{00000000-0005-0000-0000-0000093B0000}"/>
    <cellStyle name="Normal 10 3 3 2 6 2" xfId="36449" xr:uid="{00000000-0005-0000-0000-00000A3B0000}"/>
    <cellStyle name="Normal 10 3 3 2 7" xfId="24144" xr:uid="{00000000-0005-0000-0000-00000B3B0000}"/>
    <cellStyle name="Normal 10 3 3 3" xfId="4841" xr:uid="{00000000-0005-0000-0000-00000C3B0000}"/>
    <cellStyle name="Normal 10 3 3 3 2" xfId="6466" xr:uid="{00000000-0005-0000-0000-00000D3B0000}"/>
    <cellStyle name="Normal 10 3 3 3 2 2" xfId="9552" xr:uid="{00000000-0005-0000-0000-00000E3B0000}"/>
    <cellStyle name="Normal 10 3 3 3 2 2 2" xfId="15745" xr:uid="{00000000-0005-0000-0000-00000F3B0000}"/>
    <cellStyle name="Normal 10 3 3 3 2 2 2 2" xfId="35665" xr:uid="{00000000-0005-0000-0000-0000103B0000}"/>
    <cellStyle name="Normal 10 3 3 3 2 2 3" xfId="21897" xr:uid="{00000000-0005-0000-0000-0000113B0000}"/>
    <cellStyle name="Normal 10 3 3 3 2 2 3 2" xfId="41817" xr:uid="{00000000-0005-0000-0000-0000123B0000}"/>
    <cellStyle name="Normal 10 3 3 3 2 2 4" xfId="29512" xr:uid="{00000000-0005-0000-0000-0000133B0000}"/>
    <cellStyle name="Normal 10 3 3 3 2 3" xfId="12679" xr:uid="{00000000-0005-0000-0000-0000143B0000}"/>
    <cellStyle name="Normal 10 3 3 3 2 3 2" xfId="32599" xr:uid="{00000000-0005-0000-0000-0000153B0000}"/>
    <cellStyle name="Normal 10 3 3 3 2 4" xfId="18831" xr:uid="{00000000-0005-0000-0000-0000163B0000}"/>
    <cellStyle name="Normal 10 3 3 3 2 4 2" xfId="38751" xr:uid="{00000000-0005-0000-0000-0000173B0000}"/>
    <cellStyle name="Normal 10 3 3 3 2 5" xfId="26446" xr:uid="{00000000-0005-0000-0000-0000183B0000}"/>
    <cellStyle name="Normal 10 3 3 3 3" xfId="8017" xr:uid="{00000000-0005-0000-0000-0000193B0000}"/>
    <cellStyle name="Normal 10 3 3 3 3 2" xfId="14211" xr:uid="{00000000-0005-0000-0000-00001A3B0000}"/>
    <cellStyle name="Normal 10 3 3 3 3 2 2" xfId="34131" xr:uid="{00000000-0005-0000-0000-00001B3B0000}"/>
    <cellStyle name="Normal 10 3 3 3 3 3" xfId="20363" xr:uid="{00000000-0005-0000-0000-00001C3B0000}"/>
    <cellStyle name="Normal 10 3 3 3 3 3 2" xfId="40283" xr:uid="{00000000-0005-0000-0000-00001D3B0000}"/>
    <cellStyle name="Normal 10 3 3 3 3 4" xfId="27978" xr:uid="{00000000-0005-0000-0000-00001E3B0000}"/>
    <cellStyle name="Normal 10 3 3 3 4" xfId="11145" xr:uid="{00000000-0005-0000-0000-00001F3B0000}"/>
    <cellStyle name="Normal 10 3 3 3 4 2" xfId="31065" xr:uid="{00000000-0005-0000-0000-0000203B0000}"/>
    <cellStyle name="Normal 10 3 3 3 5" xfId="17297" xr:uid="{00000000-0005-0000-0000-0000213B0000}"/>
    <cellStyle name="Normal 10 3 3 3 5 2" xfId="37217" xr:uid="{00000000-0005-0000-0000-0000223B0000}"/>
    <cellStyle name="Normal 10 3 3 3 6" xfId="24912" xr:uid="{00000000-0005-0000-0000-0000233B0000}"/>
    <cellStyle name="Normal 10 3 3 4" xfId="5683" xr:uid="{00000000-0005-0000-0000-0000243B0000}"/>
    <cellStyle name="Normal 10 3 3 4 2" xfId="8783" xr:uid="{00000000-0005-0000-0000-0000253B0000}"/>
    <cellStyle name="Normal 10 3 3 4 2 2" xfId="14976" xr:uid="{00000000-0005-0000-0000-0000263B0000}"/>
    <cellStyle name="Normal 10 3 3 4 2 2 2" xfId="34896" xr:uid="{00000000-0005-0000-0000-0000273B0000}"/>
    <cellStyle name="Normal 10 3 3 4 2 3" xfId="21128" xr:uid="{00000000-0005-0000-0000-0000283B0000}"/>
    <cellStyle name="Normal 10 3 3 4 2 3 2" xfId="41048" xr:uid="{00000000-0005-0000-0000-0000293B0000}"/>
    <cellStyle name="Normal 10 3 3 4 2 4" xfId="28743" xr:uid="{00000000-0005-0000-0000-00002A3B0000}"/>
    <cellStyle name="Normal 10 3 3 4 3" xfId="11910" xr:uid="{00000000-0005-0000-0000-00002B3B0000}"/>
    <cellStyle name="Normal 10 3 3 4 3 2" xfId="31830" xr:uid="{00000000-0005-0000-0000-00002C3B0000}"/>
    <cellStyle name="Normal 10 3 3 4 4" xfId="18062" xr:uid="{00000000-0005-0000-0000-00002D3B0000}"/>
    <cellStyle name="Normal 10 3 3 4 4 2" xfId="37982" xr:uid="{00000000-0005-0000-0000-00002E3B0000}"/>
    <cellStyle name="Normal 10 3 3 4 5" xfId="25677" xr:uid="{00000000-0005-0000-0000-00002F3B0000}"/>
    <cellStyle name="Normal 10 3 3 5" xfId="7248" xr:uid="{00000000-0005-0000-0000-0000303B0000}"/>
    <cellStyle name="Normal 10 3 3 5 2" xfId="13442" xr:uid="{00000000-0005-0000-0000-0000313B0000}"/>
    <cellStyle name="Normal 10 3 3 5 2 2" xfId="33362" xr:uid="{00000000-0005-0000-0000-0000323B0000}"/>
    <cellStyle name="Normal 10 3 3 5 3" xfId="19594" xr:uid="{00000000-0005-0000-0000-0000333B0000}"/>
    <cellStyle name="Normal 10 3 3 5 3 2" xfId="39514" xr:uid="{00000000-0005-0000-0000-0000343B0000}"/>
    <cellStyle name="Normal 10 3 3 5 4" xfId="27209" xr:uid="{00000000-0005-0000-0000-0000353B0000}"/>
    <cellStyle name="Normal 10 3 3 6" xfId="10376" xr:uid="{00000000-0005-0000-0000-0000363B0000}"/>
    <cellStyle name="Normal 10 3 3 6 2" xfId="30296" xr:uid="{00000000-0005-0000-0000-0000373B0000}"/>
    <cellStyle name="Normal 10 3 3 7" xfId="16528" xr:uid="{00000000-0005-0000-0000-0000383B0000}"/>
    <cellStyle name="Normal 10 3 3 7 2" xfId="36448" xr:uid="{00000000-0005-0000-0000-0000393B0000}"/>
    <cellStyle name="Normal 10 3 3 8" xfId="24143" xr:uid="{00000000-0005-0000-0000-00003A3B0000}"/>
    <cellStyle name="Normal 10 3 4" xfId="3310" xr:uid="{00000000-0005-0000-0000-00003B3B0000}"/>
    <cellStyle name="Normal 10 3 4 2" xfId="3311" xr:uid="{00000000-0005-0000-0000-00003C3B0000}"/>
    <cellStyle name="Normal 10 3 4 2 2" xfId="4844" xr:uid="{00000000-0005-0000-0000-00003D3B0000}"/>
    <cellStyle name="Normal 10 3 4 2 2 2" xfId="6469" xr:uid="{00000000-0005-0000-0000-00003E3B0000}"/>
    <cellStyle name="Normal 10 3 4 2 2 2 2" xfId="9555" xr:uid="{00000000-0005-0000-0000-00003F3B0000}"/>
    <cellStyle name="Normal 10 3 4 2 2 2 2 2" xfId="15748" xr:uid="{00000000-0005-0000-0000-0000403B0000}"/>
    <cellStyle name="Normal 10 3 4 2 2 2 2 2 2" xfId="35668" xr:uid="{00000000-0005-0000-0000-0000413B0000}"/>
    <cellStyle name="Normal 10 3 4 2 2 2 2 3" xfId="21900" xr:uid="{00000000-0005-0000-0000-0000423B0000}"/>
    <cellStyle name="Normal 10 3 4 2 2 2 2 3 2" xfId="41820" xr:uid="{00000000-0005-0000-0000-0000433B0000}"/>
    <cellStyle name="Normal 10 3 4 2 2 2 2 4" xfId="29515" xr:uid="{00000000-0005-0000-0000-0000443B0000}"/>
    <cellStyle name="Normal 10 3 4 2 2 2 3" xfId="12682" xr:uid="{00000000-0005-0000-0000-0000453B0000}"/>
    <cellStyle name="Normal 10 3 4 2 2 2 3 2" xfId="32602" xr:uid="{00000000-0005-0000-0000-0000463B0000}"/>
    <cellStyle name="Normal 10 3 4 2 2 2 4" xfId="18834" xr:uid="{00000000-0005-0000-0000-0000473B0000}"/>
    <cellStyle name="Normal 10 3 4 2 2 2 4 2" xfId="38754" xr:uid="{00000000-0005-0000-0000-0000483B0000}"/>
    <cellStyle name="Normal 10 3 4 2 2 2 5" xfId="26449" xr:uid="{00000000-0005-0000-0000-0000493B0000}"/>
    <cellStyle name="Normal 10 3 4 2 2 3" xfId="8020" xr:uid="{00000000-0005-0000-0000-00004A3B0000}"/>
    <cellStyle name="Normal 10 3 4 2 2 3 2" xfId="14214" xr:uid="{00000000-0005-0000-0000-00004B3B0000}"/>
    <cellStyle name="Normal 10 3 4 2 2 3 2 2" xfId="34134" xr:uid="{00000000-0005-0000-0000-00004C3B0000}"/>
    <cellStyle name="Normal 10 3 4 2 2 3 3" xfId="20366" xr:uid="{00000000-0005-0000-0000-00004D3B0000}"/>
    <cellStyle name="Normal 10 3 4 2 2 3 3 2" xfId="40286" xr:uid="{00000000-0005-0000-0000-00004E3B0000}"/>
    <cellStyle name="Normal 10 3 4 2 2 3 4" xfId="27981" xr:uid="{00000000-0005-0000-0000-00004F3B0000}"/>
    <cellStyle name="Normal 10 3 4 2 2 4" xfId="11148" xr:uid="{00000000-0005-0000-0000-0000503B0000}"/>
    <cellStyle name="Normal 10 3 4 2 2 4 2" xfId="31068" xr:uid="{00000000-0005-0000-0000-0000513B0000}"/>
    <cellStyle name="Normal 10 3 4 2 2 5" xfId="17300" xr:uid="{00000000-0005-0000-0000-0000523B0000}"/>
    <cellStyle name="Normal 10 3 4 2 2 5 2" xfId="37220" xr:uid="{00000000-0005-0000-0000-0000533B0000}"/>
    <cellStyle name="Normal 10 3 4 2 2 6" xfId="24915" xr:uid="{00000000-0005-0000-0000-0000543B0000}"/>
    <cellStyle name="Normal 10 3 4 2 3" xfId="5686" xr:uid="{00000000-0005-0000-0000-0000553B0000}"/>
    <cellStyle name="Normal 10 3 4 2 3 2" xfId="8786" xr:uid="{00000000-0005-0000-0000-0000563B0000}"/>
    <cellStyle name="Normal 10 3 4 2 3 2 2" xfId="14979" xr:uid="{00000000-0005-0000-0000-0000573B0000}"/>
    <cellStyle name="Normal 10 3 4 2 3 2 2 2" xfId="34899" xr:uid="{00000000-0005-0000-0000-0000583B0000}"/>
    <cellStyle name="Normal 10 3 4 2 3 2 3" xfId="21131" xr:uid="{00000000-0005-0000-0000-0000593B0000}"/>
    <cellStyle name="Normal 10 3 4 2 3 2 3 2" xfId="41051" xr:uid="{00000000-0005-0000-0000-00005A3B0000}"/>
    <cellStyle name="Normal 10 3 4 2 3 2 4" xfId="28746" xr:uid="{00000000-0005-0000-0000-00005B3B0000}"/>
    <cellStyle name="Normal 10 3 4 2 3 3" xfId="11913" xr:uid="{00000000-0005-0000-0000-00005C3B0000}"/>
    <cellStyle name="Normal 10 3 4 2 3 3 2" xfId="31833" xr:uid="{00000000-0005-0000-0000-00005D3B0000}"/>
    <cellStyle name="Normal 10 3 4 2 3 4" xfId="18065" xr:uid="{00000000-0005-0000-0000-00005E3B0000}"/>
    <cellStyle name="Normal 10 3 4 2 3 4 2" xfId="37985" xr:uid="{00000000-0005-0000-0000-00005F3B0000}"/>
    <cellStyle name="Normal 10 3 4 2 3 5" xfId="25680" xr:uid="{00000000-0005-0000-0000-0000603B0000}"/>
    <cellStyle name="Normal 10 3 4 2 4" xfId="7251" xr:uid="{00000000-0005-0000-0000-0000613B0000}"/>
    <cellStyle name="Normal 10 3 4 2 4 2" xfId="13445" xr:uid="{00000000-0005-0000-0000-0000623B0000}"/>
    <cellStyle name="Normal 10 3 4 2 4 2 2" xfId="33365" xr:uid="{00000000-0005-0000-0000-0000633B0000}"/>
    <cellStyle name="Normal 10 3 4 2 4 3" xfId="19597" xr:uid="{00000000-0005-0000-0000-0000643B0000}"/>
    <cellStyle name="Normal 10 3 4 2 4 3 2" xfId="39517" xr:uid="{00000000-0005-0000-0000-0000653B0000}"/>
    <cellStyle name="Normal 10 3 4 2 4 4" xfId="27212" xr:uid="{00000000-0005-0000-0000-0000663B0000}"/>
    <cellStyle name="Normal 10 3 4 2 5" xfId="10379" xr:uid="{00000000-0005-0000-0000-0000673B0000}"/>
    <cellStyle name="Normal 10 3 4 2 5 2" xfId="30299" xr:uid="{00000000-0005-0000-0000-0000683B0000}"/>
    <cellStyle name="Normal 10 3 4 2 6" xfId="16531" xr:uid="{00000000-0005-0000-0000-0000693B0000}"/>
    <cellStyle name="Normal 10 3 4 2 6 2" xfId="36451" xr:uid="{00000000-0005-0000-0000-00006A3B0000}"/>
    <cellStyle name="Normal 10 3 4 2 7" xfId="24146" xr:uid="{00000000-0005-0000-0000-00006B3B0000}"/>
    <cellStyle name="Normal 10 3 4 3" xfId="4843" xr:uid="{00000000-0005-0000-0000-00006C3B0000}"/>
    <cellStyle name="Normal 10 3 4 3 2" xfId="6468" xr:uid="{00000000-0005-0000-0000-00006D3B0000}"/>
    <cellStyle name="Normal 10 3 4 3 2 2" xfId="9554" xr:uid="{00000000-0005-0000-0000-00006E3B0000}"/>
    <cellStyle name="Normal 10 3 4 3 2 2 2" xfId="15747" xr:uid="{00000000-0005-0000-0000-00006F3B0000}"/>
    <cellStyle name="Normal 10 3 4 3 2 2 2 2" xfId="35667" xr:uid="{00000000-0005-0000-0000-0000703B0000}"/>
    <cellStyle name="Normal 10 3 4 3 2 2 3" xfId="21899" xr:uid="{00000000-0005-0000-0000-0000713B0000}"/>
    <cellStyle name="Normal 10 3 4 3 2 2 3 2" xfId="41819" xr:uid="{00000000-0005-0000-0000-0000723B0000}"/>
    <cellStyle name="Normal 10 3 4 3 2 2 4" xfId="29514" xr:uid="{00000000-0005-0000-0000-0000733B0000}"/>
    <cellStyle name="Normal 10 3 4 3 2 3" xfId="12681" xr:uid="{00000000-0005-0000-0000-0000743B0000}"/>
    <cellStyle name="Normal 10 3 4 3 2 3 2" xfId="32601" xr:uid="{00000000-0005-0000-0000-0000753B0000}"/>
    <cellStyle name="Normal 10 3 4 3 2 4" xfId="18833" xr:uid="{00000000-0005-0000-0000-0000763B0000}"/>
    <cellStyle name="Normal 10 3 4 3 2 4 2" xfId="38753" xr:uid="{00000000-0005-0000-0000-0000773B0000}"/>
    <cellStyle name="Normal 10 3 4 3 2 5" xfId="26448" xr:uid="{00000000-0005-0000-0000-0000783B0000}"/>
    <cellStyle name="Normal 10 3 4 3 3" xfId="8019" xr:uid="{00000000-0005-0000-0000-0000793B0000}"/>
    <cellStyle name="Normal 10 3 4 3 3 2" xfId="14213" xr:uid="{00000000-0005-0000-0000-00007A3B0000}"/>
    <cellStyle name="Normal 10 3 4 3 3 2 2" xfId="34133" xr:uid="{00000000-0005-0000-0000-00007B3B0000}"/>
    <cellStyle name="Normal 10 3 4 3 3 3" xfId="20365" xr:uid="{00000000-0005-0000-0000-00007C3B0000}"/>
    <cellStyle name="Normal 10 3 4 3 3 3 2" xfId="40285" xr:uid="{00000000-0005-0000-0000-00007D3B0000}"/>
    <cellStyle name="Normal 10 3 4 3 3 4" xfId="27980" xr:uid="{00000000-0005-0000-0000-00007E3B0000}"/>
    <cellStyle name="Normal 10 3 4 3 4" xfId="11147" xr:uid="{00000000-0005-0000-0000-00007F3B0000}"/>
    <cellStyle name="Normal 10 3 4 3 4 2" xfId="31067" xr:uid="{00000000-0005-0000-0000-0000803B0000}"/>
    <cellStyle name="Normal 10 3 4 3 5" xfId="17299" xr:uid="{00000000-0005-0000-0000-0000813B0000}"/>
    <cellStyle name="Normal 10 3 4 3 5 2" xfId="37219" xr:uid="{00000000-0005-0000-0000-0000823B0000}"/>
    <cellStyle name="Normal 10 3 4 3 6" xfId="24914" xr:uid="{00000000-0005-0000-0000-0000833B0000}"/>
    <cellStyle name="Normal 10 3 4 4" xfId="5685" xr:uid="{00000000-0005-0000-0000-0000843B0000}"/>
    <cellStyle name="Normal 10 3 4 4 2" xfId="8785" xr:uid="{00000000-0005-0000-0000-0000853B0000}"/>
    <cellStyle name="Normal 10 3 4 4 2 2" xfId="14978" xr:uid="{00000000-0005-0000-0000-0000863B0000}"/>
    <cellStyle name="Normal 10 3 4 4 2 2 2" xfId="34898" xr:uid="{00000000-0005-0000-0000-0000873B0000}"/>
    <cellStyle name="Normal 10 3 4 4 2 3" xfId="21130" xr:uid="{00000000-0005-0000-0000-0000883B0000}"/>
    <cellStyle name="Normal 10 3 4 4 2 3 2" xfId="41050" xr:uid="{00000000-0005-0000-0000-0000893B0000}"/>
    <cellStyle name="Normal 10 3 4 4 2 4" xfId="28745" xr:uid="{00000000-0005-0000-0000-00008A3B0000}"/>
    <cellStyle name="Normal 10 3 4 4 3" xfId="11912" xr:uid="{00000000-0005-0000-0000-00008B3B0000}"/>
    <cellStyle name="Normal 10 3 4 4 3 2" xfId="31832" xr:uid="{00000000-0005-0000-0000-00008C3B0000}"/>
    <cellStyle name="Normal 10 3 4 4 4" xfId="18064" xr:uid="{00000000-0005-0000-0000-00008D3B0000}"/>
    <cellStyle name="Normal 10 3 4 4 4 2" xfId="37984" xr:uid="{00000000-0005-0000-0000-00008E3B0000}"/>
    <cellStyle name="Normal 10 3 4 4 5" xfId="25679" xr:uid="{00000000-0005-0000-0000-00008F3B0000}"/>
    <cellStyle name="Normal 10 3 4 5" xfId="7250" xr:uid="{00000000-0005-0000-0000-0000903B0000}"/>
    <cellStyle name="Normal 10 3 4 5 2" xfId="13444" xr:uid="{00000000-0005-0000-0000-0000913B0000}"/>
    <cellStyle name="Normal 10 3 4 5 2 2" xfId="33364" xr:uid="{00000000-0005-0000-0000-0000923B0000}"/>
    <cellStyle name="Normal 10 3 4 5 3" xfId="19596" xr:uid="{00000000-0005-0000-0000-0000933B0000}"/>
    <cellStyle name="Normal 10 3 4 5 3 2" xfId="39516" xr:uid="{00000000-0005-0000-0000-0000943B0000}"/>
    <cellStyle name="Normal 10 3 4 5 4" xfId="27211" xr:uid="{00000000-0005-0000-0000-0000953B0000}"/>
    <cellStyle name="Normal 10 3 4 6" xfId="10378" xr:uid="{00000000-0005-0000-0000-0000963B0000}"/>
    <cellStyle name="Normal 10 3 4 6 2" xfId="30298" xr:uid="{00000000-0005-0000-0000-0000973B0000}"/>
    <cellStyle name="Normal 10 3 4 7" xfId="16530" xr:uid="{00000000-0005-0000-0000-0000983B0000}"/>
    <cellStyle name="Normal 10 3 4 7 2" xfId="36450" xr:uid="{00000000-0005-0000-0000-0000993B0000}"/>
    <cellStyle name="Normal 10 3 4 8" xfId="24145" xr:uid="{00000000-0005-0000-0000-00009A3B0000}"/>
    <cellStyle name="Normal 10 3 5" xfId="3312" xr:uid="{00000000-0005-0000-0000-00009B3B0000}"/>
    <cellStyle name="Normal 10 3 5 2" xfId="4845" xr:uid="{00000000-0005-0000-0000-00009C3B0000}"/>
    <cellStyle name="Normal 10 3 5 2 2" xfId="6470" xr:uid="{00000000-0005-0000-0000-00009D3B0000}"/>
    <cellStyle name="Normal 10 3 5 2 2 2" xfId="9556" xr:uid="{00000000-0005-0000-0000-00009E3B0000}"/>
    <cellStyle name="Normal 10 3 5 2 2 2 2" xfId="15749" xr:uid="{00000000-0005-0000-0000-00009F3B0000}"/>
    <cellStyle name="Normal 10 3 5 2 2 2 2 2" xfId="35669" xr:uid="{00000000-0005-0000-0000-0000A03B0000}"/>
    <cellStyle name="Normal 10 3 5 2 2 2 3" xfId="21901" xr:uid="{00000000-0005-0000-0000-0000A13B0000}"/>
    <cellStyle name="Normal 10 3 5 2 2 2 3 2" xfId="41821" xr:uid="{00000000-0005-0000-0000-0000A23B0000}"/>
    <cellStyle name="Normal 10 3 5 2 2 2 4" xfId="29516" xr:uid="{00000000-0005-0000-0000-0000A33B0000}"/>
    <cellStyle name="Normal 10 3 5 2 2 3" xfId="12683" xr:uid="{00000000-0005-0000-0000-0000A43B0000}"/>
    <cellStyle name="Normal 10 3 5 2 2 3 2" xfId="32603" xr:uid="{00000000-0005-0000-0000-0000A53B0000}"/>
    <cellStyle name="Normal 10 3 5 2 2 4" xfId="18835" xr:uid="{00000000-0005-0000-0000-0000A63B0000}"/>
    <cellStyle name="Normal 10 3 5 2 2 4 2" xfId="38755" xr:uid="{00000000-0005-0000-0000-0000A73B0000}"/>
    <cellStyle name="Normal 10 3 5 2 2 5" xfId="26450" xr:uid="{00000000-0005-0000-0000-0000A83B0000}"/>
    <cellStyle name="Normal 10 3 5 2 3" xfId="8021" xr:uid="{00000000-0005-0000-0000-0000A93B0000}"/>
    <cellStyle name="Normal 10 3 5 2 3 2" xfId="14215" xr:uid="{00000000-0005-0000-0000-0000AA3B0000}"/>
    <cellStyle name="Normal 10 3 5 2 3 2 2" xfId="34135" xr:uid="{00000000-0005-0000-0000-0000AB3B0000}"/>
    <cellStyle name="Normal 10 3 5 2 3 3" xfId="20367" xr:uid="{00000000-0005-0000-0000-0000AC3B0000}"/>
    <cellStyle name="Normal 10 3 5 2 3 3 2" xfId="40287" xr:uid="{00000000-0005-0000-0000-0000AD3B0000}"/>
    <cellStyle name="Normal 10 3 5 2 3 4" xfId="27982" xr:uid="{00000000-0005-0000-0000-0000AE3B0000}"/>
    <cellStyle name="Normal 10 3 5 2 4" xfId="11149" xr:uid="{00000000-0005-0000-0000-0000AF3B0000}"/>
    <cellStyle name="Normal 10 3 5 2 4 2" xfId="31069" xr:uid="{00000000-0005-0000-0000-0000B03B0000}"/>
    <cellStyle name="Normal 10 3 5 2 5" xfId="17301" xr:uid="{00000000-0005-0000-0000-0000B13B0000}"/>
    <cellStyle name="Normal 10 3 5 2 5 2" xfId="37221" xr:uid="{00000000-0005-0000-0000-0000B23B0000}"/>
    <cellStyle name="Normal 10 3 5 2 6" xfId="24916" xr:uid="{00000000-0005-0000-0000-0000B33B0000}"/>
    <cellStyle name="Normal 10 3 5 3" xfId="5687" xr:uid="{00000000-0005-0000-0000-0000B43B0000}"/>
    <cellStyle name="Normal 10 3 5 3 2" xfId="8787" xr:uid="{00000000-0005-0000-0000-0000B53B0000}"/>
    <cellStyle name="Normal 10 3 5 3 2 2" xfId="14980" xr:uid="{00000000-0005-0000-0000-0000B63B0000}"/>
    <cellStyle name="Normal 10 3 5 3 2 2 2" xfId="34900" xr:uid="{00000000-0005-0000-0000-0000B73B0000}"/>
    <cellStyle name="Normal 10 3 5 3 2 3" xfId="21132" xr:uid="{00000000-0005-0000-0000-0000B83B0000}"/>
    <cellStyle name="Normal 10 3 5 3 2 3 2" xfId="41052" xr:uid="{00000000-0005-0000-0000-0000B93B0000}"/>
    <cellStyle name="Normal 10 3 5 3 2 4" xfId="28747" xr:uid="{00000000-0005-0000-0000-0000BA3B0000}"/>
    <cellStyle name="Normal 10 3 5 3 3" xfId="11914" xr:uid="{00000000-0005-0000-0000-0000BB3B0000}"/>
    <cellStyle name="Normal 10 3 5 3 3 2" xfId="31834" xr:uid="{00000000-0005-0000-0000-0000BC3B0000}"/>
    <cellStyle name="Normal 10 3 5 3 4" xfId="18066" xr:uid="{00000000-0005-0000-0000-0000BD3B0000}"/>
    <cellStyle name="Normal 10 3 5 3 4 2" xfId="37986" xr:uid="{00000000-0005-0000-0000-0000BE3B0000}"/>
    <cellStyle name="Normal 10 3 5 3 5" xfId="25681" xr:uid="{00000000-0005-0000-0000-0000BF3B0000}"/>
    <cellStyle name="Normal 10 3 5 4" xfId="7252" xr:uid="{00000000-0005-0000-0000-0000C03B0000}"/>
    <cellStyle name="Normal 10 3 5 4 2" xfId="13446" xr:uid="{00000000-0005-0000-0000-0000C13B0000}"/>
    <cellStyle name="Normal 10 3 5 4 2 2" xfId="33366" xr:uid="{00000000-0005-0000-0000-0000C23B0000}"/>
    <cellStyle name="Normal 10 3 5 4 3" xfId="19598" xr:uid="{00000000-0005-0000-0000-0000C33B0000}"/>
    <cellStyle name="Normal 10 3 5 4 3 2" xfId="39518" xr:uid="{00000000-0005-0000-0000-0000C43B0000}"/>
    <cellStyle name="Normal 10 3 5 4 4" xfId="27213" xr:uid="{00000000-0005-0000-0000-0000C53B0000}"/>
    <cellStyle name="Normal 10 3 5 5" xfId="10380" xr:uid="{00000000-0005-0000-0000-0000C63B0000}"/>
    <cellStyle name="Normal 10 3 5 5 2" xfId="30300" xr:uid="{00000000-0005-0000-0000-0000C73B0000}"/>
    <cellStyle name="Normal 10 3 5 6" xfId="16532" xr:uid="{00000000-0005-0000-0000-0000C83B0000}"/>
    <cellStyle name="Normal 10 3 5 6 2" xfId="36452" xr:uid="{00000000-0005-0000-0000-0000C93B0000}"/>
    <cellStyle name="Normal 10 3 5 7" xfId="24147" xr:uid="{00000000-0005-0000-0000-0000CA3B0000}"/>
    <cellStyle name="Normal 10 3 6" xfId="4834" xr:uid="{00000000-0005-0000-0000-0000CB3B0000}"/>
    <cellStyle name="Normal 10 3 6 2" xfId="6459" xr:uid="{00000000-0005-0000-0000-0000CC3B0000}"/>
    <cellStyle name="Normal 10 3 6 2 2" xfId="9545" xr:uid="{00000000-0005-0000-0000-0000CD3B0000}"/>
    <cellStyle name="Normal 10 3 6 2 2 2" xfId="15738" xr:uid="{00000000-0005-0000-0000-0000CE3B0000}"/>
    <cellStyle name="Normal 10 3 6 2 2 2 2" xfId="35658" xr:uid="{00000000-0005-0000-0000-0000CF3B0000}"/>
    <cellStyle name="Normal 10 3 6 2 2 3" xfId="21890" xr:uid="{00000000-0005-0000-0000-0000D03B0000}"/>
    <cellStyle name="Normal 10 3 6 2 2 3 2" xfId="41810" xr:uid="{00000000-0005-0000-0000-0000D13B0000}"/>
    <cellStyle name="Normal 10 3 6 2 2 4" xfId="29505" xr:uid="{00000000-0005-0000-0000-0000D23B0000}"/>
    <cellStyle name="Normal 10 3 6 2 3" xfId="12672" xr:uid="{00000000-0005-0000-0000-0000D33B0000}"/>
    <cellStyle name="Normal 10 3 6 2 3 2" xfId="32592" xr:uid="{00000000-0005-0000-0000-0000D43B0000}"/>
    <cellStyle name="Normal 10 3 6 2 4" xfId="18824" xr:uid="{00000000-0005-0000-0000-0000D53B0000}"/>
    <cellStyle name="Normal 10 3 6 2 4 2" xfId="38744" xr:uid="{00000000-0005-0000-0000-0000D63B0000}"/>
    <cellStyle name="Normal 10 3 6 2 5" xfId="26439" xr:uid="{00000000-0005-0000-0000-0000D73B0000}"/>
    <cellStyle name="Normal 10 3 6 3" xfId="8010" xr:uid="{00000000-0005-0000-0000-0000D83B0000}"/>
    <cellStyle name="Normal 10 3 6 3 2" xfId="14204" xr:uid="{00000000-0005-0000-0000-0000D93B0000}"/>
    <cellStyle name="Normal 10 3 6 3 2 2" xfId="34124" xr:uid="{00000000-0005-0000-0000-0000DA3B0000}"/>
    <cellStyle name="Normal 10 3 6 3 3" xfId="20356" xr:uid="{00000000-0005-0000-0000-0000DB3B0000}"/>
    <cellStyle name="Normal 10 3 6 3 3 2" xfId="40276" xr:uid="{00000000-0005-0000-0000-0000DC3B0000}"/>
    <cellStyle name="Normal 10 3 6 3 4" xfId="27971" xr:uid="{00000000-0005-0000-0000-0000DD3B0000}"/>
    <cellStyle name="Normal 10 3 6 4" xfId="11138" xr:uid="{00000000-0005-0000-0000-0000DE3B0000}"/>
    <cellStyle name="Normal 10 3 6 4 2" xfId="31058" xr:uid="{00000000-0005-0000-0000-0000DF3B0000}"/>
    <cellStyle name="Normal 10 3 6 5" xfId="17290" xr:uid="{00000000-0005-0000-0000-0000E03B0000}"/>
    <cellStyle name="Normal 10 3 6 5 2" xfId="37210" xr:uid="{00000000-0005-0000-0000-0000E13B0000}"/>
    <cellStyle name="Normal 10 3 6 6" xfId="24905" xr:uid="{00000000-0005-0000-0000-0000E23B0000}"/>
    <cellStyle name="Normal 10 3 7" xfId="5676" xr:uid="{00000000-0005-0000-0000-0000E33B0000}"/>
    <cellStyle name="Normal 10 3 7 2" xfId="8776" xr:uid="{00000000-0005-0000-0000-0000E43B0000}"/>
    <cellStyle name="Normal 10 3 7 2 2" xfId="14969" xr:uid="{00000000-0005-0000-0000-0000E53B0000}"/>
    <cellStyle name="Normal 10 3 7 2 2 2" xfId="34889" xr:uid="{00000000-0005-0000-0000-0000E63B0000}"/>
    <cellStyle name="Normal 10 3 7 2 3" xfId="21121" xr:uid="{00000000-0005-0000-0000-0000E73B0000}"/>
    <cellStyle name="Normal 10 3 7 2 3 2" xfId="41041" xr:uid="{00000000-0005-0000-0000-0000E83B0000}"/>
    <cellStyle name="Normal 10 3 7 2 4" xfId="28736" xr:uid="{00000000-0005-0000-0000-0000E93B0000}"/>
    <cellStyle name="Normal 10 3 7 3" xfId="11903" xr:uid="{00000000-0005-0000-0000-0000EA3B0000}"/>
    <cellStyle name="Normal 10 3 7 3 2" xfId="31823" xr:uid="{00000000-0005-0000-0000-0000EB3B0000}"/>
    <cellStyle name="Normal 10 3 7 4" xfId="18055" xr:uid="{00000000-0005-0000-0000-0000EC3B0000}"/>
    <cellStyle name="Normal 10 3 7 4 2" xfId="37975" xr:uid="{00000000-0005-0000-0000-0000ED3B0000}"/>
    <cellStyle name="Normal 10 3 7 5" xfId="25670" xr:uid="{00000000-0005-0000-0000-0000EE3B0000}"/>
    <cellStyle name="Normal 10 3 8" xfId="7241" xr:uid="{00000000-0005-0000-0000-0000EF3B0000}"/>
    <cellStyle name="Normal 10 3 8 2" xfId="13435" xr:uid="{00000000-0005-0000-0000-0000F03B0000}"/>
    <cellStyle name="Normal 10 3 8 2 2" xfId="33355" xr:uid="{00000000-0005-0000-0000-0000F13B0000}"/>
    <cellStyle name="Normal 10 3 8 3" xfId="19587" xr:uid="{00000000-0005-0000-0000-0000F23B0000}"/>
    <cellStyle name="Normal 10 3 8 3 2" xfId="39507" xr:uid="{00000000-0005-0000-0000-0000F33B0000}"/>
    <cellStyle name="Normal 10 3 8 4" xfId="27202" xr:uid="{00000000-0005-0000-0000-0000F43B0000}"/>
    <cellStyle name="Normal 10 3 9" xfId="10369" xr:uid="{00000000-0005-0000-0000-0000F53B0000}"/>
    <cellStyle name="Normal 10 3 9 2" xfId="30289" xr:uid="{00000000-0005-0000-0000-0000F63B0000}"/>
    <cellStyle name="Normal 10 4" xfId="3313" xr:uid="{00000000-0005-0000-0000-0000F73B0000}"/>
    <cellStyle name="Normal 10 4 10" xfId="24148" xr:uid="{00000000-0005-0000-0000-0000F83B0000}"/>
    <cellStyle name="Normal 10 4 2" xfId="3314" xr:uid="{00000000-0005-0000-0000-0000F93B0000}"/>
    <cellStyle name="Normal 10 4 2 2" xfId="3315" xr:uid="{00000000-0005-0000-0000-0000FA3B0000}"/>
    <cellStyle name="Normal 10 4 2 2 2" xfId="4848" xr:uid="{00000000-0005-0000-0000-0000FB3B0000}"/>
    <cellStyle name="Normal 10 4 2 2 2 2" xfId="6473" xr:uid="{00000000-0005-0000-0000-0000FC3B0000}"/>
    <cellStyle name="Normal 10 4 2 2 2 2 2" xfId="9559" xr:uid="{00000000-0005-0000-0000-0000FD3B0000}"/>
    <cellStyle name="Normal 10 4 2 2 2 2 2 2" xfId="15752" xr:uid="{00000000-0005-0000-0000-0000FE3B0000}"/>
    <cellStyle name="Normal 10 4 2 2 2 2 2 2 2" xfId="35672" xr:uid="{00000000-0005-0000-0000-0000FF3B0000}"/>
    <cellStyle name="Normal 10 4 2 2 2 2 2 3" xfId="21904" xr:uid="{00000000-0005-0000-0000-0000003C0000}"/>
    <cellStyle name="Normal 10 4 2 2 2 2 2 3 2" xfId="41824" xr:uid="{00000000-0005-0000-0000-0000013C0000}"/>
    <cellStyle name="Normal 10 4 2 2 2 2 2 4" xfId="29519" xr:uid="{00000000-0005-0000-0000-0000023C0000}"/>
    <cellStyle name="Normal 10 4 2 2 2 2 3" xfId="12686" xr:uid="{00000000-0005-0000-0000-0000033C0000}"/>
    <cellStyle name="Normal 10 4 2 2 2 2 3 2" xfId="32606" xr:uid="{00000000-0005-0000-0000-0000043C0000}"/>
    <cellStyle name="Normal 10 4 2 2 2 2 4" xfId="18838" xr:uid="{00000000-0005-0000-0000-0000053C0000}"/>
    <cellStyle name="Normal 10 4 2 2 2 2 4 2" xfId="38758" xr:uid="{00000000-0005-0000-0000-0000063C0000}"/>
    <cellStyle name="Normal 10 4 2 2 2 2 5" xfId="26453" xr:uid="{00000000-0005-0000-0000-0000073C0000}"/>
    <cellStyle name="Normal 10 4 2 2 2 3" xfId="8024" xr:uid="{00000000-0005-0000-0000-0000083C0000}"/>
    <cellStyle name="Normal 10 4 2 2 2 3 2" xfId="14218" xr:uid="{00000000-0005-0000-0000-0000093C0000}"/>
    <cellStyle name="Normal 10 4 2 2 2 3 2 2" xfId="34138" xr:uid="{00000000-0005-0000-0000-00000A3C0000}"/>
    <cellStyle name="Normal 10 4 2 2 2 3 3" xfId="20370" xr:uid="{00000000-0005-0000-0000-00000B3C0000}"/>
    <cellStyle name="Normal 10 4 2 2 2 3 3 2" xfId="40290" xr:uid="{00000000-0005-0000-0000-00000C3C0000}"/>
    <cellStyle name="Normal 10 4 2 2 2 3 4" xfId="27985" xr:uid="{00000000-0005-0000-0000-00000D3C0000}"/>
    <cellStyle name="Normal 10 4 2 2 2 4" xfId="11152" xr:uid="{00000000-0005-0000-0000-00000E3C0000}"/>
    <cellStyle name="Normal 10 4 2 2 2 4 2" xfId="31072" xr:uid="{00000000-0005-0000-0000-00000F3C0000}"/>
    <cellStyle name="Normal 10 4 2 2 2 5" xfId="17304" xr:uid="{00000000-0005-0000-0000-0000103C0000}"/>
    <cellStyle name="Normal 10 4 2 2 2 5 2" xfId="37224" xr:uid="{00000000-0005-0000-0000-0000113C0000}"/>
    <cellStyle name="Normal 10 4 2 2 2 6" xfId="24919" xr:uid="{00000000-0005-0000-0000-0000123C0000}"/>
    <cellStyle name="Normal 10 4 2 2 3" xfId="5690" xr:uid="{00000000-0005-0000-0000-0000133C0000}"/>
    <cellStyle name="Normal 10 4 2 2 3 2" xfId="8790" xr:uid="{00000000-0005-0000-0000-0000143C0000}"/>
    <cellStyle name="Normal 10 4 2 2 3 2 2" xfId="14983" xr:uid="{00000000-0005-0000-0000-0000153C0000}"/>
    <cellStyle name="Normal 10 4 2 2 3 2 2 2" xfId="34903" xr:uid="{00000000-0005-0000-0000-0000163C0000}"/>
    <cellStyle name="Normal 10 4 2 2 3 2 3" xfId="21135" xr:uid="{00000000-0005-0000-0000-0000173C0000}"/>
    <cellStyle name="Normal 10 4 2 2 3 2 3 2" xfId="41055" xr:uid="{00000000-0005-0000-0000-0000183C0000}"/>
    <cellStyle name="Normal 10 4 2 2 3 2 4" xfId="28750" xr:uid="{00000000-0005-0000-0000-0000193C0000}"/>
    <cellStyle name="Normal 10 4 2 2 3 3" xfId="11917" xr:uid="{00000000-0005-0000-0000-00001A3C0000}"/>
    <cellStyle name="Normal 10 4 2 2 3 3 2" xfId="31837" xr:uid="{00000000-0005-0000-0000-00001B3C0000}"/>
    <cellStyle name="Normal 10 4 2 2 3 4" xfId="18069" xr:uid="{00000000-0005-0000-0000-00001C3C0000}"/>
    <cellStyle name="Normal 10 4 2 2 3 4 2" xfId="37989" xr:uid="{00000000-0005-0000-0000-00001D3C0000}"/>
    <cellStyle name="Normal 10 4 2 2 3 5" xfId="25684" xr:uid="{00000000-0005-0000-0000-00001E3C0000}"/>
    <cellStyle name="Normal 10 4 2 2 4" xfId="7255" xr:uid="{00000000-0005-0000-0000-00001F3C0000}"/>
    <cellStyle name="Normal 10 4 2 2 4 2" xfId="13449" xr:uid="{00000000-0005-0000-0000-0000203C0000}"/>
    <cellStyle name="Normal 10 4 2 2 4 2 2" xfId="33369" xr:uid="{00000000-0005-0000-0000-0000213C0000}"/>
    <cellStyle name="Normal 10 4 2 2 4 3" xfId="19601" xr:uid="{00000000-0005-0000-0000-0000223C0000}"/>
    <cellStyle name="Normal 10 4 2 2 4 3 2" xfId="39521" xr:uid="{00000000-0005-0000-0000-0000233C0000}"/>
    <cellStyle name="Normal 10 4 2 2 4 4" xfId="27216" xr:uid="{00000000-0005-0000-0000-0000243C0000}"/>
    <cellStyle name="Normal 10 4 2 2 5" xfId="10383" xr:uid="{00000000-0005-0000-0000-0000253C0000}"/>
    <cellStyle name="Normal 10 4 2 2 5 2" xfId="30303" xr:uid="{00000000-0005-0000-0000-0000263C0000}"/>
    <cellStyle name="Normal 10 4 2 2 6" xfId="16535" xr:uid="{00000000-0005-0000-0000-0000273C0000}"/>
    <cellStyle name="Normal 10 4 2 2 6 2" xfId="36455" xr:uid="{00000000-0005-0000-0000-0000283C0000}"/>
    <cellStyle name="Normal 10 4 2 2 7" xfId="24150" xr:uid="{00000000-0005-0000-0000-0000293C0000}"/>
    <cellStyle name="Normal 10 4 2 3" xfId="4847" xr:uid="{00000000-0005-0000-0000-00002A3C0000}"/>
    <cellStyle name="Normal 10 4 2 3 2" xfId="6472" xr:uid="{00000000-0005-0000-0000-00002B3C0000}"/>
    <cellStyle name="Normal 10 4 2 3 2 2" xfId="9558" xr:uid="{00000000-0005-0000-0000-00002C3C0000}"/>
    <cellStyle name="Normal 10 4 2 3 2 2 2" xfId="15751" xr:uid="{00000000-0005-0000-0000-00002D3C0000}"/>
    <cellStyle name="Normal 10 4 2 3 2 2 2 2" xfId="35671" xr:uid="{00000000-0005-0000-0000-00002E3C0000}"/>
    <cellStyle name="Normal 10 4 2 3 2 2 3" xfId="21903" xr:uid="{00000000-0005-0000-0000-00002F3C0000}"/>
    <cellStyle name="Normal 10 4 2 3 2 2 3 2" xfId="41823" xr:uid="{00000000-0005-0000-0000-0000303C0000}"/>
    <cellStyle name="Normal 10 4 2 3 2 2 4" xfId="29518" xr:uid="{00000000-0005-0000-0000-0000313C0000}"/>
    <cellStyle name="Normal 10 4 2 3 2 3" xfId="12685" xr:uid="{00000000-0005-0000-0000-0000323C0000}"/>
    <cellStyle name="Normal 10 4 2 3 2 3 2" xfId="32605" xr:uid="{00000000-0005-0000-0000-0000333C0000}"/>
    <cellStyle name="Normal 10 4 2 3 2 4" xfId="18837" xr:uid="{00000000-0005-0000-0000-0000343C0000}"/>
    <cellStyle name="Normal 10 4 2 3 2 4 2" xfId="38757" xr:uid="{00000000-0005-0000-0000-0000353C0000}"/>
    <cellStyle name="Normal 10 4 2 3 2 5" xfId="26452" xr:uid="{00000000-0005-0000-0000-0000363C0000}"/>
    <cellStyle name="Normal 10 4 2 3 3" xfId="8023" xr:uid="{00000000-0005-0000-0000-0000373C0000}"/>
    <cellStyle name="Normal 10 4 2 3 3 2" xfId="14217" xr:uid="{00000000-0005-0000-0000-0000383C0000}"/>
    <cellStyle name="Normal 10 4 2 3 3 2 2" xfId="34137" xr:uid="{00000000-0005-0000-0000-0000393C0000}"/>
    <cellStyle name="Normal 10 4 2 3 3 3" xfId="20369" xr:uid="{00000000-0005-0000-0000-00003A3C0000}"/>
    <cellStyle name="Normal 10 4 2 3 3 3 2" xfId="40289" xr:uid="{00000000-0005-0000-0000-00003B3C0000}"/>
    <cellStyle name="Normal 10 4 2 3 3 4" xfId="27984" xr:uid="{00000000-0005-0000-0000-00003C3C0000}"/>
    <cellStyle name="Normal 10 4 2 3 4" xfId="11151" xr:uid="{00000000-0005-0000-0000-00003D3C0000}"/>
    <cellStyle name="Normal 10 4 2 3 4 2" xfId="31071" xr:uid="{00000000-0005-0000-0000-00003E3C0000}"/>
    <cellStyle name="Normal 10 4 2 3 5" xfId="17303" xr:uid="{00000000-0005-0000-0000-00003F3C0000}"/>
    <cellStyle name="Normal 10 4 2 3 5 2" xfId="37223" xr:uid="{00000000-0005-0000-0000-0000403C0000}"/>
    <cellStyle name="Normal 10 4 2 3 6" xfId="24918" xr:uid="{00000000-0005-0000-0000-0000413C0000}"/>
    <cellStyle name="Normal 10 4 2 4" xfId="5689" xr:uid="{00000000-0005-0000-0000-0000423C0000}"/>
    <cellStyle name="Normal 10 4 2 4 2" xfId="8789" xr:uid="{00000000-0005-0000-0000-0000433C0000}"/>
    <cellStyle name="Normal 10 4 2 4 2 2" xfId="14982" xr:uid="{00000000-0005-0000-0000-0000443C0000}"/>
    <cellStyle name="Normal 10 4 2 4 2 2 2" xfId="34902" xr:uid="{00000000-0005-0000-0000-0000453C0000}"/>
    <cellStyle name="Normal 10 4 2 4 2 3" xfId="21134" xr:uid="{00000000-0005-0000-0000-0000463C0000}"/>
    <cellStyle name="Normal 10 4 2 4 2 3 2" xfId="41054" xr:uid="{00000000-0005-0000-0000-0000473C0000}"/>
    <cellStyle name="Normal 10 4 2 4 2 4" xfId="28749" xr:uid="{00000000-0005-0000-0000-0000483C0000}"/>
    <cellStyle name="Normal 10 4 2 4 3" xfId="11916" xr:uid="{00000000-0005-0000-0000-0000493C0000}"/>
    <cellStyle name="Normal 10 4 2 4 3 2" xfId="31836" xr:uid="{00000000-0005-0000-0000-00004A3C0000}"/>
    <cellStyle name="Normal 10 4 2 4 4" xfId="18068" xr:uid="{00000000-0005-0000-0000-00004B3C0000}"/>
    <cellStyle name="Normal 10 4 2 4 4 2" xfId="37988" xr:uid="{00000000-0005-0000-0000-00004C3C0000}"/>
    <cellStyle name="Normal 10 4 2 4 5" xfId="25683" xr:uid="{00000000-0005-0000-0000-00004D3C0000}"/>
    <cellStyle name="Normal 10 4 2 5" xfId="7254" xr:uid="{00000000-0005-0000-0000-00004E3C0000}"/>
    <cellStyle name="Normal 10 4 2 5 2" xfId="13448" xr:uid="{00000000-0005-0000-0000-00004F3C0000}"/>
    <cellStyle name="Normal 10 4 2 5 2 2" xfId="33368" xr:uid="{00000000-0005-0000-0000-0000503C0000}"/>
    <cellStyle name="Normal 10 4 2 5 3" xfId="19600" xr:uid="{00000000-0005-0000-0000-0000513C0000}"/>
    <cellStyle name="Normal 10 4 2 5 3 2" xfId="39520" xr:uid="{00000000-0005-0000-0000-0000523C0000}"/>
    <cellStyle name="Normal 10 4 2 5 4" xfId="27215" xr:uid="{00000000-0005-0000-0000-0000533C0000}"/>
    <cellStyle name="Normal 10 4 2 6" xfId="10382" xr:uid="{00000000-0005-0000-0000-0000543C0000}"/>
    <cellStyle name="Normal 10 4 2 6 2" xfId="30302" xr:uid="{00000000-0005-0000-0000-0000553C0000}"/>
    <cellStyle name="Normal 10 4 2 7" xfId="16534" xr:uid="{00000000-0005-0000-0000-0000563C0000}"/>
    <cellStyle name="Normal 10 4 2 7 2" xfId="36454" xr:uid="{00000000-0005-0000-0000-0000573C0000}"/>
    <cellStyle name="Normal 10 4 2 8" xfId="24149" xr:uid="{00000000-0005-0000-0000-0000583C0000}"/>
    <cellStyle name="Normal 10 4 3" xfId="3316" xr:uid="{00000000-0005-0000-0000-0000593C0000}"/>
    <cellStyle name="Normal 10 4 3 2" xfId="3317" xr:uid="{00000000-0005-0000-0000-00005A3C0000}"/>
    <cellStyle name="Normal 10 4 3 2 2" xfId="4850" xr:uid="{00000000-0005-0000-0000-00005B3C0000}"/>
    <cellStyle name="Normal 10 4 3 2 2 2" xfId="6475" xr:uid="{00000000-0005-0000-0000-00005C3C0000}"/>
    <cellStyle name="Normal 10 4 3 2 2 2 2" xfId="9561" xr:uid="{00000000-0005-0000-0000-00005D3C0000}"/>
    <cellStyle name="Normal 10 4 3 2 2 2 2 2" xfId="15754" xr:uid="{00000000-0005-0000-0000-00005E3C0000}"/>
    <cellStyle name="Normal 10 4 3 2 2 2 2 2 2" xfId="35674" xr:uid="{00000000-0005-0000-0000-00005F3C0000}"/>
    <cellStyle name="Normal 10 4 3 2 2 2 2 3" xfId="21906" xr:uid="{00000000-0005-0000-0000-0000603C0000}"/>
    <cellStyle name="Normal 10 4 3 2 2 2 2 3 2" xfId="41826" xr:uid="{00000000-0005-0000-0000-0000613C0000}"/>
    <cellStyle name="Normal 10 4 3 2 2 2 2 4" xfId="29521" xr:uid="{00000000-0005-0000-0000-0000623C0000}"/>
    <cellStyle name="Normal 10 4 3 2 2 2 3" xfId="12688" xr:uid="{00000000-0005-0000-0000-0000633C0000}"/>
    <cellStyle name="Normal 10 4 3 2 2 2 3 2" xfId="32608" xr:uid="{00000000-0005-0000-0000-0000643C0000}"/>
    <cellStyle name="Normal 10 4 3 2 2 2 4" xfId="18840" xr:uid="{00000000-0005-0000-0000-0000653C0000}"/>
    <cellStyle name="Normal 10 4 3 2 2 2 4 2" xfId="38760" xr:uid="{00000000-0005-0000-0000-0000663C0000}"/>
    <cellStyle name="Normal 10 4 3 2 2 2 5" xfId="26455" xr:uid="{00000000-0005-0000-0000-0000673C0000}"/>
    <cellStyle name="Normal 10 4 3 2 2 3" xfId="8026" xr:uid="{00000000-0005-0000-0000-0000683C0000}"/>
    <cellStyle name="Normal 10 4 3 2 2 3 2" xfId="14220" xr:uid="{00000000-0005-0000-0000-0000693C0000}"/>
    <cellStyle name="Normal 10 4 3 2 2 3 2 2" xfId="34140" xr:uid="{00000000-0005-0000-0000-00006A3C0000}"/>
    <cellStyle name="Normal 10 4 3 2 2 3 3" xfId="20372" xr:uid="{00000000-0005-0000-0000-00006B3C0000}"/>
    <cellStyle name="Normal 10 4 3 2 2 3 3 2" xfId="40292" xr:uid="{00000000-0005-0000-0000-00006C3C0000}"/>
    <cellStyle name="Normal 10 4 3 2 2 3 4" xfId="27987" xr:uid="{00000000-0005-0000-0000-00006D3C0000}"/>
    <cellStyle name="Normal 10 4 3 2 2 4" xfId="11154" xr:uid="{00000000-0005-0000-0000-00006E3C0000}"/>
    <cellStyle name="Normal 10 4 3 2 2 4 2" xfId="31074" xr:uid="{00000000-0005-0000-0000-00006F3C0000}"/>
    <cellStyle name="Normal 10 4 3 2 2 5" xfId="17306" xr:uid="{00000000-0005-0000-0000-0000703C0000}"/>
    <cellStyle name="Normal 10 4 3 2 2 5 2" xfId="37226" xr:uid="{00000000-0005-0000-0000-0000713C0000}"/>
    <cellStyle name="Normal 10 4 3 2 2 6" xfId="24921" xr:uid="{00000000-0005-0000-0000-0000723C0000}"/>
    <cellStyle name="Normal 10 4 3 2 3" xfId="5692" xr:uid="{00000000-0005-0000-0000-0000733C0000}"/>
    <cellStyle name="Normal 10 4 3 2 3 2" xfId="8792" xr:uid="{00000000-0005-0000-0000-0000743C0000}"/>
    <cellStyle name="Normal 10 4 3 2 3 2 2" xfId="14985" xr:uid="{00000000-0005-0000-0000-0000753C0000}"/>
    <cellStyle name="Normal 10 4 3 2 3 2 2 2" xfId="34905" xr:uid="{00000000-0005-0000-0000-0000763C0000}"/>
    <cellStyle name="Normal 10 4 3 2 3 2 3" xfId="21137" xr:uid="{00000000-0005-0000-0000-0000773C0000}"/>
    <cellStyle name="Normal 10 4 3 2 3 2 3 2" xfId="41057" xr:uid="{00000000-0005-0000-0000-0000783C0000}"/>
    <cellStyle name="Normal 10 4 3 2 3 2 4" xfId="28752" xr:uid="{00000000-0005-0000-0000-0000793C0000}"/>
    <cellStyle name="Normal 10 4 3 2 3 3" xfId="11919" xr:uid="{00000000-0005-0000-0000-00007A3C0000}"/>
    <cellStyle name="Normal 10 4 3 2 3 3 2" xfId="31839" xr:uid="{00000000-0005-0000-0000-00007B3C0000}"/>
    <cellStyle name="Normal 10 4 3 2 3 4" xfId="18071" xr:uid="{00000000-0005-0000-0000-00007C3C0000}"/>
    <cellStyle name="Normal 10 4 3 2 3 4 2" xfId="37991" xr:uid="{00000000-0005-0000-0000-00007D3C0000}"/>
    <cellStyle name="Normal 10 4 3 2 3 5" xfId="25686" xr:uid="{00000000-0005-0000-0000-00007E3C0000}"/>
    <cellStyle name="Normal 10 4 3 2 4" xfId="7257" xr:uid="{00000000-0005-0000-0000-00007F3C0000}"/>
    <cellStyle name="Normal 10 4 3 2 4 2" xfId="13451" xr:uid="{00000000-0005-0000-0000-0000803C0000}"/>
    <cellStyle name="Normal 10 4 3 2 4 2 2" xfId="33371" xr:uid="{00000000-0005-0000-0000-0000813C0000}"/>
    <cellStyle name="Normal 10 4 3 2 4 3" xfId="19603" xr:uid="{00000000-0005-0000-0000-0000823C0000}"/>
    <cellStyle name="Normal 10 4 3 2 4 3 2" xfId="39523" xr:uid="{00000000-0005-0000-0000-0000833C0000}"/>
    <cellStyle name="Normal 10 4 3 2 4 4" xfId="27218" xr:uid="{00000000-0005-0000-0000-0000843C0000}"/>
    <cellStyle name="Normal 10 4 3 2 5" xfId="10385" xr:uid="{00000000-0005-0000-0000-0000853C0000}"/>
    <cellStyle name="Normal 10 4 3 2 5 2" xfId="30305" xr:uid="{00000000-0005-0000-0000-0000863C0000}"/>
    <cellStyle name="Normal 10 4 3 2 6" xfId="16537" xr:uid="{00000000-0005-0000-0000-0000873C0000}"/>
    <cellStyle name="Normal 10 4 3 2 6 2" xfId="36457" xr:uid="{00000000-0005-0000-0000-0000883C0000}"/>
    <cellStyle name="Normal 10 4 3 2 7" xfId="24152" xr:uid="{00000000-0005-0000-0000-0000893C0000}"/>
    <cellStyle name="Normal 10 4 3 3" xfId="4849" xr:uid="{00000000-0005-0000-0000-00008A3C0000}"/>
    <cellStyle name="Normal 10 4 3 3 2" xfId="6474" xr:uid="{00000000-0005-0000-0000-00008B3C0000}"/>
    <cellStyle name="Normal 10 4 3 3 2 2" xfId="9560" xr:uid="{00000000-0005-0000-0000-00008C3C0000}"/>
    <cellStyle name="Normal 10 4 3 3 2 2 2" xfId="15753" xr:uid="{00000000-0005-0000-0000-00008D3C0000}"/>
    <cellStyle name="Normal 10 4 3 3 2 2 2 2" xfId="35673" xr:uid="{00000000-0005-0000-0000-00008E3C0000}"/>
    <cellStyle name="Normal 10 4 3 3 2 2 3" xfId="21905" xr:uid="{00000000-0005-0000-0000-00008F3C0000}"/>
    <cellStyle name="Normal 10 4 3 3 2 2 3 2" xfId="41825" xr:uid="{00000000-0005-0000-0000-0000903C0000}"/>
    <cellStyle name="Normal 10 4 3 3 2 2 4" xfId="29520" xr:uid="{00000000-0005-0000-0000-0000913C0000}"/>
    <cellStyle name="Normal 10 4 3 3 2 3" xfId="12687" xr:uid="{00000000-0005-0000-0000-0000923C0000}"/>
    <cellStyle name="Normal 10 4 3 3 2 3 2" xfId="32607" xr:uid="{00000000-0005-0000-0000-0000933C0000}"/>
    <cellStyle name="Normal 10 4 3 3 2 4" xfId="18839" xr:uid="{00000000-0005-0000-0000-0000943C0000}"/>
    <cellStyle name="Normal 10 4 3 3 2 4 2" xfId="38759" xr:uid="{00000000-0005-0000-0000-0000953C0000}"/>
    <cellStyle name="Normal 10 4 3 3 2 5" xfId="26454" xr:uid="{00000000-0005-0000-0000-0000963C0000}"/>
    <cellStyle name="Normal 10 4 3 3 3" xfId="8025" xr:uid="{00000000-0005-0000-0000-0000973C0000}"/>
    <cellStyle name="Normal 10 4 3 3 3 2" xfId="14219" xr:uid="{00000000-0005-0000-0000-0000983C0000}"/>
    <cellStyle name="Normal 10 4 3 3 3 2 2" xfId="34139" xr:uid="{00000000-0005-0000-0000-0000993C0000}"/>
    <cellStyle name="Normal 10 4 3 3 3 3" xfId="20371" xr:uid="{00000000-0005-0000-0000-00009A3C0000}"/>
    <cellStyle name="Normal 10 4 3 3 3 3 2" xfId="40291" xr:uid="{00000000-0005-0000-0000-00009B3C0000}"/>
    <cellStyle name="Normal 10 4 3 3 3 4" xfId="27986" xr:uid="{00000000-0005-0000-0000-00009C3C0000}"/>
    <cellStyle name="Normal 10 4 3 3 4" xfId="11153" xr:uid="{00000000-0005-0000-0000-00009D3C0000}"/>
    <cellStyle name="Normal 10 4 3 3 4 2" xfId="31073" xr:uid="{00000000-0005-0000-0000-00009E3C0000}"/>
    <cellStyle name="Normal 10 4 3 3 5" xfId="17305" xr:uid="{00000000-0005-0000-0000-00009F3C0000}"/>
    <cellStyle name="Normal 10 4 3 3 5 2" xfId="37225" xr:uid="{00000000-0005-0000-0000-0000A03C0000}"/>
    <cellStyle name="Normal 10 4 3 3 6" xfId="24920" xr:uid="{00000000-0005-0000-0000-0000A13C0000}"/>
    <cellStyle name="Normal 10 4 3 4" xfId="5691" xr:uid="{00000000-0005-0000-0000-0000A23C0000}"/>
    <cellStyle name="Normal 10 4 3 4 2" xfId="8791" xr:uid="{00000000-0005-0000-0000-0000A33C0000}"/>
    <cellStyle name="Normal 10 4 3 4 2 2" xfId="14984" xr:uid="{00000000-0005-0000-0000-0000A43C0000}"/>
    <cellStyle name="Normal 10 4 3 4 2 2 2" xfId="34904" xr:uid="{00000000-0005-0000-0000-0000A53C0000}"/>
    <cellStyle name="Normal 10 4 3 4 2 3" xfId="21136" xr:uid="{00000000-0005-0000-0000-0000A63C0000}"/>
    <cellStyle name="Normal 10 4 3 4 2 3 2" xfId="41056" xr:uid="{00000000-0005-0000-0000-0000A73C0000}"/>
    <cellStyle name="Normal 10 4 3 4 2 4" xfId="28751" xr:uid="{00000000-0005-0000-0000-0000A83C0000}"/>
    <cellStyle name="Normal 10 4 3 4 3" xfId="11918" xr:uid="{00000000-0005-0000-0000-0000A93C0000}"/>
    <cellStyle name="Normal 10 4 3 4 3 2" xfId="31838" xr:uid="{00000000-0005-0000-0000-0000AA3C0000}"/>
    <cellStyle name="Normal 10 4 3 4 4" xfId="18070" xr:uid="{00000000-0005-0000-0000-0000AB3C0000}"/>
    <cellStyle name="Normal 10 4 3 4 4 2" xfId="37990" xr:uid="{00000000-0005-0000-0000-0000AC3C0000}"/>
    <cellStyle name="Normal 10 4 3 4 5" xfId="25685" xr:uid="{00000000-0005-0000-0000-0000AD3C0000}"/>
    <cellStyle name="Normal 10 4 3 5" xfId="7256" xr:uid="{00000000-0005-0000-0000-0000AE3C0000}"/>
    <cellStyle name="Normal 10 4 3 5 2" xfId="13450" xr:uid="{00000000-0005-0000-0000-0000AF3C0000}"/>
    <cellStyle name="Normal 10 4 3 5 2 2" xfId="33370" xr:uid="{00000000-0005-0000-0000-0000B03C0000}"/>
    <cellStyle name="Normal 10 4 3 5 3" xfId="19602" xr:uid="{00000000-0005-0000-0000-0000B13C0000}"/>
    <cellStyle name="Normal 10 4 3 5 3 2" xfId="39522" xr:uid="{00000000-0005-0000-0000-0000B23C0000}"/>
    <cellStyle name="Normal 10 4 3 5 4" xfId="27217" xr:uid="{00000000-0005-0000-0000-0000B33C0000}"/>
    <cellStyle name="Normal 10 4 3 6" xfId="10384" xr:uid="{00000000-0005-0000-0000-0000B43C0000}"/>
    <cellStyle name="Normal 10 4 3 6 2" xfId="30304" xr:uid="{00000000-0005-0000-0000-0000B53C0000}"/>
    <cellStyle name="Normal 10 4 3 7" xfId="16536" xr:uid="{00000000-0005-0000-0000-0000B63C0000}"/>
    <cellStyle name="Normal 10 4 3 7 2" xfId="36456" xr:uid="{00000000-0005-0000-0000-0000B73C0000}"/>
    <cellStyle name="Normal 10 4 3 8" xfId="24151" xr:uid="{00000000-0005-0000-0000-0000B83C0000}"/>
    <cellStyle name="Normal 10 4 4" xfId="3318" xr:uid="{00000000-0005-0000-0000-0000B93C0000}"/>
    <cellStyle name="Normal 10 4 4 2" xfId="4851" xr:uid="{00000000-0005-0000-0000-0000BA3C0000}"/>
    <cellStyle name="Normal 10 4 4 2 2" xfId="6476" xr:uid="{00000000-0005-0000-0000-0000BB3C0000}"/>
    <cellStyle name="Normal 10 4 4 2 2 2" xfId="9562" xr:uid="{00000000-0005-0000-0000-0000BC3C0000}"/>
    <cellStyle name="Normal 10 4 4 2 2 2 2" xfId="15755" xr:uid="{00000000-0005-0000-0000-0000BD3C0000}"/>
    <cellStyle name="Normal 10 4 4 2 2 2 2 2" xfId="35675" xr:uid="{00000000-0005-0000-0000-0000BE3C0000}"/>
    <cellStyle name="Normal 10 4 4 2 2 2 3" xfId="21907" xr:uid="{00000000-0005-0000-0000-0000BF3C0000}"/>
    <cellStyle name="Normal 10 4 4 2 2 2 3 2" xfId="41827" xr:uid="{00000000-0005-0000-0000-0000C03C0000}"/>
    <cellStyle name="Normal 10 4 4 2 2 2 4" xfId="29522" xr:uid="{00000000-0005-0000-0000-0000C13C0000}"/>
    <cellStyle name="Normal 10 4 4 2 2 3" xfId="12689" xr:uid="{00000000-0005-0000-0000-0000C23C0000}"/>
    <cellStyle name="Normal 10 4 4 2 2 3 2" xfId="32609" xr:uid="{00000000-0005-0000-0000-0000C33C0000}"/>
    <cellStyle name="Normal 10 4 4 2 2 4" xfId="18841" xr:uid="{00000000-0005-0000-0000-0000C43C0000}"/>
    <cellStyle name="Normal 10 4 4 2 2 4 2" xfId="38761" xr:uid="{00000000-0005-0000-0000-0000C53C0000}"/>
    <cellStyle name="Normal 10 4 4 2 2 5" xfId="26456" xr:uid="{00000000-0005-0000-0000-0000C63C0000}"/>
    <cellStyle name="Normal 10 4 4 2 3" xfId="8027" xr:uid="{00000000-0005-0000-0000-0000C73C0000}"/>
    <cellStyle name="Normal 10 4 4 2 3 2" xfId="14221" xr:uid="{00000000-0005-0000-0000-0000C83C0000}"/>
    <cellStyle name="Normal 10 4 4 2 3 2 2" xfId="34141" xr:uid="{00000000-0005-0000-0000-0000C93C0000}"/>
    <cellStyle name="Normal 10 4 4 2 3 3" xfId="20373" xr:uid="{00000000-0005-0000-0000-0000CA3C0000}"/>
    <cellStyle name="Normal 10 4 4 2 3 3 2" xfId="40293" xr:uid="{00000000-0005-0000-0000-0000CB3C0000}"/>
    <cellStyle name="Normal 10 4 4 2 3 4" xfId="27988" xr:uid="{00000000-0005-0000-0000-0000CC3C0000}"/>
    <cellStyle name="Normal 10 4 4 2 4" xfId="11155" xr:uid="{00000000-0005-0000-0000-0000CD3C0000}"/>
    <cellStyle name="Normal 10 4 4 2 4 2" xfId="31075" xr:uid="{00000000-0005-0000-0000-0000CE3C0000}"/>
    <cellStyle name="Normal 10 4 4 2 5" xfId="17307" xr:uid="{00000000-0005-0000-0000-0000CF3C0000}"/>
    <cellStyle name="Normal 10 4 4 2 5 2" xfId="37227" xr:uid="{00000000-0005-0000-0000-0000D03C0000}"/>
    <cellStyle name="Normal 10 4 4 2 6" xfId="24922" xr:uid="{00000000-0005-0000-0000-0000D13C0000}"/>
    <cellStyle name="Normal 10 4 4 3" xfId="5693" xr:uid="{00000000-0005-0000-0000-0000D23C0000}"/>
    <cellStyle name="Normal 10 4 4 3 2" xfId="8793" xr:uid="{00000000-0005-0000-0000-0000D33C0000}"/>
    <cellStyle name="Normal 10 4 4 3 2 2" xfId="14986" xr:uid="{00000000-0005-0000-0000-0000D43C0000}"/>
    <cellStyle name="Normal 10 4 4 3 2 2 2" xfId="34906" xr:uid="{00000000-0005-0000-0000-0000D53C0000}"/>
    <cellStyle name="Normal 10 4 4 3 2 3" xfId="21138" xr:uid="{00000000-0005-0000-0000-0000D63C0000}"/>
    <cellStyle name="Normal 10 4 4 3 2 3 2" xfId="41058" xr:uid="{00000000-0005-0000-0000-0000D73C0000}"/>
    <cellStyle name="Normal 10 4 4 3 2 4" xfId="28753" xr:uid="{00000000-0005-0000-0000-0000D83C0000}"/>
    <cellStyle name="Normal 10 4 4 3 3" xfId="11920" xr:uid="{00000000-0005-0000-0000-0000D93C0000}"/>
    <cellStyle name="Normal 10 4 4 3 3 2" xfId="31840" xr:uid="{00000000-0005-0000-0000-0000DA3C0000}"/>
    <cellStyle name="Normal 10 4 4 3 4" xfId="18072" xr:uid="{00000000-0005-0000-0000-0000DB3C0000}"/>
    <cellStyle name="Normal 10 4 4 3 4 2" xfId="37992" xr:uid="{00000000-0005-0000-0000-0000DC3C0000}"/>
    <cellStyle name="Normal 10 4 4 3 5" xfId="25687" xr:uid="{00000000-0005-0000-0000-0000DD3C0000}"/>
    <cellStyle name="Normal 10 4 4 4" xfId="7258" xr:uid="{00000000-0005-0000-0000-0000DE3C0000}"/>
    <cellStyle name="Normal 10 4 4 4 2" xfId="13452" xr:uid="{00000000-0005-0000-0000-0000DF3C0000}"/>
    <cellStyle name="Normal 10 4 4 4 2 2" xfId="33372" xr:uid="{00000000-0005-0000-0000-0000E03C0000}"/>
    <cellStyle name="Normal 10 4 4 4 3" xfId="19604" xr:uid="{00000000-0005-0000-0000-0000E13C0000}"/>
    <cellStyle name="Normal 10 4 4 4 3 2" xfId="39524" xr:uid="{00000000-0005-0000-0000-0000E23C0000}"/>
    <cellStyle name="Normal 10 4 4 4 4" xfId="27219" xr:uid="{00000000-0005-0000-0000-0000E33C0000}"/>
    <cellStyle name="Normal 10 4 4 5" xfId="10386" xr:uid="{00000000-0005-0000-0000-0000E43C0000}"/>
    <cellStyle name="Normal 10 4 4 5 2" xfId="30306" xr:uid="{00000000-0005-0000-0000-0000E53C0000}"/>
    <cellStyle name="Normal 10 4 4 6" xfId="16538" xr:uid="{00000000-0005-0000-0000-0000E63C0000}"/>
    <cellStyle name="Normal 10 4 4 6 2" xfId="36458" xr:uid="{00000000-0005-0000-0000-0000E73C0000}"/>
    <cellStyle name="Normal 10 4 4 7" xfId="24153" xr:uid="{00000000-0005-0000-0000-0000E83C0000}"/>
    <cellStyle name="Normal 10 4 5" xfId="4846" xr:uid="{00000000-0005-0000-0000-0000E93C0000}"/>
    <cellStyle name="Normal 10 4 5 2" xfId="6471" xr:uid="{00000000-0005-0000-0000-0000EA3C0000}"/>
    <cellStyle name="Normal 10 4 5 2 2" xfId="9557" xr:uid="{00000000-0005-0000-0000-0000EB3C0000}"/>
    <cellStyle name="Normal 10 4 5 2 2 2" xfId="15750" xr:uid="{00000000-0005-0000-0000-0000EC3C0000}"/>
    <cellStyle name="Normal 10 4 5 2 2 2 2" xfId="35670" xr:uid="{00000000-0005-0000-0000-0000ED3C0000}"/>
    <cellStyle name="Normal 10 4 5 2 2 3" xfId="21902" xr:uid="{00000000-0005-0000-0000-0000EE3C0000}"/>
    <cellStyle name="Normal 10 4 5 2 2 3 2" xfId="41822" xr:uid="{00000000-0005-0000-0000-0000EF3C0000}"/>
    <cellStyle name="Normal 10 4 5 2 2 4" xfId="29517" xr:uid="{00000000-0005-0000-0000-0000F03C0000}"/>
    <cellStyle name="Normal 10 4 5 2 3" xfId="12684" xr:uid="{00000000-0005-0000-0000-0000F13C0000}"/>
    <cellStyle name="Normal 10 4 5 2 3 2" xfId="32604" xr:uid="{00000000-0005-0000-0000-0000F23C0000}"/>
    <cellStyle name="Normal 10 4 5 2 4" xfId="18836" xr:uid="{00000000-0005-0000-0000-0000F33C0000}"/>
    <cellStyle name="Normal 10 4 5 2 4 2" xfId="38756" xr:uid="{00000000-0005-0000-0000-0000F43C0000}"/>
    <cellStyle name="Normal 10 4 5 2 5" xfId="26451" xr:uid="{00000000-0005-0000-0000-0000F53C0000}"/>
    <cellStyle name="Normal 10 4 5 3" xfId="8022" xr:uid="{00000000-0005-0000-0000-0000F63C0000}"/>
    <cellStyle name="Normal 10 4 5 3 2" xfId="14216" xr:uid="{00000000-0005-0000-0000-0000F73C0000}"/>
    <cellStyle name="Normal 10 4 5 3 2 2" xfId="34136" xr:uid="{00000000-0005-0000-0000-0000F83C0000}"/>
    <cellStyle name="Normal 10 4 5 3 3" xfId="20368" xr:uid="{00000000-0005-0000-0000-0000F93C0000}"/>
    <cellStyle name="Normal 10 4 5 3 3 2" xfId="40288" xr:uid="{00000000-0005-0000-0000-0000FA3C0000}"/>
    <cellStyle name="Normal 10 4 5 3 4" xfId="27983" xr:uid="{00000000-0005-0000-0000-0000FB3C0000}"/>
    <cellStyle name="Normal 10 4 5 4" xfId="11150" xr:uid="{00000000-0005-0000-0000-0000FC3C0000}"/>
    <cellStyle name="Normal 10 4 5 4 2" xfId="31070" xr:uid="{00000000-0005-0000-0000-0000FD3C0000}"/>
    <cellStyle name="Normal 10 4 5 5" xfId="17302" xr:uid="{00000000-0005-0000-0000-0000FE3C0000}"/>
    <cellStyle name="Normal 10 4 5 5 2" xfId="37222" xr:uid="{00000000-0005-0000-0000-0000FF3C0000}"/>
    <cellStyle name="Normal 10 4 5 6" xfId="24917" xr:uid="{00000000-0005-0000-0000-0000003D0000}"/>
    <cellStyle name="Normal 10 4 6" xfId="5688" xr:uid="{00000000-0005-0000-0000-0000013D0000}"/>
    <cellStyle name="Normal 10 4 6 2" xfId="8788" xr:uid="{00000000-0005-0000-0000-0000023D0000}"/>
    <cellStyle name="Normal 10 4 6 2 2" xfId="14981" xr:uid="{00000000-0005-0000-0000-0000033D0000}"/>
    <cellStyle name="Normal 10 4 6 2 2 2" xfId="34901" xr:uid="{00000000-0005-0000-0000-0000043D0000}"/>
    <cellStyle name="Normal 10 4 6 2 3" xfId="21133" xr:uid="{00000000-0005-0000-0000-0000053D0000}"/>
    <cellStyle name="Normal 10 4 6 2 3 2" xfId="41053" xr:uid="{00000000-0005-0000-0000-0000063D0000}"/>
    <cellStyle name="Normal 10 4 6 2 4" xfId="28748" xr:uid="{00000000-0005-0000-0000-0000073D0000}"/>
    <cellStyle name="Normal 10 4 6 3" xfId="11915" xr:uid="{00000000-0005-0000-0000-0000083D0000}"/>
    <cellStyle name="Normal 10 4 6 3 2" xfId="31835" xr:uid="{00000000-0005-0000-0000-0000093D0000}"/>
    <cellStyle name="Normal 10 4 6 4" xfId="18067" xr:uid="{00000000-0005-0000-0000-00000A3D0000}"/>
    <cellStyle name="Normal 10 4 6 4 2" xfId="37987" xr:uid="{00000000-0005-0000-0000-00000B3D0000}"/>
    <cellStyle name="Normal 10 4 6 5" xfId="25682" xr:uid="{00000000-0005-0000-0000-00000C3D0000}"/>
    <cellStyle name="Normal 10 4 7" xfId="7253" xr:uid="{00000000-0005-0000-0000-00000D3D0000}"/>
    <cellStyle name="Normal 10 4 7 2" xfId="13447" xr:uid="{00000000-0005-0000-0000-00000E3D0000}"/>
    <cellStyle name="Normal 10 4 7 2 2" xfId="33367" xr:uid="{00000000-0005-0000-0000-00000F3D0000}"/>
    <cellStyle name="Normal 10 4 7 3" xfId="19599" xr:uid="{00000000-0005-0000-0000-0000103D0000}"/>
    <cellStyle name="Normal 10 4 7 3 2" xfId="39519" xr:uid="{00000000-0005-0000-0000-0000113D0000}"/>
    <cellStyle name="Normal 10 4 7 4" xfId="27214" xr:uid="{00000000-0005-0000-0000-0000123D0000}"/>
    <cellStyle name="Normal 10 4 8" xfId="10381" xr:uid="{00000000-0005-0000-0000-0000133D0000}"/>
    <cellStyle name="Normal 10 4 8 2" xfId="30301" xr:uid="{00000000-0005-0000-0000-0000143D0000}"/>
    <cellStyle name="Normal 10 4 9" xfId="16533" xr:uid="{00000000-0005-0000-0000-0000153D0000}"/>
    <cellStyle name="Normal 10 4 9 2" xfId="36453" xr:uid="{00000000-0005-0000-0000-0000163D0000}"/>
    <cellStyle name="Normal 10 5" xfId="3319" xr:uid="{00000000-0005-0000-0000-0000173D0000}"/>
    <cellStyle name="Normal 10 5 10" xfId="24154" xr:uid="{00000000-0005-0000-0000-0000183D0000}"/>
    <cellStyle name="Normal 10 5 2" xfId="3320" xr:uid="{00000000-0005-0000-0000-0000193D0000}"/>
    <cellStyle name="Normal 10 5 2 2" xfId="3321" xr:uid="{00000000-0005-0000-0000-00001A3D0000}"/>
    <cellStyle name="Normal 10 5 2 2 2" xfId="4854" xr:uid="{00000000-0005-0000-0000-00001B3D0000}"/>
    <cellStyle name="Normal 10 5 2 2 2 2" xfId="6479" xr:uid="{00000000-0005-0000-0000-00001C3D0000}"/>
    <cellStyle name="Normal 10 5 2 2 2 2 2" xfId="9565" xr:uid="{00000000-0005-0000-0000-00001D3D0000}"/>
    <cellStyle name="Normal 10 5 2 2 2 2 2 2" xfId="15758" xr:uid="{00000000-0005-0000-0000-00001E3D0000}"/>
    <cellStyle name="Normal 10 5 2 2 2 2 2 2 2" xfId="35678" xr:uid="{00000000-0005-0000-0000-00001F3D0000}"/>
    <cellStyle name="Normal 10 5 2 2 2 2 2 3" xfId="21910" xr:uid="{00000000-0005-0000-0000-0000203D0000}"/>
    <cellStyle name="Normal 10 5 2 2 2 2 2 3 2" xfId="41830" xr:uid="{00000000-0005-0000-0000-0000213D0000}"/>
    <cellStyle name="Normal 10 5 2 2 2 2 2 4" xfId="29525" xr:uid="{00000000-0005-0000-0000-0000223D0000}"/>
    <cellStyle name="Normal 10 5 2 2 2 2 3" xfId="12692" xr:uid="{00000000-0005-0000-0000-0000233D0000}"/>
    <cellStyle name="Normal 10 5 2 2 2 2 3 2" xfId="32612" xr:uid="{00000000-0005-0000-0000-0000243D0000}"/>
    <cellStyle name="Normal 10 5 2 2 2 2 4" xfId="18844" xr:uid="{00000000-0005-0000-0000-0000253D0000}"/>
    <cellStyle name="Normal 10 5 2 2 2 2 4 2" xfId="38764" xr:uid="{00000000-0005-0000-0000-0000263D0000}"/>
    <cellStyle name="Normal 10 5 2 2 2 2 5" xfId="26459" xr:uid="{00000000-0005-0000-0000-0000273D0000}"/>
    <cellStyle name="Normal 10 5 2 2 2 3" xfId="8030" xr:uid="{00000000-0005-0000-0000-0000283D0000}"/>
    <cellStyle name="Normal 10 5 2 2 2 3 2" xfId="14224" xr:uid="{00000000-0005-0000-0000-0000293D0000}"/>
    <cellStyle name="Normal 10 5 2 2 2 3 2 2" xfId="34144" xr:uid="{00000000-0005-0000-0000-00002A3D0000}"/>
    <cellStyle name="Normal 10 5 2 2 2 3 3" xfId="20376" xr:uid="{00000000-0005-0000-0000-00002B3D0000}"/>
    <cellStyle name="Normal 10 5 2 2 2 3 3 2" xfId="40296" xr:uid="{00000000-0005-0000-0000-00002C3D0000}"/>
    <cellStyle name="Normal 10 5 2 2 2 3 4" xfId="27991" xr:uid="{00000000-0005-0000-0000-00002D3D0000}"/>
    <cellStyle name="Normal 10 5 2 2 2 4" xfId="11158" xr:uid="{00000000-0005-0000-0000-00002E3D0000}"/>
    <cellStyle name="Normal 10 5 2 2 2 4 2" xfId="31078" xr:uid="{00000000-0005-0000-0000-00002F3D0000}"/>
    <cellStyle name="Normal 10 5 2 2 2 5" xfId="17310" xr:uid="{00000000-0005-0000-0000-0000303D0000}"/>
    <cellStyle name="Normal 10 5 2 2 2 5 2" xfId="37230" xr:uid="{00000000-0005-0000-0000-0000313D0000}"/>
    <cellStyle name="Normal 10 5 2 2 2 6" xfId="24925" xr:uid="{00000000-0005-0000-0000-0000323D0000}"/>
    <cellStyle name="Normal 10 5 2 2 3" xfId="5696" xr:uid="{00000000-0005-0000-0000-0000333D0000}"/>
    <cellStyle name="Normal 10 5 2 2 3 2" xfId="8796" xr:uid="{00000000-0005-0000-0000-0000343D0000}"/>
    <cellStyle name="Normal 10 5 2 2 3 2 2" xfId="14989" xr:uid="{00000000-0005-0000-0000-0000353D0000}"/>
    <cellStyle name="Normal 10 5 2 2 3 2 2 2" xfId="34909" xr:uid="{00000000-0005-0000-0000-0000363D0000}"/>
    <cellStyle name="Normal 10 5 2 2 3 2 3" xfId="21141" xr:uid="{00000000-0005-0000-0000-0000373D0000}"/>
    <cellStyle name="Normal 10 5 2 2 3 2 3 2" xfId="41061" xr:uid="{00000000-0005-0000-0000-0000383D0000}"/>
    <cellStyle name="Normal 10 5 2 2 3 2 4" xfId="28756" xr:uid="{00000000-0005-0000-0000-0000393D0000}"/>
    <cellStyle name="Normal 10 5 2 2 3 3" xfId="11923" xr:uid="{00000000-0005-0000-0000-00003A3D0000}"/>
    <cellStyle name="Normal 10 5 2 2 3 3 2" xfId="31843" xr:uid="{00000000-0005-0000-0000-00003B3D0000}"/>
    <cellStyle name="Normal 10 5 2 2 3 4" xfId="18075" xr:uid="{00000000-0005-0000-0000-00003C3D0000}"/>
    <cellStyle name="Normal 10 5 2 2 3 4 2" xfId="37995" xr:uid="{00000000-0005-0000-0000-00003D3D0000}"/>
    <cellStyle name="Normal 10 5 2 2 3 5" xfId="25690" xr:uid="{00000000-0005-0000-0000-00003E3D0000}"/>
    <cellStyle name="Normal 10 5 2 2 4" xfId="7261" xr:uid="{00000000-0005-0000-0000-00003F3D0000}"/>
    <cellStyle name="Normal 10 5 2 2 4 2" xfId="13455" xr:uid="{00000000-0005-0000-0000-0000403D0000}"/>
    <cellStyle name="Normal 10 5 2 2 4 2 2" xfId="33375" xr:uid="{00000000-0005-0000-0000-0000413D0000}"/>
    <cellStyle name="Normal 10 5 2 2 4 3" xfId="19607" xr:uid="{00000000-0005-0000-0000-0000423D0000}"/>
    <cellStyle name="Normal 10 5 2 2 4 3 2" xfId="39527" xr:uid="{00000000-0005-0000-0000-0000433D0000}"/>
    <cellStyle name="Normal 10 5 2 2 4 4" xfId="27222" xr:uid="{00000000-0005-0000-0000-0000443D0000}"/>
    <cellStyle name="Normal 10 5 2 2 5" xfId="10389" xr:uid="{00000000-0005-0000-0000-0000453D0000}"/>
    <cellStyle name="Normal 10 5 2 2 5 2" xfId="30309" xr:uid="{00000000-0005-0000-0000-0000463D0000}"/>
    <cellStyle name="Normal 10 5 2 2 6" xfId="16541" xr:uid="{00000000-0005-0000-0000-0000473D0000}"/>
    <cellStyle name="Normal 10 5 2 2 6 2" xfId="36461" xr:uid="{00000000-0005-0000-0000-0000483D0000}"/>
    <cellStyle name="Normal 10 5 2 2 7" xfId="24156" xr:uid="{00000000-0005-0000-0000-0000493D0000}"/>
    <cellStyle name="Normal 10 5 2 3" xfId="4853" xr:uid="{00000000-0005-0000-0000-00004A3D0000}"/>
    <cellStyle name="Normal 10 5 2 3 2" xfId="6478" xr:uid="{00000000-0005-0000-0000-00004B3D0000}"/>
    <cellStyle name="Normal 10 5 2 3 2 2" xfId="9564" xr:uid="{00000000-0005-0000-0000-00004C3D0000}"/>
    <cellStyle name="Normal 10 5 2 3 2 2 2" xfId="15757" xr:uid="{00000000-0005-0000-0000-00004D3D0000}"/>
    <cellStyle name="Normal 10 5 2 3 2 2 2 2" xfId="35677" xr:uid="{00000000-0005-0000-0000-00004E3D0000}"/>
    <cellStyle name="Normal 10 5 2 3 2 2 3" xfId="21909" xr:uid="{00000000-0005-0000-0000-00004F3D0000}"/>
    <cellStyle name="Normal 10 5 2 3 2 2 3 2" xfId="41829" xr:uid="{00000000-0005-0000-0000-0000503D0000}"/>
    <cellStyle name="Normal 10 5 2 3 2 2 4" xfId="29524" xr:uid="{00000000-0005-0000-0000-0000513D0000}"/>
    <cellStyle name="Normal 10 5 2 3 2 3" xfId="12691" xr:uid="{00000000-0005-0000-0000-0000523D0000}"/>
    <cellStyle name="Normal 10 5 2 3 2 3 2" xfId="32611" xr:uid="{00000000-0005-0000-0000-0000533D0000}"/>
    <cellStyle name="Normal 10 5 2 3 2 4" xfId="18843" xr:uid="{00000000-0005-0000-0000-0000543D0000}"/>
    <cellStyle name="Normal 10 5 2 3 2 4 2" xfId="38763" xr:uid="{00000000-0005-0000-0000-0000553D0000}"/>
    <cellStyle name="Normal 10 5 2 3 2 5" xfId="26458" xr:uid="{00000000-0005-0000-0000-0000563D0000}"/>
    <cellStyle name="Normal 10 5 2 3 3" xfId="8029" xr:uid="{00000000-0005-0000-0000-0000573D0000}"/>
    <cellStyle name="Normal 10 5 2 3 3 2" xfId="14223" xr:uid="{00000000-0005-0000-0000-0000583D0000}"/>
    <cellStyle name="Normal 10 5 2 3 3 2 2" xfId="34143" xr:uid="{00000000-0005-0000-0000-0000593D0000}"/>
    <cellStyle name="Normal 10 5 2 3 3 3" xfId="20375" xr:uid="{00000000-0005-0000-0000-00005A3D0000}"/>
    <cellStyle name="Normal 10 5 2 3 3 3 2" xfId="40295" xr:uid="{00000000-0005-0000-0000-00005B3D0000}"/>
    <cellStyle name="Normal 10 5 2 3 3 4" xfId="27990" xr:uid="{00000000-0005-0000-0000-00005C3D0000}"/>
    <cellStyle name="Normal 10 5 2 3 4" xfId="11157" xr:uid="{00000000-0005-0000-0000-00005D3D0000}"/>
    <cellStyle name="Normal 10 5 2 3 4 2" xfId="31077" xr:uid="{00000000-0005-0000-0000-00005E3D0000}"/>
    <cellStyle name="Normal 10 5 2 3 5" xfId="17309" xr:uid="{00000000-0005-0000-0000-00005F3D0000}"/>
    <cellStyle name="Normal 10 5 2 3 5 2" xfId="37229" xr:uid="{00000000-0005-0000-0000-0000603D0000}"/>
    <cellStyle name="Normal 10 5 2 3 6" xfId="24924" xr:uid="{00000000-0005-0000-0000-0000613D0000}"/>
    <cellStyle name="Normal 10 5 2 4" xfId="5695" xr:uid="{00000000-0005-0000-0000-0000623D0000}"/>
    <cellStyle name="Normal 10 5 2 4 2" xfId="8795" xr:uid="{00000000-0005-0000-0000-0000633D0000}"/>
    <cellStyle name="Normal 10 5 2 4 2 2" xfId="14988" xr:uid="{00000000-0005-0000-0000-0000643D0000}"/>
    <cellStyle name="Normal 10 5 2 4 2 2 2" xfId="34908" xr:uid="{00000000-0005-0000-0000-0000653D0000}"/>
    <cellStyle name="Normal 10 5 2 4 2 3" xfId="21140" xr:uid="{00000000-0005-0000-0000-0000663D0000}"/>
    <cellStyle name="Normal 10 5 2 4 2 3 2" xfId="41060" xr:uid="{00000000-0005-0000-0000-0000673D0000}"/>
    <cellStyle name="Normal 10 5 2 4 2 4" xfId="28755" xr:uid="{00000000-0005-0000-0000-0000683D0000}"/>
    <cellStyle name="Normal 10 5 2 4 3" xfId="11922" xr:uid="{00000000-0005-0000-0000-0000693D0000}"/>
    <cellStyle name="Normal 10 5 2 4 3 2" xfId="31842" xr:uid="{00000000-0005-0000-0000-00006A3D0000}"/>
    <cellStyle name="Normal 10 5 2 4 4" xfId="18074" xr:uid="{00000000-0005-0000-0000-00006B3D0000}"/>
    <cellStyle name="Normal 10 5 2 4 4 2" xfId="37994" xr:uid="{00000000-0005-0000-0000-00006C3D0000}"/>
    <cellStyle name="Normal 10 5 2 4 5" xfId="25689" xr:uid="{00000000-0005-0000-0000-00006D3D0000}"/>
    <cellStyle name="Normal 10 5 2 5" xfId="7260" xr:uid="{00000000-0005-0000-0000-00006E3D0000}"/>
    <cellStyle name="Normal 10 5 2 5 2" xfId="13454" xr:uid="{00000000-0005-0000-0000-00006F3D0000}"/>
    <cellStyle name="Normal 10 5 2 5 2 2" xfId="33374" xr:uid="{00000000-0005-0000-0000-0000703D0000}"/>
    <cellStyle name="Normal 10 5 2 5 3" xfId="19606" xr:uid="{00000000-0005-0000-0000-0000713D0000}"/>
    <cellStyle name="Normal 10 5 2 5 3 2" xfId="39526" xr:uid="{00000000-0005-0000-0000-0000723D0000}"/>
    <cellStyle name="Normal 10 5 2 5 4" xfId="27221" xr:uid="{00000000-0005-0000-0000-0000733D0000}"/>
    <cellStyle name="Normal 10 5 2 6" xfId="10388" xr:uid="{00000000-0005-0000-0000-0000743D0000}"/>
    <cellStyle name="Normal 10 5 2 6 2" xfId="30308" xr:uid="{00000000-0005-0000-0000-0000753D0000}"/>
    <cellStyle name="Normal 10 5 2 7" xfId="16540" xr:uid="{00000000-0005-0000-0000-0000763D0000}"/>
    <cellStyle name="Normal 10 5 2 7 2" xfId="36460" xr:uid="{00000000-0005-0000-0000-0000773D0000}"/>
    <cellStyle name="Normal 10 5 2 8" xfId="24155" xr:uid="{00000000-0005-0000-0000-0000783D0000}"/>
    <cellStyle name="Normal 10 5 3" xfId="3322" xr:uid="{00000000-0005-0000-0000-0000793D0000}"/>
    <cellStyle name="Normal 10 5 3 2" xfId="3323" xr:uid="{00000000-0005-0000-0000-00007A3D0000}"/>
    <cellStyle name="Normal 10 5 3 2 2" xfId="4856" xr:uid="{00000000-0005-0000-0000-00007B3D0000}"/>
    <cellStyle name="Normal 10 5 3 2 2 2" xfId="6481" xr:uid="{00000000-0005-0000-0000-00007C3D0000}"/>
    <cellStyle name="Normal 10 5 3 2 2 2 2" xfId="9567" xr:uid="{00000000-0005-0000-0000-00007D3D0000}"/>
    <cellStyle name="Normal 10 5 3 2 2 2 2 2" xfId="15760" xr:uid="{00000000-0005-0000-0000-00007E3D0000}"/>
    <cellStyle name="Normal 10 5 3 2 2 2 2 2 2" xfId="35680" xr:uid="{00000000-0005-0000-0000-00007F3D0000}"/>
    <cellStyle name="Normal 10 5 3 2 2 2 2 3" xfId="21912" xr:uid="{00000000-0005-0000-0000-0000803D0000}"/>
    <cellStyle name="Normal 10 5 3 2 2 2 2 3 2" xfId="41832" xr:uid="{00000000-0005-0000-0000-0000813D0000}"/>
    <cellStyle name="Normal 10 5 3 2 2 2 2 4" xfId="29527" xr:uid="{00000000-0005-0000-0000-0000823D0000}"/>
    <cellStyle name="Normal 10 5 3 2 2 2 3" xfId="12694" xr:uid="{00000000-0005-0000-0000-0000833D0000}"/>
    <cellStyle name="Normal 10 5 3 2 2 2 3 2" xfId="32614" xr:uid="{00000000-0005-0000-0000-0000843D0000}"/>
    <cellStyle name="Normal 10 5 3 2 2 2 4" xfId="18846" xr:uid="{00000000-0005-0000-0000-0000853D0000}"/>
    <cellStyle name="Normal 10 5 3 2 2 2 4 2" xfId="38766" xr:uid="{00000000-0005-0000-0000-0000863D0000}"/>
    <cellStyle name="Normal 10 5 3 2 2 2 5" xfId="26461" xr:uid="{00000000-0005-0000-0000-0000873D0000}"/>
    <cellStyle name="Normal 10 5 3 2 2 3" xfId="8032" xr:uid="{00000000-0005-0000-0000-0000883D0000}"/>
    <cellStyle name="Normal 10 5 3 2 2 3 2" xfId="14226" xr:uid="{00000000-0005-0000-0000-0000893D0000}"/>
    <cellStyle name="Normal 10 5 3 2 2 3 2 2" xfId="34146" xr:uid="{00000000-0005-0000-0000-00008A3D0000}"/>
    <cellStyle name="Normal 10 5 3 2 2 3 3" xfId="20378" xr:uid="{00000000-0005-0000-0000-00008B3D0000}"/>
    <cellStyle name="Normal 10 5 3 2 2 3 3 2" xfId="40298" xr:uid="{00000000-0005-0000-0000-00008C3D0000}"/>
    <cellStyle name="Normal 10 5 3 2 2 3 4" xfId="27993" xr:uid="{00000000-0005-0000-0000-00008D3D0000}"/>
    <cellStyle name="Normal 10 5 3 2 2 4" xfId="11160" xr:uid="{00000000-0005-0000-0000-00008E3D0000}"/>
    <cellStyle name="Normal 10 5 3 2 2 4 2" xfId="31080" xr:uid="{00000000-0005-0000-0000-00008F3D0000}"/>
    <cellStyle name="Normal 10 5 3 2 2 5" xfId="17312" xr:uid="{00000000-0005-0000-0000-0000903D0000}"/>
    <cellStyle name="Normal 10 5 3 2 2 5 2" xfId="37232" xr:uid="{00000000-0005-0000-0000-0000913D0000}"/>
    <cellStyle name="Normal 10 5 3 2 2 6" xfId="24927" xr:uid="{00000000-0005-0000-0000-0000923D0000}"/>
    <cellStyle name="Normal 10 5 3 2 3" xfId="5698" xr:uid="{00000000-0005-0000-0000-0000933D0000}"/>
    <cellStyle name="Normal 10 5 3 2 3 2" xfId="8798" xr:uid="{00000000-0005-0000-0000-0000943D0000}"/>
    <cellStyle name="Normal 10 5 3 2 3 2 2" xfId="14991" xr:uid="{00000000-0005-0000-0000-0000953D0000}"/>
    <cellStyle name="Normal 10 5 3 2 3 2 2 2" xfId="34911" xr:uid="{00000000-0005-0000-0000-0000963D0000}"/>
    <cellStyle name="Normal 10 5 3 2 3 2 3" xfId="21143" xr:uid="{00000000-0005-0000-0000-0000973D0000}"/>
    <cellStyle name="Normal 10 5 3 2 3 2 3 2" xfId="41063" xr:uid="{00000000-0005-0000-0000-0000983D0000}"/>
    <cellStyle name="Normal 10 5 3 2 3 2 4" xfId="28758" xr:uid="{00000000-0005-0000-0000-0000993D0000}"/>
    <cellStyle name="Normal 10 5 3 2 3 3" xfId="11925" xr:uid="{00000000-0005-0000-0000-00009A3D0000}"/>
    <cellStyle name="Normal 10 5 3 2 3 3 2" xfId="31845" xr:uid="{00000000-0005-0000-0000-00009B3D0000}"/>
    <cellStyle name="Normal 10 5 3 2 3 4" xfId="18077" xr:uid="{00000000-0005-0000-0000-00009C3D0000}"/>
    <cellStyle name="Normal 10 5 3 2 3 4 2" xfId="37997" xr:uid="{00000000-0005-0000-0000-00009D3D0000}"/>
    <cellStyle name="Normal 10 5 3 2 3 5" xfId="25692" xr:uid="{00000000-0005-0000-0000-00009E3D0000}"/>
    <cellStyle name="Normal 10 5 3 2 4" xfId="7263" xr:uid="{00000000-0005-0000-0000-00009F3D0000}"/>
    <cellStyle name="Normal 10 5 3 2 4 2" xfId="13457" xr:uid="{00000000-0005-0000-0000-0000A03D0000}"/>
    <cellStyle name="Normal 10 5 3 2 4 2 2" xfId="33377" xr:uid="{00000000-0005-0000-0000-0000A13D0000}"/>
    <cellStyle name="Normal 10 5 3 2 4 3" xfId="19609" xr:uid="{00000000-0005-0000-0000-0000A23D0000}"/>
    <cellStyle name="Normal 10 5 3 2 4 3 2" xfId="39529" xr:uid="{00000000-0005-0000-0000-0000A33D0000}"/>
    <cellStyle name="Normal 10 5 3 2 4 4" xfId="27224" xr:uid="{00000000-0005-0000-0000-0000A43D0000}"/>
    <cellStyle name="Normal 10 5 3 2 5" xfId="10391" xr:uid="{00000000-0005-0000-0000-0000A53D0000}"/>
    <cellStyle name="Normal 10 5 3 2 5 2" xfId="30311" xr:uid="{00000000-0005-0000-0000-0000A63D0000}"/>
    <cellStyle name="Normal 10 5 3 2 6" xfId="16543" xr:uid="{00000000-0005-0000-0000-0000A73D0000}"/>
    <cellStyle name="Normal 10 5 3 2 6 2" xfId="36463" xr:uid="{00000000-0005-0000-0000-0000A83D0000}"/>
    <cellStyle name="Normal 10 5 3 2 7" xfId="24158" xr:uid="{00000000-0005-0000-0000-0000A93D0000}"/>
    <cellStyle name="Normal 10 5 3 3" xfId="4855" xr:uid="{00000000-0005-0000-0000-0000AA3D0000}"/>
    <cellStyle name="Normal 10 5 3 3 2" xfId="6480" xr:uid="{00000000-0005-0000-0000-0000AB3D0000}"/>
    <cellStyle name="Normal 10 5 3 3 2 2" xfId="9566" xr:uid="{00000000-0005-0000-0000-0000AC3D0000}"/>
    <cellStyle name="Normal 10 5 3 3 2 2 2" xfId="15759" xr:uid="{00000000-0005-0000-0000-0000AD3D0000}"/>
    <cellStyle name="Normal 10 5 3 3 2 2 2 2" xfId="35679" xr:uid="{00000000-0005-0000-0000-0000AE3D0000}"/>
    <cellStyle name="Normal 10 5 3 3 2 2 3" xfId="21911" xr:uid="{00000000-0005-0000-0000-0000AF3D0000}"/>
    <cellStyle name="Normal 10 5 3 3 2 2 3 2" xfId="41831" xr:uid="{00000000-0005-0000-0000-0000B03D0000}"/>
    <cellStyle name="Normal 10 5 3 3 2 2 4" xfId="29526" xr:uid="{00000000-0005-0000-0000-0000B13D0000}"/>
    <cellStyle name="Normal 10 5 3 3 2 3" xfId="12693" xr:uid="{00000000-0005-0000-0000-0000B23D0000}"/>
    <cellStyle name="Normal 10 5 3 3 2 3 2" xfId="32613" xr:uid="{00000000-0005-0000-0000-0000B33D0000}"/>
    <cellStyle name="Normal 10 5 3 3 2 4" xfId="18845" xr:uid="{00000000-0005-0000-0000-0000B43D0000}"/>
    <cellStyle name="Normal 10 5 3 3 2 4 2" xfId="38765" xr:uid="{00000000-0005-0000-0000-0000B53D0000}"/>
    <cellStyle name="Normal 10 5 3 3 2 5" xfId="26460" xr:uid="{00000000-0005-0000-0000-0000B63D0000}"/>
    <cellStyle name="Normal 10 5 3 3 3" xfId="8031" xr:uid="{00000000-0005-0000-0000-0000B73D0000}"/>
    <cellStyle name="Normal 10 5 3 3 3 2" xfId="14225" xr:uid="{00000000-0005-0000-0000-0000B83D0000}"/>
    <cellStyle name="Normal 10 5 3 3 3 2 2" xfId="34145" xr:uid="{00000000-0005-0000-0000-0000B93D0000}"/>
    <cellStyle name="Normal 10 5 3 3 3 3" xfId="20377" xr:uid="{00000000-0005-0000-0000-0000BA3D0000}"/>
    <cellStyle name="Normal 10 5 3 3 3 3 2" xfId="40297" xr:uid="{00000000-0005-0000-0000-0000BB3D0000}"/>
    <cellStyle name="Normal 10 5 3 3 3 4" xfId="27992" xr:uid="{00000000-0005-0000-0000-0000BC3D0000}"/>
    <cellStyle name="Normal 10 5 3 3 4" xfId="11159" xr:uid="{00000000-0005-0000-0000-0000BD3D0000}"/>
    <cellStyle name="Normal 10 5 3 3 4 2" xfId="31079" xr:uid="{00000000-0005-0000-0000-0000BE3D0000}"/>
    <cellStyle name="Normal 10 5 3 3 5" xfId="17311" xr:uid="{00000000-0005-0000-0000-0000BF3D0000}"/>
    <cellStyle name="Normal 10 5 3 3 5 2" xfId="37231" xr:uid="{00000000-0005-0000-0000-0000C03D0000}"/>
    <cellStyle name="Normal 10 5 3 3 6" xfId="24926" xr:uid="{00000000-0005-0000-0000-0000C13D0000}"/>
    <cellStyle name="Normal 10 5 3 4" xfId="5697" xr:uid="{00000000-0005-0000-0000-0000C23D0000}"/>
    <cellStyle name="Normal 10 5 3 4 2" xfId="8797" xr:uid="{00000000-0005-0000-0000-0000C33D0000}"/>
    <cellStyle name="Normal 10 5 3 4 2 2" xfId="14990" xr:uid="{00000000-0005-0000-0000-0000C43D0000}"/>
    <cellStyle name="Normal 10 5 3 4 2 2 2" xfId="34910" xr:uid="{00000000-0005-0000-0000-0000C53D0000}"/>
    <cellStyle name="Normal 10 5 3 4 2 3" xfId="21142" xr:uid="{00000000-0005-0000-0000-0000C63D0000}"/>
    <cellStyle name="Normal 10 5 3 4 2 3 2" xfId="41062" xr:uid="{00000000-0005-0000-0000-0000C73D0000}"/>
    <cellStyle name="Normal 10 5 3 4 2 4" xfId="28757" xr:uid="{00000000-0005-0000-0000-0000C83D0000}"/>
    <cellStyle name="Normal 10 5 3 4 3" xfId="11924" xr:uid="{00000000-0005-0000-0000-0000C93D0000}"/>
    <cellStyle name="Normal 10 5 3 4 3 2" xfId="31844" xr:uid="{00000000-0005-0000-0000-0000CA3D0000}"/>
    <cellStyle name="Normal 10 5 3 4 4" xfId="18076" xr:uid="{00000000-0005-0000-0000-0000CB3D0000}"/>
    <cellStyle name="Normal 10 5 3 4 4 2" xfId="37996" xr:uid="{00000000-0005-0000-0000-0000CC3D0000}"/>
    <cellStyle name="Normal 10 5 3 4 5" xfId="25691" xr:uid="{00000000-0005-0000-0000-0000CD3D0000}"/>
    <cellStyle name="Normal 10 5 3 5" xfId="7262" xr:uid="{00000000-0005-0000-0000-0000CE3D0000}"/>
    <cellStyle name="Normal 10 5 3 5 2" xfId="13456" xr:uid="{00000000-0005-0000-0000-0000CF3D0000}"/>
    <cellStyle name="Normal 10 5 3 5 2 2" xfId="33376" xr:uid="{00000000-0005-0000-0000-0000D03D0000}"/>
    <cellStyle name="Normal 10 5 3 5 3" xfId="19608" xr:uid="{00000000-0005-0000-0000-0000D13D0000}"/>
    <cellStyle name="Normal 10 5 3 5 3 2" xfId="39528" xr:uid="{00000000-0005-0000-0000-0000D23D0000}"/>
    <cellStyle name="Normal 10 5 3 5 4" xfId="27223" xr:uid="{00000000-0005-0000-0000-0000D33D0000}"/>
    <cellStyle name="Normal 10 5 3 6" xfId="10390" xr:uid="{00000000-0005-0000-0000-0000D43D0000}"/>
    <cellStyle name="Normal 10 5 3 6 2" xfId="30310" xr:uid="{00000000-0005-0000-0000-0000D53D0000}"/>
    <cellStyle name="Normal 10 5 3 7" xfId="16542" xr:uid="{00000000-0005-0000-0000-0000D63D0000}"/>
    <cellStyle name="Normal 10 5 3 7 2" xfId="36462" xr:uid="{00000000-0005-0000-0000-0000D73D0000}"/>
    <cellStyle name="Normal 10 5 3 8" xfId="24157" xr:uid="{00000000-0005-0000-0000-0000D83D0000}"/>
    <cellStyle name="Normal 10 5 4" xfId="3324" xr:uid="{00000000-0005-0000-0000-0000D93D0000}"/>
    <cellStyle name="Normal 10 5 4 2" xfId="4857" xr:uid="{00000000-0005-0000-0000-0000DA3D0000}"/>
    <cellStyle name="Normal 10 5 4 2 2" xfId="6482" xr:uid="{00000000-0005-0000-0000-0000DB3D0000}"/>
    <cellStyle name="Normal 10 5 4 2 2 2" xfId="9568" xr:uid="{00000000-0005-0000-0000-0000DC3D0000}"/>
    <cellStyle name="Normal 10 5 4 2 2 2 2" xfId="15761" xr:uid="{00000000-0005-0000-0000-0000DD3D0000}"/>
    <cellStyle name="Normal 10 5 4 2 2 2 2 2" xfId="35681" xr:uid="{00000000-0005-0000-0000-0000DE3D0000}"/>
    <cellStyle name="Normal 10 5 4 2 2 2 3" xfId="21913" xr:uid="{00000000-0005-0000-0000-0000DF3D0000}"/>
    <cellStyle name="Normal 10 5 4 2 2 2 3 2" xfId="41833" xr:uid="{00000000-0005-0000-0000-0000E03D0000}"/>
    <cellStyle name="Normal 10 5 4 2 2 2 4" xfId="29528" xr:uid="{00000000-0005-0000-0000-0000E13D0000}"/>
    <cellStyle name="Normal 10 5 4 2 2 3" xfId="12695" xr:uid="{00000000-0005-0000-0000-0000E23D0000}"/>
    <cellStyle name="Normal 10 5 4 2 2 3 2" xfId="32615" xr:uid="{00000000-0005-0000-0000-0000E33D0000}"/>
    <cellStyle name="Normal 10 5 4 2 2 4" xfId="18847" xr:uid="{00000000-0005-0000-0000-0000E43D0000}"/>
    <cellStyle name="Normal 10 5 4 2 2 4 2" xfId="38767" xr:uid="{00000000-0005-0000-0000-0000E53D0000}"/>
    <cellStyle name="Normal 10 5 4 2 2 5" xfId="26462" xr:uid="{00000000-0005-0000-0000-0000E63D0000}"/>
    <cellStyle name="Normal 10 5 4 2 3" xfId="8033" xr:uid="{00000000-0005-0000-0000-0000E73D0000}"/>
    <cellStyle name="Normal 10 5 4 2 3 2" xfId="14227" xr:uid="{00000000-0005-0000-0000-0000E83D0000}"/>
    <cellStyle name="Normal 10 5 4 2 3 2 2" xfId="34147" xr:uid="{00000000-0005-0000-0000-0000E93D0000}"/>
    <cellStyle name="Normal 10 5 4 2 3 3" xfId="20379" xr:uid="{00000000-0005-0000-0000-0000EA3D0000}"/>
    <cellStyle name="Normal 10 5 4 2 3 3 2" xfId="40299" xr:uid="{00000000-0005-0000-0000-0000EB3D0000}"/>
    <cellStyle name="Normal 10 5 4 2 3 4" xfId="27994" xr:uid="{00000000-0005-0000-0000-0000EC3D0000}"/>
    <cellStyle name="Normal 10 5 4 2 4" xfId="11161" xr:uid="{00000000-0005-0000-0000-0000ED3D0000}"/>
    <cellStyle name="Normal 10 5 4 2 4 2" xfId="31081" xr:uid="{00000000-0005-0000-0000-0000EE3D0000}"/>
    <cellStyle name="Normal 10 5 4 2 5" xfId="17313" xr:uid="{00000000-0005-0000-0000-0000EF3D0000}"/>
    <cellStyle name="Normal 10 5 4 2 5 2" xfId="37233" xr:uid="{00000000-0005-0000-0000-0000F03D0000}"/>
    <cellStyle name="Normal 10 5 4 2 6" xfId="24928" xr:uid="{00000000-0005-0000-0000-0000F13D0000}"/>
    <cellStyle name="Normal 10 5 4 3" xfId="5699" xr:uid="{00000000-0005-0000-0000-0000F23D0000}"/>
    <cellStyle name="Normal 10 5 4 3 2" xfId="8799" xr:uid="{00000000-0005-0000-0000-0000F33D0000}"/>
    <cellStyle name="Normal 10 5 4 3 2 2" xfId="14992" xr:uid="{00000000-0005-0000-0000-0000F43D0000}"/>
    <cellStyle name="Normal 10 5 4 3 2 2 2" xfId="34912" xr:uid="{00000000-0005-0000-0000-0000F53D0000}"/>
    <cellStyle name="Normal 10 5 4 3 2 3" xfId="21144" xr:uid="{00000000-0005-0000-0000-0000F63D0000}"/>
    <cellStyle name="Normal 10 5 4 3 2 3 2" xfId="41064" xr:uid="{00000000-0005-0000-0000-0000F73D0000}"/>
    <cellStyle name="Normal 10 5 4 3 2 4" xfId="28759" xr:uid="{00000000-0005-0000-0000-0000F83D0000}"/>
    <cellStyle name="Normal 10 5 4 3 3" xfId="11926" xr:uid="{00000000-0005-0000-0000-0000F93D0000}"/>
    <cellStyle name="Normal 10 5 4 3 3 2" xfId="31846" xr:uid="{00000000-0005-0000-0000-0000FA3D0000}"/>
    <cellStyle name="Normal 10 5 4 3 4" xfId="18078" xr:uid="{00000000-0005-0000-0000-0000FB3D0000}"/>
    <cellStyle name="Normal 10 5 4 3 4 2" xfId="37998" xr:uid="{00000000-0005-0000-0000-0000FC3D0000}"/>
    <cellStyle name="Normal 10 5 4 3 5" xfId="25693" xr:uid="{00000000-0005-0000-0000-0000FD3D0000}"/>
    <cellStyle name="Normal 10 5 4 4" xfId="7264" xr:uid="{00000000-0005-0000-0000-0000FE3D0000}"/>
    <cellStyle name="Normal 10 5 4 4 2" xfId="13458" xr:uid="{00000000-0005-0000-0000-0000FF3D0000}"/>
    <cellStyle name="Normal 10 5 4 4 2 2" xfId="33378" xr:uid="{00000000-0005-0000-0000-0000003E0000}"/>
    <cellStyle name="Normal 10 5 4 4 3" xfId="19610" xr:uid="{00000000-0005-0000-0000-0000013E0000}"/>
    <cellStyle name="Normal 10 5 4 4 3 2" xfId="39530" xr:uid="{00000000-0005-0000-0000-0000023E0000}"/>
    <cellStyle name="Normal 10 5 4 4 4" xfId="27225" xr:uid="{00000000-0005-0000-0000-0000033E0000}"/>
    <cellStyle name="Normal 10 5 4 5" xfId="10392" xr:uid="{00000000-0005-0000-0000-0000043E0000}"/>
    <cellStyle name="Normal 10 5 4 5 2" xfId="30312" xr:uid="{00000000-0005-0000-0000-0000053E0000}"/>
    <cellStyle name="Normal 10 5 4 6" xfId="16544" xr:uid="{00000000-0005-0000-0000-0000063E0000}"/>
    <cellStyle name="Normal 10 5 4 6 2" xfId="36464" xr:uid="{00000000-0005-0000-0000-0000073E0000}"/>
    <cellStyle name="Normal 10 5 4 7" xfId="24159" xr:uid="{00000000-0005-0000-0000-0000083E0000}"/>
    <cellStyle name="Normal 10 5 5" xfId="4852" xr:uid="{00000000-0005-0000-0000-0000093E0000}"/>
    <cellStyle name="Normal 10 5 5 2" xfId="6477" xr:uid="{00000000-0005-0000-0000-00000A3E0000}"/>
    <cellStyle name="Normal 10 5 5 2 2" xfId="9563" xr:uid="{00000000-0005-0000-0000-00000B3E0000}"/>
    <cellStyle name="Normal 10 5 5 2 2 2" xfId="15756" xr:uid="{00000000-0005-0000-0000-00000C3E0000}"/>
    <cellStyle name="Normal 10 5 5 2 2 2 2" xfId="35676" xr:uid="{00000000-0005-0000-0000-00000D3E0000}"/>
    <cellStyle name="Normal 10 5 5 2 2 3" xfId="21908" xr:uid="{00000000-0005-0000-0000-00000E3E0000}"/>
    <cellStyle name="Normal 10 5 5 2 2 3 2" xfId="41828" xr:uid="{00000000-0005-0000-0000-00000F3E0000}"/>
    <cellStyle name="Normal 10 5 5 2 2 4" xfId="29523" xr:uid="{00000000-0005-0000-0000-0000103E0000}"/>
    <cellStyle name="Normal 10 5 5 2 3" xfId="12690" xr:uid="{00000000-0005-0000-0000-0000113E0000}"/>
    <cellStyle name="Normal 10 5 5 2 3 2" xfId="32610" xr:uid="{00000000-0005-0000-0000-0000123E0000}"/>
    <cellStyle name="Normal 10 5 5 2 4" xfId="18842" xr:uid="{00000000-0005-0000-0000-0000133E0000}"/>
    <cellStyle name="Normal 10 5 5 2 4 2" xfId="38762" xr:uid="{00000000-0005-0000-0000-0000143E0000}"/>
    <cellStyle name="Normal 10 5 5 2 5" xfId="26457" xr:uid="{00000000-0005-0000-0000-0000153E0000}"/>
    <cellStyle name="Normal 10 5 5 3" xfId="8028" xr:uid="{00000000-0005-0000-0000-0000163E0000}"/>
    <cellStyle name="Normal 10 5 5 3 2" xfId="14222" xr:uid="{00000000-0005-0000-0000-0000173E0000}"/>
    <cellStyle name="Normal 10 5 5 3 2 2" xfId="34142" xr:uid="{00000000-0005-0000-0000-0000183E0000}"/>
    <cellStyle name="Normal 10 5 5 3 3" xfId="20374" xr:uid="{00000000-0005-0000-0000-0000193E0000}"/>
    <cellStyle name="Normal 10 5 5 3 3 2" xfId="40294" xr:uid="{00000000-0005-0000-0000-00001A3E0000}"/>
    <cellStyle name="Normal 10 5 5 3 4" xfId="27989" xr:uid="{00000000-0005-0000-0000-00001B3E0000}"/>
    <cellStyle name="Normal 10 5 5 4" xfId="11156" xr:uid="{00000000-0005-0000-0000-00001C3E0000}"/>
    <cellStyle name="Normal 10 5 5 4 2" xfId="31076" xr:uid="{00000000-0005-0000-0000-00001D3E0000}"/>
    <cellStyle name="Normal 10 5 5 5" xfId="17308" xr:uid="{00000000-0005-0000-0000-00001E3E0000}"/>
    <cellStyle name="Normal 10 5 5 5 2" xfId="37228" xr:uid="{00000000-0005-0000-0000-00001F3E0000}"/>
    <cellStyle name="Normal 10 5 5 6" xfId="24923" xr:uid="{00000000-0005-0000-0000-0000203E0000}"/>
    <cellStyle name="Normal 10 5 6" xfId="5694" xr:uid="{00000000-0005-0000-0000-0000213E0000}"/>
    <cellStyle name="Normal 10 5 6 2" xfId="8794" xr:uid="{00000000-0005-0000-0000-0000223E0000}"/>
    <cellStyle name="Normal 10 5 6 2 2" xfId="14987" xr:uid="{00000000-0005-0000-0000-0000233E0000}"/>
    <cellStyle name="Normal 10 5 6 2 2 2" xfId="34907" xr:uid="{00000000-0005-0000-0000-0000243E0000}"/>
    <cellStyle name="Normal 10 5 6 2 3" xfId="21139" xr:uid="{00000000-0005-0000-0000-0000253E0000}"/>
    <cellStyle name="Normal 10 5 6 2 3 2" xfId="41059" xr:uid="{00000000-0005-0000-0000-0000263E0000}"/>
    <cellStyle name="Normal 10 5 6 2 4" xfId="28754" xr:uid="{00000000-0005-0000-0000-0000273E0000}"/>
    <cellStyle name="Normal 10 5 6 3" xfId="11921" xr:uid="{00000000-0005-0000-0000-0000283E0000}"/>
    <cellStyle name="Normal 10 5 6 3 2" xfId="31841" xr:uid="{00000000-0005-0000-0000-0000293E0000}"/>
    <cellStyle name="Normal 10 5 6 4" xfId="18073" xr:uid="{00000000-0005-0000-0000-00002A3E0000}"/>
    <cellStyle name="Normal 10 5 6 4 2" xfId="37993" xr:uid="{00000000-0005-0000-0000-00002B3E0000}"/>
    <cellStyle name="Normal 10 5 6 5" xfId="25688" xr:uid="{00000000-0005-0000-0000-00002C3E0000}"/>
    <cellStyle name="Normal 10 5 7" xfId="7259" xr:uid="{00000000-0005-0000-0000-00002D3E0000}"/>
    <cellStyle name="Normal 10 5 7 2" xfId="13453" xr:uid="{00000000-0005-0000-0000-00002E3E0000}"/>
    <cellStyle name="Normal 10 5 7 2 2" xfId="33373" xr:uid="{00000000-0005-0000-0000-00002F3E0000}"/>
    <cellStyle name="Normal 10 5 7 3" xfId="19605" xr:uid="{00000000-0005-0000-0000-0000303E0000}"/>
    <cellStyle name="Normal 10 5 7 3 2" xfId="39525" xr:uid="{00000000-0005-0000-0000-0000313E0000}"/>
    <cellStyle name="Normal 10 5 7 4" xfId="27220" xr:uid="{00000000-0005-0000-0000-0000323E0000}"/>
    <cellStyle name="Normal 10 5 8" xfId="10387" xr:uid="{00000000-0005-0000-0000-0000333E0000}"/>
    <cellStyle name="Normal 10 5 8 2" xfId="30307" xr:uid="{00000000-0005-0000-0000-0000343E0000}"/>
    <cellStyle name="Normal 10 5 9" xfId="16539" xr:uid="{00000000-0005-0000-0000-0000353E0000}"/>
    <cellStyle name="Normal 10 5 9 2" xfId="36459" xr:uid="{00000000-0005-0000-0000-0000363E0000}"/>
    <cellStyle name="Normal 10 6" xfId="3325" xr:uid="{00000000-0005-0000-0000-0000373E0000}"/>
    <cellStyle name="Normal 10 6 2" xfId="3326" xr:uid="{00000000-0005-0000-0000-0000383E0000}"/>
    <cellStyle name="Normal 10 6 2 2" xfId="4859" xr:uid="{00000000-0005-0000-0000-0000393E0000}"/>
    <cellStyle name="Normal 10 6 2 2 2" xfId="6484" xr:uid="{00000000-0005-0000-0000-00003A3E0000}"/>
    <cellStyle name="Normal 10 6 2 2 2 2" xfId="9570" xr:uid="{00000000-0005-0000-0000-00003B3E0000}"/>
    <cellStyle name="Normal 10 6 2 2 2 2 2" xfId="15763" xr:uid="{00000000-0005-0000-0000-00003C3E0000}"/>
    <cellStyle name="Normal 10 6 2 2 2 2 2 2" xfId="35683" xr:uid="{00000000-0005-0000-0000-00003D3E0000}"/>
    <cellStyle name="Normal 10 6 2 2 2 2 3" xfId="21915" xr:uid="{00000000-0005-0000-0000-00003E3E0000}"/>
    <cellStyle name="Normal 10 6 2 2 2 2 3 2" xfId="41835" xr:uid="{00000000-0005-0000-0000-00003F3E0000}"/>
    <cellStyle name="Normal 10 6 2 2 2 2 4" xfId="29530" xr:uid="{00000000-0005-0000-0000-0000403E0000}"/>
    <cellStyle name="Normal 10 6 2 2 2 3" xfId="12697" xr:uid="{00000000-0005-0000-0000-0000413E0000}"/>
    <cellStyle name="Normal 10 6 2 2 2 3 2" xfId="32617" xr:uid="{00000000-0005-0000-0000-0000423E0000}"/>
    <cellStyle name="Normal 10 6 2 2 2 4" xfId="18849" xr:uid="{00000000-0005-0000-0000-0000433E0000}"/>
    <cellStyle name="Normal 10 6 2 2 2 4 2" xfId="38769" xr:uid="{00000000-0005-0000-0000-0000443E0000}"/>
    <cellStyle name="Normal 10 6 2 2 2 5" xfId="26464" xr:uid="{00000000-0005-0000-0000-0000453E0000}"/>
    <cellStyle name="Normal 10 6 2 2 3" xfId="8035" xr:uid="{00000000-0005-0000-0000-0000463E0000}"/>
    <cellStyle name="Normal 10 6 2 2 3 2" xfId="14229" xr:uid="{00000000-0005-0000-0000-0000473E0000}"/>
    <cellStyle name="Normal 10 6 2 2 3 2 2" xfId="34149" xr:uid="{00000000-0005-0000-0000-0000483E0000}"/>
    <cellStyle name="Normal 10 6 2 2 3 3" xfId="20381" xr:uid="{00000000-0005-0000-0000-0000493E0000}"/>
    <cellStyle name="Normal 10 6 2 2 3 3 2" xfId="40301" xr:uid="{00000000-0005-0000-0000-00004A3E0000}"/>
    <cellStyle name="Normal 10 6 2 2 3 4" xfId="27996" xr:uid="{00000000-0005-0000-0000-00004B3E0000}"/>
    <cellStyle name="Normal 10 6 2 2 4" xfId="11163" xr:uid="{00000000-0005-0000-0000-00004C3E0000}"/>
    <cellStyle name="Normal 10 6 2 2 4 2" xfId="31083" xr:uid="{00000000-0005-0000-0000-00004D3E0000}"/>
    <cellStyle name="Normal 10 6 2 2 5" xfId="17315" xr:uid="{00000000-0005-0000-0000-00004E3E0000}"/>
    <cellStyle name="Normal 10 6 2 2 5 2" xfId="37235" xr:uid="{00000000-0005-0000-0000-00004F3E0000}"/>
    <cellStyle name="Normal 10 6 2 2 6" xfId="24930" xr:uid="{00000000-0005-0000-0000-0000503E0000}"/>
    <cellStyle name="Normal 10 6 2 3" xfId="5701" xr:uid="{00000000-0005-0000-0000-0000513E0000}"/>
    <cellStyle name="Normal 10 6 2 3 2" xfId="8801" xr:uid="{00000000-0005-0000-0000-0000523E0000}"/>
    <cellStyle name="Normal 10 6 2 3 2 2" xfId="14994" xr:uid="{00000000-0005-0000-0000-0000533E0000}"/>
    <cellStyle name="Normal 10 6 2 3 2 2 2" xfId="34914" xr:uid="{00000000-0005-0000-0000-0000543E0000}"/>
    <cellStyle name="Normal 10 6 2 3 2 3" xfId="21146" xr:uid="{00000000-0005-0000-0000-0000553E0000}"/>
    <cellStyle name="Normal 10 6 2 3 2 3 2" xfId="41066" xr:uid="{00000000-0005-0000-0000-0000563E0000}"/>
    <cellStyle name="Normal 10 6 2 3 2 4" xfId="28761" xr:uid="{00000000-0005-0000-0000-0000573E0000}"/>
    <cellStyle name="Normal 10 6 2 3 3" xfId="11928" xr:uid="{00000000-0005-0000-0000-0000583E0000}"/>
    <cellStyle name="Normal 10 6 2 3 3 2" xfId="31848" xr:uid="{00000000-0005-0000-0000-0000593E0000}"/>
    <cellStyle name="Normal 10 6 2 3 4" xfId="18080" xr:uid="{00000000-0005-0000-0000-00005A3E0000}"/>
    <cellStyle name="Normal 10 6 2 3 4 2" xfId="38000" xr:uid="{00000000-0005-0000-0000-00005B3E0000}"/>
    <cellStyle name="Normal 10 6 2 3 5" xfId="25695" xr:uid="{00000000-0005-0000-0000-00005C3E0000}"/>
    <cellStyle name="Normal 10 6 2 4" xfId="7266" xr:uid="{00000000-0005-0000-0000-00005D3E0000}"/>
    <cellStyle name="Normal 10 6 2 4 2" xfId="13460" xr:uid="{00000000-0005-0000-0000-00005E3E0000}"/>
    <cellStyle name="Normal 10 6 2 4 2 2" xfId="33380" xr:uid="{00000000-0005-0000-0000-00005F3E0000}"/>
    <cellStyle name="Normal 10 6 2 4 3" xfId="19612" xr:uid="{00000000-0005-0000-0000-0000603E0000}"/>
    <cellStyle name="Normal 10 6 2 4 3 2" xfId="39532" xr:uid="{00000000-0005-0000-0000-0000613E0000}"/>
    <cellStyle name="Normal 10 6 2 4 4" xfId="27227" xr:uid="{00000000-0005-0000-0000-0000623E0000}"/>
    <cellStyle name="Normal 10 6 2 5" xfId="10394" xr:uid="{00000000-0005-0000-0000-0000633E0000}"/>
    <cellStyle name="Normal 10 6 2 5 2" xfId="30314" xr:uid="{00000000-0005-0000-0000-0000643E0000}"/>
    <cellStyle name="Normal 10 6 2 6" xfId="16546" xr:uid="{00000000-0005-0000-0000-0000653E0000}"/>
    <cellStyle name="Normal 10 6 2 6 2" xfId="36466" xr:uid="{00000000-0005-0000-0000-0000663E0000}"/>
    <cellStyle name="Normal 10 6 2 7" xfId="24161" xr:uid="{00000000-0005-0000-0000-0000673E0000}"/>
    <cellStyle name="Normal 10 6 3" xfId="4858" xr:uid="{00000000-0005-0000-0000-0000683E0000}"/>
    <cellStyle name="Normal 10 6 3 2" xfId="6483" xr:uid="{00000000-0005-0000-0000-0000693E0000}"/>
    <cellStyle name="Normal 10 6 3 2 2" xfId="9569" xr:uid="{00000000-0005-0000-0000-00006A3E0000}"/>
    <cellStyle name="Normal 10 6 3 2 2 2" xfId="15762" xr:uid="{00000000-0005-0000-0000-00006B3E0000}"/>
    <cellStyle name="Normal 10 6 3 2 2 2 2" xfId="35682" xr:uid="{00000000-0005-0000-0000-00006C3E0000}"/>
    <cellStyle name="Normal 10 6 3 2 2 3" xfId="21914" xr:uid="{00000000-0005-0000-0000-00006D3E0000}"/>
    <cellStyle name="Normal 10 6 3 2 2 3 2" xfId="41834" xr:uid="{00000000-0005-0000-0000-00006E3E0000}"/>
    <cellStyle name="Normal 10 6 3 2 2 4" xfId="29529" xr:uid="{00000000-0005-0000-0000-00006F3E0000}"/>
    <cellStyle name="Normal 10 6 3 2 3" xfId="12696" xr:uid="{00000000-0005-0000-0000-0000703E0000}"/>
    <cellStyle name="Normal 10 6 3 2 3 2" xfId="32616" xr:uid="{00000000-0005-0000-0000-0000713E0000}"/>
    <cellStyle name="Normal 10 6 3 2 4" xfId="18848" xr:uid="{00000000-0005-0000-0000-0000723E0000}"/>
    <cellStyle name="Normal 10 6 3 2 4 2" xfId="38768" xr:uid="{00000000-0005-0000-0000-0000733E0000}"/>
    <cellStyle name="Normal 10 6 3 2 5" xfId="26463" xr:uid="{00000000-0005-0000-0000-0000743E0000}"/>
    <cellStyle name="Normal 10 6 3 3" xfId="8034" xr:uid="{00000000-0005-0000-0000-0000753E0000}"/>
    <cellStyle name="Normal 10 6 3 3 2" xfId="14228" xr:uid="{00000000-0005-0000-0000-0000763E0000}"/>
    <cellStyle name="Normal 10 6 3 3 2 2" xfId="34148" xr:uid="{00000000-0005-0000-0000-0000773E0000}"/>
    <cellStyle name="Normal 10 6 3 3 3" xfId="20380" xr:uid="{00000000-0005-0000-0000-0000783E0000}"/>
    <cellStyle name="Normal 10 6 3 3 3 2" xfId="40300" xr:uid="{00000000-0005-0000-0000-0000793E0000}"/>
    <cellStyle name="Normal 10 6 3 3 4" xfId="27995" xr:uid="{00000000-0005-0000-0000-00007A3E0000}"/>
    <cellStyle name="Normal 10 6 3 4" xfId="11162" xr:uid="{00000000-0005-0000-0000-00007B3E0000}"/>
    <cellStyle name="Normal 10 6 3 4 2" xfId="31082" xr:uid="{00000000-0005-0000-0000-00007C3E0000}"/>
    <cellStyle name="Normal 10 6 3 5" xfId="17314" xr:uid="{00000000-0005-0000-0000-00007D3E0000}"/>
    <cellStyle name="Normal 10 6 3 5 2" xfId="37234" xr:uid="{00000000-0005-0000-0000-00007E3E0000}"/>
    <cellStyle name="Normal 10 6 3 6" xfId="24929" xr:uid="{00000000-0005-0000-0000-00007F3E0000}"/>
    <cellStyle name="Normal 10 6 4" xfId="5700" xr:uid="{00000000-0005-0000-0000-0000803E0000}"/>
    <cellStyle name="Normal 10 6 4 2" xfId="8800" xr:uid="{00000000-0005-0000-0000-0000813E0000}"/>
    <cellStyle name="Normal 10 6 4 2 2" xfId="14993" xr:uid="{00000000-0005-0000-0000-0000823E0000}"/>
    <cellStyle name="Normal 10 6 4 2 2 2" xfId="34913" xr:uid="{00000000-0005-0000-0000-0000833E0000}"/>
    <cellStyle name="Normal 10 6 4 2 3" xfId="21145" xr:uid="{00000000-0005-0000-0000-0000843E0000}"/>
    <cellStyle name="Normal 10 6 4 2 3 2" xfId="41065" xr:uid="{00000000-0005-0000-0000-0000853E0000}"/>
    <cellStyle name="Normal 10 6 4 2 4" xfId="28760" xr:uid="{00000000-0005-0000-0000-0000863E0000}"/>
    <cellStyle name="Normal 10 6 4 3" xfId="11927" xr:uid="{00000000-0005-0000-0000-0000873E0000}"/>
    <cellStyle name="Normal 10 6 4 3 2" xfId="31847" xr:uid="{00000000-0005-0000-0000-0000883E0000}"/>
    <cellStyle name="Normal 10 6 4 4" xfId="18079" xr:uid="{00000000-0005-0000-0000-0000893E0000}"/>
    <cellStyle name="Normal 10 6 4 4 2" xfId="37999" xr:uid="{00000000-0005-0000-0000-00008A3E0000}"/>
    <cellStyle name="Normal 10 6 4 5" xfId="25694" xr:uid="{00000000-0005-0000-0000-00008B3E0000}"/>
    <cellStyle name="Normal 10 6 5" xfId="7265" xr:uid="{00000000-0005-0000-0000-00008C3E0000}"/>
    <cellStyle name="Normal 10 6 5 2" xfId="13459" xr:uid="{00000000-0005-0000-0000-00008D3E0000}"/>
    <cellStyle name="Normal 10 6 5 2 2" xfId="33379" xr:uid="{00000000-0005-0000-0000-00008E3E0000}"/>
    <cellStyle name="Normal 10 6 5 3" xfId="19611" xr:uid="{00000000-0005-0000-0000-00008F3E0000}"/>
    <cellStyle name="Normal 10 6 5 3 2" xfId="39531" xr:uid="{00000000-0005-0000-0000-0000903E0000}"/>
    <cellStyle name="Normal 10 6 5 4" xfId="27226" xr:uid="{00000000-0005-0000-0000-0000913E0000}"/>
    <cellStyle name="Normal 10 6 6" xfId="10393" xr:uid="{00000000-0005-0000-0000-0000923E0000}"/>
    <cellStyle name="Normal 10 6 6 2" xfId="30313" xr:uid="{00000000-0005-0000-0000-0000933E0000}"/>
    <cellStyle name="Normal 10 6 7" xfId="16545" xr:uid="{00000000-0005-0000-0000-0000943E0000}"/>
    <cellStyle name="Normal 10 6 7 2" xfId="36465" xr:uid="{00000000-0005-0000-0000-0000953E0000}"/>
    <cellStyle name="Normal 10 6 8" xfId="24160" xr:uid="{00000000-0005-0000-0000-0000963E0000}"/>
    <cellStyle name="Normal 10 7" xfId="3327" xr:uid="{00000000-0005-0000-0000-0000973E0000}"/>
    <cellStyle name="Normal 10 7 2" xfId="3328" xr:uid="{00000000-0005-0000-0000-0000983E0000}"/>
    <cellStyle name="Normal 10 7 2 2" xfId="4861" xr:uid="{00000000-0005-0000-0000-0000993E0000}"/>
    <cellStyle name="Normal 10 7 2 2 2" xfId="6486" xr:uid="{00000000-0005-0000-0000-00009A3E0000}"/>
    <cellStyle name="Normal 10 7 2 2 2 2" xfId="9572" xr:uid="{00000000-0005-0000-0000-00009B3E0000}"/>
    <cellStyle name="Normal 10 7 2 2 2 2 2" xfId="15765" xr:uid="{00000000-0005-0000-0000-00009C3E0000}"/>
    <cellStyle name="Normal 10 7 2 2 2 2 2 2" xfId="35685" xr:uid="{00000000-0005-0000-0000-00009D3E0000}"/>
    <cellStyle name="Normal 10 7 2 2 2 2 3" xfId="21917" xr:uid="{00000000-0005-0000-0000-00009E3E0000}"/>
    <cellStyle name="Normal 10 7 2 2 2 2 3 2" xfId="41837" xr:uid="{00000000-0005-0000-0000-00009F3E0000}"/>
    <cellStyle name="Normal 10 7 2 2 2 2 4" xfId="29532" xr:uid="{00000000-0005-0000-0000-0000A03E0000}"/>
    <cellStyle name="Normal 10 7 2 2 2 3" xfId="12699" xr:uid="{00000000-0005-0000-0000-0000A13E0000}"/>
    <cellStyle name="Normal 10 7 2 2 2 3 2" xfId="32619" xr:uid="{00000000-0005-0000-0000-0000A23E0000}"/>
    <cellStyle name="Normal 10 7 2 2 2 4" xfId="18851" xr:uid="{00000000-0005-0000-0000-0000A33E0000}"/>
    <cellStyle name="Normal 10 7 2 2 2 4 2" xfId="38771" xr:uid="{00000000-0005-0000-0000-0000A43E0000}"/>
    <cellStyle name="Normal 10 7 2 2 2 5" xfId="26466" xr:uid="{00000000-0005-0000-0000-0000A53E0000}"/>
    <cellStyle name="Normal 10 7 2 2 3" xfId="8037" xr:uid="{00000000-0005-0000-0000-0000A63E0000}"/>
    <cellStyle name="Normal 10 7 2 2 3 2" xfId="14231" xr:uid="{00000000-0005-0000-0000-0000A73E0000}"/>
    <cellStyle name="Normal 10 7 2 2 3 2 2" xfId="34151" xr:uid="{00000000-0005-0000-0000-0000A83E0000}"/>
    <cellStyle name="Normal 10 7 2 2 3 3" xfId="20383" xr:uid="{00000000-0005-0000-0000-0000A93E0000}"/>
    <cellStyle name="Normal 10 7 2 2 3 3 2" xfId="40303" xr:uid="{00000000-0005-0000-0000-0000AA3E0000}"/>
    <cellStyle name="Normal 10 7 2 2 3 4" xfId="27998" xr:uid="{00000000-0005-0000-0000-0000AB3E0000}"/>
    <cellStyle name="Normal 10 7 2 2 4" xfId="11165" xr:uid="{00000000-0005-0000-0000-0000AC3E0000}"/>
    <cellStyle name="Normal 10 7 2 2 4 2" xfId="31085" xr:uid="{00000000-0005-0000-0000-0000AD3E0000}"/>
    <cellStyle name="Normal 10 7 2 2 5" xfId="17317" xr:uid="{00000000-0005-0000-0000-0000AE3E0000}"/>
    <cellStyle name="Normal 10 7 2 2 5 2" xfId="37237" xr:uid="{00000000-0005-0000-0000-0000AF3E0000}"/>
    <cellStyle name="Normal 10 7 2 2 6" xfId="24932" xr:uid="{00000000-0005-0000-0000-0000B03E0000}"/>
    <cellStyle name="Normal 10 7 2 3" xfId="5703" xr:uid="{00000000-0005-0000-0000-0000B13E0000}"/>
    <cellStyle name="Normal 10 7 2 3 2" xfId="8803" xr:uid="{00000000-0005-0000-0000-0000B23E0000}"/>
    <cellStyle name="Normal 10 7 2 3 2 2" xfId="14996" xr:uid="{00000000-0005-0000-0000-0000B33E0000}"/>
    <cellStyle name="Normal 10 7 2 3 2 2 2" xfId="34916" xr:uid="{00000000-0005-0000-0000-0000B43E0000}"/>
    <cellStyle name="Normal 10 7 2 3 2 3" xfId="21148" xr:uid="{00000000-0005-0000-0000-0000B53E0000}"/>
    <cellStyle name="Normal 10 7 2 3 2 3 2" xfId="41068" xr:uid="{00000000-0005-0000-0000-0000B63E0000}"/>
    <cellStyle name="Normal 10 7 2 3 2 4" xfId="28763" xr:uid="{00000000-0005-0000-0000-0000B73E0000}"/>
    <cellStyle name="Normal 10 7 2 3 3" xfId="11930" xr:uid="{00000000-0005-0000-0000-0000B83E0000}"/>
    <cellStyle name="Normal 10 7 2 3 3 2" xfId="31850" xr:uid="{00000000-0005-0000-0000-0000B93E0000}"/>
    <cellStyle name="Normal 10 7 2 3 4" xfId="18082" xr:uid="{00000000-0005-0000-0000-0000BA3E0000}"/>
    <cellStyle name="Normal 10 7 2 3 4 2" xfId="38002" xr:uid="{00000000-0005-0000-0000-0000BB3E0000}"/>
    <cellStyle name="Normal 10 7 2 3 5" xfId="25697" xr:uid="{00000000-0005-0000-0000-0000BC3E0000}"/>
    <cellStyle name="Normal 10 7 2 4" xfId="7268" xr:uid="{00000000-0005-0000-0000-0000BD3E0000}"/>
    <cellStyle name="Normal 10 7 2 4 2" xfId="13462" xr:uid="{00000000-0005-0000-0000-0000BE3E0000}"/>
    <cellStyle name="Normal 10 7 2 4 2 2" xfId="33382" xr:uid="{00000000-0005-0000-0000-0000BF3E0000}"/>
    <cellStyle name="Normal 10 7 2 4 3" xfId="19614" xr:uid="{00000000-0005-0000-0000-0000C03E0000}"/>
    <cellStyle name="Normal 10 7 2 4 3 2" xfId="39534" xr:uid="{00000000-0005-0000-0000-0000C13E0000}"/>
    <cellStyle name="Normal 10 7 2 4 4" xfId="27229" xr:uid="{00000000-0005-0000-0000-0000C23E0000}"/>
    <cellStyle name="Normal 10 7 2 5" xfId="10396" xr:uid="{00000000-0005-0000-0000-0000C33E0000}"/>
    <cellStyle name="Normal 10 7 2 5 2" xfId="30316" xr:uid="{00000000-0005-0000-0000-0000C43E0000}"/>
    <cellStyle name="Normal 10 7 2 6" xfId="16548" xr:uid="{00000000-0005-0000-0000-0000C53E0000}"/>
    <cellStyle name="Normal 10 7 2 6 2" xfId="36468" xr:uid="{00000000-0005-0000-0000-0000C63E0000}"/>
    <cellStyle name="Normal 10 7 2 7" xfId="24163" xr:uid="{00000000-0005-0000-0000-0000C73E0000}"/>
    <cellStyle name="Normal 10 7 3" xfId="4860" xr:uid="{00000000-0005-0000-0000-0000C83E0000}"/>
    <cellStyle name="Normal 10 7 3 2" xfId="6485" xr:uid="{00000000-0005-0000-0000-0000C93E0000}"/>
    <cellStyle name="Normal 10 7 3 2 2" xfId="9571" xr:uid="{00000000-0005-0000-0000-0000CA3E0000}"/>
    <cellStyle name="Normal 10 7 3 2 2 2" xfId="15764" xr:uid="{00000000-0005-0000-0000-0000CB3E0000}"/>
    <cellStyle name="Normal 10 7 3 2 2 2 2" xfId="35684" xr:uid="{00000000-0005-0000-0000-0000CC3E0000}"/>
    <cellStyle name="Normal 10 7 3 2 2 3" xfId="21916" xr:uid="{00000000-0005-0000-0000-0000CD3E0000}"/>
    <cellStyle name="Normal 10 7 3 2 2 3 2" xfId="41836" xr:uid="{00000000-0005-0000-0000-0000CE3E0000}"/>
    <cellStyle name="Normal 10 7 3 2 2 4" xfId="29531" xr:uid="{00000000-0005-0000-0000-0000CF3E0000}"/>
    <cellStyle name="Normal 10 7 3 2 3" xfId="12698" xr:uid="{00000000-0005-0000-0000-0000D03E0000}"/>
    <cellStyle name="Normal 10 7 3 2 3 2" xfId="32618" xr:uid="{00000000-0005-0000-0000-0000D13E0000}"/>
    <cellStyle name="Normal 10 7 3 2 4" xfId="18850" xr:uid="{00000000-0005-0000-0000-0000D23E0000}"/>
    <cellStyle name="Normal 10 7 3 2 4 2" xfId="38770" xr:uid="{00000000-0005-0000-0000-0000D33E0000}"/>
    <cellStyle name="Normal 10 7 3 2 5" xfId="26465" xr:uid="{00000000-0005-0000-0000-0000D43E0000}"/>
    <cellStyle name="Normal 10 7 3 3" xfId="8036" xr:uid="{00000000-0005-0000-0000-0000D53E0000}"/>
    <cellStyle name="Normal 10 7 3 3 2" xfId="14230" xr:uid="{00000000-0005-0000-0000-0000D63E0000}"/>
    <cellStyle name="Normal 10 7 3 3 2 2" xfId="34150" xr:uid="{00000000-0005-0000-0000-0000D73E0000}"/>
    <cellStyle name="Normal 10 7 3 3 3" xfId="20382" xr:uid="{00000000-0005-0000-0000-0000D83E0000}"/>
    <cellStyle name="Normal 10 7 3 3 3 2" xfId="40302" xr:uid="{00000000-0005-0000-0000-0000D93E0000}"/>
    <cellStyle name="Normal 10 7 3 3 4" xfId="27997" xr:uid="{00000000-0005-0000-0000-0000DA3E0000}"/>
    <cellStyle name="Normal 10 7 3 4" xfId="11164" xr:uid="{00000000-0005-0000-0000-0000DB3E0000}"/>
    <cellStyle name="Normal 10 7 3 4 2" xfId="31084" xr:uid="{00000000-0005-0000-0000-0000DC3E0000}"/>
    <cellStyle name="Normal 10 7 3 5" xfId="17316" xr:uid="{00000000-0005-0000-0000-0000DD3E0000}"/>
    <cellStyle name="Normal 10 7 3 5 2" xfId="37236" xr:uid="{00000000-0005-0000-0000-0000DE3E0000}"/>
    <cellStyle name="Normal 10 7 3 6" xfId="24931" xr:uid="{00000000-0005-0000-0000-0000DF3E0000}"/>
    <cellStyle name="Normal 10 7 4" xfId="5702" xr:uid="{00000000-0005-0000-0000-0000E03E0000}"/>
    <cellStyle name="Normal 10 7 4 2" xfId="8802" xr:uid="{00000000-0005-0000-0000-0000E13E0000}"/>
    <cellStyle name="Normal 10 7 4 2 2" xfId="14995" xr:uid="{00000000-0005-0000-0000-0000E23E0000}"/>
    <cellStyle name="Normal 10 7 4 2 2 2" xfId="34915" xr:uid="{00000000-0005-0000-0000-0000E33E0000}"/>
    <cellStyle name="Normal 10 7 4 2 3" xfId="21147" xr:uid="{00000000-0005-0000-0000-0000E43E0000}"/>
    <cellStyle name="Normal 10 7 4 2 3 2" xfId="41067" xr:uid="{00000000-0005-0000-0000-0000E53E0000}"/>
    <cellStyle name="Normal 10 7 4 2 4" xfId="28762" xr:uid="{00000000-0005-0000-0000-0000E63E0000}"/>
    <cellStyle name="Normal 10 7 4 3" xfId="11929" xr:uid="{00000000-0005-0000-0000-0000E73E0000}"/>
    <cellStyle name="Normal 10 7 4 3 2" xfId="31849" xr:uid="{00000000-0005-0000-0000-0000E83E0000}"/>
    <cellStyle name="Normal 10 7 4 4" xfId="18081" xr:uid="{00000000-0005-0000-0000-0000E93E0000}"/>
    <cellStyle name="Normal 10 7 4 4 2" xfId="38001" xr:uid="{00000000-0005-0000-0000-0000EA3E0000}"/>
    <cellStyle name="Normal 10 7 4 5" xfId="25696" xr:uid="{00000000-0005-0000-0000-0000EB3E0000}"/>
    <cellStyle name="Normal 10 7 5" xfId="7267" xr:uid="{00000000-0005-0000-0000-0000EC3E0000}"/>
    <cellStyle name="Normal 10 7 5 2" xfId="13461" xr:uid="{00000000-0005-0000-0000-0000ED3E0000}"/>
    <cellStyle name="Normal 10 7 5 2 2" xfId="33381" xr:uid="{00000000-0005-0000-0000-0000EE3E0000}"/>
    <cellStyle name="Normal 10 7 5 3" xfId="19613" xr:uid="{00000000-0005-0000-0000-0000EF3E0000}"/>
    <cellStyle name="Normal 10 7 5 3 2" xfId="39533" xr:uid="{00000000-0005-0000-0000-0000F03E0000}"/>
    <cellStyle name="Normal 10 7 5 4" xfId="27228" xr:uid="{00000000-0005-0000-0000-0000F13E0000}"/>
    <cellStyle name="Normal 10 7 6" xfId="10395" xr:uid="{00000000-0005-0000-0000-0000F23E0000}"/>
    <cellStyle name="Normal 10 7 6 2" xfId="30315" xr:uid="{00000000-0005-0000-0000-0000F33E0000}"/>
    <cellStyle name="Normal 10 7 7" xfId="16547" xr:uid="{00000000-0005-0000-0000-0000F43E0000}"/>
    <cellStyle name="Normal 10 7 7 2" xfId="36467" xr:uid="{00000000-0005-0000-0000-0000F53E0000}"/>
    <cellStyle name="Normal 10 7 8" xfId="24162" xr:uid="{00000000-0005-0000-0000-0000F63E0000}"/>
    <cellStyle name="Normal 10 8" xfId="3329" xr:uid="{00000000-0005-0000-0000-0000F73E0000}"/>
    <cellStyle name="Normal 10 8 2" xfId="3330" xr:uid="{00000000-0005-0000-0000-0000F83E0000}"/>
    <cellStyle name="Normal 10 8 2 2" xfId="4862" xr:uid="{00000000-0005-0000-0000-0000F93E0000}"/>
    <cellStyle name="Normal 10 8 2 2 2" xfId="6487" xr:uid="{00000000-0005-0000-0000-0000FA3E0000}"/>
    <cellStyle name="Normal 10 8 2 2 2 2" xfId="9573" xr:uid="{00000000-0005-0000-0000-0000FB3E0000}"/>
    <cellStyle name="Normal 10 8 2 2 2 2 2" xfId="15766" xr:uid="{00000000-0005-0000-0000-0000FC3E0000}"/>
    <cellStyle name="Normal 10 8 2 2 2 2 2 2" xfId="35686" xr:uid="{00000000-0005-0000-0000-0000FD3E0000}"/>
    <cellStyle name="Normal 10 8 2 2 2 2 3" xfId="21918" xr:uid="{00000000-0005-0000-0000-0000FE3E0000}"/>
    <cellStyle name="Normal 10 8 2 2 2 2 3 2" xfId="41838" xr:uid="{00000000-0005-0000-0000-0000FF3E0000}"/>
    <cellStyle name="Normal 10 8 2 2 2 2 4" xfId="29533" xr:uid="{00000000-0005-0000-0000-0000003F0000}"/>
    <cellStyle name="Normal 10 8 2 2 2 3" xfId="12700" xr:uid="{00000000-0005-0000-0000-0000013F0000}"/>
    <cellStyle name="Normal 10 8 2 2 2 3 2" xfId="32620" xr:uid="{00000000-0005-0000-0000-0000023F0000}"/>
    <cellStyle name="Normal 10 8 2 2 2 4" xfId="18852" xr:uid="{00000000-0005-0000-0000-0000033F0000}"/>
    <cellStyle name="Normal 10 8 2 2 2 4 2" xfId="38772" xr:uid="{00000000-0005-0000-0000-0000043F0000}"/>
    <cellStyle name="Normal 10 8 2 2 2 5" xfId="26467" xr:uid="{00000000-0005-0000-0000-0000053F0000}"/>
    <cellStyle name="Normal 10 8 2 2 3" xfId="8038" xr:uid="{00000000-0005-0000-0000-0000063F0000}"/>
    <cellStyle name="Normal 10 8 2 2 3 2" xfId="14232" xr:uid="{00000000-0005-0000-0000-0000073F0000}"/>
    <cellStyle name="Normal 10 8 2 2 3 2 2" xfId="34152" xr:uid="{00000000-0005-0000-0000-0000083F0000}"/>
    <cellStyle name="Normal 10 8 2 2 3 3" xfId="20384" xr:uid="{00000000-0005-0000-0000-0000093F0000}"/>
    <cellStyle name="Normal 10 8 2 2 3 3 2" xfId="40304" xr:uid="{00000000-0005-0000-0000-00000A3F0000}"/>
    <cellStyle name="Normal 10 8 2 2 3 4" xfId="27999" xr:uid="{00000000-0005-0000-0000-00000B3F0000}"/>
    <cellStyle name="Normal 10 8 2 2 4" xfId="11166" xr:uid="{00000000-0005-0000-0000-00000C3F0000}"/>
    <cellStyle name="Normal 10 8 2 2 4 2" xfId="31086" xr:uid="{00000000-0005-0000-0000-00000D3F0000}"/>
    <cellStyle name="Normal 10 8 2 2 5" xfId="17318" xr:uid="{00000000-0005-0000-0000-00000E3F0000}"/>
    <cellStyle name="Normal 10 8 2 2 5 2" xfId="37238" xr:uid="{00000000-0005-0000-0000-00000F3F0000}"/>
    <cellStyle name="Normal 10 8 2 2 6" xfId="24933" xr:uid="{00000000-0005-0000-0000-0000103F0000}"/>
    <cellStyle name="Normal 10 8 2 3" xfId="5704" xr:uid="{00000000-0005-0000-0000-0000113F0000}"/>
    <cellStyle name="Normal 10 8 2 3 2" xfId="8804" xr:uid="{00000000-0005-0000-0000-0000123F0000}"/>
    <cellStyle name="Normal 10 8 2 3 2 2" xfId="14997" xr:uid="{00000000-0005-0000-0000-0000133F0000}"/>
    <cellStyle name="Normal 10 8 2 3 2 2 2" xfId="34917" xr:uid="{00000000-0005-0000-0000-0000143F0000}"/>
    <cellStyle name="Normal 10 8 2 3 2 3" xfId="21149" xr:uid="{00000000-0005-0000-0000-0000153F0000}"/>
    <cellStyle name="Normal 10 8 2 3 2 3 2" xfId="41069" xr:uid="{00000000-0005-0000-0000-0000163F0000}"/>
    <cellStyle name="Normal 10 8 2 3 2 4" xfId="28764" xr:uid="{00000000-0005-0000-0000-0000173F0000}"/>
    <cellStyle name="Normal 10 8 2 3 3" xfId="11931" xr:uid="{00000000-0005-0000-0000-0000183F0000}"/>
    <cellStyle name="Normal 10 8 2 3 3 2" xfId="31851" xr:uid="{00000000-0005-0000-0000-0000193F0000}"/>
    <cellStyle name="Normal 10 8 2 3 4" xfId="18083" xr:uid="{00000000-0005-0000-0000-00001A3F0000}"/>
    <cellStyle name="Normal 10 8 2 3 4 2" xfId="38003" xr:uid="{00000000-0005-0000-0000-00001B3F0000}"/>
    <cellStyle name="Normal 10 8 2 3 5" xfId="25698" xr:uid="{00000000-0005-0000-0000-00001C3F0000}"/>
    <cellStyle name="Normal 10 8 2 4" xfId="7269" xr:uid="{00000000-0005-0000-0000-00001D3F0000}"/>
    <cellStyle name="Normal 10 8 2 4 2" xfId="13463" xr:uid="{00000000-0005-0000-0000-00001E3F0000}"/>
    <cellStyle name="Normal 10 8 2 4 2 2" xfId="33383" xr:uid="{00000000-0005-0000-0000-00001F3F0000}"/>
    <cellStyle name="Normal 10 8 2 4 3" xfId="19615" xr:uid="{00000000-0005-0000-0000-0000203F0000}"/>
    <cellStyle name="Normal 10 8 2 4 3 2" xfId="39535" xr:uid="{00000000-0005-0000-0000-0000213F0000}"/>
    <cellStyle name="Normal 10 8 2 4 4" xfId="27230" xr:uid="{00000000-0005-0000-0000-0000223F0000}"/>
    <cellStyle name="Normal 10 8 2 5" xfId="10397" xr:uid="{00000000-0005-0000-0000-0000233F0000}"/>
    <cellStyle name="Normal 10 8 2 5 2" xfId="30317" xr:uid="{00000000-0005-0000-0000-0000243F0000}"/>
    <cellStyle name="Normal 10 8 2 6" xfId="16549" xr:uid="{00000000-0005-0000-0000-0000253F0000}"/>
    <cellStyle name="Normal 10 8 2 6 2" xfId="36469" xr:uid="{00000000-0005-0000-0000-0000263F0000}"/>
    <cellStyle name="Normal 10 8 2 7" xfId="24164" xr:uid="{00000000-0005-0000-0000-0000273F0000}"/>
    <cellStyle name="Normal 10 9" xfId="3331" xr:uid="{00000000-0005-0000-0000-0000283F0000}"/>
    <cellStyle name="Normal 10 9 2" xfId="4863" xr:uid="{00000000-0005-0000-0000-0000293F0000}"/>
    <cellStyle name="Normal 10 9 2 2" xfId="6488" xr:uid="{00000000-0005-0000-0000-00002A3F0000}"/>
    <cellStyle name="Normal 10 9 2 2 2" xfId="9574" xr:uid="{00000000-0005-0000-0000-00002B3F0000}"/>
    <cellStyle name="Normal 10 9 2 2 2 2" xfId="15767" xr:uid="{00000000-0005-0000-0000-00002C3F0000}"/>
    <cellStyle name="Normal 10 9 2 2 2 2 2" xfId="35687" xr:uid="{00000000-0005-0000-0000-00002D3F0000}"/>
    <cellStyle name="Normal 10 9 2 2 2 3" xfId="21919" xr:uid="{00000000-0005-0000-0000-00002E3F0000}"/>
    <cellStyle name="Normal 10 9 2 2 2 3 2" xfId="41839" xr:uid="{00000000-0005-0000-0000-00002F3F0000}"/>
    <cellStyle name="Normal 10 9 2 2 2 4" xfId="29534" xr:uid="{00000000-0005-0000-0000-0000303F0000}"/>
    <cellStyle name="Normal 10 9 2 2 3" xfId="12701" xr:uid="{00000000-0005-0000-0000-0000313F0000}"/>
    <cellStyle name="Normal 10 9 2 2 3 2" xfId="32621" xr:uid="{00000000-0005-0000-0000-0000323F0000}"/>
    <cellStyle name="Normal 10 9 2 2 4" xfId="18853" xr:uid="{00000000-0005-0000-0000-0000333F0000}"/>
    <cellStyle name="Normal 10 9 2 2 4 2" xfId="38773" xr:uid="{00000000-0005-0000-0000-0000343F0000}"/>
    <cellStyle name="Normal 10 9 2 2 5" xfId="26468" xr:uid="{00000000-0005-0000-0000-0000353F0000}"/>
    <cellStyle name="Normal 10 9 2 3" xfId="8039" xr:uid="{00000000-0005-0000-0000-0000363F0000}"/>
    <cellStyle name="Normal 10 9 2 3 2" xfId="14233" xr:uid="{00000000-0005-0000-0000-0000373F0000}"/>
    <cellStyle name="Normal 10 9 2 3 2 2" xfId="34153" xr:uid="{00000000-0005-0000-0000-0000383F0000}"/>
    <cellStyle name="Normal 10 9 2 3 3" xfId="20385" xr:uid="{00000000-0005-0000-0000-0000393F0000}"/>
    <cellStyle name="Normal 10 9 2 3 3 2" xfId="40305" xr:uid="{00000000-0005-0000-0000-00003A3F0000}"/>
    <cellStyle name="Normal 10 9 2 3 4" xfId="28000" xr:uid="{00000000-0005-0000-0000-00003B3F0000}"/>
    <cellStyle name="Normal 10 9 2 4" xfId="11167" xr:uid="{00000000-0005-0000-0000-00003C3F0000}"/>
    <cellStyle name="Normal 10 9 2 4 2" xfId="31087" xr:uid="{00000000-0005-0000-0000-00003D3F0000}"/>
    <cellStyle name="Normal 10 9 2 5" xfId="17319" xr:uid="{00000000-0005-0000-0000-00003E3F0000}"/>
    <cellStyle name="Normal 10 9 2 5 2" xfId="37239" xr:uid="{00000000-0005-0000-0000-00003F3F0000}"/>
    <cellStyle name="Normal 10 9 2 6" xfId="24934" xr:uid="{00000000-0005-0000-0000-0000403F0000}"/>
    <cellStyle name="Normal 10 9 3" xfId="5705" xr:uid="{00000000-0005-0000-0000-0000413F0000}"/>
    <cellStyle name="Normal 10 9 3 2" xfId="8805" xr:uid="{00000000-0005-0000-0000-0000423F0000}"/>
    <cellStyle name="Normal 10 9 3 2 2" xfId="14998" xr:uid="{00000000-0005-0000-0000-0000433F0000}"/>
    <cellStyle name="Normal 10 9 3 2 2 2" xfId="34918" xr:uid="{00000000-0005-0000-0000-0000443F0000}"/>
    <cellStyle name="Normal 10 9 3 2 3" xfId="21150" xr:uid="{00000000-0005-0000-0000-0000453F0000}"/>
    <cellStyle name="Normal 10 9 3 2 3 2" xfId="41070" xr:uid="{00000000-0005-0000-0000-0000463F0000}"/>
    <cellStyle name="Normal 10 9 3 2 4" xfId="28765" xr:uid="{00000000-0005-0000-0000-0000473F0000}"/>
    <cellStyle name="Normal 10 9 3 3" xfId="11932" xr:uid="{00000000-0005-0000-0000-0000483F0000}"/>
    <cellStyle name="Normal 10 9 3 3 2" xfId="31852" xr:uid="{00000000-0005-0000-0000-0000493F0000}"/>
    <cellStyle name="Normal 10 9 3 4" xfId="18084" xr:uid="{00000000-0005-0000-0000-00004A3F0000}"/>
    <cellStyle name="Normal 10 9 3 4 2" xfId="38004" xr:uid="{00000000-0005-0000-0000-00004B3F0000}"/>
    <cellStyle name="Normal 10 9 3 5" xfId="25699" xr:uid="{00000000-0005-0000-0000-00004C3F0000}"/>
    <cellStyle name="Normal 10 9 4" xfId="7270" xr:uid="{00000000-0005-0000-0000-00004D3F0000}"/>
    <cellStyle name="Normal 10 9 4 2" xfId="13464" xr:uid="{00000000-0005-0000-0000-00004E3F0000}"/>
    <cellStyle name="Normal 10 9 4 2 2" xfId="33384" xr:uid="{00000000-0005-0000-0000-00004F3F0000}"/>
    <cellStyle name="Normal 10 9 4 3" xfId="19616" xr:uid="{00000000-0005-0000-0000-0000503F0000}"/>
    <cellStyle name="Normal 10 9 4 3 2" xfId="39536" xr:uid="{00000000-0005-0000-0000-0000513F0000}"/>
    <cellStyle name="Normal 10 9 4 4" xfId="27231" xr:uid="{00000000-0005-0000-0000-0000523F0000}"/>
    <cellStyle name="Normal 10 9 5" xfId="10398" xr:uid="{00000000-0005-0000-0000-0000533F0000}"/>
    <cellStyle name="Normal 10 9 5 2" xfId="30318" xr:uid="{00000000-0005-0000-0000-0000543F0000}"/>
    <cellStyle name="Normal 10 9 6" xfId="16550" xr:uid="{00000000-0005-0000-0000-0000553F0000}"/>
    <cellStyle name="Normal 10 9 6 2" xfId="36470" xr:uid="{00000000-0005-0000-0000-0000563F0000}"/>
    <cellStyle name="Normal 10 9 7" xfId="24165" xr:uid="{00000000-0005-0000-0000-0000573F0000}"/>
    <cellStyle name="Normal 11" xfId="328" xr:uid="{00000000-0005-0000-0000-0000583F0000}"/>
    <cellStyle name="Normal 11 10" xfId="1165" xr:uid="{00000000-0005-0000-0000-0000593F0000}"/>
    <cellStyle name="Normal 11 10 2" xfId="23930" xr:uid="{00000000-0005-0000-0000-00005A3F0000}"/>
    <cellStyle name="Normal 11 2" xfId="1191" xr:uid="{00000000-0005-0000-0000-00005B3F0000}"/>
    <cellStyle name="Normal 11 2 2" xfId="4604" xr:uid="{00000000-0005-0000-0000-00005C3F0000}"/>
    <cellStyle name="Normal 11 2 2 2" xfId="5380" xr:uid="{00000000-0005-0000-0000-00005D3F0000}"/>
    <cellStyle name="Normal 11 2 2 2 2" xfId="7005" xr:uid="{00000000-0005-0000-0000-00005E3F0000}"/>
    <cellStyle name="Normal 11 2 2 2 2 2" xfId="10091" xr:uid="{00000000-0005-0000-0000-00005F3F0000}"/>
    <cellStyle name="Normal 11 2 2 2 2 2 2" xfId="16284" xr:uid="{00000000-0005-0000-0000-0000603F0000}"/>
    <cellStyle name="Normal 11 2 2 2 2 2 2 2" xfId="36204" xr:uid="{00000000-0005-0000-0000-0000613F0000}"/>
    <cellStyle name="Normal 11 2 2 2 2 2 3" xfId="22436" xr:uid="{00000000-0005-0000-0000-0000623F0000}"/>
    <cellStyle name="Normal 11 2 2 2 2 2 3 2" xfId="42356" xr:uid="{00000000-0005-0000-0000-0000633F0000}"/>
    <cellStyle name="Normal 11 2 2 2 2 2 4" xfId="30051" xr:uid="{00000000-0005-0000-0000-0000643F0000}"/>
    <cellStyle name="Normal 11 2 2 2 2 3" xfId="13218" xr:uid="{00000000-0005-0000-0000-0000653F0000}"/>
    <cellStyle name="Normal 11 2 2 2 2 3 2" xfId="33138" xr:uid="{00000000-0005-0000-0000-0000663F0000}"/>
    <cellStyle name="Normal 11 2 2 2 2 4" xfId="19370" xr:uid="{00000000-0005-0000-0000-0000673F0000}"/>
    <cellStyle name="Normal 11 2 2 2 2 4 2" xfId="39290" xr:uid="{00000000-0005-0000-0000-0000683F0000}"/>
    <cellStyle name="Normal 11 2 2 2 2 5" xfId="26985" xr:uid="{00000000-0005-0000-0000-0000693F0000}"/>
    <cellStyle name="Normal 11 2 2 2 3" xfId="8556" xr:uid="{00000000-0005-0000-0000-00006A3F0000}"/>
    <cellStyle name="Normal 11 2 2 2 3 2" xfId="14750" xr:uid="{00000000-0005-0000-0000-00006B3F0000}"/>
    <cellStyle name="Normal 11 2 2 2 3 2 2" xfId="34670" xr:uid="{00000000-0005-0000-0000-00006C3F0000}"/>
    <cellStyle name="Normal 11 2 2 2 3 3" xfId="20902" xr:uid="{00000000-0005-0000-0000-00006D3F0000}"/>
    <cellStyle name="Normal 11 2 2 2 3 3 2" xfId="40822" xr:uid="{00000000-0005-0000-0000-00006E3F0000}"/>
    <cellStyle name="Normal 11 2 2 2 3 4" xfId="28517" xr:uid="{00000000-0005-0000-0000-00006F3F0000}"/>
    <cellStyle name="Normal 11 2 2 2 4" xfId="11684" xr:uid="{00000000-0005-0000-0000-0000703F0000}"/>
    <cellStyle name="Normal 11 2 2 2 4 2" xfId="31604" xr:uid="{00000000-0005-0000-0000-0000713F0000}"/>
    <cellStyle name="Normal 11 2 2 2 5" xfId="17836" xr:uid="{00000000-0005-0000-0000-0000723F0000}"/>
    <cellStyle name="Normal 11 2 2 2 5 2" xfId="37756" xr:uid="{00000000-0005-0000-0000-0000733F0000}"/>
    <cellStyle name="Normal 11 2 2 2 6" xfId="25451" xr:uid="{00000000-0005-0000-0000-0000743F0000}"/>
    <cellStyle name="Normal 11 2 2 3" xfId="6236" xr:uid="{00000000-0005-0000-0000-0000753F0000}"/>
    <cellStyle name="Normal 11 2 2 3 2" xfId="9322" xr:uid="{00000000-0005-0000-0000-0000763F0000}"/>
    <cellStyle name="Normal 11 2 2 3 2 2" xfId="15515" xr:uid="{00000000-0005-0000-0000-0000773F0000}"/>
    <cellStyle name="Normal 11 2 2 3 2 2 2" xfId="35435" xr:uid="{00000000-0005-0000-0000-0000783F0000}"/>
    <cellStyle name="Normal 11 2 2 3 2 3" xfId="21667" xr:uid="{00000000-0005-0000-0000-0000793F0000}"/>
    <cellStyle name="Normal 11 2 2 3 2 3 2" xfId="41587" xr:uid="{00000000-0005-0000-0000-00007A3F0000}"/>
    <cellStyle name="Normal 11 2 2 3 2 4" xfId="29282" xr:uid="{00000000-0005-0000-0000-00007B3F0000}"/>
    <cellStyle name="Normal 11 2 2 3 3" xfId="12449" xr:uid="{00000000-0005-0000-0000-00007C3F0000}"/>
    <cellStyle name="Normal 11 2 2 3 3 2" xfId="32369" xr:uid="{00000000-0005-0000-0000-00007D3F0000}"/>
    <cellStyle name="Normal 11 2 2 3 4" xfId="18601" xr:uid="{00000000-0005-0000-0000-00007E3F0000}"/>
    <cellStyle name="Normal 11 2 2 3 4 2" xfId="38521" xr:uid="{00000000-0005-0000-0000-00007F3F0000}"/>
    <cellStyle name="Normal 11 2 2 3 5" xfId="26216" xr:uid="{00000000-0005-0000-0000-0000803F0000}"/>
    <cellStyle name="Normal 11 2 2 4" xfId="7787" xr:uid="{00000000-0005-0000-0000-0000813F0000}"/>
    <cellStyle name="Normal 11 2 2 4 2" xfId="13981" xr:uid="{00000000-0005-0000-0000-0000823F0000}"/>
    <cellStyle name="Normal 11 2 2 4 2 2" xfId="33901" xr:uid="{00000000-0005-0000-0000-0000833F0000}"/>
    <cellStyle name="Normal 11 2 2 4 3" xfId="20133" xr:uid="{00000000-0005-0000-0000-0000843F0000}"/>
    <cellStyle name="Normal 11 2 2 4 3 2" xfId="40053" xr:uid="{00000000-0005-0000-0000-0000853F0000}"/>
    <cellStyle name="Normal 11 2 2 4 4" xfId="27748" xr:uid="{00000000-0005-0000-0000-0000863F0000}"/>
    <cellStyle name="Normal 11 2 2 5" xfId="10915" xr:uid="{00000000-0005-0000-0000-0000873F0000}"/>
    <cellStyle name="Normal 11 2 2 5 2" xfId="30835" xr:uid="{00000000-0005-0000-0000-0000883F0000}"/>
    <cellStyle name="Normal 11 2 2 6" xfId="17067" xr:uid="{00000000-0005-0000-0000-0000893F0000}"/>
    <cellStyle name="Normal 11 2 2 6 2" xfId="36987" xr:uid="{00000000-0005-0000-0000-00008A3F0000}"/>
    <cellStyle name="Normal 11 2 2 7" xfId="24682" xr:uid="{00000000-0005-0000-0000-00008B3F0000}"/>
    <cellStyle name="Normal 11 2 3" xfId="3333" xr:uid="{00000000-0005-0000-0000-00008C3F0000}"/>
    <cellStyle name="Normal 11 2 4" xfId="4639" xr:uid="{00000000-0005-0000-0000-00008D3F0000}"/>
    <cellStyle name="Normal 11 2 4 2" xfId="6264" xr:uid="{00000000-0005-0000-0000-00008E3F0000}"/>
    <cellStyle name="Normal 11 2 4 2 2" xfId="9350" xr:uid="{00000000-0005-0000-0000-00008F3F0000}"/>
    <cellStyle name="Normal 11 2 4 2 2 2" xfId="15543" xr:uid="{00000000-0005-0000-0000-0000903F0000}"/>
    <cellStyle name="Normal 11 2 4 2 2 2 2" xfId="35463" xr:uid="{00000000-0005-0000-0000-0000913F0000}"/>
    <cellStyle name="Normal 11 2 4 2 2 3" xfId="21695" xr:uid="{00000000-0005-0000-0000-0000923F0000}"/>
    <cellStyle name="Normal 11 2 4 2 2 3 2" xfId="41615" xr:uid="{00000000-0005-0000-0000-0000933F0000}"/>
    <cellStyle name="Normal 11 2 4 2 2 4" xfId="29310" xr:uid="{00000000-0005-0000-0000-0000943F0000}"/>
    <cellStyle name="Normal 11 2 4 2 3" xfId="12477" xr:uid="{00000000-0005-0000-0000-0000953F0000}"/>
    <cellStyle name="Normal 11 2 4 2 3 2" xfId="32397" xr:uid="{00000000-0005-0000-0000-0000963F0000}"/>
    <cellStyle name="Normal 11 2 4 2 4" xfId="18629" xr:uid="{00000000-0005-0000-0000-0000973F0000}"/>
    <cellStyle name="Normal 11 2 4 2 4 2" xfId="38549" xr:uid="{00000000-0005-0000-0000-0000983F0000}"/>
    <cellStyle name="Normal 11 2 4 2 5" xfId="26244" xr:uid="{00000000-0005-0000-0000-0000993F0000}"/>
    <cellStyle name="Normal 11 2 4 3" xfId="7815" xr:uid="{00000000-0005-0000-0000-00009A3F0000}"/>
    <cellStyle name="Normal 11 2 4 3 2" xfId="14009" xr:uid="{00000000-0005-0000-0000-00009B3F0000}"/>
    <cellStyle name="Normal 11 2 4 3 2 2" xfId="33929" xr:uid="{00000000-0005-0000-0000-00009C3F0000}"/>
    <cellStyle name="Normal 11 2 4 3 3" xfId="20161" xr:uid="{00000000-0005-0000-0000-00009D3F0000}"/>
    <cellStyle name="Normal 11 2 4 3 3 2" xfId="40081" xr:uid="{00000000-0005-0000-0000-00009E3F0000}"/>
    <cellStyle name="Normal 11 2 4 3 4" xfId="27776" xr:uid="{00000000-0005-0000-0000-00009F3F0000}"/>
    <cellStyle name="Normal 11 2 4 4" xfId="10943" xr:uid="{00000000-0005-0000-0000-0000A03F0000}"/>
    <cellStyle name="Normal 11 2 4 4 2" xfId="30863" xr:uid="{00000000-0005-0000-0000-0000A13F0000}"/>
    <cellStyle name="Normal 11 2 4 5" xfId="17095" xr:uid="{00000000-0005-0000-0000-0000A23F0000}"/>
    <cellStyle name="Normal 11 2 4 5 2" xfId="37015" xr:uid="{00000000-0005-0000-0000-0000A33F0000}"/>
    <cellStyle name="Normal 11 2 4 6" xfId="24710" xr:uid="{00000000-0005-0000-0000-0000A43F0000}"/>
    <cellStyle name="Normal 11 2 5" xfId="5478" xr:uid="{00000000-0005-0000-0000-0000A53F0000}"/>
    <cellStyle name="Normal 11 2 5 2" xfId="8581" xr:uid="{00000000-0005-0000-0000-0000A63F0000}"/>
    <cellStyle name="Normal 11 2 5 2 2" xfId="14774" xr:uid="{00000000-0005-0000-0000-0000A73F0000}"/>
    <cellStyle name="Normal 11 2 5 2 2 2" xfId="34694" xr:uid="{00000000-0005-0000-0000-0000A83F0000}"/>
    <cellStyle name="Normal 11 2 5 2 3" xfId="20926" xr:uid="{00000000-0005-0000-0000-0000A93F0000}"/>
    <cellStyle name="Normal 11 2 5 2 3 2" xfId="40846" xr:uid="{00000000-0005-0000-0000-0000AA3F0000}"/>
    <cellStyle name="Normal 11 2 5 2 4" xfId="28541" xr:uid="{00000000-0005-0000-0000-0000AB3F0000}"/>
    <cellStyle name="Normal 11 2 5 3" xfId="11708" xr:uid="{00000000-0005-0000-0000-0000AC3F0000}"/>
    <cellStyle name="Normal 11 2 5 3 2" xfId="31628" xr:uid="{00000000-0005-0000-0000-0000AD3F0000}"/>
    <cellStyle name="Normal 11 2 5 4" xfId="17860" xr:uid="{00000000-0005-0000-0000-0000AE3F0000}"/>
    <cellStyle name="Normal 11 2 5 4 2" xfId="37780" xr:uid="{00000000-0005-0000-0000-0000AF3F0000}"/>
    <cellStyle name="Normal 11 2 5 5" xfId="25475" xr:uid="{00000000-0005-0000-0000-0000B03F0000}"/>
    <cellStyle name="Normal 11 2 6" xfId="7046" xr:uid="{00000000-0005-0000-0000-0000B13F0000}"/>
    <cellStyle name="Normal 11 2 6 2" xfId="13240" xr:uid="{00000000-0005-0000-0000-0000B23F0000}"/>
    <cellStyle name="Normal 11 2 6 2 2" xfId="33160" xr:uid="{00000000-0005-0000-0000-0000B33F0000}"/>
    <cellStyle name="Normal 11 2 6 3" xfId="19392" xr:uid="{00000000-0005-0000-0000-0000B43F0000}"/>
    <cellStyle name="Normal 11 2 6 3 2" xfId="39312" xr:uid="{00000000-0005-0000-0000-0000B53F0000}"/>
    <cellStyle name="Normal 11 2 6 4" xfId="27007" xr:uid="{00000000-0005-0000-0000-0000B63F0000}"/>
    <cellStyle name="Normal 11 2 7" xfId="10174" xr:uid="{00000000-0005-0000-0000-0000B73F0000}"/>
    <cellStyle name="Normal 11 2 7 2" xfId="30094" xr:uid="{00000000-0005-0000-0000-0000B83F0000}"/>
    <cellStyle name="Normal 11 2 8" xfId="16326" xr:uid="{00000000-0005-0000-0000-0000B93F0000}"/>
    <cellStyle name="Normal 11 2 8 2" xfId="36246" xr:uid="{00000000-0005-0000-0000-0000BA3F0000}"/>
    <cellStyle name="Normal 11 2 9" xfId="23941" xr:uid="{00000000-0005-0000-0000-0000BB3F0000}"/>
    <cellStyle name="Normal 11 3" xfId="3334" xr:uid="{00000000-0005-0000-0000-0000BC3F0000}"/>
    <cellStyle name="Normal 11 3 2" xfId="4865" xr:uid="{00000000-0005-0000-0000-0000BD3F0000}"/>
    <cellStyle name="Normal 11 3 2 2" xfId="6490" xr:uid="{00000000-0005-0000-0000-0000BE3F0000}"/>
    <cellStyle name="Normal 11 3 2 2 2" xfId="9576" xr:uid="{00000000-0005-0000-0000-0000BF3F0000}"/>
    <cellStyle name="Normal 11 3 2 2 2 2" xfId="15769" xr:uid="{00000000-0005-0000-0000-0000C03F0000}"/>
    <cellStyle name="Normal 11 3 2 2 2 2 2" xfId="35689" xr:uid="{00000000-0005-0000-0000-0000C13F0000}"/>
    <cellStyle name="Normal 11 3 2 2 2 3" xfId="21921" xr:uid="{00000000-0005-0000-0000-0000C23F0000}"/>
    <cellStyle name="Normal 11 3 2 2 2 3 2" xfId="41841" xr:uid="{00000000-0005-0000-0000-0000C33F0000}"/>
    <cellStyle name="Normal 11 3 2 2 2 4" xfId="29536" xr:uid="{00000000-0005-0000-0000-0000C43F0000}"/>
    <cellStyle name="Normal 11 3 2 2 3" xfId="12703" xr:uid="{00000000-0005-0000-0000-0000C53F0000}"/>
    <cellStyle name="Normal 11 3 2 2 3 2" xfId="32623" xr:uid="{00000000-0005-0000-0000-0000C63F0000}"/>
    <cellStyle name="Normal 11 3 2 2 4" xfId="18855" xr:uid="{00000000-0005-0000-0000-0000C73F0000}"/>
    <cellStyle name="Normal 11 3 2 2 4 2" xfId="38775" xr:uid="{00000000-0005-0000-0000-0000C83F0000}"/>
    <cellStyle name="Normal 11 3 2 2 5" xfId="26470" xr:uid="{00000000-0005-0000-0000-0000C93F0000}"/>
    <cellStyle name="Normal 11 3 2 3" xfId="8041" xr:uid="{00000000-0005-0000-0000-0000CA3F0000}"/>
    <cellStyle name="Normal 11 3 2 3 2" xfId="14235" xr:uid="{00000000-0005-0000-0000-0000CB3F0000}"/>
    <cellStyle name="Normal 11 3 2 3 2 2" xfId="34155" xr:uid="{00000000-0005-0000-0000-0000CC3F0000}"/>
    <cellStyle name="Normal 11 3 2 3 3" xfId="20387" xr:uid="{00000000-0005-0000-0000-0000CD3F0000}"/>
    <cellStyle name="Normal 11 3 2 3 3 2" xfId="40307" xr:uid="{00000000-0005-0000-0000-0000CE3F0000}"/>
    <cellStyle name="Normal 11 3 2 3 4" xfId="28002" xr:uid="{00000000-0005-0000-0000-0000CF3F0000}"/>
    <cellStyle name="Normal 11 3 2 4" xfId="11169" xr:uid="{00000000-0005-0000-0000-0000D03F0000}"/>
    <cellStyle name="Normal 11 3 2 4 2" xfId="31089" xr:uid="{00000000-0005-0000-0000-0000D13F0000}"/>
    <cellStyle name="Normal 11 3 2 5" xfId="17321" xr:uid="{00000000-0005-0000-0000-0000D23F0000}"/>
    <cellStyle name="Normal 11 3 2 5 2" xfId="37241" xr:uid="{00000000-0005-0000-0000-0000D33F0000}"/>
    <cellStyle name="Normal 11 3 2 6" xfId="24936" xr:uid="{00000000-0005-0000-0000-0000D43F0000}"/>
    <cellStyle name="Normal 11 3 3" xfId="5707" xr:uid="{00000000-0005-0000-0000-0000D53F0000}"/>
    <cellStyle name="Normal 11 3 3 2" xfId="8807" xr:uid="{00000000-0005-0000-0000-0000D63F0000}"/>
    <cellStyle name="Normal 11 3 3 2 2" xfId="15000" xr:uid="{00000000-0005-0000-0000-0000D73F0000}"/>
    <cellStyle name="Normal 11 3 3 2 2 2" xfId="34920" xr:uid="{00000000-0005-0000-0000-0000D83F0000}"/>
    <cellStyle name="Normal 11 3 3 2 3" xfId="21152" xr:uid="{00000000-0005-0000-0000-0000D93F0000}"/>
    <cellStyle name="Normal 11 3 3 2 3 2" xfId="41072" xr:uid="{00000000-0005-0000-0000-0000DA3F0000}"/>
    <cellStyle name="Normal 11 3 3 2 4" xfId="28767" xr:uid="{00000000-0005-0000-0000-0000DB3F0000}"/>
    <cellStyle name="Normal 11 3 3 3" xfId="11934" xr:uid="{00000000-0005-0000-0000-0000DC3F0000}"/>
    <cellStyle name="Normal 11 3 3 3 2" xfId="31854" xr:uid="{00000000-0005-0000-0000-0000DD3F0000}"/>
    <cellStyle name="Normal 11 3 3 4" xfId="18086" xr:uid="{00000000-0005-0000-0000-0000DE3F0000}"/>
    <cellStyle name="Normal 11 3 3 4 2" xfId="38006" xr:uid="{00000000-0005-0000-0000-0000DF3F0000}"/>
    <cellStyle name="Normal 11 3 3 5" xfId="25701" xr:uid="{00000000-0005-0000-0000-0000E03F0000}"/>
    <cellStyle name="Normal 11 3 4" xfId="7272" xr:uid="{00000000-0005-0000-0000-0000E13F0000}"/>
    <cellStyle name="Normal 11 3 4 2" xfId="13466" xr:uid="{00000000-0005-0000-0000-0000E23F0000}"/>
    <cellStyle name="Normal 11 3 4 2 2" xfId="33386" xr:uid="{00000000-0005-0000-0000-0000E33F0000}"/>
    <cellStyle name="Normal 11 3 4 3" xfId="19618" xr:uid="{00000000-0005-0000-0000-0000E43F0000}"/>
    <cellStyle name="Normal 11 3 4 3 2" xfId="39538" xr:uid="{00000000-0005-0000-0000-0000E53F0000}"/>
    <cellStyle name="Normal 11 3 4 4" xfId="27233" xr:uid="{00000000-0005-0000-0000-0000E63F0000}"/>
    <cellStyle name="Normal 11 3 5" xfId="10400" xr:uid="{00000000-0005-0000-0000-0000E73F0000}"/>
    <cellStyle name="Normal 11 3 5 2" xfId="30320" xr:uid="{00000000-0005-0000-0000-0000E83F0000}"/>
    <cellStyle name="Normal 11 3 6" xfId="16552" xr:uid="{00000000-0005-0000-0000-0000E93F0000}"/>
    <cellStyle name="Normal 11 3 6 2" xfId="36472" xr:uid="{00000000-0005-0000-0000-0000EA3F0000}"/>
    <cellStyle name="Normal 11 3 7" xfId="24167" xr:uid="{00000000-0005-0000-0000-0000EB3F0000}"/>
    <cellStyle name="Normal 11 4" xfId="3332" xr:uid="{00000000-0005-0000-0000-0000EC3F0000}"/>
    <cellStyle name="Normal 11 4 2" xfId="4864" xr:uid="{00000000-0005-0000-0000-0000ED3F0000}"/>
    <cellStyle name="Normal 11 4 2 2" xfId="6489" xr:uid="{00000000-0005-0000-0000-0000EE3F0000}"/>
    <cellStyle name="Normal 11 4 2 2 2" xfId="9575" xr:uid="{00000000-0005-0000-0000-0000EF3F0000}"/>
    <cellStyle name="Normal 11 4 2 2 2 2" xfId="15768" xr:uid="{00000000-0005-0000-0000-0000F03F0000}"/>
    <cellStyle name="Normal 11 4 2 2 2 2 2" xfId="35688" xr:uid="{00000000-0005-0000-0000-0000F13F0000}"/>
    <cellStyle name="Normal 11 4 2 2 2 3" xfId="21920" xr:uid="{00000000-0005-0000-0000-0000F23F0000}"/>
    <cellStyle name="Normal 11 4 2 2 2 3 2" xfId="41840" xr:uid="{00000000-0005-0000-0000-0000F33F0000}"/>
    <cellStyle name="Normal 11 4 2 2 2 4" xfId="29535" xr:uid="{00000000-0005-0000-0000-0000F43F0000}"/>
    <cellStyle name="Normal 11 4 2 2 3" xfId="12702" xr:uid="{00000000-0005-0000-0000-0000F53F0000}"/>
    <cellStyle name="Normal 11 4 2 2 3 2" xfId="32622" xr:uid="{00000000-0005-0000-0000-0000F63F0000}"/>
    <cellStyle name="Normal 11 4 2 2 4" xfId="18854" xr:uid="{00000000-0005-0000-0000-0000F73F0000}"/>
    <cellStyle name="Normal 11 4 2 2 4 2" xfId="38774" xr:uid="{00000000-0005-0000-0000-0000F83F0000}"/>
    <cellStyle name="Normal 11 4 2 2 5" xfId="26469" xr:uid="{00000000-0005-0000-0000-0000F93F0000}"/>
    <cellStyle name="Normal 11 4 2 3" xfId="8040" xr:uid="{00000000-0005-0000-0000-0000FA3F0000}"/>
    <cellStyle name="Normal 11 4 2 3 2" xfId="14234" xr:uid="{00000000-0005-0000-0000-0000FB3F0000}"/>
    <cellStyle name="Normal 11 4 2 3 2 2" xfId="34154" xr:uid="{00000000-0005-0000-0000-0000FC3F0000}"/>
    <cellStyle name="Normal 11 4 2 3 3" xfId="20386" xr:uid="{00000000-0005-0000-0000-0000FD3F0000}"/>
    <cellStyle name="Normal 11 4 2 3 3 2" xfId="40306" xr:uid="{00000000-0005-0000-0000-0000FE3F0000}"/>
    <cellStyle name="Normal 11 4 2 3 4" xfId="28001" xr:uid="{00000000-0005-0000-0000-0000FF3F0000}"/>
    <cellStyle name="Normal 11 4 2 4" xfId="11168" xr:uid="{00000000-0005-0000-0000-000000400000}"/>
    <cellStyle name="Normal 11 4 2 4 2" xfId="31088" xr:uid="{00000000-0005-0000-0000-000001400000}"/>
    <cellStyle name="Normal 11 4 2 5" xfId="17320" xr:uid="{00000000-0005-0000-0000-000002400000}"/>
    <cellStyle name="Normal 11 4 2 5 2" xfId="37240" xr:uid="{00000000-0005-0000-0000-000003400000}"/>
    <cellStyle name="Normal 11 4 2 6" xfId="24935" xr:uid="{00000000-0005-0000-0000-000004400000}"/>
    <cellStyle name="Normal 11 4 3" xfId="5706" xr:uid="{00000000-0005-0000-0000-000005400000}"/>
    <cellStyle name="Normal 11 4 3 2" xfId="8806" xr:uid="{00000000-0005-0000-0000-000006400000}"/>
    <cellStyle name="Normal 11 4 3 2 2" xfId="14999" xr:uid="{00000000-0005-0000-0000-000007400000}"/>
    <cellStyle name="Normal 11 4 3 2 2 2" xfId="34919" xr:uid="{00000000-0005-0000-0000-000008400000}"/>
    <cellStyle name="Normal 11 4 3 2 3" xfId="21151" xr:uid="{00000000-0005-0000-0000-000009400000}"/>
    <cellStyle name="Normal 11 4 3 2 3 2" xfId="41071" xr:uid="{00000000-0005-0000-0000-00000A400000}"/>
    <cellStyle name="Normal 11 4 3 2 4" xfId="28766" xr:uid="{00000000-0005-0000-0000-00000B400000}"/>
    <cellStyle name="Normal 11 4 3 3" xfId="11933" xr:uid="{00000000-0005-0000-0000-00000C400000}"/>
    <cellStyle name="Normal 11 4 3 3 2" xfId="31853" xr:uid="{00000000-0005-0000-0000-00000D400000}"/>
    <cellStyle name="Normal 11 4 3 4" xfId="18085" xr:uid="{00000000-0005-0000-0000-00000E400000}"/>
    <cellStyle name="Normal 11 4 3 4 2" xfId="38005" xr:uid="{00000000-0005-0000-0000-00000F400000}"/>
    <cellStyle name="Normal 11 4 3 5" xfId="25700" xr:uid="{00000000-0005-0000-0000-000010400000}"/>
    <cellStyle name="Normal 11 4 4" xfId="7271" xr:uid="{00000000-0005-0000-0000-000011400000}"/>
    <cellStyle name="Normal 11 4 4 2" xfId="13465" xr:uid="{00000000-0005-0000-0000-000012400000}"/>
    <cellStyle name="Normal 11 4 4 2 2" xfId="33385" xr:uid="{00000000-0005-0000-0000-000013400000}"/>
    <cellStyle name="Normal 11 4 4 3" xfId="19617" xr:uid="{00000000-0005-0000-0000-000014400000}"/>
    <cellStyle name="Normal 11 4 4 3 2" xfId="39537" xr:uid="{00000000-0005-0000-0000-000015400000}"/>
    <cellStyle name="Normal 11 4 4 4" xfId="27232" xr:uid="{00000000-0005-0000-0000-000016400000}"/>
    <cellStyle name="Normal 11 4 5" xfId="10399" xr:uid="{00000000-0005-0000-0000-000017400000}"/>
    <cellStyle name="Normal 11 4 5 2" xfId="30319" xr:uid="{00000000-0005-0000-0000-000018400000}"/>
    <cellStyle name="Normal 11 4 6" xfId="16551" xr:uid="{00000000-0005-0000-0000-000019400000}"/>
    <cellStyle name="Normal 11 4 6 2" xfId="36471" xr:uid="{00000000-0005-0000-0000-00001A400000}"/>
    <cellStyle name="Normal 11 4 7" xfId="24166" xr:uid="{00000000-0005-0000-0000-00001B400000}"/>
    <cellStyle name="Normal 11 5" xfId="4628" xr:uid="{00000000-0005-0000-0000-00001C400000}"/>
    <cellStyle name="Normal 11 5 2" xfId="6253" xr:uid="{00000000-0005-0000-0000-00001D400000}"/>
    <cellStyle name="Normal 11 5 2 2" xfId="9339" xr:uid="{00000000-0005-0000-0000-00001E400000}"/>
    <cellStyle name="Normal 11 5 2 2 2" xfId="15532" xr:uid="{00000000-0005-0000-0000-00001F400000}"/>
    <cellStyle name="Normal 11 5 2 2 2 2" xfId="35452" xr:uid="{00000000-0005-0000-0000-000020400000}"/>
    <cellStyle name="Normal 11 5 2 2 3" xfId="21684" xr:uid="{00000000-0005-0000-0000-000021400000}"/>
    <cellStyle name="Normal 11 5 2 2 3 2" xfId="41604" xr:uid="{00000000-0005-0000-0000-000022400000}"/>
    <cellStyle name="Normal 11 5 2 2 4" xfId="29299" xr:uid="{00000000-0005-0000-0000-000023400000}"/>
    <cellStyle name="Normal 11 5 2 3" xfId="12466" xr:uid="{00000000-0005-0000-0000-000024400000}"/>
    <cellStyle name="Normal 11 5 2 3 2" xfId="32386" xr:uid="{00000000-0005-0000-0000-000025400000}"/>
    <cellStyle name="Normal 11 5 2 4" xfId="18618" xr:uid="{00000000-0005-0000-0000-000026400000}"/>
    <cellStyle name="Normal 11 5 2 4 2" xfId="38538" xr:uid="{00000000-0005-0000-0000-000027400000}"/>
    <cellStyle name="Normal 11 5 2 5" xfId="26233" xr:uid="{00000000-0005-0000-0000-000028400000}"/>
    <cellStyle name="Normal 11 5 3" xfId="7804" xr:uid="{00000000-0005-0000-0000-000029400000}"/>
    <cellStyle name="Normal 11 5 3 2" xfId="13998" xr:uid="{00000000-0005-0000-0000-00002A400000}"/>
    <cellStyle name="Normal 11 5 3 2 2" xfId="33918" xr:uid="{00000000-0005-0000-0000-00002B400000}"/>
    <cellStyle name="Normal 11 5 3 3" xfId="20150" xr:uid="{00000000-0005-0000-0000-00002C400000}"/>
    <cellStyle name="Normal 11 5 3 3 2" xfId="40070" xr:uid="{00000000-0005-0000-0000-00002D400000}"/>
    <cellStyle name="Normal 11 5 3 4" xfId="27765" xr:uid="{00000000-0005-0000-0000-00002E400000}"/>
    <cellStyle name="Normal 11 5 4" xfId="10932" xr:uid="{00000000-0005-0000-0000-00002F400000}"/>
    <cellStyle name="Normal 11 5 4 2" xfId="30852" xr:uid="{00000000-0005-0000-0000-000030400000}"/>
    <cellStyle name="Normal 11 5 5" xfId="17084" xr:uid="{00000000-0005-0000-0000-000031400000}"/>
    <cellStyle name="Normal 11 5 5 2" xfId="37004" xr:uid="{00000000-0005-0000-0000-000032400000}"/>
    <cellStyle name="Normal 11 5 6" xfId="24699" xr:uid="{00000000-0005-0000-0000-000033400000}"/>
    <cellStyle name="Normal 11 6" xfId="5466" xr:uid="{00000000-0005-0000-0000-000034400000}"/>
    <cellStyle name="Normal 11 6 2" xfId="8570" xr:uid="{00000000-0005-0000-0000-000035400000}"/>
    <cellStyle name="Normal 11 6 2 2" xfId="14763" xr:uid="{00000000-0005-0000-0000-000036400000}"/>
    <cellStyle name="Normal 11 6 2 2 2" xfId="34683" xr:uid="{00000000-0005-0000-0000-000037400000}"/>
    <cellStyle name="Normal 11 6 2 3" xfId="20915" xr:uid="{00000000-0005-0000-0000-000038400000}"/>
    <cellStyle name="Normal 11 6 2 3 2" xfId="40835" xr:uid="{00000000-0005-0000-0000-000039400000}"/>
    <cellStyle name="Normal 11 6 2 4" xfId="28530" xr:uid="{00000000-0005-0000-0000-00003A400000}"/>
    <cellStyle name="Normal 11 6 3" xfId="11697" xr:uid="{00000000-0005-0000-0000-00003B400000}"/>
    <cellStyle name="Normal 11 6 3 2" xfId="31617" xr:uid="{00000000-0005-0000-0000-00003C400000}"/>
    <cellStyle name="Normal 11 6 4" xfId="17849" xr:uid="{00000000-0005-0000-0000-00003D400000}"/>
    <cellStyle name="Normal 11 6 4 2" xfId="37769" xr:uid="{00000000-0005-0000-0000-00003E400000}"/>
    <cellStyle name="Normal 11 6 5" xfId="25464" xr:uid="{00000000-0005-0000-0000-00003F400000}"/>
    <cellStyle name="Normal 11 7" xfId="7035" xr:uid="{00000000-0005-0000-0000-000040400000}"/>
    <cellStyle name="Normal 11 7 2" xfId="13229" xr:uid="{00000000-0005-0000-0000-000041400000}"/>
    <cellStyle name="Normal 11 7 2 2" xfId="33149" xr:uid="{00000000-0005-0000-0000-000042400000}"/>
    <cellStyle name="Normal 11 7 3" xfId="19381" xr:uid="{00000000-0005-0000-0000-000043400000}"/>
    <cellStyle name="Normal 11 7 3 2" xfId="39301" xr:uid="{00000000-0005-0000-0000-000044400000}"/>
    <cellStyle name="Normal 11 7 4" xfId="26996" xr:uid="{00000000-0005-0000-0000-000045400000}"/>
    <cellStyle name="Normal 11 8" xfId="10163" xr:uid="{00000000-0005-0000-0000-000046400000}"/>
    <cellStyle name="Normal 11 8 2" xfId="30083" xr:uid="{00000000-0005-0000-0000-000047400000}"/>
    <cellStyle name="Normal 11 9" xfId="16315" xr:uid="{00000000-0005-0000-0000-000048400000}"/>
    <cellStyle name="Normal 11 9 2" xfId="36235" xr:uid="{00000000-0005-0000-0000-000049400000}"/>
    <cellStyle name="Normal 12" xfId="155" xr:uid="{00000000-0005-0000-0000-00004A400000}"/>
    <cellStyle name="Normal 12 10" xfId="7273" xr:uid="{00000000-0005-0000-0000-00004B400000}"/>
    <cellStyle name="Normal 12 10 2" xfId="13467" xr:uid="{00000000-0005-0000-0000-00004C400000}"/>
    <cellStyle name="Normal 12 10 2 2" xfId="33387" xr:uid="{00000000-0005-0000-0000-00004D400000}"/>
    <cellStyle name="Normal 12 10 3" xfId="19619" xr:uid="{00000000-0005-0000-0000-00004E400000}"/>
    <cellStyle name="Normal 12 10 3 2" xfId="39539" xr:uid="{00000000-0005-0000-0000-00004F400000}"/>
    <cellStyle name="Normal 12 10 4" xfId="27234" xr:uid="{00000000-0005-0000-0000-000050400000}"/>
    <cellStyle name="Normal 12 11" xfId="10145" xr:uid="{00000000-0005-0000-0000-000051400000}"/>
    <cellStyle name="Normal 12 11 2" xfId="16307" xr:uid="{00000000-0005-0000-0000-000052400000}"/>
    <cellStyle name="Normal 12 11 2 2" xfId="36227" xr:uid="{00000000-0005-0000-0000-000053400000}"/>
    <cellStyle name="Normal 12 11 3" xfId="22459" xr:uid="{00000000-0005-0000-0000-000054400000}"/>
    <cellStyle name="Normal 12 11 3 2" xfId="42379" xr:uid="{00000000-0005-0000-0000-000055400000}"/>
    <cellStyle name="Normal 12 11 4" xfId="30074" xr:uid="{00000000-0005-0000-0000-000056400000}"/>
    <cellStyle name="Normal 12 12" xfId="10401" xr:uid="{00000000-0005-0000-0000-000057400000}"/>
    <cellStyle name="Normal 12 12 2" xfId="30321" xr:uid="{00000000-0005-0000-0000-000058400000}"/>
    <cellStyle name="Normal 12 13" xfId="16553" xr:uid="{00000000-0005-0000-0000-000059400000}"/>
    <cellStyle name="Normal 12 13 2" xfId="36473" xr:uid="{00000000-0005-0000-0000-00005A400000}"/>
    <cellStyle name="Normal 12 14" xfId="3335" xr:uid="{00000000-0005-0000-0000-00005B400000}"/>
    <cellStyle name="Normal 12 14 2" xfId="24168" xr:uid="{00000000-0005-0000-0000-00005C400000}"/>
    <cellStyle name="Normal 12 2" xfId="3336" xr:uid="{00000000-0005-0000-0000-00005D400000}"/>
    <cellStyle name="Normal 12 2 2" xfId="3337" xr:uid="{00000000-0005-0000-0000-00005E400000}"/>
    <cellStyle name="Normal 12 2 2 10" xfId="24169" xr:uid="{00000000-0005-0000-0000-00005F400000}"/>
    <cellStyle name="Normal 12 2 2 2" xfId="3338" xr:uid="{00000000-0005-0000-0000-000060400000}"/>
    <cellStyle name="Normal 12 2 2 2 2" xfId="3339" xr:uid="{00000000-0005-0000-0000-000061400000}"/>
    <cellStyle name="Normal 12 2 2 2 2 2" xfId="4869" xr:uid="{00000000-0005-0000-0000-000062400000}"/>
    <cellStyle name="Normal 12 2 2 2 2 2 2" xfId="6494" xr:uid="{00000000-0005-0000-0000-000063400000}"/>
    <cellStyle name="Normal 12 2 2 2 2 2 2 2" xfId="9580" xr:uid="{00000000-0005-0000-0000-000064400000}"/>
    <cellStyle name="Normal 12 2 2 2 2 2 2 2 2" xfId="15773" xr:uid="{00000000-0005-0000-0000-000065400000}"/>
    <cellStyle name="Normal 12 2 2 2 2 2 2 2 2 2" xfId="35693" xr:uid="{00000000-0005-0000-0000-000066400000}"/>
    <cellStyle name="Normal 12 2 2 2 2 2 2 2 3" xfId="21925" xr:uid="{00000000-0005-0000-0000-000067400000}"/>
    <cellStyle name="Normal 12 2 2 2 2 2 2 2 3 2" xfId="41845" xr:uid="{00000000-0005-0000-0000-000068400000}"/>
    <cellStyle name="Normal 12 2 2 2 2 2 2 2 4" xfId="29540" xr:uid="{00000000-0005-0000-0000-000069400000}"/>
    <cellStyle name="Normal 12 2 2 2 2 2 2 3" xfId="12707" xr:uid="{00000000-0005-0000-0000-00006A400000}"/>
    <cellStyle name="Normal 12 2 2 2 2 2 2 3 2" xfId="32627" xr:uid="{00000000-0005-0000-0000-00006B400000}"/>
    <cellStyle name="Normal 12 2 2 2 2 2 2 4" xfId="18859" xr:uid="{00000000-0005-0000-0000-00006C400000}"/>
    <cellStyle name="Normal 12 2 2 2 2 2 2 4 2" xfId="38779" xr:uid="{00000000-0005-0000-0000-00006D400000}"/>
    <cellStyle name="Normal 12 2 2 2 2 2 2 5" xfId="26474" xr:uid="{00000000-0005-0000-0000-00006E400000}"/>
    <cellStyle name="Normal 12 2 2 2 2 2 3" xfId="8045" xr:uid="{00000000-0005-0000-0000-00006F400000}"/>
    <cellStyle name="Normal 12 2 2 2 2 2 3 2" xfId="14239" xr:uid="{00000000-0005-0000-0000-000070400000}"/>
    <cellStyle name="Normal 12 2 2 2 2 2 3 2 2" xfId="34159" xr:uid="{00000000-0005-0000-0000-000071400000}"/>
    <cellStyle name="Normal 12 2 2 2 2 2 3 3" xfId="20391" xr:uid="{00000000-0005-0000-0000-000072400000}"/>
    <cellStyle name="Normal 12 2 2 2 2 2 3 3 2" xfId="40311" xr:uid="{00000000-0005-0000-0000-000073400000}"/>
    <cellStyle name="Normal 12 2 2 2 2 2 3 4" xfId="28006" xr:uid="{00000000-0005-0000-0000-000074400000}"/>
    <cellStyle name="Normal 12 2 2 2 2 2 4" xfId="11173" xr:uid="{00000000-0005-0000-0000-000075400000}"/>
    <cellStyle name="Normal 12 2 2 2 2 2 4 2" xfId="31093" xr:uid="{00000000-0005-0000-0000-000076400000}"/>
    <cellStyle name="Normal 12 2 2 2 2 2 5" xfId="17325" xr:uid="{00000000-0005-0000-0000-000077400000}"/>
    <cellStyle name="Normal 12 2 2 2 2 2 5 2" xfId="37245" xr:uid="{00000000-0005-0000-0000-000078400000}"/>
    <cellStyle name="Normal 12 2 2 2 2 2 6" xfId="24940" xr:uid="{00000000-0005-0000-0000-000079400000}"/>
    <cellStyle name="Normal 12 2 2 2 2 3" xfId="5711" xr:uid="{00000000-0005-0000-0000-00007A400000}"/>
    <cellStyle name="Normal 12 2 2 2 2 3 2" xfId="8811" xr:uid="{00000000-0005-0000-0000-00007B400000}"/>
    <cellStyle name="Normal 12 2 2 2 2 3 2 2" xfId="15004" xr:uid="{00000000-0005-0000-0000-00007C400000}"/>
    <cellStyle name="Normal 12 2 2 2 2 3 2 2 2" xfId="34924" xr:uid="{00000000-0005-0000-0000-00007D400000}"/>
    <cellStyle name="Normal 12 2 2 2 2 3 2 3" xfId="21156" xr:uid="{00000000-0005-0000-0000-00007E400000}"/>
    <cellStyle name="Normal 12 2 2 2 2 3 2 3 2" xfId="41076" xr:uid="{00000000-0005-0000-0000-00007F400000}"/>
    <cellStyle name="Normal 12 2 2 2 2 3 2 4" xfId="28771" xr:uid="{00000000-0005-0000-0000-000080400000}"/>
    <cellStyle name="Normal 12 2 2 2 2 3 3" xfId="11938" xr:uid="{00000000-0005-0000-0000-000081400000}"/>
    <cellStyle name="Normal 12 2 2 2 2 3 3 2" xfId="31858" xr:uid="{00000000-0005-0000-0000-000082400000}"/>
    <cellStyle name="Normal 12 2 2 2 2 3 4" xfId="18090" xr:uid="{00000000-0005-0000-0000-000083400000}"/>
    <cellStyle name="Normal 12 2 2 2 2 3 4 2" xfId="38010" xr:uid="{00000000-0005-0000-0000-000084400000}"/>
    <cellStyle name="Normal 12 2 2 2 2 3 5" xfId="25705" xr:uid="{00000000-0005-0000-0000-000085400000}"/>
    <cellStyle name="Normal 12 2 2 2 2 4" xfId="7276" xr:uid="{00000000-0005-0000-0000-000086400000}"/>
    <cellStyle name="Normal 12 2 2 2 2 4 2" xfId="13470" xr:uid="{00000000-0005-0000-0000-000087400000}"/>
    <cellStyle name="Normal 12 2 2 2 2 4 2 2" xfId="33390" xr:uid="{00000000-0005-0000-0000-000088400000}"/>
    <cellStyle name="Normal 12 2 2 2 2 4 3" xfId="19622" xr:uid="{00000000-0005-0000-0000-000089400000}"/>
    <cellStyle name="Normal 12 2 2 2 2 4 3 2" xfId="39542" xr:uid="{00000000-0005-0000-0000-00008A400000}"/>
    <cellStyle name="Normal 12 2 2 2 2 4 4" xfId="27237" xr:uid="{00000000-0005-0000-0000-00008B400000}"/>
    <cellStyle name="Normal 12 2 2 2 2 5" xfId="10404" xr:uid="{00000000-0005-0000-0000-00008C400000}"/>
    <cellStyle name="Normal 12 2 2 2 2 5 2" xfId="30324" xr:uid="{00000000-0005-0000-0000-00008D400000}"/>
    <cellStyle name="Normal 12 2 2 2 2 6" xfId="16556" xr:uid="{00000000-0005-0000-0000-00008E400000}"/>
    <cellStyle name="Normal 12 2 2 2 2 6 2" xfId="36476" xr:uid="{00000000-0005-0000-0000-00008F400000}"/>
    <cellStyle name="Normal 12 2 2 2 2 7" xfId="24171" xr:uid="{00000000-0005-0000-0000-000090400000}"/>
    <cellStyle name="Normal 12 2 2 2 3" xfId="4868" xr:uid="{00000000-0005-0000-0000-000091400000}"/>
    <cellStyle name="Normal 12 2 2 2 3 2" xfId="6493" xr:uid="{00000000-0005-0000-0000-000092400000}"/>
    <cellStyle name="Normal 12 2 2 2 3 2 2" xfId="9579" xr:uid="{00000000-0005-0000-0000-000093400000}"/>
    <cellStyle name="Normal 12 2 2 2 3 2 2 2" xfId="15772" xr:uid="{00000000-0005-0000-0000-000094400000}"/>
    <cellStyle name="Normal 12 2 2 2 3 2 2 2 2" xfId="35692" xr:uid="{00000000-0005-0000-0000-000095400000}"/>
    <cellStyle name="Normal 12 2 2 2 3 2 2 3" xfId="21924" xr:uid="{00000000-0005-0000-0000-000096400000}"/>
    <cellStyle name="Normal 12 2 2 2 3 2 2 3 2" xfId="41844" xr:uid="{00000000-0005-0000-0000-000097400000}"/>
    <cellStyle name="Normal 12 2 2 2 3 2 2 4" xfId="29539" xr:uid="{00000000-0005-0000-0000-000098400000}"/>
    <cellStyle name="Normal 12 2 2 2 3 2 3" xfId="12706" xr:uid="{00000000-0005-0000-0000-000099400000}"/>
    <cellStyle name="Normal 12 2 2 2 3 2 3 2" xfId="32626" xr:uid="{00000000-0005-0000-0000-00009A400000}"/>
    <cellStyle name="Normal 12 2 2 2 3 2 4" xfId="18858" xr:uid="{00000000-0005-0000-0000-00009B400000}"/>
    <cellStyle name="Normal 12 2 2 2 3 2 4 2" xfId="38778" xr:uid="{00000000-0005-0000-0000-00009C400000}"/>
    <cellStyle name="Normal 12 2 2 2 3 2 5" xfId="26473" xr:uid="{00000000-0005-0000-0000-00009D400000}"/>
    <cellStyle name="Normal 12 2 2 2 3 3" xfId="8044" xr:uid="{00000000-0005-0000-0000-00009E400000}"/>
    <cellStyle name="Normal 12 2 2 2 3 3 2" xfId="14238" xr:uid="{00000000-0005-0000-0000-00009F400000}"/>
    <cellStyle name="Normal 12 2 2 2 3 3 2 2" xfId="34158" xr:uid="{00000000-0005-0000-0000-0000A0400000}"/>
    <cellStyle name="Normal 12 2 2 2 3 3 3" xfId="20390" xr:uid="{00000000-0005-0000-0000-0000A1400000}"/>
    <cellStyle name="Normal 12 2 2 2 3 3 3 2" xfId="40310" xr:uid="{00000000-0005-0000-0000-0000A2400000}"/>
    <cellStyle name="Normal 12 2 2 2 3 3 4" xfId="28005" xr:uid="{00000000-0005-0000-0000-0000A3400000}"/>
    <cellStyle name="Normal 12 2 2 2 3 4" xfId="11172" xr:uid="{00000000-0005-0000-0000-0000A4400000}"/>
    <cellStyle name="Normal 12 2 2 2 3 4 2" xfId="31092" xr:uid="{00000000-0005-0000-0000-0000A5400000}"/>
    <cellStyle name="Normal 12 2 2 2 3 5" xfId="17324" xr:uid="{00000000-0005-0000-0000-0000A6400000}"/>
    <cellStyle name="Normal 12 2 2 2 3 5 2" xfId="37244" xr:uid="{00000000-0005-0000-0000-0000A7400000}"/>
    <cellStyle name="Normal 12 2 2 2 3 6" xfId="24939" xr:uid="{00000000-0005-0000-0000-0000A8400000}"/>
    <cellStyle name="Normal 12 2 2 2 4" xfId="5710" xr:uid="{00000000-0005-0000-0000-0000A9400000}"/>
    <cellStyle name="Normal 12 2 2 2 4 2" xfId="8810" xr:uid="{00000000-0005-0000-0000-0000AA400000}"/>
    <cellStyle name="Normal 12 2 2 2 4 2 2" xfId="15003" xr:uid="{00000000-0005-0000-0000-0000AB400000}"/>
    <cellStyle name="Normal 12 2 2 2 4 2 2 2" xfId="34923" xr:uid="{00000000-0005-0000-0000-0000AC400000}"/>
    <cellStyle name="Normal 12 2 2 2 4 2 3" xfId="21155" xr:uid="{00000000-0005-0000-0000-0000AD400000}"/>
    <cellStyle name="Normal 12 2 2 2 4 2 3 2" xfId="41075" xr:uid="{00000000-0005-0000-0000-0000AE400000}"/>
    <cellStyle name="Normal 12 2 2 2 4 2 4" xfId="28770" xr:uid="{00000000-0005-0000-0000-0000AF400000}"/>
    <cellStyle name="Normal 12 2 2 2 4 3" xfId="11937" xr:uid="{00000000-0005-0000-0000-0000B0400000}"/>
    <cellStyle name="Normal 12 2 2 2 4 3 2" xfId="31857" xr:uid="{00000000-0005-0000-0000-0000B1400000}"/>
    <cellStyle name="Normal 12 2 2 2 4 4" xfId="18089" xr:uid="{00000000-0005-0000-0000-0000B2400000}"/>
    <cellStyle name="Normal 12 2 2 2 4 4 2" xfId="38009" xr:uid="{00000000-0005-0000-0000-0000B3400000}"/>
    <cellStyle name="Normal 12 2 2 2 4 5" xfId="25704" xr:uid="{00000000-0005-0000-0000-0000B4400000}"/>
    <cellStyle name="Normal 12 2 2 2 5" xfId="7275" xr:uid="{00000000-0005-0000-0000-0000B5400000}"/>
    <cellStyle name="Normal 12 2 2 2 5 2" xfId="13469" xr:uid="{00000000-0005-0000-0000-0000B6400000}"/>
    <cellStyle name="Normal 12 2 2 2 5 2 2" xfId="33389" xr:uid="{00000000-0005-0000-0000-0000B7400000}"/>
    <cellStyle name="Normal 12 2 2 2 5 3" xfId="19621" xr:uid="{00000000-0005-0000-0000-0000B8400000}"/>
    <cellStyle name="Normal 12 2 2 2 5 3 2" xfId="39541" xr:uid="{00000000-0005-0000-0000-0000B9400000}"/>
    <cellStyle name="Normal 12 2 2 2 5 4" xfId="27236" xr:uid="{00000000-0005-0000-0000-0000BA400000}"/>
    <cellStyle name="Normal 12 2 2 2 6" xfId="10403" xr:uid="{00000000-0005-0000-0000-0000BB400000}"/>
    <cellStyle name="Normal 12 2 2 2 6 2" xfId="30323" xr:uid="{00000000-0005-0000-0000-0000BC400000}"/>
    <cellStyle name="Normal 12 2 2 2 7" xfId="16555" xr:uid="{00000000-0005-0000-0000-0000BD400000}"/>
    <cellStyle name="Normal 12 2 2 2 7 2" xfId="36475" xr:uid="{00000000-0005-0000-0000-0000BE400000}"/>
    <cellStyle name="Normal 12 2 2 2 8" xfId="24170" xr:uid="{00000000-0005-0000-0000-0000BF400000}"/>
    <cellStyle name="Normal 12 2 2 3" xfId="3340" xr:uid="{00000000-0005-0000-0000-0000C0400000}"/>
    <cellStyle name="Normal 12 2 2 3 2" xfId="3341" xr:uid="{00000000-0005-0000-0000-0000C1400000}"/>
    <cellStyle name="Normal 12 2 2 3 2 2" xfId="4871" xr:uid="{00000000-0005-0000-0000-0000C2400000}"/>
    <cellStyle name="Normal 12 2 2 3 2 2 2" xfId="6496" xr:uid="{00000000-0005-0000-0000-0000C3400000}"/>
    <cellStyle name="Normal 12 2 2 3 2 2 2 2" xfId="9582" xr:uid="{00000000-0005-0000-0000-0000C4400000}"/>
    <cellStyle name="Normal 12 2 2 3 2 2 2 2 2" xfId="15775" xr:uid="{00000000-0005-0000-0000-0000C5400000}"/>
    <cellStyle name="Normal 12 2 2 3 2 2 2 2 2 2" xfId="35695" xr:uid="{00000000-0005-0000-0000-0000C6400000}"/>
    <cellStyle name="Normal 12 2 2 3 2 2 2 2 3" xfId="21927" xr:uid="{00000000-0005-0000-0000-0000C7400000}"/>
    <cellStyle name="Normal 12 2 2 3 2 2 2 2 3 2" xfId="41847" xr:uid="{00000000-0005-0000-0000-0000C8400000}"/>
    <cellStyle name="Normal 12 2 2 3 2 2 2 2 4" xfId="29542" xr:uid="{00000000-0005-0000-0000-0000C9400000}"/>
    <cellStyle name="Normal 12 2 2 3 2 2 2 3" xfId="12709" xr:uid="{00000000-0005-0000-0000-0000CA400000}"/>
    <cellStyle name="Normal 12 2 2 3 2 2 2 3 2" xfId="32629" xr:uid="{00000000-0005-0000-0000-0000CB400000}"/>
    <cellStyle name="Normal 12 2 2 3 2 2 2 4" xfId="18861" xr:uid="{00000000-0005-0000-0000-0000CC400000}"/>
    <cellStyle name="Normal 12 2 2 3 2 2 2 4 2" xfId="38781" xr:uid="{00000000-0005-0000-0000-0000CD400000}"/>
    <cellStyle name="Normal 12 2 2 3 2 2 2 5" xfId="26476" xr:uid="{00000000-0005-0000-0000-0000CE400000}"/>
    <cellStyle name="Normal 12 2 2 3 2 2 3" xfId="8047" xr:uid="{00000000-0005-0000-0000-0000CF400000}"/>
    <cellStyle name="Normal 12 2 2 3 2 2 3 2" xfId="14241" xr:uid="{00000000-0005-0000-0000-0000D0400000}"/>
    <cellStyle name="Normal 12 2 2 3 2 2 3 2 2" xfId="34161" xr:uid="{00000000-0005-0000-0000-0000D1400000}"/>
    <cellStyle name="Normal 12 2 2 3 2 2 3 3" xfId="20393" xr:uid="{00000000-0005-0000-0000-0000D2400000}"/>
    <cellStyle name="Normal 12 2 2 3 2 2 3 3 2" xfId="40313" xr:uid="{00000000-0005-0000-0000-0000D3400000}"/>
    <cellStyle name="Normal 12 2 2 3 2 2 3 4" xfId="28008" xr:uid="{00000000-0005-0000-0000-0000D4400000}"/>
    <cellStyle name="Normal 12 2 2 3 2 2 4" xfId="11175" xr:uid="{00000000-0005-0000-0000-0000D5400000}"/>
    <cellStyle name="Normal 12 2 2 3 2 2 4 2" xfId="31095" xr:uid="{00000000-0005-0000-0000-0000D6400000}"/>
    <cellStyle name="Normal 12 2 2 3 2 2 5" xfId="17327" xr:uid="{00000000-0005-0000-0000-0000D7400000}"/>
    <cellStyle name="Normal 12 2 2 3 2 2 5 2" xfId="37247" xr:uid="{00000000-0005-0000-0000-0000D8400000}"/>
    <cellStyle name="Normal 12 2 2 3 2 2 6" xfId="24942" xr:uid="{00000000-0005-0000-0000-0000D9400000}"/>
    <cellStyle name="Normal 12 2 2 3 2 3" xfId="5713" xr:uid="{00000000-0005-0000-0000-0000DA400000}"/>
    <cellStyle name="Normal 12 2 2 3 2 3 2" xfId="8813" xr:uid="{00000000-0005-0000-0000-0000DB400000}"/>
    <cellStyle name="Normal 12 2 2 3 2 3 2 2" xfId="15006" xr:uid="{00000000-0005-0000-0000-0000DC400000}"/>
    <cellStyle name="Normal 12 2 2 3 2 3 2 2 2" xfId="34926" xr:uid="{00000000-0005-0000-0000-0000DD400000}"/>
    <cellStyle name="Normal 12 2 2 3 2 3 2 3" xfId="21158" xr:uid="{00000000-0005-0000-0000-0000DE400000}"/>
    <cellStyle name="Normal 12 2 2 3 2 3 2 3 2" xfId="41078" xr:uid="{00000000-0005-0000-0000-0000DF400000}"/>
    <cellStyle name="Normal 12 2 2 3 2 3 2 4" xfId="28773" xr:uid="{00000000-0005-0000-0000-0000E0400000}"/>
    <cellStyle name="Normal 12 2 2 3 2 3 3" xfId="11940" xr:uid="{00000000-0005-0000-0000-0000E1400000}"/>
    <cellStyle name="Normal 12 2 2 3 2 3 3 2" xfId="31860" xr:uid="{00000000-0005-0000-0000-0000E2400000}"/>
    <cellStyle name="Normal 12 2 2 3 2 3 4" xfId="18092" xr:uid="{00000000-0005-0000-0000-0000E3400000}"/>
    <cellStyle name="Normal 12 2 2 3 2 3 4 2" xfId="38012" xr:uid="{00000000-0005-0000-0000-0000E4400000}"/>
    <cellStyle name="Normal 12 2 2 3 2 3 5" xfId="25707" xr:uid="{00000000-0005-0000-0000-0000E5400000}"/>
    <cellStyle name="Normal 12 2 2 3 2 4" xfId="7278" xr:uid="{00000000-0005-0000-0000-0000E6400000}"/>
    <cellStyle name="Normal 12 2 2 3 2 4 2" xfId="13472" xr:uid="{00000000-0005-0000-0000-0000E7400000}"/>
    <cellStyle name="Normal 12 2 2 3 2 4 2 2" xfId="33392" xr:uid="{00000000-0005-0000-0000-0000E8400000}"/>
    <cellStyle name="Normal 12 2 2 3 2 4 3" xfId="19624" xr:uid="{00000000-0005-0000-0000-0000E9400000}"/>
    <cellStyle name="Normal 12 2 2 3 2 4 3 2" xfId="39544" xr:uid="{00000000-0005-0000-0000-0000EA400000}"/>
    <cellStyle name="Normal 12 2 2 3 2 4 4" xfId="27239" xr:uid="{00000000-0005-0000-0000-0000EB400000}"/>
    <cellStyle name="Normal 12 2 2 3 2 5" xfId="10406" xr:uid="{00000000-0005-0000-0000-0000EC400000}"/>
    <cellStyle name="Normal 12 2 2 3 2 5 2" xfId="30326" xr:uid="{00000000-0005-0000-0000-0000ED400000}"/>
    <cellStyle name="Normal 12 2 2 3 2 6" xfId="16558" xr:uid="{00000000-0005-0000-0000-0000EE400000}"/>
    <cellStyle name="Normal 12 2 2 3 2 6 2" xfId="36478" xr:uid="{00000000-0005-0000-0000-0000EF400000}"/>
    <cellStyle name="Normal 12 2 2 3 2 7" xfId="24173" xr:uid="{00000000-0005-0000-0000-0000F0400000}"/>
    <cellStyle name="Normal 12 2 2 3 3" xfId="4870" xr:uid="{00000000-0005-0000-0000-0000F1400000}"/>
    <cellStyle name="Normal 12 2 2 3 3 2" xfId="6495" xr:uid="{00000000-0005-0000-0000-0000F2400000}"/>
    <cellStyle name="Normal 12 2 2 3 3 2 2" xfId="9581" xr:uid="{00000000-0005-0000-0000-0000F3400000}"/>
    <cellStyle name="Normal 12 2 2 3 3 2 2 2" xfId="15774" xr:uid="{00000000-0005-0000-0000-0000F4400000}"/>
    <cellStyle name="Normal 12 2 2 3 3 2 2 2 2" xfId="35694" xr:uid="{00000000-0005-0000-0000-0000F5400000}"/>
    <cellStyle name="Normal 12 2 2 3 3 2 2 3" xfId="21926" xr:uid="{00000000-0005-0000-0000-0000F6400000}"/>
    <cellStyle name="Normal 12 2 2 3 3 2 2 3 2" xfId="41846" xr:uid="{00000000-0005-0000-0000-0000F7400000}"/>
    <cellStyle name="Normal 12 2 2 3 3 2 2 4" xfId="29541" xr:uid="{00000000-0005-0000-0000-0000F8400000}"/>
    <cellStyle name="Normal 12 2 2 3 3 2 3" xfId="12708" xr:uid="{00000000-0005-0000-0000-0000F9400000}"/>
    <cellStyle name="Normal 12 2 2 3 3 2 3 2" xfId="32628" xr:uid="{00000000-0005-0000-0000-0000FA400000}"/>
    <cellStyle name="Normal 12 2 2 3 3 2 4" xfId="18860" xr:uid="{00000000-0005-0000-0000-0000FB400000}"/>
    <cellStyle name="Normal 12 2 2 3 3 2 4 2" xfId="38780" xr:uid="{00000000-0005-0000-0000-0000FC400000}"/>
    <cellStyle name="Normal 12 2 2 3 3 2 5" xfId="26475" xr:uid="{00000000-0005-0000-0000-0000FD400000}"/>
    <cellStyle name="Normal 12 2 2 3 3 3" xfId="8046" xr:uid="{00000000-0005-0000-0000-0000FE400000}"/>
    <cellStyle name="Normal 12 2 2 3 3 3 2" xfId="14240" xr:uid="{00000000-0005-0000-0000-0000FF400000}"/>
    <cellStyle name="Normal 12 2 2 3 3 3 2 2" xfId="34160" xr:uid="{00000000-0005-0000-0000-000000410000}"/>
    <cellStyle name="Normal 12 2 2 3 3 3 3" xfId="20392" xr:uid="{00000000-0005-0000-0000-000001410000}"/>
    <cellStyle name="Normal 12 2 2 3 3 3 3 2" xfId="40312" xr:uid="{00000000-0005-0000-0000-000002410000}"/>
    <cellStyle name="Normal 12 2 2 3 3 3 4" xfId="28007" xr:uid="{00000000-0005-0000-0000-000003410000}"/>
    <cellStyle name="Normal 12 2 2 3 3 4" xfId="11174" xr:uid="{00000000-0005-0000-0000-000004410000}"/>
    <cellStyle name="Normal 12 2 2 3 3 4 2" xfId="31094" xr:uid="{00000000-0005-0000-0000-000005410000}"/>
    <cellStyle name="Normal 12 2 2 3 3 5" xfId="17326" xr:uid="{00000000-0005-0000-0000-000006410000}"/>
    <cellStyle name="Normal 12 2 2 3 3 5 2" xfId="37246" xr:uid="{00000000-0005-0000-0000-000007410000}"/>
    <cellStyle name="Normal 12 2 2 3 3 6" xfId="24941" xr:uid="{00000000-0005-0000-0000-000008410000}"/>
    <cellStyle name="Normal 12 2 2 3 4" xfId="5712" xr:uid="{00000000-0005-0000-0000-000009410000}"/>
    <cellStyle name="Normal 12 2 2 3 4 2" xfId="8812" xr:uid="{00000000-0005-0000-0000-00000A410000}"/>
    <cellStyle name="Normal 12 2 2 3 4 2 2" xfId="15005" xr:uid="{00000000-0005-0000-0000-00000B410000}"/>
    <cellStyle name="Normal 12 2 2 3 4 2 2 2" xfId="34925" xr:uid="{00000000-0005-0000-0000-00000C410000}"/>
    <cellStyle name="Normal 12 2 2 3 4 2 3" xfId="21157" xr:uid="{00000000-0005-0000-0000-00000D410000}"/>
    <cellStyle name="Normal 12 2 2 3 4 2 3 2" xfId="41077" xr:uid="{00000000-0005-0000-0000-00000E410000}"/>
    <cellStyle name="Normal 12 2 2 3 4 2 4" xfId="28772" xr:uid="{00000000-0005-0000-0000-00000F410000}"/>
    <cellStyle name="Normal 12 2 2 3 4 3" xfId="11939" xr:uid="{00000000-0005-0000-0000-000010410000}"/>
    <cellStyle name="Normal 12 2 2 3 4 3 2" xfId="31859" xr:uid="{00000000-0005-0000-0000-000011410000}"/>
    <cellStyle name="Normal 12 2 2 3 4 4" xfId="18091" xr:uid="{00000000-0005-0000-0000-000012410000}"/>
    <cellStyle name="Normal 12 2 2 3 4 4 2" xfId="38011" xr:uid="{00000000-0005-0000-0000-000013410000}"/>
    <cellStyle name="Normal 12 2 2 3 4 5" xfId="25706" xr:uid="{00000000-0005-0000-0000-000014410000}"/>
    <cellStyle name="Normal 12 2 2 3 5" xfId="7277" xr:uid="{00000000-0005-0000-0000-000015410000}"/>
    <cellStyle name="Normal 12 2 2 3 5 2" xfId="13471" xr:uid="{00000000-0005-0000-0000-000016410000}"/>
    <cellStyle name="Normal 12 2 2 3 5 2 2" xfId="33391" xr:uid="{00000000-0005-0000-0000-000017410000}"/>
    <cellStyle name="Normal 12 2 2 3 5 3" xfId="19623" xr:uid="{00000000-0005-0000-0000-000018410000}"/>
    <cellStyle name="Normal 12 2 2 3 5 3 2" xfId="39543" xr:uid="{00000000-0005-0000-0000-000019410000}"/>
    <cellStyle name="Normal 12 2 2 3 5 4" xfId="27238" xr:uid="{00000000-0005-0000-0000-00001A410000}"/>
    <cellStyle name="Normal 12 2 2 3 6" xfId="10405" xr:uid="{00000000-0005-0000-0000-00001B410000}"/>
    <cellStyle name="Normal 12 2 2 3 6 2" xfId="30325" xr:uid="{00000000-0005-0000-0000-00001C410000}"/>
    <cellStyle name="Normal 12 2 2 3 7" xfId="16557" xr:uid="{00000000-0005-0000-0000-00001D410000}"/>
    <cellStyle name="Normal 12 2 2 3 7 2" xfId="36477" xr:uid="{00000000-0005-0000-0000-00001E410000}"/>
    <cellStyle name="Normal 12 2 2 3 8" xfId="24172" xr:uid="{00000000-0005-0000-0000-00001F410000}"/>
    <cellStyle name="Normal 12 2 2 4" xfId="3342" xr:uid="{00000000-0005-0000-0000-000020410000}"/>
    <cellStyle name="Normal 12 2 2 4 2" xfId="4872" xr:uid="{00000000-0005-0000-0000-000021410000}"/>
    <cellStyle name="Normal 12 2 2 4 2 2" xfId="6497" xr:uid="{00000000-0005-0000-0000-000022410000}"/>
    <cellStyle name="Normal 12 2 2 4 2 2 2" xfId="9583" xr:uid="{00000000-0005-0000-0000-000023410000}"/>
    <cellStyle name="Normal 12 2 2 4 2 2 2 2" xfId="15776" xr:uid="{00000000-0005-0000-0000-000024410000}"/>
    <cellStyle name="Normal 12 2 2 4 2 2 2 2 2" xfId="35696" xr:uid="{00000000-0005-0000-0000-000025410000}"/>
    <cellStyle name="Normal 12 2 2 4 2 2 2 3" xfId="21928" xr:uid="{00000000-0005-0000-0000-000026410000}"/>
    <cellStyle name="Normal 12 2 2 4 2 2 2 3 2" xfId="41848" xr:uid="{00000000-0005-0000-0000-000027410000}"/>
    <cellStyle name="Normal 12 2 2 4 2 2 2 4" xfId="29543" xr:uid="{00000000-0005-0000-0000-000028410000}"/>
    <cellStyle name="Normal 12 2 2 4 2 2 3" xfId="12710" xr:uid="{00000000-0005-0000-0000-000029410000}"/>
    <cellStyle name="Normal 12 2 2 4 2 2 3 2" xfId="32630" xr:uid="{00000000-0005-0000-0000-00002A410000}"/>
    <cellStyle name="Normal 12 2 2 4 2 2 4" xfId="18862" xr:uid="{00000000-0005-0000-0000-00002B410000}"/>
    <cellStyle name="Normal 12 2 2 4 2 2 4 2" xfId="38782" xr:uid="{00000000-0005-0000-0000-00002C410000}"/>
    <cellStyle name="Normal 12 2 2 4 2 2 5" xfId="26477" xr:uid="{00000000-0005-0000-0000-00002D410000}"/>
    <cellStyle name="Normal 12 2 2 4 2 3" xfId="8048" xr:uid="{00000000-0005-0000-0000-00002E410000}"/>
    <cellStyle name="Normal 12 2 2 4 2 3 2" xfId="14242" xr:uid="{00000000-0005-0000-0000-00002F410000}"/>
    <cellStyle name="Normal 12 2 2 4 2 3 2 2" xfId="34162" xr:uid="{00000000-0005-0000-0000-000030410000}"/>
    <cellStyle name="Normal 12 2 2 4 2 3 3" xfId="20394" xr:uid="{00000000-0005-0000-0000-000031410000}"/>
    <cellStyle name="Normal 12 2 2 4 2 3 3 2" xfId="40314" xr:uid="{00000000-0005-0000-0000-000032410000}"/>
    <cellStyle name="Normal 12 2 2 4 2 3 4" xfId="28009" xr:uid="{00000000-0005-0000-0000-000033410000}"/>
    <cellStyle name="Normal 12 2 2 4 2 4" xfId="11176" xr:uid="{00000000-0005-0000-0000-000034410000}"/>
    <cellStyle name="Normal 12 2 2 4 2 4 2" xfId="31096" xr:uid="{00000000-0005-0000-0000-000035410000}"/>
    <cellStyle name="Normal 12 2 2 4 2 5" xfId="17328" xr:uid="{00000000-0005-0000-0000-000036410000}"/>
    <cellStyle name="Normal 12 2 2 4 2 5 2" xfId="37248" xr:uid="{00000000-0005-0000-0000-000037410000}"/>
    <cellStyle name="Normal 12 2 2 4 2 6" xfId="24943" xr:uid="{00000000-0005-0000-0000-000038410000}"/>
    <cellStyle name="Normal 12 2 2 4 3" xfId="5714" xr:uid="{00000000-0005-0000-0000-000039410000}"/>
    <cellStyle name="Normal 12 2 2 4 3 2" xfId="8814" xr:uid="{00000000-0005-0000-0000-00003A410000}"/>
    <cellStyle name="Normal 12 2 2 4 3 2 2" xfId="15007" xr:uid="{00000000-0005-0000-0000-00003B410000}"/>
    <cellStyle name="Normal 12 2 2 4 3 2 2 2" xfId="34927" xr:uid="{00000000-0005-0000-0000-00003C410000}"/>
    <cellStyle name="Normal 12 2 2 4 3 2 3" xfId="21159" xr:uid="{00000000-0005-0000-0000-00003D410000}"/>
    <cellStyle name="Normal 12 2 2 4 3 2 3 2" xfId="41079" xr:uid="{00000000-0005-0000-0000-00003E410000}"/>
    <cellStyle name="Normal 12 2 2 4 3 2 4" xfId="28774" xr:uid="{00000000-0005-0000-0000-00003F410000}"/>
    <cellStyle name="Normal 12 2 2 4 3 3" xfId="11941" xr:uid="{00000000-0005-0000-0000-000040410000}"/>
    <cellStyle name="Normal 12 2 2 4 3 3 2" xfId="31861" xr:uid="{00000000-0005-0000-0000-000041410000}"/>
    <cellStyle name="Normal 12 2 2 4 3 4" xfId="18093" xr:uid="{00000000-0005-0000-0000-000042410000}"/>
    <cellStyle name="Normal 12 2 2 4 3 4 2" xfId="38013" xr:uid="{00000000-0005-0000-0000-000043410000}"/>
    <cellStyle name="Normal 12 2 2 4 3 5" xfId="25708" xr:uid="{00000000-0005-0000-0000-000044410000}"/>
    <cellStyle name="Normal 12 2 2 4 4" xfId="7279" xr:uid="{00000000-0005-0000-0000-000045410000}"/>
    <cellStyle name="Normal 12 2 2 4 4 2" xfId="13473" xr:uid="{00000000-0005-0000-0000-000046410000}"/>
    <cellStyle name="Normal 12 2 2 4 4 2 2" xfId="33393" xr:uid="{00000000-0005-0000-0000-000047410000}"/>
    <cellStyle name="Normal 12 2 2 4 4 3" xfId="19625" xr:uid="{00000000-0005-0000-0000-000048410000}"/>
    <cellStyle name="Normal 12 2 2 4 4 3 2" xfId="39545" xr:uid="{00000000-0005-0000-0000-000049410000}"/>
    <cellStyle name="Normal 12 2 2 4 4 4" xfId="27240" xr:uid="{00000000-0005-0000-0000-00004A410000}"/>
    <cellStyle name="Normal 12 2 2 4 5" xfId="10407" xr:uid="{00000000-0005-0000-0000-00004B410000}"/>
    <cellStyle name="Normal 12 2 2 4 5 2" xfId="30327" xr:uid="{00000000-0005-0000-0000-00004C410000}"/>
    <cellStyle name="Normal 12 2 2 4 6" xfId="16559" xr:uid="{00000000-0005-0000-0000-00004D410000}"/>
    <cellStyle name="Normal 12 2 2 4 6 2" xfId="36479" xr:uid="{00000000-0005-0000-0000-00004E410000}"/>
    <cellStyle name="Normal 12 2 2 4 7" xfId="24174" xr:uid="{00000000-0005-0000-0000-00004F410000}"/>
    <cellStyle name="Normal 12 2 2 5" xfId="4867" xr:uid="{00000000-0005-0000-0000-000050410000}"/>
    <cellStyle name="Normal 12 2 2 5 2" xfId="6492" xr:uid="{00000000-0005-0000-0000-000051410000}"/>
    <cellStyle name="Normal 12 2 2 5 2 2" xfId="9578" xr:uid="{00000000-0005-0000-0000-000052410000}"/>
    <cellStyle name="Normal 12 2 2 5 2 2 2" xfId="15771" xr:uid="{00000000-0005-0000-0000-000053410000}"/>
    <cellStyle name="Normal 12 2 2 5 2 2 2 2" xfId="35691" xr:uid="{00000000-0005-0000-0000-000054410000}"/>
    <cellStyle name="Normal 12 2 2 5 2 2 3" xfId="21923" xr:uid="{00000000-0005-0000-0000-000055410000}"/>
    <cellStyle name="Normal 12 2 2 5 2 2 3 2" xfId="41843" xr:uid="{00000000-0005-0000-0000-000056410000}"/>
    <cellStyle name="Normal 12 2 2 5 2 2 4" xfId="29538" xr:uid="{00000000-0005-0000-0000-000057410000}"/>
    <cellStyle name="Normal 12 2 2 5 2 3" xfId="12705" xr:uid="{00000000-0005-0000-0000-000058410000}"/>
    <cellStyle name="Normal 12 2 2 5 2 3 2" xfId="32625" xr:uid="{00000000-0005-0000-0000-000059410000}"/>
    <cellStyle name="Normal 12 2 2 5 2 4" xfId="18857" xr:uid="{00000000-0005-0000-0000-00005A410000}"/>
    <cellStyle name="Normal 12 2 2 5 2 4 2" xfId="38777" xr:uid="{00000000-0005-0000-0000-00005B410000}"/>
    <cellStyle name="Normal 12 2 2 5 2 5" xfId="26472" xr:uid="{00000000-0005-0000-0000-00005C410000}"/>
    <cellStyle name="Normal 12 2 2 5 3" xfId="8043" xr:uid="{00000000-0005-0000-0000-00005D410000}"/>
    <cellStyle name="Normal 12 2 2 5 3 2" xfId="14237" xr:uid="{00000000-0005-0000-0000-00005E410000}"/>
    <cellStyle name="Normal 12 2 2 5 3 2 2" xfId="34157" xr:uid="{00000000-0005-0000-0000-00005F410000}"/>
    <cellStyle name="Normal 12 2 2 5 3 3" xfId="20389" xr:uid="{00000000-0005-0000-0000-000060410000}"/>
    <cellStyle name="Normal 12 2 2 5 3 3 2" xfId="40309" xr:uid="{00000000-0005-0000-0000-000061410000}"/>
    <cellStyle name="Normal 12 2 2 5 3 4" xfId="28004" xr:uid="{00000000-0005-0000-0000-000062410000}"/>
    <cellStyle name="Normal 12 2 2 5 4" xfId="11171" xr:uid="{00000000-0005-0000-0000-000063410000}"/>
    <cellStyle name="Normal 12 2 2 5 4 2" xfId="31091" xr:uid="{00000000-0005-0000-0000-000064410000}"/>
    <cellStyle name="Normal 12 2 2 5 5" xfId="17323" xr:uid="{00000000-0005-0000-0000-000065410000}"/>
    <cellStyle name="Normal 12 2 2 5 5 2" xfId="37243" xr:uid="{00000000-0005-0000-0000-000066410000}"/>
    <cellStyle name="Normal 12 2 2 5 6" xfId="24938" xr:uid="{00000000-0005-0000-0000-000067410000}"/>
    <cellStyle name="Normal 12 2 2 6" xfId="5709" xr:uid="{00000000-0005-0000-0000-000068410000}"/>
    <cellStyle name="Normal 12 2 2 6 2" xfId="8809" xr:uid="{00000000-0005-0000-0000-000069410000}"/>
    <cellStyle name="Normal 12 2 2 6 2 2" xfId="15002" xr:uid="{00000000-0005-0000-0000-00006A410000}"/>
    <cellStyle name="Normal 12 2 2 6 2 2 2" xfId="34922" xr:uid="{00000000-0005-0000-0000-00006B410000}"/>
    <cellStyle name="Normal 12 2 2 6 2 3" xfId="21154" xr:uid="{00000000-0005-0000-0000-00006C410000}"/>
    <cellStyle name="Normal 12 2 2 6 2 3 2" xfId="41074" xr:uid="{00000000-0005-0000-0000-00006D410000}"/>
    <cellStyle name="Normal 12 2 2 6 2 4" xfId="28769" xr:uid="{00000000-0005-0000-0000-00006E410000}"/>
    <cellStyle name="Normal 12 2 2 6 3" xfId="11936" xr:uid="{00000000-0005-0000-0000-00006F410000}"/>
    <cellStyle name="Normal 12 2 2 6 3 2" xfId="31856" xr:uid="{00000000-0005-0000-0000-000070410000}"/>
    <cellStyle name="Normal 12 2 2 6 4" xfId="18088" xr:uid="{00000000-0005-0000-0000-000071410000}"/>
    <cellStyle name="Normal 12 2 2 6 4 2" xfId="38008" xr:uid="{00000000-0005-0000-0000-000072410000}"/>
    <cellStyle name="Normal 12 2 2 6 5" xfId="25703" xr:uid="{00000000-0005-0000-0000-000073410000}"/>
    <cellStyle name="Normal 12 2 2 7" xfId="7274" xr:uid="{00000000-0005-0000-0000-000074410000}"/>
    <cellStyle name="Normal 12 2 2 7 2" xfId="13468" xr:uid="{00000000-0005-0000-0000-000075410000}"/>
    <cellStyle name="Normal 12 2 2 7 2 2" xfId="33388" xr:uid="{00000000-0005-0000-0000-000076410000}"/>
    <cellStyle name="Normal 12 2 2 7 3" xfId="19620" xr:uid="{00000000-0005-0000-0000-000077410000}"/>
    <cellStyle name="Normal 12 2 2 7 3 2" xfId="39540" xr:uid="{00000000-0005-0000-0000-000078410000}"/>
    <cellStyle name="Normal 12 2 2 7 4" xfId="27235" xr:uid="{00000000-0005-0000-0000-000079410000}"/>
    <cellStyle name="Normal 12 2 2 8" xfId="10402" xr:uid="{00000000-0005-0000-0000-00007A410000}"/>
    <cellStyle name="Normal 12 2 2 8 2" xfId="30322" xr:uid="{00000000-0005-0000-0000-00007B410000}"/>
    <cellStyle name="Normal 12 2 2 9" xfId="16554" xr:uid="{00000000-0005-0000-0000-00007C410000}"/>
    <cellStyle name="Normal 12 2 2 9 2" xfId="36474" xr:uid="{00000000-0005-0000-0000-00007D410000}"/>
    <cellStyle name="Normal 12 2 3" xfId="3343" xr:uid="{00000000-0005-0000-0000-00007E410000}"/>
    <cellStyle name="Normal 12 2 3 2" xfId="3344" xr:uid="{00000000-0005-0000-0000-00007F410000}"/>
    <cellStyle name="Normal 12 2 3 2 2" xfId="4874" xr:uid="{00000000-0005-0000-0000-000080410000}"/>
    <cellStyle name="Normal 12 2 3 2 2 2" xfId="6499" xr:uid="{00000000-0005-0000-0000-000081410000}"/>
    <cellStyle name="Normal 12 2 3 2 2 2 2" xfId="9585" xr:uid="{00000000-0005-0000-0000-000082410000}"/>
    <cellStyle name="Normal 12 2 3 2 2 2 2 2" xfId="15778" xr:uid="{00000000-0005-0000-0000-000083410000}"/>
    <cellStyle name="Normal 12 2 3 2 2 2 2 2 2" xfId="35698" xr:uid="{00000000-0005-0000-0000-000084410000}"/>
    <cellStyle name="Normal 12 2 3 2 2 2 2 3" xfId="21930" xr:uid="{00000000-0005-0000-0000-000085410000}"/>
    <cellStyle name="Normal 12 2 3 2 2 2 2 3 2" xfId="41850" xr:uid="{00000000-0005-0000-0000-000086410000}"/>
    <cellStyle name="Normal 12 2 3 2 2 2 2 4" xfId="29545" xr:uid="{00000000-0005-0000-0000-000087410000}"/>
    <cellStyle name="Normal 12 2 3 2 2 2 3" xfId="12712" xr:uid="{00000000-0005-0000-0000-000088410000}"/>
    <cellStyle name="Normal 12 2 3 2 2 2 3 2" xfId="32632" xr:uid="{00000000-0005-0000-0000-000089410000}"/>
    <cellStyle name="Normal 12 2 3 2 2 2 4" xfId="18864" xr:uid="{00000000-0005-0000-0000-00008A410000}"/>
    <cellStyle name="Normal 12 2 3 2 2 2 4 2" xfId="38784" xr:uid="{00000000-0005-0000-0000-00008B410000}"/>
    <cellStyle name="Normal 12 2 3 2 2 2 5" xfId="26479" xr:uid="{00000000-0005-0000-0000-00008C410000}"/>
    <cellStyle name="Normal 12 2 3 2 2 3" xfId="8050" xr:uid="{00000000-0005-0000-0000-00008D410000}"/>
    <cellStyle name="Normal 12 2 3 2 2 3 2" xfId="14244" xr:uid="{00000000-0005-0000-0000-00008E410000}"/>
    <cellStyle name="Normal 12 2 3 2 2 3 2 2" xfId="34164" xr:uid="{00000000-0005-0000-0000-00008F410000}"/>
    <cellStyle name="Normal 12 2 3 2 2 3 3" xfId="20396" xr:uid="{00000000-0005-0000-0000-000090410000}"/>
    <cellStyle name="Normal 12 2 3 2 2 3 3 2" xfId="40316" xr:uid="{00000000-0005-0000-0000-000091410000}"/>
    <cellStyle name="Normal 12 2 3 2 2 3 4" xfId="28011" xr:uid="{00000000-0005-0000-0000-000092410000}"/>
    <cellStyle name="Normal 12 2 3 2 2 4" xfId="11178" xr:uid="{00000000-0005-0000-0000-000093410000}"/>
    <cellStyle name="Normal 12 2 3 2 2 4 2" xfId="31098" xr:uid="{00000000-0005-0000-0000-000094410000}"/>
    <cellStyle name="Normal 12 2 3 2 2 5" xfId="17330" xr:uid="{00000000-0005-0000-0000-000095410000}"/>
    <cellStyle name="Normal 12 2 3 2 2 5 2" xfId="37250" xr:uid="{00000000-0005-0000-0000-000096410000}"/>
    <cellStyle name="Normal 12 2 3 2 2 6" xfId="24945" xr:uid="{00000000-0005-0000-0000-000097410000}"/>
    <cellStyle name="Normal 12 2 3 2 3" xfId="5716" xr:uid="{00000000-0005-0000-0000-000098410000}"/>
    <cellStyle name="Normal 12 2 3 2 3 2" xfId="8816" xr:uid="{00000000-0005-0000-0000-000099410000}"/>
    <cellStyle name="Normal 12 2 3 2 3 2 2" xfId="15009" xr:uid="{00000000-0005-0000-0000-00009A410000}"/>
    <cellStyle name="Normal 12 2 3 2 3 2 2 2" xfId="34929" xr:uid="{00000000-0005-0000-0000-00009B410000}"/>
    <cellStyle name="Normal 12 2 3 2 3 2 3" xfId="21161" xr:uid="{00000000-0005-0000-0000-00009C410000}"/>
    <cellStyle name="Normal 12 2 3 2 3 2 3 2" xfId="41081" xr:uid="{00000000-0005-0000-0000-00009D410000}"/>
    <cellStyle name="Normal 12 2 3 2 3 2 4" xfId="28776" xr:uid="{00000000-0005-0000-0000-00009E410000}"/>
    <cellStyle name="Normal 12 2 3 2 3 3" xfId="11943" xr:uid="{00000000-0005-0000-0000-00009F410000}"/>
    <cellStyle name="Normal 12 2 3 2 3 3 2" xfId="31863" xr:uid="{00000000-0005-0000-0000-0000A0410000}"/>
    <cellStyle name="Normal 12 2 3 2 3 4" xfId="18095" xr:uid="{00000000-0005-0000-0000-0000A1410000}"/>
    <cellStyle name="Normal 12 2 3 2 3 4 2" xfId="38015" xr:uid="{00000000-0005-0000-0000-0000A2410000}"/>
    <cellStyle name="Normal 12 2 3 2 3 5" xfId="25710" xr:uid="{00000000-0005-0000-0000-0000A3410000}"/>
    <cellStyle name="Normal 12 2 3 2 4" xfId="7281" xr:uid="{00000000-0005-0000-0000-0000A4410000}"/>
    <cellStyle name="Normal 12 2 3 2 4 2" xfId="13475" xr:uid="{00000000-0005-0000-0000-0000A5410000}"/>
    <cellStyle name="Normal 12 2 3 2 4 2 2" xfId="33395" xr:uid="{00000000-0005-0000-0000-0000A6410000}"/>
    <cellStyle name="Normal 12 2 3 2 4 3" xfId="19627" xr:uid="{00000000-0005-0000-0000-0000A7410000}"/>
    <cellStyle name="Normal 12 2 3 2 4 3 2" xfId="39547" xr:uid="{00000000-0005-0000-0000-0000A8410000}"/>
    <cellStyle name="Normal 12 2 3 2 4 4" xfId="27242" xr:uid="{00000000-0005-0000-0000-0000A9410000}"/>
    <cellStyle name="Normal 12 2 3 2 5" xfId="10409" xr:uid="{00000000-0005-0000-0000-0000AA410000}"/>
    <cellStyle name="Normal 12 2 3 2 5 2" xfId="30329" xr:uid="{00000000-0005-0000-0000-0000AB410000}"/>
    <cellStyle name="Normal 12 2 3 2 6" xfId="16561" xr:uid="{00000000-0005-0000-0000-0000AC410000}"/>
    <cellStyle name="Normal 12 2 3 2 6 2" xfId="36481" xr:uid="{00000000-0005-0000-0000-0000AD410000}"/>
    <cellStyle name="Normal 12 2 3 2 7" xfId="24176" xr:uid="{00000000-0005-0000-0000-0000AE410000}"/>
    <cellStyle name="Normal 12 2 3 3" xfId="4873" xr:uid="{00000000-0005-0000-0000-0000AF410000}"/>
    <cellStyle name="Normal 12 2 3 3 2" xfId="6498" xr:uid="{00000000-0005-0000-0000-0000B0410000}"/>
    <cellStyle name="Normal 12 2 3 3 2 2" xfId="9584" xr:uid="{00000000-0005-0000-0000-0000B1410000}"/>
    <cellStyle name="Normal 12 2 3 3 2 2 2" xfId="15777" xr:uid="{00000000-0005-0000-0000-0000B2410000}"/>
    <cellStyle name="Normal 12 2 3 3 2 2 2 2" xfId="35697" xr:uid="{00000000-0005-0000-0000-0000B3410000}"/>
    <cellStyle name="Normal 12 2 3 3 2 2 3" xfId="21929" xr:uid="{00000000-0005-0000-0000-0000B4410000}"/>
    <cellStyle name="Normal 12 2 3 3 2 2 3 2" xfId="41849" xr:uid="{00000000-0005-0000-0000-0000B5410000}"/>
    <cellStyle name="Normal 12 2 3 3 2 2 4" xfId="29544" xr:uid="{00000000-0005-0000-0000-0000B6410000}"/>
    <cellStyle name="Normal 12 2 3 3 2 3" xfId="12711" xr:uid="{00000000-0005-0000-0000-0000B7410000}"/>
    <cellStyle name="Normal 12 2 3 3 2 3 2" xfId="32631" xr:uid="{00000000-0005-0000-0000-0000B8410000}"/>
    <cellStyle name="Normal 12 2 3 3 2 4" xfId="18863" xr:uid="{00000000-0005-0000-0000-0000B9410000}"/>
    <cellStyle name="Normal 12 2 3 3 2 4 2" xfId="38783" xr:uid="{00000000-0005-0000-0000-0000BA410000}"/>
    <cellStyle name="Normal 12 2 3 3 2 5" xfId="26478" xr:uid="{00000000-0005-0000-0000-0000BB410000}"/>
    <cellStyle name="Normal 12 2 3 3 3" xfId="8049" xr:uid="{00000000-0005-0000-0000-0000BC410000}"/>
    <cellStyle name="Normal 12 2 3 3 3 2" xfId="14243" xr:uid="{00000000-0005-0000-0000-0000BD410000}"/>
    <cellStyle name="Normal 12 2 3 3 3 2 2" xfId="34163" xr:uid="{00000000-0005-0000-0000-0000BE410000}"/>
    <cellStyle name="Normal 12 2 3 3 3 3" xfId="20395" xr:uid="{00000000-0005-0000-0000-0000BF410000}"/>
    <cellStyle name="Normal 12 2 3 3 3 3 2" xfId="40315" xr:uid="{00000000-0005-0000-0000-0000C0410000}"/>
    <cellStyle name="Normal 12 2 3 3 3 4" xfId="28010" xr:uid="{00000000-0005-0000-0000-0000C1410000}"/>
    <cellStyle name="Normal 12 2 3 3 4" xfId="11177" xr:uid="{00000000-0005-0000-0000-0000C2410000}"/>
    <cellStyle name="Normal 12 2 3 3 4 2" xfId="31097" xr:uid="{00000000-0005-0000-0000-0000C3410000}"/>
    <cellStyle name="Normal 12 2 3 3 5" xfId="17329" xr:uid="{00000000-0005-0000-0000-0000C4410000}"/>
    <cellStyle name="Normal 12 2 3 3 5 2" xfId="37249" xr:uid="{00000000-0005-0000-0000-0000C5410000}"/>
    <cellStyle name="Normal 12 2 3 3 6" xfId="24944" xr:uid="{00000000-0005-0000-0000-0000C6410000}"/>
    <cellStyle name="Normal 12 2 3 4" xfId="5715" xr:uid="{00000000-0005-0000-0000-0000C7410000}"/>
    <cellStyle name="Normal 12 2 3 4 2" xfId="8815" xr:uid="{00000000-0005-0000-0000-0000C8410000}"/>
    <cellStyle name="Normal 12 2 3 4 2 2" xfId="15008" xr:uid="{00000000-0005-0000-0000-0000C9410000}"/>
    <cellStyle name="Normal 12 2 3 4 2 2 2" xfId="34928" xr:uid="{00000000-0005-0000-0000-0000CA410000}"/>
    <cellStyle name="Normal 12 2 3 4 2 3" xfId="21160" xr:uid="{00000000-0005-0000-0000-0000CB410000}"/>
    <cellStyle name="Normal 12 2 3 4 2 3 2" xfId="41080" xr:uid="{00000000-0005-0000-0000-0000CC410000}"/>
    <cellStyle name="Normal 12 2 3 4 2 4" xfId="28775" xr:uid="{00000000-0005-0000-0000-0000CD410000}"/>
    <cellStyle name="Normal 12 2 3 4 3" xfId="11942" xr:uid="{00000000-0005-0000-0000-0000CE410000}"/>
    <cellStyle name="Normal 12 2 3 4 3 2" xfId="31862" xr:uid="{00000000-0005-0000-0000-0000CF410000}"/>
    <cellStyle name="Normal 12 2 3 4 4" xfId="18094" xr:uid="{00000000-0005-0000-0000-0000D0410000}"/>
    <cellStyle name="Normal 12 2 3 4 4 2" xfId="38014" xr:uid="{00000000-0005-0000-0000-0000D1410000}"/>
    <cellStyle name="Normal 12 2 3 4 5" xfId="25709" xr:uid="{00000000-0005-0000-0000-0000D2410000}"/>
    <cellStyle name="Normal 12 2 3 5" xfId="7280" xr:uid="{00000000-0005-0000-0000-0000D3410000}"/>
    <cellStyle name="Normal 12 2 3 5 2" xfId="13474" xr:uid="{00000000-0005-0000-0000-0000D4410000}"/>
    <cellStyle name="Normal 12 2 3 5 2 2" xfId="33394" xr:uid="{00000000-0005-0000-0000-0000D5410000}"/>
    <cellStyle name="Normal 12 2 3 5 3" xfId="19626" xr:uid="{00000000-0005-0000-0000-0000D6410000}"/>
    <cellStyle name="Normal 12 2 3 5 3 2" xfId="39546" xr:uid="{00000000-0005-0000-0000-0000D7410000}"/>
    <cellStyle name="Normal 12 2 3 5 4" xfId="27241" xr:uid="{00000000-0005-0000-0000-0000D8410000}"/>
    <cellStyle name="Normal 12 2 3 6" xfId="10408" xr:uid="{00000000-0005-0000-0000-0000D9410000}"/>
    <cellStyle name="Normal 12 2 3 6 2" xfId="30328" xr:uid="{00000000-0005-0000-0000-0000DA410000}"/>
    <cellStyle name="Normal 12 2 3 7" xfId="16560" xr:uid="{00000000-0005-0000-0000-0000DB410000}"/>
    <cellStyle name="Normal 12 2 3 7 2" xfId="36480" xr:uid="{00000000-0005-0000-0000-0000DC410000}"/>
    <cellStyle name="Normal 12 2 3 8" xfId="24175" xr:uid="{00000000-0005-0000-0000-0000DD410000}"/>
    <cellStyle name="Normal 12 2 4" xfId="3345" xr:uid="{00000000-0005-0000-0000-0000DE410000}"/>
    <cellStyle name="Normal 12 2 4 2" xfId="3346" xr:uid="{00000000-0005-0000-0000-0000DF410000}"/>
    <cellStyle name="Normal 12 2 4 2 2" xfId="4876" xr:uid="{00000000-0005-0000-0000-0000E0410000}"/>
    <cellStyle name="Normal 12 2 4 2 2 2" xfId="6501" xr:uid="{00000000-0005-0000-0000-0000E1410000}"/>
    <cellStyle name="Normal 12 2 4 2 2 2 2" xfId="9587" xr:uid="{00000000-0005-0000-0000-0000E2410000}"/>
    <cellStyle name="Normal 12 2 4 2 2 2 2 2" xfId="15780" xr:uid="{00000000-0005-0000-0000-0000E3410000}"/>
    <cellStyle name="Normal 12 2 4 2 2 2 2 2 2" xfId="35700" xr:uid="{00000000-0005-0000-0000-0000E4410000}"/>
    <cellStyle name="Normal 12 2 4 2 2 2 2 3" xfId="21932" xr:uid="{00000000-0005-0000-0000-0000E5410000}"/>
    <cellStyle name="Normal 12 2 4 2 2 2 2 3 2" xfId="41852" xr:uid="{00000000-0005-0000-0000-0000E6410000}"/>
    <cellStyle name="Normal 12 2 4 2 2 2 2 4" xfId="29547" xr:uid="{00000000-0005-0000-0000-0000E7410000}"/>
    <cellStyle name="Normal 12 2 4 2 2 2 3" xfId="12714" xr:uid="{00000000-0005-0000-0000-0000E8410000}"/>
    <cellStyle name="Normal 12 2 4 2 2 2 3 2" xfId="32634" xr:uid="{00000000-0005-0000-0000-0000E9410000}"/>
    <cellStyle name="Normal 12 2 4 2 2 2 4" xfId="18866" xr:uid="{00000000-0005-0000-0000-0000EA410000}"/>
    <cellStyle name="Normal 12 2 4 2 2 2 4 2" xfId="38786" xr:uid="{00000000-0005-0000-0000-0000EB410000}"/>
    <cellStyle name="Normal 12 2 4 2 2 2 5" xfId="26481" xr:uid="{00000000-0005-0000-0000-0000EC410000}"/>
    <cellStyle name="Normal 12 2 4 2 2 3" xfId="8052" xr:uid="{00000000-0005-0000-0000-0000ED410000}"/>
    <cellStyle name="Normal 12 2 4 2 2 3 2" xfId="14246" xr:uid="{00000000-0005-0000-0000-0000EE410000}"/>
    <cellStyle name="Normal 12 2 4 2 2 3 2 2" xfId="34166" xr:uid="{00000000-0005-0000-0000-0000EF410000}"/>
    <cellStyle name="Normal 12 2 4 2 2 3 3" xfId="20398" xr:uid="{00000000-0005-0000-0000-0000F0410000}"/>
    <cellStyle name="Normal 12 2 4 2 2 3 3 2" xfId="40318" xr:uid="{00000000-0005-0000-0000-0000F1410000}"/>
    <cellStyle name="Normal 12 2 4 2 2 3 4" xfId="28013" xr:uid="{00000000-0005-0000-0000-0000F2410000}"/>
    <cellStyle name="Normal 12 2 4 2 2 4" xfId="11180" xr:uid="{00000000-0005-0000-0000-0000F3410000}"/>
    <cellStyle name="Normal 12 2 4 2 2 4 2" xfId="31100" xr:uid="{00000000-0005-0000-0000-0000F4410000}"/>
    <cellStyle name="Normal 12 2 4 2 2 5" xfId="17332" xr:uid="{00000000-0005-0000-0000-0000F5410000}"/>
    <cellStyle name="Normal 12 2 4 2 2 5 2" xfId="37252" xr:uid="{00000000-0005-0000-0000-0000F6410000}"/>
    <cellStyle name="Normal 12 2 4 2 2 6" xfId="24947" xr:uid="{00000000-0005-0000-0000-0000F7410000}"/>
    <cellStyle name="Normal 12 2 4 2 3" xfId="5718" xr:uid="{00000000-0005-0000-0000-0000F8410000}"/>
    <cellStyle name="Normal 12 2 4 2 3 2" xfId="8818" xr:uid="{00000000-0005-0000-0000-0000F9410000}"/>
    <cellStyle name="Normal 12 2 4 2 3 2 2" xfId="15011" xr:uid="{00000000-0005-0000-0000-0000FA410000}"/>
    <cellStyle name="Normal 12 2 4 2 3 2 2 2" xfId="34931" xr:uid="{00000000-0005-0000-0000-0000FB410000}"/>
    <cellStyle name="Normal 12 2 4 2 3 2 3" xfId="21163" xr:uid="{00000000-0005-0000-0000-0000FC410000}"/>
    <cellStyle name="Normal 12 2 4 2 3 2 3 2" xfId="41083" xr:uid="{00000000-0005-0000-0000-0000FD410000}"/>
    <cellStyle name="Normal 12 2 4 2 3 2 4" xfId="28778" xr:uid="{00000000-0005-0000-0000-0000FE410000}"/>
    <cellStyle name="Normal 12 2 4 2 3 3" xfId="11945" xr:uid="{00000000-0005-0000-0000-0000FF410000}"/>
    <cellStyle name="Normal 12 2 4 2 3 3 2" xfId="31865" xr:uid="{00000000-0005-0000-0000-000000420000}"/>
    <cellStyle name="Normal 12 2 4 2 3 4" xfId="18097" xr:uid="{00000000-0005-0000-0000-000001420000}"/>
    <cellStyle name="Normal 12 2 4 2 3 4 2" xfId="38017" xr:uid="{00000000-0005-0000-0000-000002420000}"/>
    <cellStyle name="Normal 12 2 4 2 3 5" xfId="25712" xr:uid="{00000000-0005-0000-0000-000003420000}"/>
    <cellStyle name="Normal 12 2 4 2 4" xfId="7283" xr:uid="{00000000-0005-0000-0000-000004420000}"/>
    <cellStyle name="Normal 12 2 4 2 4 2" xfId="13477" xr:uid="{00000000-0005-0000-0000-000005420000}"/>
    <cellStyle name="Normal 12 2 4 2 4 2 2" xfId="33397" xr:uid="{00000000-0005-0000-0000-000006420000}"/>
    <cellStyle name="Normal 12 2 4 2 4 3" xfId="19629" xr:uid="{00000000-0005-0000-0000-000007420000}"/>
    <cellStyle name="Normal 12 2 4 2 4 3 2" xfId="39549" xr:uid="{00000000-0005-0000-0000-000008420000}"/>
    <cellStyle name="Normal 12 2 4 2 4 4" xfId="27244" xr:uid="{00000000-0005-0000-0000-000009420000}"/>
    <cellStyle name="Normal 12 2 4 2 5" xfId="10411" xr:uid="{00000000-0005-0000-0000-00000A420000}"/>
    <cellStyle name="Normal 12 2 4 2 5 2" xfId="30331" xr:uid="{00000000-0005-0000-0000-00000B420000}"/>
    <cellStyle name="Normal 12 2 4 2 6" xfId="16563" xr:uid="{00000000-0005-0000-0000-00000C420000}"/>
    <cellStyle name="Normal 12 2 4 2 6 2" xfId="36483" xr:uid="{00000000-0005-0000-0000-00000D420000}"/>
    <cellStyle name="Normal 12 2 4 2 7" xfId="24178" xr:uid="{00000000-0005-0000-0000-00000E420000}"/>
    <cellStyle name="Normal 12 2 4 3" xfId="4875" xr:uid="{00000000-0005-0000-0000-00000F420000}"/>
    <cellStyle name="Normal 12 2 4 3 2" xfId="6500" xr:uid="{00000000-0005-0000-0000-000010420000}"/>
    <cellStyle name="Normal 12 2 4 3 2 2" xfId="9586" xr:uid="{00000000-0005-0000-0000-000011420000}"/>
    <cellStyle name="Normal 12 2 4 3 2 2 2" xfId="15779" xr:uid="{00000000-0005-0000-0000-000012420000}"/>
    <cellStyle name="Normal 12 2 4 3 2 2 2 2" xfId="35699" xr:uid="{00000000-0005-0000-0000-000013420000}"/>
    <cellStyle name="Normal 12 2 4 3 2 2 3" xfId="21931" xr:uid="{00000000-0005-0000-0000-000014420000}"/>
    <cellStyle name="Normal 12 2 4 3 2 2 3 2" xfId="41851" xr:uid="{00000000-0005-0000-0000-000015420000}"/>
    <cellStyle name="Normal 12 2 4 3 2 2 4" xfId="29546" xr:uid="{00000000-0005-0000-0000-000016420000}"/>
    <cellStyle name="Normal 12 2 4 3 2 3" xfId="12713" xr:uid="{00000000-0005-0000-0000-000017420000}"/>
    <cellStyle name="Normal 12 2 4 3 2 3 2" xfId="32633" xr:uid="{00000000-0005-0000-0000-000018420000}"/>
    <cellStyle name="Normal 12 2 4 3 2 4" xfId="18865" xr:uid="{00000000-0005-0000-0000-000019420000}"/>
    <cellStyle name="Normal 12 2 4 3 2 4 2" xfId="38785" xr:uid="{00000000-0005-0000-0000-00001A420000}"/>
    <cellStyle name="Normal 12 2 4 3 2 5" xfId="26480" xr:uid="{00000000-0005-0000-0000-00001B420000}"/>
    <cellStyle name="Normal 12 2 4 3 3" xfId="8051" xr:uid="{00000000-0005-0000-0000-00001C420000}"/>
    <cellStyle name="Normal 12 2 4 3 3 2" xfId="14245" xr:uid="{00000000-0005-0000-0000-00001D420000}"/>
    <cellStyle name="Normal 12 2 4 3 3 2 2" xfId="34165" xr:uid="{00000000-0005-0000-0000-00001E420000}"/>
    <cellStyle name="Normal 12 2 4 3 3 3" xfId="20397" xr:uid="{00000000-0005-0000-0000-00001F420000}"/>
    <cellStyle name="Normal 12 2 4 3 3 3 2" xfId="40317" xr:uid="{00000000-0005-0000-0000-000020420000}"/>
    <cellStyle name="Normal 12 2 4 3 3 4" xfId="28012" xr:uid="{00000000-0005-0000-0000-000021420000}"/>
    <cellStyle name="Normal 12 2 4 3 4" xfId="11179" xr:uid="{00000000-0005-0000-0000-000022420000}"/>
    <cellStyle name="Normal 12 2 4 3 4 2" xfId="31099" xr:uid="{00000000-0005-0000-0000-000023420000}"/>
    <cellStyle name="Normal 12 2 4 3 5" xfId="17331" xr:uid="{00000000-0005-0000-0000-000024420000}"/>
    <cellStyle name="Normal 12 2 4 3 5 2" xfId="37251" xr:uid="{00000000-0005-0000-0000-000025420000}"/>
    <cellStyle name="Normal 12 2 4 3 6" xfId="24946" xr:uid="{00000000-0005-0000-0000-000026420000}"/>
    <cellStyle name="Normal 12 2 4 4" xfId="5717" xr:uid="{00000000-0005-0000-0000-000027420000}"/>
    <cellStyle name="Normal 12 2 4 4 2" xfId="8817" xr:uid="{00000000-0005-0000-0000-000028420000}"/>
    <cellStyle name="Normal 12 2 4 4 2 2" xfId="15010" xr:uid="{00000000-0005-0000-0000-000029420000}"/>
    <cellStyle name="Normal 12 2 4 4 2 2 2" xfId="34930" xr:uid="{00000000-0005-0000-0000-00002A420000}"/>
    <cellStyle name="Normal 12 2 4 4 2 3" xfId="21162" xr:uid="{00000000-0005-0000-0000-00002B420000}"/>
    <cellStyle name="Normal 12 2 4 4 2 3 2" xfId="41082" xr:uid="{00000000-0005-0000-0000-00002C420000}"/>
    <cellStyle name="Normal 12 2 4 4 2 4" xfId="28777" xr:uid="{00000000-0005-0000-0000-00002D420000}"/>
    <cellStyle name="Normal 12 2 4 4 3" xfId="11944" xr:uid="{00000000-0005-0000-0000-00002E420000}"/>
    <cellStyle name="Normal 12 2 4 4 3 2" xfId="31864" xr:uid="{00000000-0005-0000-0000-00002F420000}"/>
    <cellStyle name="Normal 12 2 4 4 4" xfId="18096" xr:uid="{00000000-0005-0000-0000-000030420000}"/>
    <cellStyle name="Normal 12 2 4 4 4 2" xfId="38016" xr:uid="{00000000-0005-0000-0000-000031420000}"/>
    <cellStyle name="Normal 12 2 4 4 5" xfId="25711" xr:uid="{00000000-0005-0000-0000-000032420000}"/>
    <cellStyle name="Normal 12 2 4 5" xfId="7282" xr:uid="{00000000-0005-0000-0000-000033420000}"/>
    <cellStyle name="Normal 12 2 4 5 2" xfId="13476" xr:uid="{00000000-0005-0000-0000-000034420000}"/>
    <cellStyle name="Normal 12 2 4 5 2 2" xfId="33396" xr:uid="{00000000-0005-0000-0000-000035420000}"/>
    <cellStyle name="Normal 12 2 4 5 3" xfId="19628" xr:uid="{00000000-0005-0000-0000-000036420000}"/>
    <cellStyle name="Normal 12 2 4 5 3 2" xfId="39548" xr:uid="{00000000-0005-0000-0000-000037420000}"/>
    <cellStyle name="Normal 12 2 4 5 4" xfId="27243" xr:uid="{00000000-0005-0000-0000-000038420000}"/>
    <cellStyle name="Normal 12 2 4 6" xfId="10410" xr:uid="{00000000-0005-0000-0000-000039420000}"/>
    <cellStyle name="Normal 12 2 4 6 2" xfId="30330" xr:uid="{00000000-0005-0000-0000-00003A420000}"/>
    <cellStyle name="Normal 12 2 4 7" xfId="16562" xr:uid="{00000000-0005-0000-0000-00003B420000}"/>
    <cellStyle name="Normal 12 2 4 7 2" xfId="36482" xr:uid="{00000000-0005-0000-0000-00003C420000}"/>
    <cellStyle name="Normal 12 2 4 8" xfId="24177" xr:uid="{00000000-0005-0000-0000-00003D420000}"/>
    <cellStyle name="Normal 12 2 5" xfId="3347" xr:uid="{00000000-0005-0000-0000-00003E420000}"/>
    <cellStyle name="Normal 12 2 5 2" xfId="3348" xr:uid="{00000000-0005-0000-0000-00003F420000}"/>
    <cellStyle name="Normal 12 2 5 2 2" xfId="4877" xr:uid="{00000000-0005-0000-0000-000040420000}"/>
    <cellStyle name="Normal 12 2 5 2 2 2" xfId="6502" xr:uid="{00000000-0005-0000-0000-000041420000}"/>
    <cellStyle name="Normal 12 2 5 2 2 2 2" xfId="9588" xr:uid="{00000000-0005-0000-0000-000042420000}"/>
    <cellStyle name="Normal 12 2 5 2 2 2 2 2" xfId="15781" xr:uid="{00000000-0005-0000-0000-000043420000}"/>
    <cellStyle name="Normal 12 2 5 2 2 2 2 2 2" xfId="35701" xr:uid="{00000000-0005-0000-0000-000044420000}"/>
    <cellStyle name="Normal 12 2 5 2 2 2 2 3" xfId="21933" xr:uid="{00000000-0005-0000-0000-000045420000}"/>
    <cellStyle name="Normal 12 2 5 2 2 2 2 3 2" xfId="41853" xr:uid="{00000000-0005-0000-0000-000046420000}"/>
    <cellStyle name="Normal 12 2 5 2 2 2 2 4" xfId="29548" xr:uid="{00000000-0005-0000-0000-000047420000}"/>
    <cellStyle name="Normal 12 2 5 2 2 2 3" xfId="12715" xr:uid="{00000000-0005-0000-0000-000048420000}"/>
    <cellStyle name="Normal 12 2 5 2 2 2 3 2" xfId="32635" xr:uid="{00000000-0005-0000-0000-000049420000}"/>
    <cellStyle name="Normal 12 2 5 2 2 2 4" xfId="18867" xr:uid="{00000000-0005-0000-0000-00004A420000}"/>
    <cellStyle name="Normal 12 2 5 2 2 2 4 2" xfId="38787" xr:uid="{00000000-0005-0000-0000-00004B420000}"/>
    <cellStyle name="Normal 12 2 5 2 2 2 5" xfId="26482" xr:uid="{00000000-0005-0000-0000-00004C420000}"/>
    <cellStyle name="Normal 12 2 5 2 2 3" xfId="8053" xr:uid="{00000000-0005-0000-0000-00004D420000}"/>
    <cellStyle name="Normal 12 2 5 2 2 3 2" xfId="14247" xr:uid="{00000000-0005-0000-0000-00004E420000}"/>
    <cellStyle name="Normal 12 2 5 2 2 3 2 2" xfId="34167" xr:uid="{00000000-0005-0000-0000-00004F420000}"/>
    <cellStyle name="Normal 12 2 5 2 2 3 3" xfId="20399" xr:uid="{00000000-0005-0000-0000-000050420000}"/>
    <cellStyle name="Normal 12 2 5 2 2 3 3 2" xfId="40319" xr:uid="{00000000-0005-0000-0000-000051420000}"/>
    <cellStyle name="Normal 12 2 5 2 2 3 4" xfId="28014" xr:uid="{00000000-0005-0000-0000-000052420000}"/>
    <cellStyle name="Normal 12 2 5 2 2 4" xfId="11181" xr:uid="{00000000-0005-0000-0000-000053420000}"/>
    <cellStyle name="Normal 12 2 5 2 2 4 2" xfId="31101" xr:uid="{00000000-0005-0000-0000-000054420000}"/>
    <cellStyle name="Normal 12 2 5 2 2 5" xfId="17333" xr:uid="{00000000-0005-0000-0000-000055420000}"/>
    <cellStyle name="Normal 12 2 5 2 2 5 2" xfId="37253" xr:uid="{00000000-0005-0000-0000-000056420000}"/>
    <cellStyle name="Normal 12 2 5 2 2 6" xfId="24948" xr:uid="{00000000-0005-0000-0000-000057420000}"/>
    <cellStyle name="Normal 12 2 5 2 3" xfId="5719" xr:uid="{00000000-0005-0000-0000-000058420000}"/>
    <cellStyle name="Normal 12 2 5 2 3 2" xfId="8819" xr:uid="{00000000-0005-0000-0000-000059420000}"/>
    <cellStyle name="Normal 12 2 5 2 3 2 2" xfId="15012" xr:uid="{00000000-0005-0000-0000-00005A420000}"/>
    <cellStyle name="Normal 12 2 5 2 3 2 2 2" xfId="34932" xr:uid="{00000000-0005-0000-0000-00005B420000}"/>
    <cellStyle name="Normal 12 2 5 2 3 2 3" xfId="21164" xr:uid="{00000000-0005-0000-0000-00005C420000}"/>
    <cellStyle name="Normal 12 2 5 2 3 2 3 2" xfId="41084" xr:uid="{00000000-0005-0000-0000-00005D420000}"/>
    <cellStyle name="Normal 12 2 5 2 3 2 4" xfId="28779" xr:uid="{00000000-0005-0000-0000-00005E420000}"/>
    <cellStyle name="Normal 12 2 5 2 3 3" xfId="11946" xr:uid="{00000000-0005-0000-0000-00005F420000}"/>
    <cellStyle name="Normal 12 2 5 2 3 3 2" xfId="31866" xr:uid="{00000000-0005-0000-0000-000060420000}"/>
    <cellStyle name="Normal 12 2 5 2 3 4" xfId="18098" xr:uid="{00000000-0005-0000-0000-000061420000}"/>
    <cellStyle name="Normal 12 2 5 2 3 4 2" xfId="38018" xr:uid="{00000000-0005-0000-0000-000062420000}"/>
    <cellStyle name="Normal 12 2 5 2 3 5" xfId="25713" xr:uid="{00000000-0005-0000-0000-000063420000}"/>
    <cellStyle name="Normal 12 2 5 2 4" xfId="7284" xr:uid="{00000000-0005-0000-0000-000064420000}"/>
    <cellStyle name="Normal 12 2 5 2 4 2" xfId="13478" xr:uid="{00000000-0005-0000-0000-000065420000}"/>
    <cellStyle name="Normal 12 2 5 2 4 2 2" xfId="33398" xr:uid="{00000000-0005-0000-0000-000066420000}"/>
    <cellStyle name="Normal 12 2 5 2 4 3" xfId="19630" xr:uid="{00000000-0005-0000-0000-000067420000}"/>
    <cellStyle name="Normal 12 2 5 2 4 3 2" xfId="39550" xr:uid="{00000000-0005-0000-0000-000068420000}"/>
    <cellStyle name="Normal 12 2 5 2 4 4" xfId="27245" xr:uid="{00000000-0005-0000-0000-000069420000}"/>
    <cellStyle name="Normal 12 2 5 2 5" xfId="10412" xr:uid="{00000000-0005-0000-0000-00006A420000}"/>
    <cellStyle name="Normal 12 2 5 2 5 2" xfId="30332" xr:uid="{00000000-0005-0000-0000-00006B420000}"/>
    <cellStyle name="Normal 12 2 5 2 6" xfId="16564" xr:uid="{00000000-0005-0000-0000-00006C420000}"/>
    <cellStyle name="Normal 12 2 5 2 6 2" xfId="36484" xr:uid="{00000000-0005-0000-0000-00006D420000}"/>
    <cellStyle name="Normal 12 2 5 2 7" xfId="24179" xr:uid="{00000000-0005-0000-0000-00006E420000}"/>
    <cellStyle name="Normal 12 2 6" xfId="3349" xr:uid="{00000000-0005-0000-0000-00006F420000}"/>
    <cellStyle name="Normal 12 2 6 2" xfId="4878" xr:uid="{00000000-0005-0000-0000-000070420000}"/>
    <cellStyle name="Normal 12 2 6 2 2" xfId="6503" xr:uid="{00000000-0005-0000-0000-000071420000}"/>
    <cellStyle name="Normal 12 2 6 2 2 2" xfId="9589" xr:uid="{00000000-0005-0000-0000-000072420000}"/>
    <cellStyle name="Normal 12 2 6 2 2 2 2" xfId="15782" xr:uid="{00000000-0005-0000-0000-000073420000}"/>
    <cellStyle name="Normal 12 2 6 2 2 2 2 2" xfId="35702" xr:uid="{00000000-0005-0000-0000-000074420000}"/>
    <cellStyle name="Normal 12 2 6 2 2 2 3" xfId="21934" xr:uid="{00000000-0005-0000-0000-000075420000}"/>
    <cellStyle name="Normal 12 2 6 2 2 2 3 2" xfId="41854" xr:uid="{00000000-0005-0000-0000-000076420000}"/>
    <cellStyle name="Normal 12 2 6 2 2 2 4" xfId="29549" xr:uid="{00000000-0005-0000-0000-000077420000}"/>
    <cellStyle name="Normal 12 2 6 2 2 3" xfId="12716" xr:uid="{00000000-0005-0000-0000-000078420000}"/>
    <cellStyle name="Normal 12 2 6 2 2 3 2" xfId="32636" xr:uid="{00000000-0005-0000-0000-000079420000}"/>
    <cellStyle name="Normal 12 2 6 2 2 4" xfId="18868" xr:uid="{00000000-0005-0000-0000-00007A420000}"/>
    <cellStyle name="Normal 12 2 6 2 2 4 2" xfId="38788" xr:uid="{00000000-0005-0000-0000-00007B420000}"/>
    <cellStyle name="Normal 12 2 6 2 2 5" xfId="26483" xr:uid="{00000000-0005-0000-0000-00007C420000}"/>
    <cellStyle name="Normal 12 2 6 2 3" xfId="8054" xr:uid="{00000000-0005-0000-0000-00007D420000}"/>
    <cellStyle name="Normal 12 2 6 2 3 2" xfId="14248" xr:uid="{00000000-0005-0000-0000-00007E420000}"/>
    <cellStyle name="Normal 12 2 6 2 3 2 2" xfId="34168" xr:uid="{00000000-0005-0000-0000-00007F420000}"/>
    <cellStyle name="Normal 12 2 6 2 3 3" xfId="20400" xr:uid="{00000000-0005-0000-0000-000080420000}"/>
    <cellStyle name="Normal 12 2 6 2 3 3 2" xfId="40320" xr:uid="{00000000-0005-0000-0000-000081420000}"/>
    <cellStyle name="Normal 12 2 6 2 3 4" xfId="28015" xr:uid="{00000000-0005-0000-0000-000082420000}"/>
    <cellStyle name="Normal 12 2 6 2 4" xfId="11182" xr:uid="{00000000-0005-0000-0000-000083420000}"/>
    <cellStyle name="Normal 12 2 6 2 4 2" xfId="31102" xr:uid="{00000000-0005-0000-0000-000084420000}"/>
    <cellStyle name="Normal 12 2 6 2 5" xfId="17334" xr:uid="{00000000-0005-0000-0000-000085420000}"/>
    <cellStyle name="Normal 12 2 6 2 5 2" xfId="37254" xr:uid="{00000000-0005-0000-0000-000086420000}"/>
    <cellStyle name="Normal 12 2 6 2 6" xfId="24949" xr:uid="{00000000-0005-0000-0000-000087420000}"/>
    <cellStyle name="Normal 12 2 6 3" xfId="5720" xr:uid="{00000000-0005-0000-0000-000088420000}"/>
    <cellStyle name="Normal 12 2 6 3 2" xfId="8820" xr:uid="{00000000-0005-0000-0000-000089420000}"/>
    <cellStyle name="Normal 12 2 6 3 2 2" xfId="15013" xr:uid="{00000000-0005-0000-0000-00008A420000}"/>
    <cellStyle name="Normal 12 2 6 3 2 2 2" xfId="34933" xr:uid="{00000000-0005-0000-0000-00008B420000}"/>
    <cellStyle name="Normal 12 2 6 3 2 3" xfId="21165" xr:uid="{00000000-0005-0000-0000-00008C420000}"/>
    <cellStyle name="Normal 12 2 6 3 2 3 2" xfId="41085" xr:uid="{00000000-0005-0000-0000-00008D420000}"/>
    <cellStyle name="Normal 12 2 6 3 2 4" xfId="28780" xr:uid="{00000000-0005-0000-0000-00008E420000}"/>
    <cellStyle name="Normal 12 2 6 3 3" xfId="11947" xr:uid="{00000000-0005-0000-0000-00008F420000}"/>
    <cellStyle name="Normal 12 2 6 3 3 2" xfId="31867" xr:uid="{00000000-0005-0000-0000-000090420000}"/>
    <cellStyle name="Normal 12 2 6 3 4" xfId="18099" xr:uid="{00000000-0005-0000-0000-000091420000}"/>
    <cellStyle name="Normal 12 2 6 3 4 2" xfId="38019" xr:uid="{00000000-0005-0000-0000-000092420000}"/>
    <cellStyle name="Normal 12 2 6 3 5" xfId="25714" xr:uid="{00000000-0005-0000-0000-000093420000}"/>
    <cellStyle name="Normal 12 2 6 4" xfId="7285" xr:uid="{00000000-0005-0000-0000-000094420000}"/>
    <cellStyle name="Normal 12 2 6 4 2" xfId="13479" xr:uid="{00000000-0005-0000-0000-000095420000}"/>
    <cellStyle name="Normal 12 2 6 4 2 2" xfId="33399" xr:uid="{00000000-0005-0000-0000-000096420000}"/>
    <cellStyle name="Normal 12 2 6 4 3" xfId="19631" xr:uid="{00000000-0005-0000-0000-000097420000}"/>
    <cellStyle name="Normal 12 2 6 4 3 2" xfId="39551" xr:uid="{00000000-0005-0000-0000-000098420000}"/>
    <cellStyle name="Normal 12 2 6 4 4" xfId="27246" xr:uid="{00000000-0005-0000-0000-000099420000}"/>
    <cellStyle name="Normal 12 2 6 5" xfId="10413" xr:uid="{00000000-0005-0000-0000-00009A420000}"/>
    <cellStyle name="Normal 12 2 6 5 2" xfId="30333" xr:uid="{00000000-0005-0000-0000-00009B420000}"/>
    <cellStyle name="Normal 12 2 6 6" xfId="16565" xr:uid="{00000000-0005-0000-0000-00009C420000}"/>
    <cellStyle name="Normal 12 2 6 6 2" xfId="36485" xr:uid="{00000000-0005-0000-0000-00009D420000}"/>
    <cellStyle name="Normal 12 2 6 7" xfId="24180" xr:uid="{00000000-0005-0000-0000-00009E420000}"/>
    <cellStyle name="Normal 12 3" xfId="3350" xr:uid="{00000000-0005-0000-0000-00009F420000}"/>
    <cellStyle name="Normal 12 3 10" xfId="24181" xr:uid="{00000000-0005-0000-0000-0000A0420000}"/>
    <cellStyle name="Normal 12 3 2" xfId="3351" xr:uid="{00000000-0005-0000-0000-0000A1420000}"/>
    <cellStyle name="Normal 12 3 2 2" xfId="3352" xr:uid="{00000000-0005-0000-0000-0000A2420000}"/>
    <cellStyle name="Normal 12 3 2 2 2" xfId="4881" xr:uid="{00000000-0005-0000-0000-0000A3420000}"/>
    <cellStyle name="Normal 12 3 2 2 2 2" xfId="6506" xr:uid="{00000000-0005-0000-0000-0000A4420000}"/>
    <cellStyle name="Normal 12 3 2 2 2 2 2" xfId="9592" xr:uid="{00000000-0005-0000-0000-0000A5420000}"/>
    <cellStyle name="Normal 12 3 2 2 2 2 2 2" xfId="15785" xr:uid="{00000000-0005-0000-0000-0000A6420000}"/>
    <cellStyle name="Normal 12 3 2 2 2 2 2 2 2" xfId="35705" xr:uid="{00000000-0005-0000-0000-0000A7420000}"/>
    <cellStyle name="Normal 12 3 2 2 2 2 2 3" xfId="21937" xr:uid="{00000000-0005-0000-0000-0000A8420000}"/>
    <cellStyle name="Normal 12 3 2 2 2 2 2 3 2" xfId="41857" xr:uid="{00000000-0005-0000-0000-0000A9420000}"/>
    <cellStyle name="Normal 12 3 2 2 2 2 2 4" xfId="29552" xr:uid="{00000000-0005-0000-0000-0000AA420000}"/>
    <cellStyle name="Normal 12 3 2 2 2 2 3" xfId="12719" xr:uid="{00000000-0005-0000-0000-0000AB420000}"/>
    <cellStyle name="Normal 12 3 2 2 2 2 3 2" xfId="32639" xr:uid="{00000000-0005-0000-0000-0000AC420000}"/>
    <cellStyle name="Normal 12 3 2 2 2 2 4" xfId="18871" xr:uid="{00000000-0005-0000-0000-0000AD420000}"/>
    <cellStyle name="Normal 12 3 2 2 2 2 4 2" xfId="38791" xr:uid="{00000000-0005-0000-0000-0000AE420000}"/>
    <cellStyle name="Normal 12 3 2 2 2 2 5" xfId="26486" xr:uid="{00000000-0005-0000-0000-0000AF420000}"/>
    <cellStyle name="Normal 12 3 2 2 2 3" xfId="8057" xr:uid="{00000000-0005-0000-0000-0000B0420000}"/>
    <cellStyle name="Normal 12 3 2 2 2 3 2" xfId="14251" xr:uid="{00000000-0005-0000-0000-0000B1420000}"/>
    <cellStyle name="Normal 12 3 2 2 2 3 2 2" xfId="34171" xr:uid="{00000000-0005-0000-0000-0000B2420000}"/>
    <cellStyle name="Normal 12 3 2 2 2 3 3" xfId="20403" xr:uid="{00000000-0005-0000-0000-0000B3420000}"/>
    <cellStyle name="Normal 12 3 2 2 2 3 3 2" xfId="40323" xr:uid="{00000000-0005-0000-0000-0000B4420000}"/>
    <cellStyle name="Normal 12 3 2 2 2 3 4" xfId="28018" xr:uid="{00000000-0005-0000-0000-0000B5420000}"/>
    <cellStyle name="Normal 12 3 2 2 2 4" xfId="11185" xr:uid="{00000000-0005-0000-0000-0000B6420000}"/>
    <cellStyle name="Normal 12 3 2 2 2 4 2" xfId="31105" xr:uid="{00000000-0005-0000-0000-0000B7420000}"/>
    <cellStyle name="Normal 12 3 2 2 2 5" xfId="17337" xr:uid="{00000000-0005-0000-0000-0000B8420000}"/>
    <cellStyle name="Normal 12 3 2 2 2 5 2" xfId="37257" xr:uid="{00000000-0005-0000-0000-0000B9420000}"/>
    <cellStyle name="Normal 12 3 2 2 2 6" xfId="24952" xr:uid="{00000000-0005-0000-0000-0000BA420000}"/>
    <cellStyle name="Normal 12 3 2 2 3" xfId="5723" xr:uid="{00000000-0005-0000-0000-0000BB420000}"/>
    <cellStyle name="Normal 12 3 2 2 3 2" xfId="8823" xr:uid="{00000000-0005-0000-0000-0000BC420000}"/>
    <cellStyle name="Normal 12 3 2 2 3 2 2" xfId="15016" xr:uid="{00000000-0005-0000-0000-0000BD420000}"/>
    <cellStyle name="Normal 12 3 2 2 3 2 2 2" xfId="34936" xr:uid="{00000000-0005-0000-0000-0000BE420000}"/>
    <cellStyle name="Normal 12 3 2 2 3 2 3" xfId="21168" xr:uid="{00000000-0005-0000-0000-0000BF420000}"/>
    <cellStyle name="Normal 12 3 2 2 3 2 3 2" xfId="41088" xr:uid="{00000000-0005-0000-0000-0000C0420000}"/>
    <cellStyle name="Normal 12 3 2 2 3 2 4" xfId="28783" xr:uid="{00000000-0005-0000-0000-0000C1420000}"/>
    <cellStyle name="Normal 12 3 2 2 3 3" xfId="11950" xr:uid="{00000000-0005-0000-0000-0000C2420000}"/>
    <cellStyle name="Normal 12 3 2 2 3 3 2" xfId="31870" xr:uid="{00000000-0005-0000-0000-0000C3420000}"/>
    <cellStyle name="Normal 12 3 2 2 3 4" xfId="18102" xr:uid="{00000000-0005-0000-0000-0000C4420000}"/>
    <cellStyle name="Normal 12 3 2 2 3 4 2" xfId="38022" xr:uid="{00000000-0005-0000-0000-0000C5420000}"/>
    <cellStyle name="Normal 12 3 2 2 3 5" xfId="25717" xr:uid="{00000000-0005-0000-0000-0000C6420000}"/>
    <cellStyle name="Normal 12 3 2 2 4" xfId="7288" xr:uid="{00000000-0005-0000-0000-0000C7420000}"/>
    <cellStyle name="Normal 12 3 2 2 4 2" xfId="13482" xr:uid="{00000000-0005-0000-0000-0000C8420000}"/>
    <cellStyle name="Normal 12 3 2 2 4 2 2" xfId="33402" xr:uid="{00000000-0005-0000-0000-0000C9420000}"/>
    <cellStyle name="Normal 12 3 2 2 4 3" xfId="19634" xr:uid="{00000000-0005-0000-0000-0000CA420000}"/>
    <cellStyle name="Normal 12 3 2 2 4 3 2" xfId="39554" xr:uid="{00000000-0005-0000-0000-0000CB420000}"/>
    <cellStyle name="Normal 12 3 2 2 4 4" xfId="27249" xr:uid="{00000000-0005-0000-0000-0000CC420000}"/>
    <cellStyle name="Normal 12 3 2 2 5" xfId="10416" xr:uid="{00000000-0005-0000-0000-0000CD420000}"/>
    <cellStyle name="Normal 12 3 2 2 5 2" xfId="30336" xr:uid="{00000000-0005-0000-0000-0000CE420000}"/>
    <cellStyle name="Normal 12 3 2 2 6" xfId="16568" xr:uid="{00000000-0005-0000-0000-0000CF420000}"/>
    <cellStyle name="Normal 12 3 2 2 6 2" xfId="36488" xr:uid="{00000000-0005-0000-0000-0000D0420000}"/>
    <cellStyle name="Normal 12 3 2 2 7" xfId="24183" xr:uid="{00000000-0005-0000-0000-0000D1420000}"/>
    <cellStyle name="Normal 12 3 2 3" xfId="4880" xr:uid="{00000000-0005-0000-0000-0000D2420000}"/>
    <cellStyle name="Normal 12 3 2 3 2" xfId="6505" xr:uid="{00000000-0005-0000-0000-0000D3420000}"/>
    <cellStyle name="Normal 12 3 2 3 2 2" xfId="9591" xr:uid="{00000000-0005-0000-0000-0000D4420000}"/>
    <cellStyle name="Normal 12 3 2 3 2 2 2" xfId="15784" xr:uid="{00000000-0005-0000-0000-0000D5420000}"/>
    <cellStyle name="Normal 12 3 2 3 2 2 2 2" xfId="35704" xr:uid="{00000000-0005-0000-0000-0000D6420000}"/>
    <cellStyle name="Normal 12 3 2 3 2 2 3" xfId="21936" xr:uid="{00000000-0005-0000-0000-0000D7420000}"/>
    <cellStyle name="Normal 12 3 2 3 2 2 3 2" xfId="41856" xr:uid="{00000000-0005-0000-0000-0000D8420000}"/>
    <cellStyle name="Normal 12 3 2 3 2 2 4" xfId="29551" xr:uid="{00000000-0005-0000-0000-0000D9420000}"/>
    <cellStyle name="Normal 12 3 2 3 2 3" xfId="12718" xr:uid="{00000000-0005-0000-0000-0000DA420000}"/>
    <cellStyle name="Normal 12 3 2 3 2 3 2" xfId="32638" xr:uid="{00000000-0005-0000-0000-0000DB420000}"/>
    <cellStyle name="Normal 12 3 2 3 2 4" xfId="18870" xr:uid="{00000000-0005-0000-0000-0000DC420000}"/>
    <cellStyle name="Normal 12 3 2 3 2 4 2" xfId="38790" xr:uid="{00000000-0005-0000-0000-0000DD420000}"/>
    <cellStyle name="Normal 12 3 2 3 2 5" xfId="26485" xr:uid="{00000000-0005-0000-0000-0000DE420000}"/>
    <cellStyle name="Normal 12 3 2 3 3" xfId="8056" xr:uid="{00000000-0005-0000-0000-0000DF420000}"/>
    <cellStyle name="Normal 12 3 2 3 3 2" xfId="14250" xr:uid="{00000000-0005-0000-0000-0000E0420000}"/>
    <cellStyle name="Normal 12 3 2 3 3 2 2" xfId="34170" xr:uid="{00000000-0005-0000-0000-0000E1420000}"/>
    <cellStyle name="Normal 12 3 2 3 3 3" xfId="20402" xr:uid="{00000000-0005-0000-0000-0000E2420000}"/>
    <cellStyle name="Normal 12 3 2 3 3 3 2" xfId="40322" xr:uid="{00000000-0005-0000-0000-0000E3420000}"/>
    <cellStyle name="Normal 12 3 2 3 3 4" xfId="28017" xr:uid="{00000000-0005-0000-0000-0000E4420000}"/>
    <cellStyle name="Normal 12 3 2 3 4" xfId="11184" xr:uid="{00000000-0005-0000-0000-0000E5420000}"/>
    <cellStyle name="Normal 12 3 2 3 4 2" xfId="31104" xr:uid="{00000000-0005-0000-0000-0000E6420000}"/>
    <cellStyle name="Normal 12 3 2 3 5" xfId="17336" xr:uid="{00000000-0005-0000-0000-0000E7420000}"/>
    <cellStyle name="Normal 12 3 2 3 5 2" xfId="37256" xr:uid="{00000000-0005-0000-0000-0000E8420000}"/>
    <cellStyle name="Normal 12 3 2 3 6" xfId="24951" xr:uid="{00000000-0005-0000-0000-0000E9420000}"/>
    <cellStyle name="Normal 12 3 2 4" xfId="5722" xr:uid="{00000000-0005-0000-0000-0000EA420000}"/>
    <cellStyle name="Normal 12 3 2 4 2" xfId="8822" xr:uid="{00000000-0005-0000-0000-0000EB420000}"/>
    <cellStyle name="Normal 12 3 2 4 2 2" xfId="15015" xr:uid="{00000000-0005-0000-0000-0000EC420000}"/>
    <cellStyle name="Normal 12 3 2 4 2 2 2" xfId="34935" xr:uid="{00000000-0005-0000-0000-0000ED420000}"/>
    <cellStyle name="Normal 12 3 2 4 2 3" xfId="21167" xr:uid="{00000000-0005-0000-0000-0000EE420000}"/>
    <cellStyle name="Normal 12 3 2 4 2 3 2" xfId="41087" xr:uid="{00000000-0005-0000-0000-0000EF420000}"/>
    <cellStyle name="Normal 12 3 2 4 2 4" xfId="28782" xr:uid="{00000000-0005-0000-0000-0000F0420000}"/>
    <cellStyle name="Normal 12 3 2 4 3" xfId="11949" xr:uid="{00000000-0005-0000-0000-0000F1420000}"/>
    <cellStyle name="Normal 12 3 2 4 3 2" xfId="31869" xr:uid="{00000000-0005-0000-0000-0000F2420000}"/>
    <cellStyle name="Normal 12 3 2 4 4" xfId="18101" xr:uid="{00000000-0005-0000-0000-0000F3420000}"/>
    <cellStyle name="Normal 12 3 2 4 4 2" xfId="38021" xr:uid="{00000000-0005-0000-0000-0000F4420000}"/>
    <cellStyle name="Normal 12 3 2 4 5" xfId="25716" xr:uid="{00000000-0005-0000-0000-0000F5420000}"/>
    <cellStyle name="Normal 12 3 2 5" xfId="7287" xr:uid="{00000000-0005-0000-0000-0000F6420000}"/>
    <cellStyle name="Normal 12 3 2 5 2" xfId="13481" xr:uid="{00000000-0005-0000-0000-0000F7420000}"/>
    <cellStyle name="Normal 12 3 2 5 2 2" xfId="33401" xr:uid="{00000000-0005-0000-0000-0000F8420000}"/>
    <cellStyle name="Normal 12 3 2 5 3" xfId="19633" xr:uid="{00000000-0005-0000-0000-0000F9420000}"/>
    <cellStyle name="Normal 12 3 2 5 3 2" xfId="39553" xr:uid="{00000000-0005-0000-0000-0000FA420000}"/>
    <cellStyle name="Normal 12 3 2 5 4" xfId="27248" xr:uid="{00000000-0005-0000-0000-0000FB420000}"/>
    <cellStyle name="Normal 12 3 2 6" xfId="10415" xr:uid="{00000000-0005-0000-0000-0000FC420000}"/>
    <cellStyle name="Normal 12 3 2 6 2" xfId="30335" xr:uid="{00000000-0005-0000-0000-0000FD420000}"/>
    <cellStyle name="Normal 12 3 2 7" xfId="16567" xr:uid="{00000000-0005-0000-0000-0000FE420000}"/>
    <cellStyle name="Normal 12 3 2 7 2" xfId="36487" xr:uid="{00000000-0005-0000-0000-0000FF420000}"/>
    <cellStyle name="Normal 12 3 2 8" xfId="24182" xr:uid="{00000000-0005-0000-0000-000000430000}"/>
    <cellStyle name="Normal 12 3 3" xfId="3353" xr:uid="{00000000-0005-0000-0000-000001430000}"/>
    <cellStyle name="Normal 12 3 3 2" xfId="3354" xr:uid="{00000000-0005-0000-0000-000002430000}"/>
    <cellStyle name="Normal 12 3 3 2 2" xfId="4883" xr:uid="{00000000-0005-0000-0000-000003430000}"/>
    <cellStyle name="Normal 12 3 3 2 2 2" xfId="6508" xr:uid="{00000000-0005-0000-0000-000004430000}"/>
    <cellStyle name="Normal 12 3 3 2 2 2 2" xfId="9594" xr:uid="{00000000-0005-0000-0000-000005430000}"/>
    <cellStyle name="Normal 12 3 3 2 2 2 2 2" xfId="15787" xr:uid="{00000000-0005-0000-0000-000006430000}"/>
    <cellStyle name="Normal 12 3 3 2 2 2 2 2 2" xfId="35707" xr:uid="{00000000-0005-0000-0000-000007430000}"/>
    <cellStyle name="Normal 12 3 3 2 2 2 2 3" xfId="21939" xr:uid="{00000000-0005-0000-0000-000008430000}"/>
    <cellStyle name="Normal 12 3 3 2 2 2 2 3 2" xfId="41859" xr:uid="{00000000-0005-0000-0000-000009430000}"/>
    <cellStyle name="Normal 12 3 3 2 2 2 2 4" xfId="29554" xr:uid="{00000000-0005-0000-0000-00000A430000}"/>
    <cellStyle name="Normal 12 3 3 2 2 2 3" xfId="12721" xr:uid="{00000000-0005-0000-0000-00000B430000}"/>
    <cellStyle name="Normal 12 3 3 2 2 2 3 2" xfId="32641" xr:uid="{00000000-0005-0000-0000-00000C430000}"/>
    <cellStyle name="Normal 12 3 3 2 2 2 4" xfId="18873" xr:uid="{00000000-0005-0000-0000-00000D430000}"/>
    <cellStyle name="Normal 12 3 3 2 2 2 4 2" xfId="38793" xr:uid="{00000000-0005-0000-0000-00000E430000}"/>
    <cellStyle name="Normal 12 3 3 2 2 2 5" xfId="26488" xr:uid="{00000000-0005-0000-0000-00000F430000}"/>
    <cellStyle name="Normal 12 3 3 2 2 3" xfId="8059" xr:uid="{00000000-0005-0000-0000-000010430000}"/>
    <cellStyle name="Normal 12 3 3 2 2 3 2" xfId="14253" xr:uid="{00000000-0005-0000-0000-000011430000}"/>
    <cellStyle name="Normal 12 3 3 2 2 3 2 2" xfId="34173" xr:uid="{00000000-0005-0000-0000-000012430000}"/>
    <cellStyle name="Normal 12 3 3 2 2 3 3" xfId="20405" xr:uid="{00000000-0005-0000-0000-000013430000}"/>
    <cellStyle name="Normal 12 3 3 2 2 3 3 2" xfId="40325" xr:uid="{00000000-0005-0000-0000-000014430000}"/>
    <cellStyle name="Normal 12 3 3 2 2 3 4" xfId="28020" xr:uid="{00000000-0005-0000-0000-000015430000}"/>
    <cellStyle name="Normal 12 3 3 2 2 4" xfId="11187" xr:uid="{00000000-0005-0000-0000-000016430000}"/>
    <cellStyle name="Normal 12 3 3 2 2 4 2" xfId="31107" xr:uid="{00000000-0005-0000-0000-000017430000}"/>
    <cellStyle name="Normal 12 3 3 2 2 5" xfId="17339" xr:uid="{00000000-0005-0000-0000-000018430000}"/>
    <cellStyle name="Normal 12 3 3 2 2 5 2" xfId="37259" xr:uid="{00000000-0005-0000-0000-000019430000}"/>
    <cellStyle name="Normal 12 3 3 2 2 6" xfId="24954" xr:uid="{00000000-0005-0000-0000-00001A430000}"/>
    <cellStyle name="Normal 12 3 3 2 3" xfId="5725" xr:uid="{00000000-0005-0000-0000-00001B430000}"/>
    <cellStyle name="Normal 12 3 3 2 3 2" xfId="8825" xr:uid="{00000000-0005-0000-0000-00001C430000}"/>
    <cellStyle name="Normal 12 3 3 2 3 2 2" xfId="15018" xr:uid="{00000000-0005-0000-0000-00001D430000}"/>
    <cellStyle name="Normal 12 3 3 2 3 2 2 2" xfId="34938" xr:uid="{00000000-0005-0000-0000-00001E430000}"/>
    <cellStyle name="Normal 12 3 3 2 3 2 3" xfId="21170" xr:uid="{00000000-0005-0000-0000-00001F430000}"/>
    <cellStyle name="Normal 12 3 3 2 3 2 3 2" xfId="41090" xr:uid="{00000000-0005-0000-0000-000020430000}"/>
    <cellStyle name="Normal 12 3 3 2 3 2 4" xfId="28785" xr:uid="{00000000-0005-0000-0000-000021430000}"/>
    <cellStyle name="Normal 12 3 3 2 3 3" xfId="11952" xr:uid="{00000000-0005-0000-0000-000022430000}"/>
    <cellStyle name="Normal 12 3 3 2 3 3 2" xfId="31872" xr:uid="{00000000-0005-0000-0000-000023430000}"/>
    <cellStyle name="Normal 12 3 3 2 3 4" xfId="18104" xr:uid="{00000000-0005-0000-0000-000024430000}"/>
    <cellStyle name="Normal 12 3 3 2 3 4 2" xfId="38024" xr:uid="{00000000-0005-0000-0000-000025430000}"/>
    <cellStyle name="Normal 12 3 3 2 3 5" xfId="25719" xr:uid="{00000000-0005-0000-0000-000026430000}"/>
    <cellStyle name="Normal 12 3 3 2 4" xfId="7290" xr:uid="{00000000-0005-0000-0000-000027430000}"/>
    <cellStyle name="Normal 12 3 3 2 4 2" xfId="13484" xr:uid="{00000000-0005-0000-0000-000028430000}"/>
    <cellStyle name="Normal 12 3 3 2 4 2 2" xfId="33404" xr:uid="{00000000-0005-0000-0000-000029430000}"/>
    <cellStyle name="Normal 12 3 3 2 4 3" xfId="19636" xr:uid="{00000000-0005-0000-0000-00002A430000}"/>
    <cellStyle name="Normal 12 3 3 2 4 3 2" xfId="39556" xr:uid="{00000000-0005-0000-0000-00002B430000}"/>
    <cellStyle name="Normal 12 3 3 2 4 4" xfId="27251" xr:uid="{00000000-0005-0000-0000-00002C430000}"/>
    <cellStyle name="Normal 12 3 3 2 5" xfId="10418" xr:uid="{00000000-0005-0000-0000-00002D430000}"/>
    <cellStyle name="Normal 12 3 3 2 5 2" xfId="30338" xr:uid="{00000000-0005-0000-0000-00002E430000}"/>
    <cellStyle name="Normal 12 3 3 2 6" xfId="16570" xr:uid="{00000000-0005-0000-0000-00002F430000}"/>
    <cellStyle name="Normal 12 3 3 2 6 2" xfId="36490" xr:uid="{00000000-0005-0000-0000-000030430000}"/>
    <cellStyle name="Normal 12 3 3 2 7" xfId="24185" xr:uid="{00000000-0005-0000-0000-000031430000}"/>
    <cellStyle name="Normal 12 3 3 3" xfId="4882" xr:uid="{00000000-0005-0000-0000-000032430000}"/>
    <cellStyle name="Normal 12 3 3 3 2" xfId="6507" xr:uid="{00000000-0005-0000-0000-000033430000}"/>
    <cellStyle name="Normal 12 3 3 3 2 2" xfId="9593" xr:uid="{00000000-0005-0000-0000-000034430000}"/>
    <cellStyle name="Normal 12 3 3 3 2 2 2" xfId="15786" xr:uid="{00000000-0005-0000-0000-000035430000}"/>
    <cellStyle name="Normal 12 3 3 3 2 2 2 2" xfId="35706" xr:uid="{00000000-0005-0000-0000-000036430000}"/>
    <cellStyle name="Normal 12 3 3 3 2 2 3" xfId="21938" xr:uid="{00000000-0005-0000-0000-000037430000}"/>
    <cellStyle name="Normal 12 3 3 3 2 2 3 2" xfId="41858" xr:uid="{00000000-0005-0000-0000-000038430000}"/>
    <cellStyle name="Normal 12 3 3 3 2 2 4" xfId="29553" xr:uid="{00000000-0005-0000-0000-000039430000}"/>
    <cellStyle name="Normal 12 3 3 3 2 3" xfId="12720" xr:uid="{00000000-0005-0000-0000-00003A430000}"/>
    <cellStyle name="Normal 12 3 3 3 2 3 2" xfId="32640" xr:uid="{00000000-0005-0000-0000-00003B430000}"/>
    <cellStyle name="Normal 12 3 3 3 2 4" xfId="18872" xr:uid="{00000000-0005-0000-0000-00003C430000}"/>
    <cellStyle name="Normal 12 3 3 3 2 4 2" xfId="38792" xr:uid="{00000000-0005-0000-0000-00003D430000}"/>
    <cellStyle name="Normal 12 3 3 3 2 5" xfId="26487" xr:uid="{00000000-0005-0000-0000-00003E430000}"/>
    <cellStyle name="Normal 12 3 3 3 3" xfId="8058" xr:uid="{00000000-0005-0000-0000-00003F430000}"/>
    <cellStyle name="Normal 12 3 3 3 3 2" xfId="14252" xr:uid="{00000000-0005-0000-0000-000040430000}"/>
    <cellStyle name="Normal 12 3 3 3 3 2 2" xfId="34172" xr:uid="{00000000-0005-0000-0000-000041430000}"/>
    <cellStyle name="Normal 12 3 3 3 3 3" xfId="20404" xr:uid="{00000000-0005-0000-0000-000042430000}"/>
    <cellStyle name="Normal 12 3 3 3 3 3 2" xfId="40324" xr:uid="{00000000-0005-0000-0000-000043430000}"/>
    <cellStyle name="Normal 12 3 3 3 3 4" xfId="28019" xr:uid="{00000000-0005-0000-0000-000044430000}"/>
    <cellStyle name="Normal 12 3 3 3 4" xfId="11186" xr:uid="{00000000-0005-0000-0000-000045430000}"/>
    <cellStyle name="Normal 12 3 3 3 4 2" xfId="31106" xr:uid="{00000000-0005-0000-0000-000046430000}"/>
    <cellStyle name="Normal 12 3 3 3 5" xfId="17338" xr:uid="{00000000-0005-0000-0000-000047430000}"/>
    <cellStyle name="Normal 12 3 3 3 5 2" xfId="37258" xr:uid="{00000000-0005-0000-0000-000048430000}"/>
    <cellStyle name="Normal 12 3 3 3 6" xfId="24953" xr:uid="{00000000-0005-0000-0000-000049430000}"/>
    <cellStyle name="Normal 12 3 3 4" xfId="5724" xr:uid="{00000000-0005-0000-0000-00004A430000}"/>
    <cellStyle name="Normal 12 3 3 4 2" xfId="8824" xr:uid="{00000000-0005-0000-0000-00004B430000}"/>
    <cellStyle name="Normal 12 3 3 4 2 2" xfId="15017" xr:uid="{00000000-0005-0000-0000-00004C430000}"/>
    <cellStyle name="Normal 12 3 3 4 2 2 2" xfId="34937" xr:uid="{00000000-0005-0000-0000-00004D430000}"/>
    <cellStyle name="Normal 12 3 3 4 2 3" xfId="21169" xr:uid="{00000000-0005-0000-0000-00004E430000}"/>
    <cellStyle name="Normal 12 3 3 4 2 3 2" xfId="41089" xr:uid="{00000000-0005-0000-0000-00004F430000}"/>
    <cellStyle name="Normal 12 3 3 4 2 4" xfId="28784" xr:uid="{00000000-0005-0000-0000-000050430000}"/>
    <cellStyle name="Normal 12 3 3 4 3" xfId="11951" xr:uid="{00000000-0005-0000-0000-000051430000}"/>
    <cellStyle name="Normal 12 3 3 4 3 2" xfId="31871" xr:uid="{00000000-0005-0000-0000-000052430000}"/>
    <cellStyle name="Normal 12 3 3 4 4" xfId="18103" xr:uid="{00000000-0005-0000-0000-000053430000}"/>
    <cellStyle name="Normal 12 3 3 4 4 2" xfId="38023" xr:uid="{00000000-0005-0000-0000-000054430000}"/>
    <cellStyle name="Normal 12 3 3 4 5" xfId="25718" xr:uid="{00000000-0005-0000-0000-000055430000}"/>
    <cellStyle name="Normal 12 3 3 5" xfId="7289" xr:uid="{00000000-0005-0000-0000-000056430000}"/>
    <cellStyle name="Normal 12 3 3 5 2" xfId="13483" xr:uid="{00000000-0005-0000-0000-000057430000}"/>
    <cellStyle name="Normal 12 3 3 5 2 2" xfId="33403" xr:uid="{00000000-0005-0000-0000-000058430000}"/>
    <cellStyle name="Normal 12 3 3 5 3" xfId="19635" xr:uid="{00000000-0005-0000-0000-000059430000}"/>
    <cellStyle name="Normal 12 3 3 5 3 2" xfId="39555" xr:uid="{00000000-0005-0000-0000-00005A430000}"/>
    <cellStyle name="Normal 12 3 3 5 4" xfId="27250" xr:uid="{00000000-0005-0000-0000-00005B430000}"/>
    <cellStyle name="Normal 12 3 3 6" xfId="10417" xr:uid="{00000000-0005-0000-0000-00005C430000}"/>
    <cellStyle name="Normal 12 3 3 6 2" xfId="30337" xr:uid="{00000000-0005-0000-0000-00005D430000}"/>
    <cellStyle name="Normal 12 3 3 7" xfId="16569" xr:uid="{00000000-0005-0000-0000-00005E430000}"/>
    <cellStyle name="Normal 12 3 3 7 2" xfId="36489" xr:uid="{00000000-0005-0000-0000-00005F430000}"/>
    <cellStyle name="Normal 12 3 3 8" xfId="24184" xr:uid="{00000000-0005-0000-0000-000060430000}"/>
    <cellStyle name="Normal 12 3 4" xfId="3355" xr:uid="{00000000-0005-0000-0000-000061430000}"/>
    <cellStyle name="Normal 12 3 4 2" xfId="4884" xr:uid="{00000000-0005-0000-0000-000062430000}"/>
    <cellStyle name="Normal 12 3 4 2 2" xfId="6509" xr:uid="{00000000-0005-0000-0000-000063430000}"/>
    <cellStyle name="Normal 12 3 4 2 2 2" xfId="9595" xr:uid="{00000000-0005-0000-0000-000064430000}"/>
    <cellStyle name="Normal 12 3 4 2 2 2 2" xfId="15788" xr:uid="{00000000-0005-0000-0000-000065430000}"/>
    <cellStyle name="Normal 12 3 4 2 2 2 2 2" xfId="35708" xr:uid="{00000000-0005-0000-0000-000066430000}"/>
    <cellStyle name="Normal 12 3 4 2 2 2 3" xfId="21940" xr:uid="{00000000-0005-0000-0000-000067430000}"/>
    <cellStyle name="Normal 12 3 4 2 2 2 3 2" xfId="41860" xr:uid="{00000000-0005-0000-0000-000068430000}"/>
    <cellStyle name="Normal 12 3 4 2 2 2 4" xfId="29555" xr:uid="{00000000-0005-0000-0000-000069430000}"/>
    <cellStyle name="Normal 12 3 4 2 2 3" xfId="12722" xr:uid="{00000000-0005-0000-0000-00006A430000}"/>
    <cellStyle name="Normal 12 3 4 2 2 3 2" xfId="32642" xr:uid="{00000000-0005-0000-0000-00006B430000}"/>
    <cellStyle name="Normal 12 3 4 2 2 4" xfId="18874" xr:uid="{00000000-0005-0000-0000-00006C430000}"/>
    <cellStyle name="Normal 12 3 4 2 2 4 2" xfId="38794" xr:uid="{00000000-0005-0000-0000-00006D430000}"/>
    <cellStyle name="Normal 12 3 4 2 2 5" xfId="26489" xr:uid="{00000000-0005-0000-0000-00006E430000}"/>
    <cellStyle name="Normal 12 3 4 2 3" xfId="8060" xr:uid="{00000000-0005-0000-0000-00006F430000}"/>
    <cellStyle name="Normal 12 3 4 2 3 2" xfId="14254" xr:uid="{00000000-0005-0000-0000-000070430000}"/>
    <cellStyle name="Normal 12 3 4 2 3 2 2" xfId="34174" xr:uid="{00000000-0005-0000-0000-000071430000}"/>
    <cellStyle name="Normal 12 3 4 2 3 3" xfId="20406" xr:uid="{00000000-0005-0000-0000-000072430000}"/>
    <cellStyle name="Normal 12 3 4 2 3 3 2" xfId="40326" xr:uid="{00000000-0005-0000-0000-000073430000}"/>
    <cellStyle name="Normal 12 3 4 2 3 4" xfId="28021" xr:uid="{00000000-0005-0000-0000-000074430000}"/>
    <cellStyle name="Normal 12 3 4 2 4" xfId="11188" xr:uid="{00000000-0005-0000-0000-000075430000}"/>
    <cellStyle name="Normal 12 3 4 2 4 2" xfId="31108" xr:uid="{00000000-0005-0000-0000-000076430000}"/>
    <cellStyle name="Normal 12 3 4 2 5" xfId="17340" xr:uid="{00000000-0005-0000-0000-000077430000}"/>
    <cellStyle name="Normal 12 3 4 2 5 2" xfId="37260" xr:uid="{00000000-0005-0000-0000-000078430000}"/>
    <cellStyle name="Normal 12 3 4 2 6" xfId="24955" xr:uid="{00000000-0005-0000-0000-000079430000}"/>
    <cellStyle name="Normal 12 3 4 3" xfId="5726" xr:uid="{00000000-0005-0000-0000-00007A430000}"/>
    <cellStyle name="Normal 12 3 4 3 2" xfId="8826" xr:uid="{00000000-0005-0000-0000-00007B430000}"/>
    <cellStyle name="Normal 12 3 4 3 2 2" xfId="15019" xr:uid="{00000000-0005-0000-0000-00007C430000}"/>
    <cellStyle name="Normal 12 3 4 3 2 2 2" xfId="34939" xr:uid="{00000000-0005-0000-0000-00007D430000}"/>
    <cellStyle name="Normal 12 3 4 3 2 3" xfId="21171" xr:uid="{00000000-0005-0000-0000-00007E430000}"/>
    <cellStyle name="Normal 12 3 4 3 2 3 2" xfId="41091" xr:uid="{00000000-0005-0000-0000-00007F430000}"/>
    <cellStyle name="Normal 12 3 4 3 2 4" xfId="28786" xr:uid="{00000000-0005-0000-0000-000080430000}"/>
    <cellStyle name="Normal 12 3 4 3 3" xfId="11953" xr:uid="{00000000-0005-0000-0000-000081430000}"/>
    <cellStyle name="Normal 12 3 4 3 3 2" xfId="31873" xr:uid="{00000000-0005-0000-0000-000082430000}"/>
    <cellStyle name="Normal 12 3 4 3 4" xfId="18105" xr:uid="{00000000-0005-0000-0000-000083430000}"/>
    <cellStyle name="Normal 12 3 4 3 4 2" xfId="38025" xr:uid="{00000000-0005-0000-0000-000084430000}"/>
    <cellStyle name="Normal 12 3 4 3 5" xfId="25720" xr:uid="{00000000-0005-0000-0000-000085430000}"/>
    <cellStyle name="Normal 12 3 4 4" xfId="7291" xr:uid="{00000000-0005-0000-0000-000086430000}"/>
    <cellStyle name="Normal 12 3 4 4 2" xfId="13485" xr:uid="{00000000-0005-0000-0000-000087430000}"/>
    <cellStyle name="Normal 12 3 4 4 2 2" xfId="33405" xr:uid="{00000000-0005-0000-0000-000088430000}"/>
    <cellStyle name="Normal 12 3 4 4 3" xfId="19637" xr:uid="{00000000-0005-0000-0000-000089430000}"/>
    <cellStyle name="Normal 12 3 4 4 3 2" xfId="39557" xr:uid="{00000000-0005-0000-0000-00008A430000}"/>
    <cellStyle name="Normal 12 3 4 4 4" xfId="27252" xr:uid="{00000000-0005-0000-0000-00008B430000}"/>
    <cellStyle name="Normal 12 3 4 5" xfId="10419" xr:uid="{00000000-0005-0000-0000-00008C430000}"/>
    <cellStyle name="Normal 12 3 4 5 2" xfId="30339" xr:uid="{00000000-0005-0000-0000-00008D430000}"/>
    <cellStyle name="Normal 12 3 4 6" xfId="16571" xr:uid="{00000000-0005-0000-0000-00008E430000}"/>
    <cellStyle name="Normal 12 3 4 6 2" xfId="36491" xr:uid="{00000000-0005-0000-0000-00008F430000}"/>
    <cellStyle name="Normal 12 3 4 7" xfId="24186" xr:uid="{00000000-0005-0000-0000-000090430000}"/>
    <cellStyle name="Normal 12 3 5" xfId="4879" xr:uid="{00000000-0005-0000-0000-000091430000}"/>
    <cellStyle name="Normal 12 3 5 2" xfId="6504" xr:uid="{00000000-0005-0000-0000-000092430000}"/>
    <cellStyle name="Normal 12 3 5 2 2" xfId="9590" xr:uid="{00000000-0005-0000-0000-000093430000}"/>
    <cellStyle name="Normal 12 3 5 2 2 2" xfId="15783" xr:uid="{00000000-0005-0000-0000-000094430000}"/>
    <cellStyle name="Normal 12 3 5 2 2 2 2" xfId="35703" xr:uid="{00000000-0005-0000-0000-000095430000}"/>
    <cellStyle name="Normal 12 3 5 2 2 3" xfId="21935" xr:uid="{00000000-0005-0000-0000-000096430000}"/>
    <cellStyle name="Normal 12 3 5 2 2 3 2" xfId="41855" xr:uid="{00000000-0005-0000-0000-000097430000}"/>
    <cellStyle name="Normal 12 3 5 2 2 4" xfId="29550" xr:uid="{00000000-0005-0000-0000-000098430000}"/>
    <cellStyle name="Normal 12 3 5 2 3" xfId="12717" xr:uid="{00000000-0005-0000-0000-000099430000}"/>
    <cellStyle name="Normal 12 3 5 2 3 2" xfId="32637" xr:uid="{00000000-0005-0000-0000-00009A430000}"/>
    <cellStyle name="Normal 12 3 5 2 4" xfId="18869" xr:uid="{00000000-0005-0000-0000-00009B430000}"/>
    <cellStyle name="Normal 12 3 5 2 4 2" xfId="38789" xr:uid="{00000000-0005-0000-0000-00009C430000}"/>
    <cellStyle name="Normal 12 3 5 2 5" xfId="26484" xr:uid="{00000000-0005-0000-0000-00009D430000}"/>
    <cellStyle name="Normal 12 3 5 3" xfId="8055" xr:uid="{00000000-0005-0000-0000-00009E430000}"/>
    <cellStyle name="Normal 12 3 5 3 2" xfId="14249" xr:uid="{00000000-0005-0000-0000-00009F430000}"/>
    <cellStyle name="Normal 12 3 5 3 2 2" xfId="34169" xr:uid="{00000000-0005-0000-0000-0000A0430000}"/>
    <cellStyle name="Normal 12 3 5 3 3" xfId="20401" xr:uid="{00000000-0005-0000-0000-0000A1430000}"/>
    <cellStyle name="Normal 12 3 5 3 3 2" xfId="40321" xr:uid="{00000000-0005-0000-0000-0000A2430000}"/>
    <cellStyle name="Normal 12 3 5 3 4" xfId="28016" xr:uid="{00000000-0005-0000-0000-0000A3430000}"/>
    <cellStyle name="Normal 12 3 5 4" xfId="11183" xr:uid="{00000000-0005-0000-0000-0000A4430000}"/>
    <cellStyle name="Normal 12 3 5 4 2" xfId="31103" xr:uid="{00000000-0005-0000-0000-0000A5430000}"/>
    <cellStyle name="Normal 12 3 5 5" xfId="17335" xr:uid="{00000000-0005-0000-0000-0000A6430000}"/>
    <cellStyle name="Normal 12 3 5 5 2" xfId="37255" xr:uid="{00000000-0005-0000-0000-0000A7430000}"/>
    <cellStyle name="Normal 12 3 5 6" xfId="24950" xr:uid="{00000000-0005-0000-0000-0000A8430000}"/>
    <cellStyle name="Normal 12 3 6" xfId="5721" xr:uid="{00000000-0005-0000-0000-0000A9430000}"/>
    <cellStyle name="Normal 12 3 6 2" xfId="8821" xr:uid="{00000000-0005-0000-0000-0000AA430000}"/>
    <cellStyle name="Normal 12 3 6 2 2" xfId="15014" xr:uid="{00000000-0005-0000-0000-0000AB430000}"/>
    <cellStyle name="Normal 12 3 6 2 2 2" xfId="34934" xr:uid="{00000000-0005-0000-0000-0000AC430000}"/>
    <cellStyle name="Normal 12 3 6 2 3" xfId="21166" xr:uid="{00000000-0005-0000-0000-0000AD430000}"/>
    <cellStyle name="Normal 12 3 6 2 3 2" xfId="41086" xr:uid="{00000000-0005-0000-0000-0000AE430000}"/>
    <cellStyle name="Normal 12 3 6 2 4" xfId="28781" xr:uid="{00000000-0005-0000-0000-0000AF430000}"/>
    <cellStyle name="Normal 12 3 6 3" xfId="11948" xr:uid="{00000000-0005-0000-0000-0000B0430000}"/>
    <cellStyle name="Normal 12 3 6 3 2" xfId="31868" xr:uid="{00000000-0005-0000-0000-0000B1430000}"/>
    <cellStyle name="Normal 12 3 6 4" xfId="18100" xr:uid="{00000000-0005-0000-0000-0000B2430000}"/>
    <cellStyle name="Normal 12 3 6 4 2" xfId="38020" xr:uid="{00000000-0005-0000-0000-0000B3430000}"/>
    <cellStyle name="Normal 12 3 6 5" xfId="25715" xr:uid="{00000000-0005-0000-0000-0000B4430000}"/>
    <cellStyle name="Normal 12 3 7" xfId="7286" xr:uid="{00000000-0005-0000-0000-0000B5430000}"/>
    <cellStyle name="Normal 12 3 7 2" xfId="13480" xr:uid="{00000000-0005-0000-0000-0000B6430000}"/>
    <cellStyle name="Normal 12 3 7 2 2" xfId="33400" xr:uid="{00000000-0005-0000-0000-0000B7430000}"/>
    <cellStyle name="Normal 12 3 7 3" xfId="19632" xr:uid="{00000000-0005-0000-0000-0000B8430000}"/>
    <cellStyle name="Normal 12 3 7 3 2" xfId="39552" xr:uid="{00000000-0005-0000-0000-0000B9430000}"/>
    <cellStyle name="Normal 12 3 7 4" xfId="27247" xr:uid="{00000000-0005-0000-0000-0000BA430000}"/>
    <cellStyle name="Normal 12 3 8" xfId="10414" xr:uid="{00000000-0005-0000-0000-0000BB430000}"/>
    <cellStyle name="Normal 12 3 8 2" xfId="30334" xr:uid="{00000000-0005-0000-0000-0000BC430000}"/>
    <cellStyle name="Normal 12 3 9" xfId="16566" xr:uid="{00000000-0005-0000-0000-0000BD430000}"/>
    <cellStyle name="Normal 12 3 9 2" xfId="36486" xr:uid="{00000000-0005-0000-0000-0000BE430000}"/>
    <cellStyle name="Normal 12 4" xfId="3356" xr:uid="{00000000-0005-0000-0000-0000BF430000}"/>
    <cellStyle name="Normal 12 4 10" xfId="24187" xr:uid="{00000000-0005-0000-0000-0000C0430000}"/>
    <cellStyle name="Normal 12 4 2" xfId="3357" xr:uid="{00000000-0005-0000-0000-0000C1430000}"/>
    <cellStyle name="Normal 12 4 2 2" xfId="3358" xr:uid="{00000000-0005-0000-0000-0000C2430000}"/>
    <cellStyle name="Normal 12 4 2 2 2" xfId="4887" xr:uid="{00000000-0005-0000-0000-0000C3430000}"/>
    <cellStyle name="Normal 12 4 2 2 2 2" xfId="6512" xr:uid="{00000000-0005-0000-0000-0000C4430000}"/>
    <cellStyle name="Normal 12 4 2 2 2 2 2" xfId="9598" xr:uid="{00000000-0005-0000-0000-0000C5430000}"/>
    <cellStyle name="Normal 12 4 2 2 2 2 2 2" xfId="15791" xr:uid="{00000000-0005-0000-0000-0000C6430000}"/>
    <cellStyle name="Normal 12 4 2 2 2 2 2 2 2" xfId="35711" xr:uid="{00000000-0005-0000-0000-0000C7430000}"/>
    <cellStyle name="Normal 12 4 2 2 2 2 2 3" xfId="21943" xr:uid="{00000000-0005-0000-0000-0000C8430000}"/>
    <cellStyle name="Normal 12 4 2 2 2 2 2 3 2" xfId="41863" xr:uid="{00000000-0005-0000-0000-0000C9430000}"/>
    <cellStyle name="Normal 12 4 2 2 2 2 2 4" xfId="29558" xr:uid="{00000000-0005-0000-0000-0000CA430000}"/>
    <cellStyle name="Normal 12 4 2 2 2 2 3" xfId="12725" xr:uid="{00000000-0005-0000-0000-0000CB430000}"/>
    <cellStyle name="Normal 12 4 2 2 2 2 3 2" xfId="32645" xr:uid="{00000000-0005-0000-0000-0000CC430000}"/>
    <cellStyle name="Normal 12 4 2 2 2 2 4" xfId="18877" xr:uid="{00000000-0005-0000-0000-0000CD430000}"/>
    <cellStyle name="Normal 12 4 2 2 2 2 4 2" xfId="38797" xr:uid="{00000000-0005-0000-0000-0000CE430000}"/>
    <cellStyle name="Normal 12 4 2 2 2 2 5" xfId="26492" xr:uid="{00000000-0005-0000-0000-0000CF430000}"/>
    <cellStyle name="Normal 12 4 2 2 2 3" xfId="8063" xr:uid="{00000000-0005-0000-0000-0000D0430000}"/>
    <cellStyle name="Normal 12 4 2 2 2 3 2" xfId="14257" xr:uid="{00000000-0005-0000-0000-0000D1430000}"/>
    <cellStyle name="Normal 12 4 2 2 2 3 2 2" xfId="34177" xr:uid="{00000000-0005-0000-0000-0000D2430000}"/>
    <cellStyle name="Normal 12 4 2 2 2 3 3" xfId="20409" xr:uid="{00000000-0005-0000-0000-0000D3430000}"/>
    <cellStyle name="Normal 12 4 2 2 2 3 3 2" xfId="40329" xr:uid="{00000000-0005-0000-0000-0000D4430000}"/>
    <cellStyle name="Normal 12 4 2 2 2 3 4" xfId="28024" xr:uid="{00000000-0005-0000-0000-0000D5430000}"/>
    <cellStyle name="Normal 12 4 2 2 2 4" xfId="11191" xr:uid="{00000000-0005-0000-0000-0000D6430000}"/>
    <cellStyle name="Normal 12 4 2 2 2 4 2" xfId="31111" xr:uid="{00000000-0005-0000-0000-0000D7430000}"/>
    <cellStyle name="Normal 12 4 2 2 2 5" xfId="17343" xr:uid="{00000000-0005-0000-0000-0000D8430000}"/>
    <cellStyle name="Normal 12 4 2 2 2 5 2" xfId="37263" xr:uid="{00000000-0005-0000-0000-0000D9430000}"/>
    <cellStyle name="Normal 12 4 2 2 2 6" xfId="24958" xr:uid="{00000000-0005-0000-0000-0000DA430000}"/>
    <cellStyle name="Normal 12 4 2 2 3" xfId="5729" xr:uid="{00000000-0005-0000-0000-0000DB430000}"/>
    <cellStyle name="Normal 12 4 2 2 3 2" xfId="8829" xr:uid="{00000000-0005-0000-0000-0000DC430000}"/>
    <cellStyle name="Normal 12 4 2 2 3 2 2" xfId="15022" xr:uid="{00000000-0005-0000-0000-0000DD430000}"/>
    <cellStyle name="Normal 12 4 2 2 3 2 2 2" xfId="34942" xr:uid="{00000000-0005-0000-0000-0000DE430000}"/>
    <cellStyle name="Normal 12 4 2 2 3 2 3" xfId="21174" xr:uid="{00000000-0005-0000-0000-0000DF430000}"/>
    <cellStyle name="Normal 12 4 2 2 3 2 3 2" xfId="41094" xr:uid="{00000000-0005-0000-0000-0000E0430000}"/>
    <cellStyle name="Normal 12 4 2 2 3 2 4" xfId="28789" xr:uid="{00000000-0005-0000-0000-0000E1430000}"/>
    <cellStyle name="Normal 12 4 2 2 3 3" xfId="11956" xr:uid="{00000000-0005-0000-0000-0000E2430000}"/>
    <cellStyle name="Normal 12 4 2 2 3 3 2" xfId="31876" xr:uid="{00000000-0005-0000-0000-0000E3430000}"/>
    <cellStyle name="Normal 12 4 2 2 3 4" xfId="18108" xr:uid="{00000000-0005-0000-0000-0000E4430000}"/>
    <cellStyle name="Normal 12 4 2 2 3 4 2" xfId="38028" xr:uid="{00000000-0005-0000-0000-0000E5430000}"/>
    <cellStyle name="Normal 12 4 2 2 3 5" xfId="25723" xr:uid="{00000000-0005-0000-0000-0000E6430000}"/>
    <cellStyle name="Normal 12 4 2 2 4" xfId="7294" xr:uid="{00000000-0005-0000-0000-0000E7430000}"/>
    <cellStyle name="Normal 12 4 2 2 4 2" xfId="13488" xr:uid="{00000000-0005-0000-0000-0000E8430000}"/>
    <cellStyle name="Normal 12 4 2 2 4 2 2" xfId="33408" xr:uid="{00000000-0005-0000-0000-0000E9430000}"/>
    <cellStyle name="Normal 12 4 2 2 4 3" xfId="19640" xr:uid="{00000000-0005-0000-0000-0000EA430000}"/>
    <cellStyle name="Normal 12 4 2 2 4 3 2" xfId="39560" xr:uid="{00000000-0005-0000-0000-0000EB430000}"/>
    <cellStyle name="Normal 12 4 2 2 4 4" xfId="27255" xr:uid="{00000000-0005-0000-0000-0000EC430000}"/>
    <cellStyle name="Normal 12 4 2 2 5" xfId="10422" xr:uid="{00000000-0005-0000-0000-0000ED430000}"/>
    <cellStyle name="Normal 12 4 2 2 5 2" xfId="30342" xr:uid="{00000000-0005-0000-0000-0000EE430000}"/>
    <cellStyle name="Normal 12 4 2 2 6" xfId="16574" xr:uid="{00000000-0005-0000-0000-0000EF430000}"/>
    <cellStyle name="Normal 12 4 2 2 6 2" xfId="36494" xr:uid="{00000000-0005-0000-0000-0000F0430000}"/>
    <cellStyle name="Normal 12 4 2 2 7" xfId="24189" xr:uid="{00000000-0005-0000-0000-0000F1430000}"/>
    <cellStyle name="Normal 12 4 2 3" xfId="4886" xr:uid="{00000000-0005-0000-0000-0000F2430000}"/>
    <cellStyle name="Normal 12 4 2 3 2" xfId="6511" xr:uid="{00000000-0005-0000-0000-0000F3430000}"/>
    <cellStyle name="Normal 12 4 2 3 2 2" xfId="9597" xr:uid="{00000000-0005-0000-0000-0000F4430000}"/>
    <cellStyle name="Normal 12 4 2 3 2 2 2" xfId="15790" xr:uid="{00000000-0005-0000-0000-0000F5430000}"/>
    <cellStyle name="Normal 12 4 2 3 2 2 2 2" xfId="35710" xr:uid="{00000000-0005-0000-0000-0000F6430000}"/>
    <cellStyle name="Normal 12 4 2 3 2 2 3" xfId="21942" xr:uid="{00000000-0005-0000-0000-0000F7430000}"/>
    <cellStyle name="Normal 12 4 2 3 2 2 3 2" xfId="41862" xr:uid="{00000000-0005-0000-0000-0000F8430000}"/>
    <cellStyle name="Normal 12 4 2 3 2 2 4" xfId="29557" xr:uid="{00000000-0005-0000-0000-0000F9430000}"/>
    <cellStyle name="Normal 12 4 2 3 2 3" xfId="12724" xr:uid="{00000000-0005-0000-0000-0000FA430000}"/>
    <cellStyle name="Normal 12 4 2 3 2 3 2" xfId="32644" xr:uid="{00000000-0005-0000-0000-0000FB430000}"/>
    <cellStyle name="Normal 12 4 2 3 2 4" xfId="18876" xr:uid="{00000000-0005-0000-0000-0000FC430000}"/>
    <cellStyle name="Normal 12 4 2 3 2 4 2" xfId="38796" xr:uid="{00000000-0005-0000-0000-0000FD430000}"/>
    <cellStyle name="Normal 12 4 2 3 2 5" xfId="26491" xr:uid="{00000000-0005-0000-0000-0000FE430000}"/>
    <cellStyle name="Normal 12 4 2 3 3" xfId="8062" xr:uid="{00000000-0005-0000-0000-0000FF430000}"/>
    <cellStyle name="Normal 12 4 2 3 3 2" xfId="14256" xr:uid="{00000000-0005-0000-0000-000000440000}"/>
    <cellStyle name="Normal 12 4 2 3 3 2 2" xfId="34176" xr:uid="{00000000-0005-0000-0000-000001440000}"/>
    <cellStyle name="Normal 12 4 2 3 3 3" xfId="20408" xr:uid="{00000000-0005-0000-0000-000002440000}"/>
    <cellStyle name="Normal 12 4 2 3 3 3 2" xfId="40328" xr:uid="{00000000-0005-0000-0000-000003440000}"/>
    <cellStyle name="Normal 12 4 2 3 3 4" xfId="28023" xr:uid="{00000000-0005-0000-0000-000004440000}"/>
    <cellStyle name="Normal 12 4 2 3 4" xfId="11190" xr:uid="{00000000-0005-0000-0000-000005440000}"/>
    <cellStyle name="Normal 12 4 2 3 4 2" xfId="31110" xr:uid="{00000000-0005-0000-0000-000006440000}"/>
    <cellStyle name="Normal 12 4 2 3 5" xfId="17342" xr:uid="{00000000-0005-0000-0000-000007440000}"/>
    <cellStyle name="Normal 12 4 2 3 5 2" xfId="37262" xr:uid="{00000000-0005-0000-0000-000008440000}"/>
    <cellStyle name="Normal 12 4 2 3 6" xfId="24957" xr:uid="{00000000-0005-0000-0000-000009440000}"/>
    <cellStyle name="Normal 12 4 2 4" xfId="5728" xr:uid="{00000000-0005-0000-0000-00000A440000}"/>
    <cellStyle name="Normal 12 4 2 4 2" xfId="8828" xr:uid="{00000000-0005-0000-0000-00000B440000}"/>
    <cellStyle name="Normal 12 4 2 4 2 2" xfId="15021" xr:uid="{00000000-0005-0000-0000-00000C440000}"/>
    <cellStyle name="Normal 12 4 2 4 2 2 2" xfId="34941" xr:uid="{00000000-0005-0000-0000-00000D440000}"/>
    <cellStyle name="Normal 12 4 2 4 2 3" xfId="21173" xr:uid="{00000000-0005-0000-0000-00000E440000}"/>
    <cellStyle name="Normal 12 4 2 4 2 3 2" xfId="41093" xr:uid="{00000000-0005-0000-0000-00000F440000}"/>
    <cellStyle name="Normal 12 4 2 4 2 4" xfId="28788" xr:uid="{00000000-0005-0000-0000-000010440000}"/>
    <cellStyle name="Normal 12 4 2 4 3" xfId="11955" xr:uid="{00000000-0005-0000-0000-000011440000}"/>
    <cellStyle name="Normal 12 4 2 4 3 2" xfId="31875" xr:uid="{00000000-0005-0000-0000-000012440000}"/>
    <cellStyle name="Normal 12 4 2 4 4" xfId="18107" xr:uid="{00000000-0005-0000-0000-000013440000}"/>
    <cellStyle name="Normal 12 4 2 4 4 2" xfId="38027" xr:uid="{00000000-0005-0000-0000-000014440000}"/>
    <cellStyle name="Normal 12 4 2 4 5" xfId="25722" xr:uid="{00000000-0005-0000-0000-000015440000}"/>
    <cellStyle name="Normal 12 4 2 5" xfId="7293" xr:uid="{00000000-0005-0000-0000-000016440000}"/>
    <cellStyle name="Normal 12 4 2 5 2" xfId="13487" xr:uid="{00000000-0005-0000-0000-000017440000}"/>
    <cellStyle name="Normal 12 4 2 5 2 2" xfId="33407" xr:uid="{00000000-0005-0000-0000-000018440000}"/>
    <cellStyle name="Normal 12 4 2 5 3" xfId="19639" xr:uid="{00000000-0005-0000-0000-000019440000}"/>
    <cellStyle name="Normal 12 4 2 5 3 2" xfId="39559" xr:uid="{00000000-0005-0000-0000-00001A440000}"/>
    <cellStyle name="Normal 12 4 2 5 4" xfId="27254" xr:uid="{00000000-0005-0000-0000-00001B440000}"/>
    <cellStyle name="Normal 12 4 2 6" xfId="10421" xr:uid="{00000000-0005-0000-0000-00001C440000}"/>
    <cellStyle name="Normal 12 4 2 6 2" xfId="30341" xr:uid="{00000000-0005-0000-0000-00001D440000}"/>
    <cellStyle name="Normal 12 4 2 7" xfId="16573" xr:uid="{00000000-0005-0000-0000-00001E440000}"/>
    <cellStyle name="Normal 12 4 2 7 2" xfId="36493" xr:uid="{00000000-0005-0000-0000-00001F440000}"/>
    <cellStyle name="Normal 12 4 2 8" xfId="24188" xr:uid="{00000000-0005-0000-0000-000020440000}"/>
    <cellStyle name="Normal 12 4 3" xfId="3359" xr:uid="{00000000-0005-0000-0000-000021440000}"/>
    <cellStyle name="Normal 12 4 3 2" xfId="3360" xr:uid="{00000000-0005-0000-0000-000022440000}"/>
    <cellStyle name="Normal 12 4 3 2 2" xfId="4889" xr:uid="{00000000-0005-0000-0000-000023440000}"/>
    <cellStyle name="Normal 12 4 3 2 2 2" xfId="6514" xr:uid="{00000000-0005-0000-0000-000024440000}"/>
    <cellStyle name="Normal 12 4 3 2 2 2 2" xfId="9600" xr:uid="{00000000-0005-0000-0000-000025440000}"/>
    <cellStyle name="Normal 12 4 3 2 2 2 2 2" xfId="15793" xr:uid="{00000000-0005-0000-0000-000026440000}"/>
    <cellStyle name="Normal 12 4 3 2 2 2 2 2 2" xfId="35713" xr:uid="{00000000-0005-0000-0000-000027440000}"/>
    <cellStyle name="Normal 12 4 3 2 2 2 2 3" xfId="21945" xr:uid="{00000000-0005-0000-0000-000028440000}"/>
    <cellStyle name="Normal 12 4 3 2 2 2 2 3 2" xfId="41865" xr:uid="{00000000-0005-0000-0000-000029440000}"/>
    <cellStyle name="Normal 12 4 3 2 2 2 2 4" xfId="29560" xr:uid="{00000000-0005-0000-0000-00002A440000}"/>
    <cellStyle name="Normal 12 4 3 2 2 2 3" xfId="12727" xr:uid="{00000000-0005-0000-0000-00002B440000}"/>
    <cellStyle name="Normal 12 4 3 2 2 2 3 2" xfId="32647" xr:uid="{00000000-0005-0000-0000-00002C440000}"/>
    <cellStyle name="Normal 12 4 3 2 2 2 4" xfId="18879" xr:uid="{00000000-0005-0000-0000-00002D440000}"/>
    <cellStyle name="Normal 12 4 3 2 2 2 4 2" xfId="38799" xr:uid="{00000000-0005-0000-0000-00002E440000}"/>
    <cellStyle name="Normal 12 4 3 2 2 2 5" xfId="26494" xr:uid="{00000000-0005-0000-0000-00002F440000}"/>
    <cellStyle name="Normal 12 4 3 2 2 3" xfId="8065" xr:uid="{00000000-0005-0000-0000-000030440000}"/>
    <cellStyle name="Normal 12 4 3 2 2 3 2" xfId="14259" xr:uid="{00000000-0005-0000-0000-000031440000}"/>
    <cellStyle name="Normal 12 4 3 2 2 3 2 2" xfId="34179" xr:uid="{00000000-0005-0000-0000-000032440000}"/>
    <cellStyle name="Normal 12 4 3 2 2 3 3" xfId="20411" xr:uid="{00000000-0005-0000-0000-000033440000}"/>
    <cellStyle name="Normal 12 4 3 2 2 3 3 2" xfId="40331" xr:uid="{00000000-0005-0000-0000-000034440000}"/>
    <cellStyle name="Normal 12 4 3 2 2 3 4" xfId="28026" xr:uid="{00000000-0005-0000-0000-000035440000}"/>
    <cellStyle name="Normal 12 4 3 2 2 4" xfId="11193" xr:uid="{00000000-0005-0000-0000-000036440000}"/>
    <cellStyle name="Normal 12 4 3 2 2 4 2" xfId="31113" xr:uid="{00000000-0005-0000-0000-000037440000}"/>
    <cellStyle name="Normal 12 4 3 2 2 5" xfId="17345" xr:uid="{00000000-0005-0000-0000-000038440000}"/>
    <cellStyle name="Normal 12 4 3 2 2 5 2" xfId="37265" xr:uid="{00000000-0005-0000-0000-000039440000}"/>
    <cellStyle name="Normal 12 4 3 2 2 6" xfId="24960" xr:uid="{00000000-0005-0000-0000-00003A440000}"/>
    <cellStyle name="Normal 12 4 3 2 3" xfId="5731" xr:uid="{00000000-0005-0000-0000-00003B440000}"/>
    <cellStyle name="Normal 12 4 3 2 3 2" xfId="8831" xr:uid="{00000000-0005-0000-0000-00003C440000}"/>
    <cellStyle name="Normal 12 4 3 2 3 2 2" xfId="15024" xr:uid="{00000000-0005-0000-0000-00003D440000}"/>
    <cellStyle name="Normal 12 4 3 2 3 2 2 2" xfId="34944" xr:uid="{00000000-0005-0000-0000-00003E440000}"/>
    <cellStyle name="Normal 12 4 3 2 3 2 3" xfId="21176" xr:uid="{00000000-0005-0000-0000-00003F440000}"/>
    <cellStyle name="Normal 12 4 3 2 3 2 3 2" xfId="41096" xr:uid="{00000000-0005-0000-0000-000040440000}"/>
    <cellStyle name="Normal 12 4 3 2 3 2 4" xfId="28791" xr:uid="{00000000-0005-0000-0000-000041440000}"/>
    <cellStyle name="Normal 12 4 3 2 3 3" xfId="11958" xr:uid="{00000000-0005-0000-0000-000042440000}"/>
    <cellStyle name="Normal 12 4 3 2 3 3 2" xfId="31878" xr:uid="{00000000-0005-0000-0000-000043440000}"/>
    <cellStyle name="Normal 12 4 3 2 3 4" xfId="18110" xr:uid="{00000000-0005-0000-0000-000044440000}"/>
    <cellStyle name="Normal 12 4 3 2 3 4 2" xfId="38030" xr:uid="{00000000-0005-0000-0000-000045440000}"/>
    <cellStyle name="Normal 12 4 3 2 3 5" xfId="25725" xr:uid="{00000000-0005-0000-0000-000046440000}"/>
    <cellStyle name="Normal 12 4 3 2 4" xfId="7296" xr:uid="{00000000-0005-0000-0000-000047440000}"/>
    <cellStyle name="Normal 12 4 3 2 4 2" xfId="13490" xr:uid="{00000000-0005-0000-0000-000048440000}"/>
    <cellStyle name="Normal 12 4 3 2 4 2 2" xfId="33410" xr:uid="{00000000-0005-0000-0000-000049440000}"/>
    <cellStyle name="Normal 12 4 3 2 4 3" xfId="19642" xr:uid="{00000000-0005-0000-0000-00004A440000}"/>
    <cellStyle name="Normal 12 4 3 2 4 3 2" xfId="39562" xr:uid="{00000000-0005-0000-0000-00004B440000}"/>
    <cellStyle name="Normal 12 4 3 2 4 4" xfId="27257" xr:uid="{00000000-0005-0000-0000-00004C440000}"/>
    <cellStyle name="Normal 12 4 3 2 5" xfId="10424" xr:uid="{00000000-0005-0000-0000-00004D440000}"/>
    <cellStyle name="Normal 12 4 3 2 5 2" xfId="30344" xr:uid="{00000000-0005-0000-0000-00004E440000}"/>
    <cellStyle name="Normal 12 4 3 2 6" xfId="16576" xr:uid="{00000000-0005-0000-0000-00004F440000}"/>
    <cellStyle name="Normal 12 4 3 2 6 2" xfId="36496" xr:uid="{00000000-0005-0000-0000-000050440000}"/>
    <cellStyle name="Normal 12 4 3 2 7" xfId="24191" xr:uid="{00000000-0005-0000-0000-000051440000}"/>
    <cellStyle name="Normal 12 4 3 3" xfId="4888" xr:uid="{00000000-0005-0000-0000-000052440000}"/>
    <cellStyle name="Normal 12 4 3 3 2" xfId="6513" xr:uid="{00000000-0005-0000-0000-000053440000}"/>
    <cellStyle name="Normal 12 4 3 3 2 2" xfId="9599" xr:uid="{00000000-0005-0000-0000-000054440000}"/>
    <cellStyle name="Normal 12 4 3 3 2 2 2" xfId="15792" xr:uid="{00000000-0005-0000-0000-000055440000}"/>
    <cellStyle name="Normal 12 4 3 3 2 2 2 2" xfId="35712" xr:uid="{00000000-0005-0000-0000-000056440000}"/>
    <cellStyle name="Normal 12 4 3 3 2 2 3" xfId="21944" xr:uid="{00000000-0005-0000-0000-000057440000}"/>
    <cellStyle name="Normal 12 4 3 3 2 2 3 2" xfId="41864" xr:uid="{00000000-0005-0000-0000-000058440000}"/>
    <cellStyle name="Normal 12 4 3 3 2 2 4" xfId="29559" xr:uid="{00000000-0005-0000-0000-000059440000}"/>
    <cellStyle name="Normal 12 4 3 3 2 3" xfId="12726" xr:uid="{00000000-0005-0000-0000-00005A440000}"/>
    <cellStyle name="Normal 12 4 3 3 2 3 2" xfId="32646" xr:uid="{00000000-0005-0000-0000-00005B440000}"/>
    <cellStyle name="Normal 12 4 3 3 2 4" xfId="18878" xr:uid="{00000000-0005-0000-0000-00005C440000}"/>
    <cellStyle name="Normal 12 4 3 3 2 4 2" xfId="38798" xr:uid="{00000000-0005-0000-0000-00005D440000}"/>
    <cellStyle name="Normal 12 4 3 3 2 5" xfId="26493" xr:uid="{00000000-0005-0000-0000-00005E440000}"/>
    <cellStyle name="Normal 12 4 3 3 3" xfId="8064" xr:uid="{00000000-0005-0000-0000-00005F440000}"/>
    <cellStyle name="Normal 12 4 3 3 3 2" xfId="14258" xr:uid="{00000000-0005-0000-0000-000060440000}"/>
    <cellStyle name="Normal 12 4 3 3 3 2 2" xfId="34178" xr:uid="{00000000-0005-0000-0000-000061440000}"/>
    <cellStyle name="Normal 12 4 3 3 3 3" xfId="20410" xr:uid="{00000000-0005-0000-0000-000062440000}"/>
    <cellStyle name="Normal 12 4 3 3 3 3 2" xfId="40330" xr:uid="{00000000-0005-0000-0000-000063440000}"/>
    <cellStyle name="Normal 12 4 3 3 3 4" xfId="28025" xr:uid="{00000000-0005-0000-0000-000064440000}"/>
    <cellStyle name="Normal 12 4 3 3 4" xfId="11192" xr:uid="{00000000-0005-0000-0000-000065440000}"/>
    <cellStyle name="Normal 12 4 3 3 4 2" xfId="31112" xr:uid="{00000000-0005-0000-0000-000066440000}"/>
    <cellStyle name="Normal 12 4 3 3 5" xfId="17344" xr:uid="{00000000-0005-0000-0000-000067440000}"/>
    <cellStyle name="Normal 12 4 3 3 5 2" xfId="37264" xr:uid="{00000000-0005-0000-0000-000068440000}"/>
    <cellStyle name="Normal 12 4 3 3 6" xfId="24959" xr:uid="{00000000-0005-0000-0000-000069440000}"/>
    <cellStyle name="Normal 12 4 3 4" xfId="5730" xr:uid="{00000000-0005-0000-0000-00006A440000}"/>
    <cellStyle name="Normal 12 4 3 4 2" xfId="8830" xr:uid="{00000000-0005-0000-0000-00006B440000}"/>
    <cellStyle name="Normal 12 4 3 4 2 2" xfId="15023" xr:uid="{00000000-0005-0000-0000-00006C440000}"/>
    <cellStyle name="Normal 12 4 3 4 2 2 2" xfId="34943" xr:uid="{00000000-0005-0000-0000-00006D440000}"/>
    <cellStyle name="Normal 12 4 3 4 2 3" xfId="21175" xr:uid="{00000000-0005-0000-0000-00006E440000}"/>
    <cellStyle name="Normal 12 4 3 4 2 3 2" xfId="41095" xr:uid="{00000000-0005-0000-0000-00006F440000}"/>
    <cellStyle name="Normal 12 4 3 4 2 4" xfId="28790" xr:uid="{00000000-0005-0000-0000-000070440000}"/>
    <cellStyle name="Normal 12 4 3 4 3" xfId="11957" xr:uid="{00000000-0005-0000-0000-000071440000}"/>
    <cellStyle name="Normal 12 4 3 4 3 2" xfId="31877" xr:uid="{00000000-0005-0000-0000-000072440000}"/>
    <cellStyle name="Normal 12 4 3 4 4" xfId="18109" xr:uid="{00000000-0005-0000-0000-000073440000}"/>
    <cellStyle name="Normal 12 4 3 4 4 2" xfId="38029" xr:uid="{00000000-0005-0000-0000-000074440000}"/>
    <cellStyle name="Normal 12 4 3 4 5" xfId="25724" xr:uid="{00000000-0005-0000-0000-000075440000}"/>
    <cellStyle name="Normal 12 4 3 5" xfId="7295" xr:uid="{00000000-0005-0000-0000-000076440000}"/>
    <cellStyle name="Normal 12 4 3 5 2" xfId="13489" xr:uid="{00000000-0005-0000-0000-000077440000}"/>
    <cellStyle name="Normal 12 4 3 5 2 2" xfId="33409" xr:uid="{00000000-0005-0000-0000-000078440000}"/>
    <cellStyle name="Normal 12 4 3 5 3" xfId="19641" xr:uid="{00000000-0005-0000-0000-000079440000}"/>
    <cellStyle name="Normal 12 4 3 5 3 2" xfId="39561" xr:uid="{00000000-0005-0000-0000-00007A440000}"/>
    <cellStyle name="Normal 12 4 3 5 4" xfId="27256" xr:uid="{00000000-0005-0000-0000-00007B440000}"/>
    <cellStyle name="Normal 12 4 3 6" xfId="10423" xr:uid="{00000000-0005-0000-0000-00007C440000}"/>
    <cellStyle name="Normal 12 4 3 6 2" xfId="30343" xr:uid="{00000000-0005-0000-0000-00007D440000}"/>
    <cellStyle name="Normal 12 4 3 7" xfId="16575" xr:uid="{00000000-0005-0000-0000-00007E440000}"/>
    <cellStyle name="Normal 12 4 3 7 2" xfId="36495" xr:uid="{00000000-0005-0000-0000-00007F440000}"/>
    <cellStyle name="Normal 12 4 3 8" xfId="24190" xr:uid="{00000000-0005-0000-0000-000080440000}"/>
    <cellStyle name="Normal 12 4 4" xfId="3361" xr:uid="{00000000-0005-0000-0000-000081440000}"/>
    <cellStyle name="Normal 12 4 4 2" xfId="4890" xr:uid="{00000000-0005-0000-0000-000082440000}"/>
    <cellStyle name="Normal 12 4 4 2 2" xfId="6515" xr:uid="{00000000-0005-0000-0000-000083440000}"/>
    <cellStyle name="Normal 12 4 4 2 2 2" xfId="9601" xr:uid="{00000000-0005-0000-0000-000084440000}"/>
    <cellStyle name="Normal 12 4 4 2 2 2 2" xfId="15794" xr:uid="{00000000-0005-0000-0000-000085440000}"/>
    <cellStyle name="Normal 12 4 4 2 2 2 2 2" xfId="35714" xr:uid="{00000000-0005-0000-0000-000086440000}"/>
    <cellStyle name="Normal 12 4 4 2 2 2 3" xfId="21946" xr:uid="{00000000-0005-0000-0000-000087440000}"/>
    <cellStyle name="Normal 12 4 4 2 2 2 3 2" xfId="41866" xr:uid="{00000000-0005-0000-0000-000088440000}"/>
    <cellStyle name="Normal 12 4 4 2 2 2 4" xfId="29561" xr:uid="{00000000-0005-0000-0000-000089440000}"/>
    <cellStyle name="Normal 12 4 4 2 2 3" xfId="12728" xr:uid="{00000000-0005-0000-0000-00008A440000}"/>
    <cellStyle name="Normal 12 4 4 2 2 3 2" xfId="32648" xr:uid="{00000000-0005-0000-0000-00008B440000}"/>
    <cellStyle name="Normal 12 4 4 2 2 4" xfId="18880" xr:uid="{00000000-0005-0000-0000-00008C440000}"/>
    <cellStyle name="Normal 12 4 4 2 2 4 2" xfId="38800" xr:uid="{00000000-0005-0000-0000-00008D440000}"/>
    <cellStyle name="Normal 12 4 4 2 2 5" xfId="26495" xr:uid="{00000000-0005-0000-0000-00008E440000}"/>
    <cellStyle name="Normal 12 4 4 2 3" xfId="8066" xr:uid="{00000000-0005-0000-0000-00008F440000}"/>
    <cellStyle name="Normal 12 4 4 2 3 2" xfId="14260" xr:uid="{00000000-0005-0000-0000-000090440000}"/>
    <cellStyle name="Normal 12 4 4 2 3 2 2" xfId="34180" xr:uid="{00000000-0005-0000-0000-000091440000}"/>
    <cellStyle name="Normal 12 4 4 2 3 3" xfId="20412" xr:uid="{00000000-0005-0000-0000-000092440000}"/>
    <cellStyle name="Normal 12 4 4 2 3 3 2" xfId="40332" xr:uid="{00000000-0005-0000-0000-000093440000}"/>
    <cellStyle name="Normal 12 4 4 2 3 4" xfId="28027" xr:uid="{00000000-0005-0000-0000-000094440000}"/>
    <cellStyle name="Normal 12 4 4 2 4" xfId="11194" xr:uid="{00000000-0005-0000-0000-000095440000}"/>
    <cellStyle name="Normal 12 4 4 2 4 2" xfId="31114" xr:uid="{00000000-0005-0000-0000-000096440000}"/>
    <cellStyle name="Normal 12 4 4 2 5" xfId="17346" xr:uid="{00000000-0005-0000-0000-000097440000}"/>
    <cellStyle name="Normal 12 4 4 2 5 2" xfId="37266" xr:uid="{00000000-0005-0000-0000-000098440000}"/>
    <cellStyle name="Normal 12 4 4 2 6" xfId="24961" xr:uid="{00000000-0005-0000-0000-000099440000}"/>
    <cellStyle name="Normal 12 4 4 3" xfId="5732" xr:uid="{00000000-0005-0000-0000-00009A440000}"/>
    <cellStyle name="Normal 12 4 4 3 2" xfId="8832" xr:uid="{00000000-0005-0000-0000-00009B440000}"/>
    <cellStyle name="Normal 12 4 4 3 2 2" xfId="15025" xr:uid="{00000000-0005-0000-0000-00009C440000}"/>
    <cellStyle name="Normal 12 4 4 3 2 2 2" xfId="34945" xr:uid="{00000000-0005-0000-0000-00009D440000}"/>
    <cellStyle name="Normal 12 4 4 3 2 3" xfId="21177" xr:uid="{00000000-0005-0000-0000-00009E440000}"/>
    <cellStyle name="Normal 12 4 4 3 2 3 2" xfId="41097" xr:uid="{00000000-0005-0000-0000-00009F440000}"/>
    <cellStyle name="Normal 12 4 4 3 2 4" xfId="28792" xr:uid="{00000000-0005-0000-0000-0000A0440000}"/>
    <cellStyle name="Normal 12 4 4 3 3" xfId="11959" xr:uid="{00000000-0005-0000-0000-0000A1440000}"/>
    <cellStyle name="Normal 12 4 4 3 3 2" xfId="31879" xr:uid="{00000000-0005-0000-0000-0000A2440000}"/>
    <cellStyle name="Normal 12 4 4 3 4" xfId="18111" xr:uid="{00000000-0005-0000-0000-0000A3440000}"/>
    <cellStyle name="Normal 12 4 4 3 4 2" xfId="38031" xr:uid="{00000000-0005-0000-0000-0000A4440000}"/>
    <cellStyle name="Normal 12 4 4 3 5" xfId="25726" xr:uid="{00000000-0005-0000-0000-0000A5440000}"/>
    <cellStyle name="Normal 12 4 4 4" xfId="7297" xr:uid="{00000000-0005-0000-0000-0000A6440000}"/>
    <cellStyle name="Normal 12 4 4 4 2" xfId="13491" xr:uid="{00000000-0005-0000-0000-0000A7440000}"/>
    <cellStyle name="Normal 12 4 4 4 2 2" xfId="33411" xr:uid="{00000000-0005-0000-0000-0000A8440000}"/>
    <cellStyle name="Normal 12 4 4 4 3" xfId="19643" xr:uid="{00000000-0005-0000-0000-0000A9440000}"/>
    <cellStyle name="Normal 12 4 4 4 3 2" xfId="39563" xr:uid="{00000000-0005-0000-0000-0000AA440000}"/>
    <cellStyle name="Normal 12 4 4 4 4" xfId="27258" xr:uid="{00000000-0005-0000-0000-0000AB440000}"/>
    <cellStyle name="Normal 12 4 4 5" xfId="10425" xr:uid="{00000000-0005-0000-0000-0000AC440000}"/>
    <cellStyle name="Normal 12 4 4 5 2" xfId="30345" xr:uid="{00000000-0005-0000-0000-0000AD440000}"/>
    <cellStyle name="Normal 12 4 4 6" xfId="16577" xr:uid="{00000000-0005-0000-0000-0000AE440000}"/>
    <cellStyle name="Normal 12 4 4 6 2" xfId="36497" xr:uid="{00000000-0005-0000-0000-0000AF440000}"/>
    <cellStyle name="Normal 12 4 4 7" xfId="24192" xr:uid="{00000000-0005-0000-0000-0000B0440000}"/>
    <cellStyle name="Normal 12 4 5" xfId="4885" xr:uid="{00000000-0005-0000-0000-0000B1440000}"/>
    <cellStyle name="Normal 12 4 5 2" xfId="6510" xr:uid="{00000000-0005-0000-0000-0000B2440000}"/>
    <cellStyle name="Normal 12 4 5 2 2" xfId="9596" xr:uid="{00000000-0005-0000-0000-0000B3440000}"/>
    <cellStyle name="Normal 12 4 5 2 2 2" xfId="15789" xr:uid="{00000000-0005-0000-0000-0000B4440000}"/>
    <cellStyle name="Normal 12 4 5 2 2 2 2" xfId="35709" xr:uid="{00000000-0005-0000-0000-0000B5440000}"/>
    <cellStyle name="Normal 12 4 5 2 2 3" xfId="21941" xr:uid="{00000000-0005-0000-0000-0000B6440000}"/>
    <cellStyle name="Normal 12 4 5 2 2 3 2" xfId="41861" xr:uid="{00000000-0005-0000-0000-0000B7440000}"/>
    <cellStyle name="Normal 12 4 5 2 2 4" xfId="29556" xr:uid="{00000000-0005-0000-0000-0000B8440000}"/>
    <cellStyle name="Normal 12 4 5 2 3" xfId="12723" xr:uid="{00000000-0005-0000-0000-0000B9440000}"/>
    <cellStyle name="Normal 12 4 5 2 3 2" xfId="32643" xr:uid="{00000000-0005-0000-0000-0000BA440000}"/>
    <cellStyle name="Normal 12 4 5 2 4" xfId="18875" xr:uid="{00000000-0005-0000-0000-0000BB440000}"/>
    <cellStyle name="Normal 12 4 5 2 4 2" xfId="38795" xr:uid="{00000000-0005-0000-0000-0000BC440000}"/>
    <cellStyle name="Normal 12 4 5 2 5" xfId="26490" xr:uid="{00000000-0005-0000-0000-0000BD440000}"/>
    <cellStyle name="Normal 12 4 5 3" xfId="8061" xr:uid="{00000000-0005-0000-0000-0000BE440000}"/>
    <cellStyle name="Normal 12 4 5 3 2" xfId="14255" xr:uid="{00000000-0005-0000-0000-0000BF440000}"/>
    <cellStyle name="Normal 12 4 5 3 2 2" xfId="34175" xr:uid="{00000000-0005-0000-0000-0000C0440000}"/>
    <cellStyle name="Normal 12 4 5 3 3" xfId="20407" xr:uid="{00000000-0005-0000-0000-0000C1440000}"/>
    <cellStyle name="Normal 12 4 5 3 3 2" xfId="40327" xr:uid="{00000000-0005-0000-0000-0000C2440000}"/>
    <cellStyle name="Normal 12 4 5 3 4" xfId="28022" xr:uid="{00000000-0005-0000-0000-0000C3440000}"/>
    <cellStyle name="Normal 12 4 5 4" xfId="11189" xr:uid="{00000000-0005-0000-0000-0000C4440000}"/>
    <cellStyle name="Normal 12 4 5 4 2" xfId="31109" xr:uid="{00000000-0005-0000-0000-0000C5440000}"/>
    <cellStyle name="Normal 12 4 5 5" xfId="17341" xr:uid="{00000000-0005-0000-0000-0000C6440000}"/>
    <cellStyle name="Normal 12 4 5 5 2" xfId="37261" xr:uid="{00000000-0005-0000-0000-0000C7440000}"/>
    <cellStyle name="Normal 12 4 5 6" xfId="24956" xr:uid="{00000000-0005-0000-0000-0000C8440000}"/>
    <cellStyle name="Normal 12 4 6" xfId="5727" xr:uid="{00000000-0005-0000-0000-0000C9440000}"/>
    <cellStyle name="Normal 12 4 6 2" xfId="8827" xr:uid="{00000000-0005-0000-0000-0000CA440000}"/>
    <cellStyle name="Normal 12 4 6 2 2" xfId="15020" xr:uid="{00000000-0005-0000-0000-0000CB440000}"/>
    <cellStyle name="Normal 12 4 6 2 2 2" xfId="34940" xr:uid="{00000000-0005-0000-0000-0000CC440000}"/>
    <cellStyle name="Normal 12 4 6 2 3" xfId="21172" xr:uid="{00000000-0005-0000-0000-0000CD440000}"/>
    <cellStyle name="Normal 12 4 6 2 3 2" xfId="41092" xr:uid="{00000000-0005-0000-0000-0000CE440000}"/>
    <cellStyle name="Normal 12 4 6 2 4" xfId="28787" xr:uid="{00000000-0005-0000-0000-0000CF440000}"/>
    <cellStyle name="Normal 12 4 6 3" xfId="11954" xr:uid="{00000000-0005-0000-0000-0000D0440000}"/>
    <cellStyle name="Normal 12 4 6 3 2" xfId="31874" xr:uid="{00000000-0005-0000-0000-0000D1440000}"/>
    <cellStyle name="Normal 12 4 6 4" xfId="18106" xr:uid="{00000000-0005-0000-0000-0000D2440000}"/>
    <cellStyle name="Normal 12 4 6 4 2" xfId="38026" xr:uid="{00000000-0005-0000-0000-0000D3440000}"/>
    <cellStyle name="Normal 12 4 6 5" xfId="25721" xr:uid="{00000000-0005-0000-0000-0000D4440000}"/>
    <cellStyle name="Normal 12 4 7" xfId="7292" xr:uid="{00000000-0005-0000-0000-0000D5440000}"/>
    <cellStyle name="Normal 12 4 7 2" xfId="13486" xr:uid="{00000000-0005-0000-0000-0000D6440000}"/>
    <cellStyle name="Normal 12 4 7 2 2" xfId="33406" xr:uid="{00000000-0005-0000-0000-0000D7440000}"/>
    <cellStyle name="Normal 12 4 7 3" xfId="19638" xr:uid="{00000000-0005-0000-0000-0000D8440000}"/>
    <cellStyle name="Normal 12 4 7 3 2" xfId="39558" xr:uid="{00000000-0005-0000-0000-0000D9440000}"/>
    <cellStyle name="Normal 12 4 7 4" xfId="27253" xr:uid="{00000000-0005-0000-0000-0000DA440000}"/>
    <cellStyle name="Normal 12 4 8" xfId="10420" xr:uid="{00000000-0005-0000-0000-0000DB440000}"/>
    <cellStyle name="Normal 12 4 8 2" xfId="30340" xr:uid="{00000000-0005-0000-0000-0000DC440000}"/>
    <cellStyle name="Normal 12 4 9" xfId="16572" xr:uid="{00000000-0005-0000-0000-0000DD440000}"/>
    <cellStyle name="Normal 12 4 9 2" xfId="36492" xr:uid="{00000000-0005-0000-0000-0000DE440000}"/>
    <cellStyle name="Normal 12 5" xfId="3362" xr:uid="{00000000-0005-0000-0000-0000DF440000}"/>
    <cellStyle name="Normal 12 5 2" xfId="3363" xr:uid="{00000000-0005-0000-0000-0000E0440000}"/>
    <cellStyle name="Normal 12 5 2 2" xfId="4892" xr:uid="{00000000-0005-0000-0000-0000E1440000}"/>
    <cellStyle name="Normal 12 5 2 2 2" xfId="6517" xr:uid="{00000000-0005-0000-0000-0000E2440000}"/>
    <cellStyle name="Normal 12 5 2 2 2 2" xfId="9603" xr:uid="{00000000-0005-0000-0000-0000E3440000}"/>
    <cellStyle name="Normal 12 5 2 2 2 2 2" xfId="15796" xr:uid="{00000000-0005-0000-0000-0000E4440000}"/>
    <cellStyle name="Normal 12 5 2 2 2 2 2 2" xfId="35716" xr:uid="{00000000-0005-0000-0000-0000E5440000}"/>
    <cellStyle name="Normal 12 5 2 2 2 2 3" xfId="21948" xr:uid="{00000000-0005-0000-0000-0000E6440000}"/>
    <cellStyle name="Normal 12 5 2 2 2 2 3 2" xfId="41868" xr:uid="{00000000-0005-0000-0000-0000E7440000}"/>
    <cellStyle name="Normal 12 5 2 2 2 2 4" xfId="29563" xr:uid="{00000000-0005-0000-0000-0000E8440000}"/>
    <cellStyle name="Normal 12 5 2 2 2 3" xfId="12730" xr:uid="{00000000-0005-0000-0000-0000E9440000}"/>
    <cellStyle name="Normal 12 5 2 2 2 3 2" xfId="32650" xr:uid="{00000000-0005-0000-0000-0000EA440000}"/>
    <cellStyle name="Normal 12 5 2 2 2 4" xfId="18882" xr:uid="{00000000-0005-0000-0000-0000EB440000}"/>
    <cellStyle name="Normal 12 5 2 2 2 4 2" xfId="38802" xr:uid="{00000000-0005-0000-0000-0000EC440000}"/>
    <cellStyle name="Normal 12 5 2 2 2 5" xfId="26497" xr:uid="{00000000-0005-0000-0000-0000ED440000}"/>
    <cellStyle name="Normal 12 5 2 2 3" xfId="8068" xr:uid="{00000000-0005-0000-0000-0000EE440000}"/>
    <cellStyle name="Normal 12 5 2 2 3 2" xfId="14262" xr:uid="{00000000-0005-0000-0000-0000EF440000}"/>
    <cellStyle name="Normal 12 5 2 2 3 2 2" xfId="34182" xr:uid="{00000000-0005-0000-0000-0000F0440000}"/>
    <cellStyle name="Normal 12 5 2 2 3 3" xfId="20414" xr:uid="{00000000-0005-0000-0000-0000F1440000}"/>
    <cellStyle name="Normal 12 5 2 2 3 3 2" xfId="40334" xr:uid="{00000000-0005-0000-0000-0000F2440000}"/>
    <cellStyle name="Normal 12 5 2 2 3 4" xfId="28029" xr:uid="{00000000-0005-0000-0000-0000F3440000}"/>
    <cellStyle name="Normal 12 5 2 2 4" xfId="11196" xr:uid="{00000000-0005-0000-0000-0000F4440000}"/>
    <cellStyle name="Normal 12 5 2 2 4 2" xfId="31116" xr:uid="{00000000-0005-0000-0000-0000F5440000}"/>
    <cellStyle name="Normal 12 5 2 2 5" xfId="17348" xr:uid="{00000000-0005-0000-0000-0000F6440000}"/>
    <cellStyle name="Normal 12 5 2 2 5 2" xfId="37268" xr:uid="{00000000-0005-0000-0000-0000F7440000}"/>
    <cellStyle name="Normal 12 5 2 2 6" xfId="24963" xr:uid="{00000000-0005-0000-0000-0000F8440000}"/>
    <cellStyle name="Normal 12 5 2 3" xfId="5734" xr:uid="{00000000-0005-0000-0000-0000F9440000}"/>
    <cellStyle name="Normal 12 5 2 3 2" xfId="8834" xr:uid="{00000000-0005-0000-0000-0000FA440000}"/>
    <cellStyle name="Normal 12 5 2 3 2 2" xfId="15027" xr:uid="{00000000-0005-0000-0000-0000FB440000}"/>
    <cellStyle name="Normal 12 5 2 3 2 2 2" xfId="34947" xr:uid="{00000000-0005-0000-0000-0000FC440000}"/>
    <cellStyle name="Normal 12 5 2 3 2 3" xfId="21179" xr:uid="{00000000-0005-0000-0000-0000FD440000}"/>
    <cellStyle name="Normal 12 5 2 3 2 3 2" xfId="41099" xr:uid="{00000000-0005-0000-0000-0000FE440000}"/>
    <cellStyle name="Normal 12 5 2 3 2 4" xfId="28794" xr:uid="{00000000-0005-0000-0000-0000FF440000}"/>
    <cellStyle name="Normal 12 5 2 3 3" xfId="11961" xr:uid="{00000000-0005-0000-0000-000000450000}"/>
    <cellStyle name="Normal 12 5 2 3 3 2" xfId="31881" xr:uid="{00000000-0005-0000-0000-000001450000}"/>
    <cellStyle name="Normal 12 5 2 3 4" xfId="18113" xr:uid="{00000000-0005-0000-0000-000002450000}"/>
    <cellStyle name="Normal 12 5 2 3 4 2" xfId="38033" xr:uid="{00000000-0005-0000-0000-000003450000}"/>
    <cellStyle name="Normal 12 5 2 3 5" xfId="25728" xr:uid="{00000000-0005-0000-0000-000004450000}"/>
    <cellStyle name="Normal 12 5 2 4" xfId="7299" xr:uid="{00000000-0005-0000-0000-000005450000}"/>
    <cellStyle name="Normal 12 5 2 4 2" xfId="13493" xr:uid="{00000000-0005-0000-0000-000006450000}"/>
    <cellStyle name="Normal 12 5 2 4 2 2" xfId="33413" xr:uid="{00000000-0005-0000-0000-000007450000}"/>
    <cellStyle name="Normal 12 5 2 4 3" xfId="19645" xr:uid="{00000000-0005-0000-0000-000008450000}"/>
    <cellStyle name="Normal 12 5 2 4 3 2" xfId="39565" xr:uid="{00000000-0005-0000-0000-000009450000}"/>
    <cellStyle name="Normal 12 5 2 4 4" xfId="27260" xr:uid="{00000000-0005-0000-0000-00000A450000}"/>
    <cellStyle name="Normal 12 5 2 5" xfId="10427" xr:uid="{00000000-0005-0000-0000-00000B450000}"/>
    <cellStyle name="Normal 12 5 2 5 2" xfId="30347" xr:uid="{00000000-0005-0000-0000-00000C450000}"/>
    <cellStyle name="Normal 12 5 2 6" xfId="16579" xr:uid="{00000000-0005-0000-0000-00000D450000}"/>
    <cellStyle name="Normal 12 5 2 6 2" xfId="36499" xr:uid="{00000000-0005-0000-0000-00000E450000}"/>
    <cellStyle name="Normal 12 5 2 7" xfId="24194" xr:uid="{00000000-0005-0000-0000-00000F450000}"/>
    <cellStyle name="Normal 12 5 3" xfId="4891" xr:uid="{00000000-0005-0000-0000-000010450000}"/>
    <cellStyle name="Normal 12 5 3 2" xfId="6516" xr:uid="{00000000-0005-0000-0000-000011450000}"/>
    <cellStyle name="Normal 12 5 3 2 2" xfId="9602" xr:uid="{00000000-0005-0000-0000-000012450000}"/>
    <cellStyle name="Normal 12 5 3 2 2 2" xfId="15795" xr:uid="{00000000-0005-0000-0000-000013450000}"/>
    <cellStyle name="Normal 12 5 3 2 2 2 2" xfId="35715" xr:uid="{00000000-0005-0000-0000-000014450000}"/>
    <cellStyle name="Normal 12 5 3 2 2 3" xfId="21947" xr:uid="{00000000-0005-0000-0000-000015450000}"/>
    <cellStyle name="Normal 12 5 3 2 2 3 2" xfId="41867" xr:uid="{00000000-0005-0000-0000-000016450000}"/>
    <cellStyle name="Normal 12 5 3 2 2 4" xfId="29562" xr:uid="{00000000-0005-0000-0000-000017450000}"/>
    <cellStyle name="Normal 12 5 3 2 3" xfId="12729" xr:uid="{00000000-0005-0000-0000-000018450000}"/>
    <cellStyle name="Normal 12 5 3 2 3 2" xfId="32649" xr:uid="{00000000-0005-0000-0000-000019450000}"/>
    <cellStyle name="Normal 12 5 3 2 4" xfId="18881" xr:uid="{00000000-0005-0000-0000-00001A450000}"/>
    <cellStyle name="Normal 12 5 3 2 4 2" xfId="38801" xr:uid="{00000000-0005-0000-0000-00001B450000}"/>
    <cellStyle name="Normal 12 5 3 2 5" xfId="26496" xr:uid="{00000000-0005-0000-0000-00001C450000}"/>
    <cellStyle name="Normal 12 5 3 3" xfId="8067" xr:uid="{00000000-0005-0000-0000-00001D450000}"/>
    <cellStyle name="Normal 12 5 3 3 2" xfId="14261" xr:uid="{00000000-0005-0000-0000-00001E450000}"/>
    <cellStyle name="Normal 12 5 3 3 2 2" xfId="34181" xr:uid="{00000000-0005-0000-0000-00001F450000}"/>
    <cellStyle name="Normal 12 5 3 3 3" xfId="20413" xr:uid="{00000000-0005-0000-0000-000020450000}"/>
    <cellStyle name="Normal 12 5 3 3 3 2" xfId="40333" xr:uid="{00000000-0005-0000-0000-000021450000}"/>
    <cellStyle name="Normal 12 5 3 3 4" xfId="28028" xr:uid="{00000000-0005-0000-0000-000022450000}"/>
    <cellStyle name="Normal 12 5 3 4" xfId="11195" xr:uid="{00000000-0005-0000-0000-000023450000}"/>
    <cellStyle name="Normal 12 5 3 4 2" xfId="31115" xr:uid="{00000000-0005-0000-0000-000024450000}"/>
    <cellStyle name="Normal 12 5 3 5" xfId="17347" xr:uid="{00000000-0005-0000-0000-000025450000}"/>
    <cellStyle name="Normal 12 5 3 5 2" xfId="37267" xr:uid="{00000000-0005-0000-0000-000026450000}"/>
    <cellStyle name="Normal 12 5 3 6" xfId="24962" xr:uid="{00000000-0005-0000-0000-000027450000}"/>
    <cellStyle name="Normal 12 5 4" xfId="5733" xr:uid="{00000000-0005-0000-0000-000028450000}"/>
    <cellStyle name="Normal 12 5 4 2" xfId="8833" xr:uid="{00000000-0005-0000-0000-000029450000}"/>
    <cellStyle name="Normal 12 5 4 2 2" xfId="15026" xr:uid="{00000000-0005-0000-0000-00002A450000}"/>
    <cellStyle name="Normal 12 5 4 2 2 2" xfId="34946" xr:uid="{00000000-0005-0000-0000-00002B450000}"/>
    <cellStyle name="Normal 12 5 4 2 3" xfId="21178" xr:uid="{00000000-0005-0000-0000-00002C450000}"/>
    <cellStyle name="Normal 12 5 4 2 3 2" xfId="41098" xr:uid="{00000000-0005-0000-0000-00002D450000}"/>
    <cellStyle name="Normal 12 5 4 2 4" xfId="28793" xr:uid="{00000000-0005-0000-0000-00002E450000}"/>
    <cellStyle name="Normal 12 5 4 3" xfId="11960" xr:uid="{00000000-0005-0000-0000-00002F450000}"/>
    <cellStyle name="Normal 12 5 4 3 2" xfId="31880" xr:uid="{00000000-0005-0000-0000-000030450000}"/>
    <cellStyle name="Normal 12 5 4 4" xfId="18112" xr:uid="{00000000-0005-0000-0000-000031450000}"/>
    <cellStyle name="Normal 12 5 4 4 2" xfId="38032" xr:uid="{00000000-0005-0000-0000-000032450000}"/>
    <cellStyle name="Normal 12 5 4 5" xfId="25727" xr:uid="{00000000-0005-0000-0000-000033450000}"/>
    <cellStyle name="Normal 12 5 5" xfId="7298" xr:uid="{00000000-0005-0000-0000-000034450000}"/>
    <cellStyle name="Normal 12 5 5 2" xfId="13492" xr:uid="{00000000-0005-0000-0000-000035450000}"/>
    <cellStyle name="Normal 12 5 5 2 2" xfId="33412" xr:uid="{00000000-0005-0000-0000-000036450000}"/>
    <cellStyle name="Normal 12 5 5 3" xfId="19644" xr:uid="{00000000-0005-0000-0000-000037450000}"/>
    <cellStyle name="Normal 12 5 5 3 2" xfId="39564" xr:uid="{00000000-0005-0000-0000-000038450000}"/>
    <cellStyle name="Normal 12 5 5 4" xfId="27259" xr:uid="{00000000-0005-0000-0000-000039450000}"/>
    <cellStyle name="Normal 12 5 6" xfId="10426" xr:uid="{00000000-0005-0000-0000-00003A450000}"/>
    <cellStyle name="Normal 12 5 6 2" xfId="30346" xr:uid="{00000000-0005-0000-0000-00003B450000}"/>
    <cellStyle name="Normal 12 5 7" xfId="16578" xr:uid="{00000000-0005-0000-0000-00003C450000}"/>
    <cellStyle name="Normal 12 5 7 2" xfId="36498" xr:uid="{00000000-0005-0000-0000-00003D450000}"/>
    <cellStyle name="Normal 12 5 8" xfId="24193" xr:uid="{00000000-0005-0000-0000-00003E450000}"/>
    <cellStyle name="Normal 12 6" xfId="3364" xr:uid="{00000000-0005-0000-0000-00003F450000}"/>
    <cellStyle name="Normal 12 6 2" xfId="3365" xr:uid="{00000000-0005-0000-0000-000040450000}"/>
    <cellStyle name="Normal 12 6 2 2" xfId="4894" xr:uid="{00000000-0005-0000-0000-000041450000}"/>
    <cellStyle name="Normal 12 6 2 2 2" xfId="6519" xr:uid="{00000000-0005-0000-0000-000042450000}"/>
    <cellStyle name="Normal 12 6 2 2 2 2" xfId="9605" xr:uid="{00000000-0005-0000-0000-000043450000}"/>
    <cellStyle name="Normal 12 6 2 2 2 2 2" xfId="15798" xr:uid="{00000000-0005-0000-0000-000044450000}"/>
    <cellStyle name="Normal 12 6 2 2 2 2 2 2" xfId="35718" xr:uid="{00000000-0005-0000-0000-000045450000}"/>
    <cellStyle name="Normal 12 6 2 2 2 2 3" xfId="21950" xr:uid="{00000000-0005-0000-0000-000046450000}"/>
    <cellStyle name="Normal 12 6 2 2 2 2 3 2" xfId="41870" xr:uid="{00000000-0005-0000-0000-000047450000}"/>
    <cellStyle name="Normal 12 6 2 2 2 2 4" xfId="29565" xr:uid="{00000000-0005-0000-0000-000048450000}"/>
    <cellStyle name="Normal 12 6 2 2 2 3" xfId="12732" xr:uid="{00000000-0005-0000-0000-000049450000}"/>
    <cellStyle name="Normal 12 6 2 2 2 3 2" xfId="32652" xr:uid="{00000000-0005-0000-0000-00004A450000}"/>
    <cellStyle name="Normal 12 6 2 2 2 4" xfId="18884" xr:uid="{00000000-0005-0000-0000-00004B450000}"/>
    <cellStyle name="Normal 12 6 2 2 2 4 2" xfId="38804" xr:uid="{00000000-0005-0000-0000-00004C450000}"/>
    <cellStyle name="Normal 12 6 2 2 2 5" xfId="26499" xr:uid="{00000000-0005-0000-0000-00004D450000}"/>
    <cellStyle name="Normal 12 6 2 2 3" xfId="8070" xr:uid="{00000000-0005-0000-0000-00004E450000}"/>
    <cellStyle name="Normal 12 6 2 2 3 2" xfId="14264" xr:uid="{00000000-0005-0000-0000-00004F450000}"/>
    <cellStyle name="Normal 12 6 2 2 3 2 2" xfId="34184" xr:uid="{00000000-0005-0000-0000-000050450000}"/>
    <cellStyle name="Normal 12 6 2 2 3 3" xfId="20416" xr:uid="{00000000-0005-0000-0000-000051450000}"/>
    <cellStyle name="Normal 12 6 2 2 3 3 2" xfId="40336" xr:uid="{00000000-0005-0000-0000-000052450000}"/>
    <cellStyle name="Normal 12 6 2 2 3 4" xfId="28031" xr:uid="{00000000-0005-0000-0000-000053450000}"/>
    <cellStyle name="Normal 12 6 2 2 4" xfId="11198" xr:uid="{00000000-0005-0000-0000-000054450000}"/>
    <cellStyle name="Normal 12 6 2 2 4 2" xfId="31118" xr:uid="{00000000-0005-0000-0000-000055450000}"/>
    <cellStyle name="Normal 12 6 2 2 5" xfId="17350" xr:uid="{00000000-0005-0000-0000-000056450000}"/>
    <cellStyle name="Normal 12 6 2 2 5 2" xfId="37270" xr:uid="{00000000-0005-0000-0000-000057450000}"/>
    <cellStyle name="Normal 12 6 2 2 6" xfId="24965" xr:uid="{00000000-0005-0000-0000-000058450000}"/>
    <cellStyle name="Normal 12 6 2 3" xfId="5736" xr:uid="{00000000-0005-0000-0000-000059450000}"/>
    <cellStyle name="Normal 12 6 2 3 2" xfId="8836" xr:uid="{00000000-0005-0000-0000-00005A450000}"/>
    <cellStyle name="Normal 12 6 2 3 2 2" xfId="15029" xr:uid="{00000000-0005-0000-0000-00005B450000}"/>
    <cellStyle name="Normal 12 6 2 3 2 2 2" xfId="34949" xr:uid="{00000000-0005-0000-0000-00005C450000}"/>
    <cellStyle name="Normal 12 6 2 3 2 3" xfId="21181" xr:uid="{00000000-0005-0000-0000-00005D450000}"/>
    <cellStyle name="Normal 12 6 2 3 2 3 2" xfId="41101" xr:uid="{00000000-0005-0000-0000-00005E450000}"/>
    <cellStyle name="Normal 12 6 2 3 2 4" xfId="28796" xr:uid="{00000000-0005-0000-0000-00005F450000}"/>
    <cellStyle name="Normal 12 6 2 3 3" xfId="11963" xr:uid="{00000000-0005-0000-0000-000060450000}"/>
    <cellStyle name="Normal 12 6 2 3 3 2" xfId="31883" xr:uid="{00000000-0005-0000-0000-000061450000}"/>
    <cellStyle name="Normal 12 6 2 3 4" xfId="18115" xr:uid="{00000000-0005-0000-0000-000062450000}"/>
    <cellStyle name="Normal 12 6 2 3 4 2" xfId="38035" xr:uid="{00000000-0005-0000-0000-000063450000}"/>
    <cellStyle name="Normal 12 6 2 3 5" xfId="25730" xr:uid="{00000000-0005-0000-0000-000064450000}"/>
    <cellStyle name="Normal 12 6 2 4" xfId="7301" xr:uid="{00000000-0005-0000-0000-000065450000}"/>
    <cellStyle name="Normal 12 6 2 4 2" xfId="13495" xr:uid="{00000000-0005-0000-0000-000066450000}"/>
    <cellStyle name="Normal 12 6 2 4 2 2" xfId="33415" xr:uid="{00000000-0005-0000-0000-000067450000}"/>
    <cellStyle name="Normal 12 6 2 4 3" xfId="19647" xr:uid="{00000000-0005-0000-0000-000068450000}"/>
    <cellStyle name="Normal 12 6 2 4 3 2" xfId="39567" xr:uid="{00000000-0005-0000-0000-000069450000}"/>
    <cellStyle name="Normal 12 6 2 4 4" xfId="27262" xr:uid="{00000000-0005-0000-0000-00006A450000}"/>
    <cellStyle name="Normal 12 6 2 5" xfId="10429" xr:uid="{00000000-0005-0000-0000-00006B450000}"/>
    <cellStyle name="Normal 12 6 2 5 2" xfId="30349" xr:uid="{00000000-0005-0000-0000-00006C450000}"/>
    <cellStyle name="Normal 12 6 2 6" xfId="16581" xr:uid="{00000000-0005-0000-0000-00006D450000}"/>
    <cellStyle name="Normal 12 6 2 6 2" xfId="36501" xr:uid="{00000000-0005-0000-0000-00006E450000}"/>
    <cellStyle name="Normal 12 6 2 7" xfId="24196" xr:uid="{00000000-0005-0000-0000-00006F450000}"/>
    <cellStyle name="Normal 12 6 3" xfId="4893" xr:uid="{00000000-0005-0000-0000-000070450000}"/>
    <cellStyle name="Normal 12 6 3 2" xfId="6518" xr:uid="{00000000-0005-0000-0000-000071450000}"/>
    <cellStyle name="Normal 12 6 3 2 2" xfId="9604" xr:uid="{00000000-0005-0000-0000-000072450000}"/>
    <cellStyle name="Normal 12 6 3 2 2 2" xfId="15797" xr:uid="{00000000-0005-0000-0000-000073450000}"/>
    <cellStyle name="Normal 12 6 3 2 2 2 2" xfId="35717" xr:uid="{00000000-0005-0000-0000-000074450000}"/>
    <cellStyle name="Normal 12 6 3 2 2 3" xfId="21949" xr:uid="{00000000-0005-0000-0000-000075450000}"/>
    <cellStyle name="Normal 12 6 3 2 2 3 2" xfId="41869" xr:uid="{00000000-0005-0000-0000-000076450000}"/>
    <cellStyle name="Normal 12 6 3 2 2 4" xfId="29564" xr:uid="{00000000-0005-0000-0000-000077450000}"/>
    <cellStyle name="Normal 12 6 3 2 3" xfId="12731" xr:uid="{00000000-0005-0000-0000-000078450000}"/>
    <cellStyle name="Normal 12 6 3 2 3 2" xfId="32651" xr:uid="{00000000-0005-0000-0000-000079450000}"/>
    <cellStyle name="Normal 12 6 3 2 4" xfId="18883" xr:uid="{00000000-0005-0000-0000-00007A450000}"/>
    <cellStyle name="Normal 12 6 3 2 4 2" xfId="38803" xr:uid="{00000000-0005-0000-0000-00007B450000}"/>
    <cellStyle name="Normal 12 6 3 2 5" xfId="26498" xr:uid="{00000000-0005-0000-0000-00007C450000}"/>
    <cellStyle name="Normal 12 6 3 3" xfId="8069" xr:uid="{00000000-0005-0000-0000-00007D450000}"/>
    <cellStyle name="Normal 12 6 3 3 2" xfId="14263" xr:uid="{00000000-0005-0000-0000-00007E450000}"/>
    <cellStyle name="Normal 12 6 3 3 2 2" xfId="34183" xr:uid="{00000000-0005-0000-0000-00007F450000}"/>
    <cellStyle name="Normal 12 6 3 3 3" xfId="20415" xr:uid="{00000000-0005-0000-0000-000080450000}"/>
    <cellStyle name="Normal 12 6 3 3 3 2" xfId="40335" xr:uid="{00000000-0005-0000-0000-000081450000}"/>
    <cellStyle name="Normal 12 6 3 3 4" xfId="28030" xr:uid="{00000000-0005-0000-0000-000082450000}"/>
    <cellStyle name="Normal 12 6 3 4" xfId="11197" xr:uid="{00000000-0005-0000-0000-000083450000}"/>
    <cellStyle name="Normal 12 6 3 4 2" xfId="31117" xr:uid="{00000000-0005-0000-0000-000084450000}"/>
    <cellStyle name="Normal 12 6 3 5" xfId="17349" xr:uid="{00000000-0005-0000-0000-000085450000}"/>
    <cellStyle name="Normal 12 6 3 5 2" xfId="37269" xr:uid="{00000000-0005-0000-0000-000086450000}"/>
    <cellStyle name="Normal 12 6 3 6" xfId="24964" xr:uid="{00000000-0005-0000-0000-000087450000}"/>
    <cellStyle name="Normal 12 6 4" xfId="5735" xr:uid="{00000000-0005-0000-0000-000088450000}"/>
    <cellStyle name="Normal 12 6 4 2" xfId="8835" xr:uid="{00000000-0005-0000-0000-000089450000}"/>
    <cellStyle name="Normal 12 6 4 2 2" xfId="15028" xr:uid="{00000000-0005-0000-0000-00008A450000}"/>
    <cellStyle name="Normal 12 6 4 2 2 2" xfId="34948" xr:uid="{00000000-0005-0000-0000-00008B450000}"/>
    <cellStyle name="Normal 12 6 4 2 3" xfId="21180" xr:uid="{00000000-0005-0000-0000-00008C450000}"/>
    <cellStyle name="Normal 12 6 4 2 3 2" xfId="41100" xr:uid="{00000000-0005-0000-0000-00008D450000}"/>
    <cellStyle name="Normal 12 6 4 2 4" xfId="28795" xr:uid="{00000000-0005-0000-0000-00008E450000}"/>
    <cellStyle name="Normal 12 6 4 3" xfId="11962" xr:uid="{00000000-0005-0000-0000-00008F450000}"/>
    <cellStyle name="Normal 12 6 4 3 2" xfId="31882" xr:uid="{00000000-0005-0000-0000-000090450000}"/>
    <cellStyle name="Normal 12 6 4 4" xfId="18114" xr:uid="{00000000-0005-0000-0000-000091450000}"/>
    <cellStyle name="Normal 12 6 4 4 2" xfId="38034" xr:uid="{00000000-0005-0000-0000-000092450000}"/>
    <cellStyle name="Normal 12 6 4 5" xfId="25729" xr:uid="{00000000-0005-0000-0000-000093450000}"/>
    <cellStyle name="Normal 12 6 5" xfId="7300" xr:uid="{00000000-0005-0000-0000-000094450000}"/>
    <cellStyle name="Normal 12 6 5 2" xfId="13494" xr:uid="{00000000-0005-0000-0000-000095450000}"/>
    <cellStyle name="Normal 12 6 5 2 2" xfId="33414" xr:uid="{00000000-0005-0000-0000-000096450000}"/>
    <cellStyle name="Normal 12 6 5 3" xfId="19646" xr:uid="{00000000-0005-0000-0000-000097450000}"/>
    <cellStyle name="Normal 12 6 5 3 2" xfId="39566" xr:uid="{00000000-0005-0000-0000-000098450000}"/>
    <cellStyle name="Normal 12 6 5 4" xfId="27261" xr:uid="{00000000-0005-0000-0000-000099450000}"/>
    <cellStyle name="Normal 12 6 6" xfId="10428" xr:uid="{00000000-0005-0000-0000-00009A450000}"/>
    <cellStyle name="Normal 12 6 6 2" xfId="30348" xr:uid="{00000000-0005-0000-0000-00009B450000}"/>
    <cellStyle name="Normal 12 6 7" xfId="16580" xr:uid="{00000000-0005-0000-0000-00009C450000}"/>
    <cellStyle name="Normal 12 6 7 2" xfId="36500" xr:uid="{00000000-0005-0000-0000-00009D450000}"/>
    <cellStyle name="Normal 12 6 8" xfId="24195" xr:uid="{00000000-0005-0000-0000-00009E450000}"/>
    <cellStyle name="Normal 12 7" xfId="3366" xr:uid="{00000000-0005-0000-0000-00009F450000}"/>
    <cellStyle name="Normal 12 7 2" xfId="4895" xr:uid="{00000000-0005-0000-0000-0000A0450000}"/>
    <cellStyle name="Normal 12 7 2 2" xfId="6520" xr:uid="{00000000-0005-0000-0000-0000A1450000}"/>
    <cellStyle name="Normal 12 7 2 2 2" xfId="9606" xr:uid="{00000000-0005-0000-0000-0000A2450000}"/>
    <cellStyle name="Normal 12 7 2 2 2 2" xfId="15799" xr:uid="{00000000-0005-0000-0000-0000A3450000}"/>
    <cellStyle name="Normal 12 7 2 2 2 2 2" xfId="35719" xr:uid="{00000000-0005-0000-0000-0000A4450000}"/>
    <cellStyle name="Normal 12 7 2 2 2 3" xfId="21951" xr:uid="{00000000-0005-0000-0000-0000A5450000}"/>
    <cellStyle name="Normal 12 7 2 2 2 3 2" xfId="41871" xr:uid="{00000000-0005-0000-0000-0000A6450000}"/>
    <cellStyle name="Normal 12 7 2 2 2 4" xfId="29566" xr:uid="{00000000-0005-0000-0000-0000A7450000}"/>
    <cellStyle name="Normal 12 7 2 2 3" xfId="12733" xr:uid="{00000000-0005-0000-0000-0000A8450000}"/>
    <cellStyle name="Normal 12 7 2 2 3 2" xfId="32653" xr:uid="{00000000-0005-0000-0000-0000A9450000}"/>
    <cellStyle name="Normal 12 7 2 2 4" xfId="18885" xr:uid="{00000000-0005-0000-0000-0000AA450000}"/>
    <cellStyle name="Normal 12 7 2 2 4 2" xfId="38805" xr:uid="{00000000-0005-0000-0000-0000AB450000}"/>
    <cellStyle name="Normal 12 7 2 2 5" xfId="26500" xr:uid="{00000000-0005-0000-0000-0000AC450000}"/>
    <cellStyle name="Normal 12 7 2 3" xfId="8071" xr:uid="{00000000-0005-0000-0000-0000AD450000}"/>
    <cellStyle name="Normal 12 7 2 3 2" xfId="14265" xr:uid="{00000000-0005-0000-0000-0000AE450000}"/>
    <cellStyle name="Normal 12 7 2 3 2 2" xfId="34185" xr:uid="{00000000-0005-0000-0000-0000AF450000}"/>
    <cellStyle name="Normal 12 7 2 3 3" xfId="20417" xr:uid="{00000000-0005-0000-0000-0000B0450000}"/>
    <cellStyle name="Normal 12 7 2 3 3 2" xfId="40337" xr:uid="{00000000-0005-0000-0000-0000B1450000}"/>
    <cellStyle name="Normal 12 7 2 3 4" xfId="28032" xr:uid="{00000000-0005-0000-0000-0000B2450000}"/>
    <cellStyle name="Normal 12 7 2 4" xfId="11199" xr:uid="{00000000-0005-0000-0000-0000B3450000}"/>
    <cellStyle name="Normal 12 7 2 4 2" xfId="31119" xr:uid="{00000000-0005-0000-0000-0000B4450000}"/>
    <cellStyle name="Normal 12 7 2 5" xfId="17351" xr:uid="{00000000-0005-0000-0000-0000B5450000}"/>
    <cellStyle name="Normal 12 7 2 5 2" xfId="37271" xr:uid="{00000000-0005-0000-0000-0000B6450000}"/>
    <cellStyle name="Normal 12 7 2 6" xfId="24966" xr:uid="{00000000-0005-0000-0000-0000B7450000}"/>
    <cellStyle name="Normal 12 7 3" xfId="5737" xr:uid="{00000000-0005-0000-0000-0000B8450000}"/>
    <cellStyle name="Normal 12 7 3 2" xfId="8837" xr:uid="{00000000-0005-0000-0000-0000B9450000}"/>
    <cellStyle name="Normal 12 7 3 2 2" xfId="15030" xr:uid="{00000000-0005-0000-0000-0000BA450000}"/>
    <cellStyle name="Normal 12 7 3 2 2 2" xfId="34950" xr:uid="{00000000-0005-0000-0000-0000BB450000}"/>
    <cellStyle name="Normal 12 7 3 2 3" xfId="21182" xr:uid="{00000000-0005-0000-0000-0000BC450000}"/>
    <cellStyle name="Normal 12 7 3 2 3 2" xfId="41102" xr:uid="{00000000-0005-0000-0000-0000BD450000}"/>
    <cellStyle name="Normal 12 7 3 2 4" xfId="28797" xr:uid="{00000000-0005-0000-0000-0000BE450000}"/>
    <cellStyle name="Normal 12 7 3 3" xfId="11964" xr:uid="{00000000-0005-0000-0000-0000BF450000}"/>
    <cellStyle name="Normal 12 7 3 3 2" xfId="31884" xr:uid="{00000000-0005-0000-0000-0000C0450000}"/>
    <cellStyle name="Normal 12 7 3 4" xfId="18116" xr:uid="{00000000-0005-0000-0000-0000C1450000}"/>
    <cellStyle name="Normal 12 7 3 4 2" xfId="38036" xr:uid="{00000000-0005-0000-0000-0000C2450000}"/>
    <cellStyle name="Normal 12 7 3 5" xfId="25731" xr:uid="{00000000-0005-0000-0000-0000C3450000}"/>
    <cellStyle name="Normal 12 7 4" xfId="7302" xr:uid="{00000000-0005-0000-0000-0000C4450000}"/>
    <cellStyle name="Normal 12 7 4 2" xfId="13496" xr:uid="{00000000-0005-0000-0000-0000C5450000}"/>
    <cellStyle name="Normal 12 7 4 2 2" xfId="33416" xr:uid="{00000000-0005-0000-0000-0000C6450000}"/>
    <cellStyle name="Normal 12 7 4 3" xfId="19648" xr:uid="{00000000-0005-0000-0000-0000C7450000}"/>
    <cellStyle name="Normal 12 7 4 3 2" xfId="39568" xr:uid="{00000000-0005-0000-0000-0000C8450000}"/>
    <cellStyle name="Normal 12 7 4 4" xfId="27263" xr:uid="{00000000-0005-0000-0000-0000C9450000}"/>
    <cellStyle name="Normal 12 7 5" xfId="10430" xr:uid="{00000000-0005-0000-0000-0000CA450000}"/>
    <cellStyle name="Normal 12 7 5 2" xfId="30350" xr:uid="{00000000-0005-0000-0000-0000CB450000}"/>
    <cellStyle name="Normal 12 7 6" xfId="16582" xr:uid="{00000000-0005-0000-0000-0000CC450000}"/>
    <cellStyle name="Normal 12 7 6 2" xfId="36502" xr:uid="{00000000-0005-0000-0000-0000CD450000}"/>
    <cellStyle name="Normal 12 7 7" xfId="24197" xr:uid="{00000000-0005-0000-0000-0000CE450000}"/>
    <cellStyle name="Normal 12 8" xfId="4866" xr:uid="{00000000-0005-0000-0000-0000CF450000}"/>
    <cellStyle name="Normal 12 8 2" xfId="6491" xr:uid="{00000000-0005-0000-0000-0000D0450000}"/>
    <cellStyle name="Normal 12 8 2 2" xfId="9577" xr:uid="{00000000-0005-0000-0000-0000D1450000}"/>
    <cellStyle name="Normal 12 8 2 2 2" xfId="15770" xr:uid="{00000000-0005-0000-0000-0000D2450000}"/>
    <cellStyle name="Normal 12 8 2 2 2 2" xfId="35690" xr:uid="{00000000-0005-0000-0000-0000D3450000}"/>
    <cellStyle name="Normal 12 8 2 2 3" xfId="21922" xr:uid="{00000000-0005-0000-0000-0000D4450000}"/>
    <cellStyle name="Normal 12 8 2 2 3 2" xfId="41842" xr:uid="{00000000-0005-0000-0000-0000D5450000}"/>
    <cellStyle name="Normal 12 8 2 2 4" xfId="29537" xr:uid="{00000000-0005-0000-0000-0000D6450000}"/>
    <cellStyle name="Normal 12 8 2 3" xfId="12704" xr:uid="{00000000-0005-0000-0000-0000D7450000}"/>
    <cellStyle name="Normal 12 8 2 3 2" xfId="32624" xr:uid="{00000000-0005-0000-0000-0000D8450000}"/>
    <cellStyle name="Normal 12 8 2 4" xfId="18856" xr:uid="{00000000-0005-0000-0000-0000D9450000}"/>
    <cellStyle name="Normal 12 8 2 4 2" xfId="38776" xr:uid="{00000000-0005-0000-0000-0000DA450000}"/>
    <cellStyle name="Normal 12 8 2 5" xfId="26471" xr:uid="{00000000-0005-0000-0000-0000DB450000}"/>
    <cellStyle name="Normal 12 8 3" xfId="8042" xr:uid="{00000000-0005-0000-0000-0000DC450000}"/>
    <cellStyle name="Normal 12 8 3 2" xfId="14236" xr:uid="{00000000-0005-0000-0000-0000DD450000}"/>
    <cellStyle name="Normal 12 8 3 2 2" xfId="34156" xr:uid="{00000000-0005-0000-0000-0000DE450000}"/>
    <cellStyle name="Normal 12 8 3 3" xfId="20388" xr:uid="{00000000-0005-0000-0000-0000DF450000}"/>
    <cellStyle name="Normal 12 8 3 3 2" xfId="40308" xr:uid="{00000000-0005-0000-0000-0000E0450000}"/>
    <cellStyle name="Normal 12 8 3 4" xfId="28003" xr:uid="{00000000-0005-0000-0000-0000E1450000}"/>
    <cellStyle name="Normal 12 8 4" xfId="11170" xr:uid="{00000000-0005-0000-0000-0000E2450000}"/>
    <cellStyle name="Normal 12 8 4 2" xfId="31090" xr:uid="{00000000-0005-0000-0000-0000E3450000}"/>
    <cellStyle name="Normal 12 8 5" xfId="17322" xr:uid="{00000000-0005-0000-0000-0000E4450000}"/>
    <cellStyle name="Normal 12 8 5 2" xfId="37242" xr:uid="{00000000-0005-0000-0000-0000E5450000}"/>
    <cellStyle name="Normal 12 8 6" xfId="24937" xr:uid="{00000000-0005-0000-0000-0000E6450000}"/>
    <cellStyle name="Normal 12 9" xfId="5708" xr:uid="{00000000-0005-0000-0000-0000E7450000}"/>
    <cellStyle name="Normal 12 9 2" xfId="8808" xr:uid="{00000000-0005-0000-0000-0000E8450000}"/>
    <cellStyle name="Normal 12 9 2 2" xfId="15001" xr:uid="{00000000-0005-0000-0000-0000E9450000}"/>
    <cellStyle name="Normal 12 9 2 2 2" xfId="34921" xr:uid="{00000000-0005-0000-0000-0000EA450000}"/>
    <cellStyle name="Normal 12 9 2 3" xfId="21153" xr:uid="{00000000-0005-0000-0000-0000EB450000}"/>
    <cellStyle name="Normal 12 9 2 3 2" xfId="41073" xr:uid="{00000000-0005-0000-0000-0000EC450000}"/>
    <cellStyle name="Normal 12 9 2 4" xfId="28768" xr:uid="{00000000-0005-0000-0000-0000ED450000}"/>
    <cellStyle name="Normal 12 9 3" xfId="11935" xr:uid="{00000000-0005-0000-0000-0000EE450000}"/>
    <cellStyle name="Normal 12 9 3 2" xfId="31855" xr:uid="{00000000-0005-0000-0000-0000EF450000}"/>
    <cellStyle name="Normal 12 9 4" xfId="18087" xr:uid="{00000000-0005-0000-0000-0000F0450000}"/>
    <cellStyle name="Normal 12 9 4 2" xfId="38007" xr:uid="{00000000-0005-0000-0000-0000F1450000}"/>
    <cellStyle name="Normal 12 9 5" xfId="25702" xr:uid="{00000000-0005-0000-0000-0000F2450000}"/>
    <cellStyle name="Normal 13" xfId="364" xr:uid="{00000000-0005-0000-0000-0000F3450000}"/>
    <cellStyle name="Normal 14" xfId="727" xr:uid="{00000000-0005-0000-0000-0000F4450000}"/>
    <cellStyle name="Normal 14 2" xfId="3367" xr:uid="{00000000-0005-0000-0000-0000F5450000}"/>
    <cellStyle name="Normal 15" xfId="728" xr:uid="{00000000-0005-0000-0000-0000F6450000}"/>
    <cellStyle name="Normal 15 10" xfId="16583" xr:uid="{00000000-0005-0000-0000-0000F7450000}"/>
    <cellStyle name="Normal 15 10 2" xfId="36503" xr:uid="{00000000-0005-0000-0000-0000F8450000}"/>
    <cellStyle name="Normal 15 11" xfId="3368" xr:uid="{00000000-0005-0000-0000-0000F9450000}"/>
    <cellStyle name="Normal 15 11 2" xfId="24198" xr:uid="{00000000-0005-0000-0000-0000FA450000}"/>
    <cellStyle name="Normal 15 2" xfId="3369" xr:uid="{00000000-0005-0000-0000-0000FB450000}"/>
    <cellStyle name="Normal 15 3" xfId="3370" xr:uid="{00000000-0005-0000-0000-0000FC450000}"/>
    <cellStyle name="Normal 15 3 2" xfId="4897" xr:uid="{00000000-0005-0000-0000-0000FD450000}"/>
    <cellStyle name="Normal 15 3 2 2" xfId="6522" xr:uid="{00000000-0005-0000-0000-0000FE450000}"/>
    <cellStyle name="Normal 15 3 2 2 2" xfId="9608" xr:uid="{00000000-0005-0000-0000-0000FF450000}"/>
    <cellStyle name="Normal 15 3 2 2 2 2" xfId="15801" xr:uid="{00000000-0005-0000-0000-000000460000}"/>
    <cellStyle name="Normal 15 3 2 2 2 2 2" xfId="35721" xr:uid="{00000000-0005-0000-0000-000001460000}"/>
    <cellStyle name="Normal 15 3 2 2 2 3" xfId="21953" xr:uid="{00000000-0005-0000-0000-000002460000}"/>
    <cellStyle name="Normal 15 3 2 2 2 3 2" xfId="41873" xr:uid="{00000000-0005-0000-0000-000003460000}"/>
    <cellStyle name="Normal 15 3 2 2 2 4" xfId="29568" xr:uid="{00000000-0005-0000-0000-000004460000}"/>
    <cellStyle name="Normal 15 3 2 2 3" xfId="12735" xr:uid="{00000000-0005-0000-0000-000005460000}"/>
    <cellStyle name="Normal 15 3 2 2 3 2" xfId="32655" xr:uid="{00000000-0005-0000-0000-000006460000}"/>
    <cellStyle name="Normal 15 3 2 2 4" xfId="18887" xr:uid="{00000000-0005-0000-0000-000007460000}"/>
    <cellStyle name="Normal 15 3 2 2 4 2" xfId="38807" xr:uid="{00000000-0005-0000-0000-000008460000}"/>
    <cellStyle name="Normal 15 3 2 2 5" xfId="26502" xr:uid="{00000000-0005-0000-0000-000009460000}"/>
    <cellStyle name="Normal 15 3 2 3" xfId="8073" xr:uid="{00000000-0005-0000-0000-00000A460000}"/>
    <cellStyle name="Normal 15 3 2 3 2" xfId="14267" xr:uid="{00000000-0005-0000-0000-00000B460000}"/>
    <cellStyle name="Normal 15 3 2 3 2 2" xfId="34187" xr:uid="{00000000-0005-0000-0000-00000C460000}"/>
    <cellStyle name="Normal 15 3 2 3 3" xfId="20419" xr:uid="{00000000-0005-0000-0000-00000D460000}"/>
    <cellStyle name="Normal 15 3 2 3 3 2" xfId="40339" xr:uid="{00000000-0005-0000-0000-00000E460000}"/>
    <cellStyle name="Normal 15 3 2 3 4" xfId="28034" xr:uid="{00000000-0005-0000-0000-00000F460000}"/>
    <cellStyle name="Normal 15 3 2 4" xfId="11201" xr:uid="{00000000-0005-0000-0000-000010460000}"/>
    <cellStyle name="Normal 15 3 2 4 2" xfId="31121" xr:uid="{00000000-0005-0000-0000-000011460000}"/>
    <cellStyle name="Normal 15 3 2 5" xfId="17353" xr:uid="{00000000-0005-0000-0000-000012460000}"/>
    <cellStyle name="Normal 15 3 2 5 2" xfId="37273" xr:uid="{00000000-0005-0000-0000-000013460000}"/>
    <cellStyle name="Normal 15 3 2 6" xfId="24968" xr:uid="{00000000-0005-0000-0000-000014460000}"/>
    <cellStyle name="Normal 15 3 3" xfId="5739" xr:uid="{00000000-0005-0000-0000-000015460000}"/>
    <cellStyle name="Normal 15 3 3 2" xfId="8839" xr:uid="{00000000-0005-0000-0000-000016460000}"/>
    <cellStyle name="Normal 15 3 3 2 2" xfId="15032" xr:uid="{00000000-0005-0000-0000-000017460000}"/>
    <cellStyle name="Normal 15 3 3 2 2 2" xfId="34952" xr:uid="{00000000-0005-0000-0000-000018460000}"/>
    <cellStyle name="Normal 15 3 3 2 3" xfId="21184" xr:uid="{00000000-0005-0000-0000-000019460000}"/>
    <cellStyle name="Normal 15 3 3 2 3 2" xfId="41104" xr:uid="{00000000-0005-0000-0000-00001A460000}"/>
    <cellStyle name="Normal 15 3 3 2 4" xfId="28799" xr:uid="{00000000-0005-0000-0000-00001B460000}"/>
    <cellStyle name="Normal 15 3 3 3" xfId="11966" xr:uid="{00000000-0005-0000-0000-00001C460000}"/>
    <cellStyle name="Normal 15 3 3 3 2" xfId="31886" xr:uid="{00000000-0005-0000-0000-00001D460000}"/>
    <cellStyle name="Normal 15 3 3 4" xfId="18118" xr:uid="{00000000-0005-0000-0000-00001E460000}"/>
    <cellStyle name="Normal 15 3 3 4 2" xfId="38038" xr:uid="{00000000-0005-0000-0000-00001F460000}"/>
    <cellStyle name="Normal 15 3 3 5" xfId="25733" xr:uid="{00000000-0005-0000-0000-000020460000}"/>
    <cellStyle name="Normal 15 3 4" xfId="7304" xr:uid="{00000000-0005-0000-0000-000021460000}"/>
    <cellStyle name="Normal 15 3 4 2" xfId="13498" xr:uid="{00000000-0005-0000-0000-000022460000}"/>
    <cellStyle name="Normal 15 3 4 2 2" xfId="33418" xr:uid="{00000000-0005-0000-0000-000023460000}"/>
    <cellStyle name="Normal 15 3 4 3" xfId="19650" xr:uid="{00000000-0005-0000-0000-000024460000}"/>
    <cellStyle name="Normal 15 3 4 3 2" xfId="39570" xr:uid="{00000000-0005-0000-0000-000025460000}"/>
    <cellStyle name="Normal 15 3 4 4" xfId="27265" xr:uid="{00000000-0005-0000-0000-000026460000}"/>
    <cellStyle name="Normal 15 3 5" xfId="10432" xr:uid="{00000000-0005-0000-0000-000027460000}"/>
    <cellStyle name="Normal 15 3 5 2" xfId="30352" xr:uid="{00000000-0005-0000-0000-000028460000}"/>
    <cellStyle name="Normal 15 3 6" xfId="16584" xr:uid="{00000000-0005-0000-0000-000029460000}"/>
    <cellStyle name="Normal 15 3 6 2" xfId="36504" xr:uid="{00000000-0005-0000-0000-00002A460000}"/>
    <cellStyle name="Normal 15 3 7" xfId="24199" xr:uid="{00000000-0005-0000-0000-00002B460000}"/>
    <cellStyle name="Normal 15 4" xfId="3371" xr:uid="{00000000-0005-0000-0000-00002C460000}"/>
    <cellStyle name="Normal 15 4 2" xfId="3372" xr:uid="{00000000-0005-0000-0000-00002D460000}"/>
    <cellStyle name="Normal 15 5" xfId="3373" xr:uid="{00000000-0005-0000-0000-00002E460000}"/>
    <cellStyle name="Normal 15 5 2" xfId="3374" xr:uid="{00000000-0005-0000-0000-00002F460000}"/>
    <cellStyle name="Normal 15 6" xfId="4896" xr:uid="{00000000-0005-0000-0000-000030460000}"/>
    <cellStyle name="Normal 15 6 2" xfId="6521" xr:uid="{00000000-0005-0000-0000-000031460000}"/>
    <cellStyle name="Normal 15 6 2 2" xfId="9607" xr:uid="{00000000-0005-0000-0000-000032460000}"/>
    <cellStyle name="Normal 15 6 2 2 2" xfId="15800" xr:uid="{00000000-0005-0000-0000-000033460000}"/>
    <cellStyle name="Normal 15 6 2 2 2 2" xfId="35720" xr:uid="{00000000-0005-0000-0000-000034460000}"/>
    <cellStyle name="Normal 15 6 2 2 3" xfId="21952" xr:uid="{00000000-0005-0000-0000-000035460000}"/>
    <cellStyle name="Normal 15 6 2 2 3 2" xfId="41872" xr:uid="{00000000-0005-0000-0000-000036460000}"/>
    <cellStyle name="Normal 15 6 2 2 4" xfId="29567" xr:uid="{00000000-0005-0000-0000-000037460000}"/>
    <cellStyle name="Normal 15 6 2 3" xfId="12734" xr:uid="{00000000-0005-0000-0000-000038460000}"/>
    <cellStyle name="Normal 15 6 2 3 2" xfId="32654" xr:uid="{00000000-0005-0000-0000-000039460000}"/>
    <cellStyle name="Normal 15 6 2 4" xfId="18886" xr:uid="{00000000-0005-0000-0000-00003A460000}"/>
    <cellStyle name="Normal 15 6 2 4 2" xfId="38806" xr:uid="{00000000-0005-0000-0000-00003B460000}"/>
    <cellStyle name="Normal 15 6 2 5" xfId="26501" xr:uid="{00000000-0005-0000-0000-00003C460000}"/>
    <cellStyle name="Normal 15 6 3" xfId="8072" xr:uid="{00000000-0005-0000-0000-00003D460000}"/>
    <cellStyle name="Normal 15 6 3 2" xfId="14266" xr:uid="{00000000-0005-0000-0000-00003E460000}"/>
    <cellStyle name="Normal 15 6 3 2 2" xfId="34186" xr:uid="{00000000-0005-0000-0000-00003F460000}"/>
    <cellStyle name="Normal 15 6 3 3" xfId="20418" xr:uid="{00000000-0005-0000-0000-000040460000}"/>
    <cellStyle name="Normal 15 6 3 3 2" xfId="40338" xr:uid="{00000000-0005-0000-0000-000041460000}"/>
    <cellStyle name="Normal 15 6 3 4" xfId="28033" xr:uid="{00000000-0005-0000-0000-000042460000}"/>
    <cellStyle name="Normal 15 6 4" xfId="11200" xr:uid="{00000000-0005-0000-0000-000043460000}"/>
    <cellStyle name="Normal 15 6 4 2" xfId="31120" xr:uid="{00000000-0005-0000-0000-000044460000}"/>
    <cellStyle name="Normal 15 6 5" xfId="17352" xr:uid="{00000000-0005-0000-0000-000045460000}"/>
    <cellStyle name="Normal 15 6 5 2" xfId="37272" xr:uid="{00000000-0005-0000-0000-000046460000}"/>
    <cellStyle name="Normal 15 6 6" xfId="24967" xr:uid="{00000000-0005-0000-0000-000047460000}"/>
    <cellStyle name="Normal 15 7" xfId="5738" xr:uid="{00000000-0005-0000-0000-000048460000}"/>
    <cellStyle name="Normal 15 7 2" xfId="8838" xr:uid="{00000000-0005-0000-0000-000049460000}"/>
    <cellStyle name="Normal 15 7 2 2" xfId="15031" xr:uid="{00000000-0005-0000-0000-00004A460000}"/>
    <cellStyle name="Normal 15 7 2 2 2" xfId="34951" xr:uid="{00000000-0005-0000-0000-00004B460000}"/>
    <cellStyle name="Normal 15 7 2 3" xfId="21183" xr:uid="{00000000-0005-0000-0000-00004C460000}"/>
    <cellStyle name="Normal 15 7 2 3 2" xfId="41103" xr:uid="{00000000-0005-0000-0000-00004D460000}"/>
    <cellStyle name="Normal 15 7 2 4" xfId="28798" xr:uid="{00000000-0005-0000-0000-00004E460000}"/>
    <cellStyle name="Normal 15 7 3" xfId="11965" xr:uid="{00000000-0005-0000-0000-00004F460000}"/>
    <cellStyle name="Normal 15 7 3 2" xfId="31885" xr:uid="{00000000-0005-0000-0000-000050460000}"/>
    <cellStyle name="Normal 15 7 4" xfId="18117" xr:uid="{00000000-0005-0000-0000-000051460000}"/>
    <cellStyle name="Normal 15 7 4 2" xfId="38037" xr:uid="{00000000-0005-0000-0000-000052460000}"/>
    <cellStyle name="Normal 15 7 5" xfId="25732" xr:uid="{00000000-0005-0000-0000-000053460000}"/>
    <cellStyle name="Normal 15 8" xfId="7303" xr:uid="{00000000-0005-0000-0000-000054460000}"/>
    <cellStyle name="Normal 15 8 2" xfId="13497" xr:uid="{00000000-0005-0000-0000-000055460000}"/>
    <cellStyle name="Normal 15 8 2 2" xfId="33417" xr:uid="{00000000-0005-0000-0000-000056460000}"/>
    <cellStyle name="Normal 15 8 3" xfId="19649" xr:uid="{00000000-0005-0000-0000-000057460000}"/>
    <cellStyle name="Normal 15 8 3 2" xfId="39569" xr:uid="{00000000-0005-0000-0000-000058460000}"/>
    <cellStyle name="Normal 15 8 4" xfId="27264" xr:uid="{00000000-0005-0000-0000-000059460000}"/>
    <cellStyle name="Normal 15 9" xfId="10431" xr:uid="{00000000-0005-0000-0000-00005A460000}"/>
    <cellStyle name="Normal 15 9 2" xfId="30351" xr:uid="{00000000-0005-0000-0000-00005B460000}"/>
    <cellStyle name="Normal 16" xfId="3375" xr:uid="{00000000-0005-0000-0000-00005C460000}"/>
    <cellStyle name="Normal 16 2" xfId="3376" xr:uid="{00000000-0005-0000-0000-00005D460000}"/>
    <cellStyle name="Normal 16 2 10" xfId="24200" xr:uid="{00000000-0005-0000-0000-00005E460000}"/>
    <cellStyle name="Normal 16 2 2" xfId="3377" xr:uid="{00000000-0005-0000-0000-00005F460000}"/>
    <cellStyle name="Normal 16 2 2 2" xfId="3378" xr:uid="{00000000-0005-0000-0000-000060460000}"/>
    <cellStyle name="Normal 16 2 2 2 2" xfId="4900" xr:uid="{00000000-0005-0000-0000-000061460000}"/>
    <cellStyle name="Normal 16 2 2 2 2 2" xfId="6525" xr:uid="{00000000-0005-0000-0000-000062460000}"/>
    <cellStyle name="Normal 16 2 2 2 2 2 2" xfId="9611" xr:uid="{00000000-0005-0000-0000-000063460000}"/>
    <cellStyle name="Normal 16 2 2 2 2 2 2 2" xfId="15804" xr:uid="{00000000-0005-0000-0000-000064460000}"/>
    <cellStyle name="Normal 16 2 2 2 2 2 2 2 2" xfId="35724" xr:uid="{00000000-0005-0000-0000-000065460000}"/>
    <cellStyle name="Normal 16 2 2 2 2 2 2 3" xfId="21956" xr:uid="{00000000-0005-0000-0000-000066460000}"/>
    <cellStyle name="Normal 16 2 2 2 2 2 2 3 2" xfId="41876" xr:uid="{00000000-0005-0000-0000-000067460000}"/>
    <cellStyle name="Normal 16 2 2 2 2 2 2 4" xfId="29571" xr:uid="{00000000-0005-0000-0000-000068460000}"/>
    <cellStyle name="Normal 16 2 2 2 2 2 3" xfId="12738" xr:uid="{00000000-0005-0000-0000-000069460000}"/>
    <cellStyle name="Normal 16 2 2 2 2 2 3 2" xfId="32658" xr:uid="{00000000-0005-0000-0000-00006A460000}"/>
    <cellStyle name="Normal 16 2 2 2 2 2 4" xfId="18890" xr:uid="{00000000-0005-0000-0000-00006B460000}"/>
    <cellStyle name="Normal 16 2 2 2 2 2 4 2" xfId="38810" xr:uid="{00000000-0005-0000-0000-00006C460000}"/>
    <cellStyle name="Normal 16 2 2 2 2 2 5" xfId="26505" xr:uid="{00000000-0005-0000-0000-00006D460000}"/>
    <cellStyle name="Normal 16 2 2 2 2 3" xfId="8076" xr:uid="{00000000-0005-0000-0000-00006E460000}"/>
    <cellStyle name="Normal 16 2 2 2 2 3 2" xfId="14270" xr:uid="{00000000-0005-0000-0000-00006F460000}"/>
    <cellStyle name="Normal 16 2 2 2 2 3 2 2" xfId="34190" xr:uid="{00000000-0005-0000-0000-000070460000}"/>
    <cellStyle name="Normal 16 2 2 2 2 3 3" xfId="20422" xr:uid="{00000000-0005-0000-0000-000071460000}"/>
    <cellStyle name="Normal 16 2 2 2 2 3 3 2" xfId="40342" xr:uid="{00000000-0005-0000-0000-000072460000}"/>
    <cellStyle name="Normal 16 2 2 2 2 3 4" xfId="28037" xr:uid="{00000000-0005-0000-0000-000073460000}"/>
    <cellStyle name="Normal 16 2 2 2 2 4" xfId="11204" xr:uid="{00000000-0005-0000-0000-000074460000}"/>
    <cellStyle name="Normal 16 2 2 2 2 4 2" xfId="31124" xr:uid="{00000000-0005-0000-0000-000075460000}"/>
    <cellStyle name="Normal 16 2 2 2 2 5" xfId="17356" xr:uid="{00000000-0005-0000-0000-000076460000}"/>
    <cellStyle name="Normal 16 2 2 2 2 5 2" xfId="37276" xr:uid="{00000000-0005-0000-0000-000077460000}"/>
    <cellStyle name="Normal 16 2 2 2 2 6" xfId="24971" xr:uid="{00000000-0005-0000-0000-000078460000}"/>
    <cellStyle name="Normal 16 2 2 2 3" xfId="5742" xr:uid="{00000000-0005-0000-0000-000079460000}"/>
    <cellStyle name="Normal 16 2 2 2 3 2" xfId="8842" xr:uid="{00000000-0005-0000-0000-00007A460000}"/>
    <cellStyle name="Normal 16 2 2 2 3 2 2" xfId="15035" xr:uid="{00000000-0005-0000-0000-00007B460000}"/>
    <cellStyle name="Normal 16 2 2 2 3 2 2 2" xfId="34955" xr:uid="{00000000-0005-0000-0000-00007C460000}"/>
    <cellStyle name="Normal 16 2 2 2 3 2 3" xfId="21187" xr:uid="{00000000-0005-0000-0000-00007D460000}"/>
    <cellStyle name="Normal 16 2 2 2 3 2 3 2" xfId="41107" xr:uid="{00000000-0005-0000-0000-00007E460000}"/>
    <cellStyle name="Normal 16 2 2 2 3 2 4" xfId="28802" xr:uid="{00000000-0005-0000-0000-00007F460000}"/>
    <cellStyle name="Normal 16 2 2 2 3 3" xfId="11969" xr:uid="{00000000-0005-0000-0000-000080460000}"/>
    <cellStyle name="Normal 16 2 2 2 3 3 2" xfId="31889" xr:uid="{00000000-0005-0000-0000-000081460000}"/>
    <cellStyle name="Normal 16 2 2 2 3 4" xfId="18121" xr:uid="{00000000-0005-0000-0000-000082460000}"/>
    <cellStyle name="Normal 16 2 2 2 3 4 2" xfId="38041" xr:uid="{00000000-0005-0000-0000-000083460000}"/>
    <cellStyle name="Normal 16 2 2 2 3 5" xfId="25736" xr:uid="{00000000-0005-0000-0000-000084460000}"/>
    <cellStyle name="Normal 16 2 2 2 4" xfId="7307" xr:uid="{00000000-0005-0000-0000-000085460000}"/>
    <cellStyle name="Normal 16 2 2 2 4 2" xfId="13501" xr:uid="{00000000-0005-0000-0000-000086460000}"/>
    <cellStyle name="Normal 16 2 2 2 4 2 2" xfId="33421" xr:uid="{00000000-0005-0000-0000-000087460000}"/>
    <cellStyle name="Normal 16 2 2 2 4 3" xfId="19653" xr:uid="{00000000-0005-0000-0000-000088460000}"/>
    <cellStyle name="Normal 16 2 2 2 4 3 2" xfId="39573" xr:uid="{00000000-0005-0000-0000-000089460000}"/>
    <cellStyle name="Normal 16 2 2 2 4 4" xfId="27268" xr:uid="{00000000-0005-0000-0000-00008A460000}"/>
    <cellStyle name="Normal 16 2 2 2 5" xfId="10435" xr:uid="{00000000-0005-0000-0000-00008B460000}"/>
    <cellStyle name="Normal 16 2 2 2 5 2" xfId="30355" xr:uid="{00000000-0005-0000-0000-00008C460000}"/>
    <cellStyle name="Normal 16 2 2 2 6" xfId="16587" xr:uid="{00000000-0005-0000-0000-00008D460000}"/>
    <cellStyle name="Normal 16 2 2 2 6 2" xfId="36507" xr:uid="{00000000-0005-0000-0000-00008E460000}"/>
    <cellStyle name="Normal 16 2 2 2 7" xfId="24202" xr:uid="{00000000-0005-0000-0000-00008F460000}"/>
    <cellStyle name="Normal 16 2 2 3" xfId="4899" xr:uid="{00000000-0005-0000-0000-000090460000}"/>
    <cellStyle name="Normal 16 2 2 3 2" xfId="6524" xr:uid="{00000000-0005-0000-0000-000091460000}"/>
    <cellStyle name="Normal 16 2 2 3 2 2" xfId="9610" xr:uid="{00000000-0005-0000-0000-000092460000}"/>
    <cellStyle name="Normal 16 2 2 3 2 2 2" xfId="15803" xr:uid="{00000000-0005-0000-0000-000093460000}"/>
    <cellStyle name="Normal 16 2 2 3 2 2 2 2" xfId="35723" xr:uid="{00000000-0005-0000-0000-000094460000}"/>
    <cellStyle name="Normal 16 2 2 3 2 2 3" xfId="21955" xr:uid="{00000000-0005-0000-0000-000095460000}"/>
    <cellStyle name="Normal 16 2 2 3 2 2 3 2" xfId="41875" xr:uid="{00000000-0005-0000-0000-000096460000}"/>
    <cellStyle name="Normal 16 2 2 3 2 2 4" xfId="29570" xr:uid="{00000000-0005-0000-0000-000097460000}"/>
    <cellStyle name="Normal 16 2 2 3 2 3" xfId="12737" xr:uid="{00000000-0005-0000-0000-000098460000}"/>
    <cellStyle name="Normal 16 2 2 3 2 3 2" xfId="32657" xr:uid="{00000000-0005-0000-0000-000099460000}"/>
    <cellStyle name="Normal 16 2 2 3 2 4" xfId="18889" xr:uid="{00000000-0005-0000-0000-00009A460000}"/>
    <cellStyle name="Normal 16 2 2 3 2 4 2" xfId="38809" xr:uid="{00000000-0005-0000-0000-00009B460000}"/>
    <cellStyle name="Normal 16 2 2 3 2 5" xfId="26504" xr:uid="{00000000-0005-0000-0000-00009C460000}"/>
    <cellStyle name="Normal 16 2 2 3 3" xfId="8075" xr:uid="{00000000-0005-0000-0000-00009D460000}"/>
    <cellStyle name="Normal 16 2 2 3 3 2" xfId="14269" xr:uid="{00000000-0005-0000-0000-00009E460000}"/>
    <cellStyle name="Normal 16 2 2 3 3 2 2" xfId="34189" xr:uid="{00000000-0005-0000-0000-00009F460000}"/>
    <cellStyle name="Normal 16 2 2 3 3 3" xfId="20421" xr:uid="{00000000-0005-0000-0000-0000A0460000}"/>
    <cellStyle name="Normal 16 2 2 3 3 3 2" xfId="40341" xr:uid="{00000000-0005-0000-0000-0000A1460000}"/>
    <cellStyle name="Normal 16 2 2 3 3 4" xfId="28036" xr:uid="{00000000-0005-0000-0000-0000A2460000}"/>
    <cellStyle name="Normal 16 2 2 3 4" xfId="11203" xr:uid="{00000000-0005-0000-0000-0000A3460000}"/>
    <cellStyle name="Normal 16 2 2 3 4 2" xfId="31123" xr:uid="{00000000-0005-0000-0000-0000A4460000}"/>
    <cellStyle name="Normal 16 2 2 3 5" xfId="17355" xr:uid="{00000000-0005-0000-0000-0000A5460000}"/>
    <cellStyle name="Normal 16 2 2 3 5 2" xfId="37275" xr:uid="{00000000-0005-0000-0000-0000A6460000}"/>
    <cellStyle name="Normal 16 2 2 3 6" xfId="24970" xr:uid="{00000000-0005-0000-0000-0000A7460000}"/>
    <cellStyle name="Normal 16 2 2 4" xfId="5741" xr:uid="{00000000-0005-0000-0000-0000A8460000}"/>
    <cellStyle name="Normal 16 2 2 4 2" xfId="8841" xr:uid="{00000000-0005-0000-0000-0000A9460000}"/>
    <cellStyle name="Normal 16 2 2 4 2 2" xfId="15034" xr:uid="{00000000-0005-0000-0000-0000AA460000}"/>
    <cellStyle name="Normal 16 2 2 4 2 2 2" xfId="34954" xr:uid="{00000000-0005-0000-0000-0000AB460000}"/>
    <cellStyle name="Normal 16 2 2 4 2 3" xfId="21186" xr:uid="{00000000-0005-0000-0000-0000AC460000}"/>
    <cellStyle name="Normal 16 2 2 4 2 3 2" xfId="41106" xr:uid="{00000000-0005-0000-0000-0000AD460000}"/>
    <cellStyle name="Normal 16 2 2 4 2 4" xfId="28801" xr:uid="{00000000-0005-0000-0000-0000AE460000}"/>
    <cellStyle name="Normal 16 2 2 4 3" xfId="11968" xr:uid="{00000000-0005-0000-0000-0000AF460000}"/>
    <cellStyle name="Normal 16 2 2 4 3 2" xfId="31888" xr:uid="{00000000-0005-0000-0000-0000B0460000}"/>
    <cellStyle name="Normal 16 2 2 4 4" xfId="18120" xr:uid="{00000000-0005-0000-0000-0000B1460000}"/>
    <cellStyle name="Normal 16 2 2 4 4 2" xfId="38040" xr:uid="{00000000-0005-0000-0000-0000B2460000}"/>
    <cellStyle name="Normal 16 2 2 4 5" xfId="25735" xr:uid="{00000000-0005-0000-0000-0000B3460000}"/>
    <cellStyle name="Normal 16 2 2 5" xfId="7306" xr:uid="{00000000-0005-0000-0000-0000B4460000}"/>
    <cellStyle name="Normal 16 2 2 5 2" xfId="13500" xr:uid="{00000000-0005-0000-0000-0000B5460000}"/>
    <cellStyle name="Normal 16 2 2 5 2 2" xfId="33420" xr:uid="{00000000-0005-0000-0000-0000B6460000}"/>
    <cellStyle name="Normal 16 2 2 5 3" xfId="19652" xr:uid="{00000000-0005-0000-0000-0000B7460000}"/>
    <cellStyle name="Normal 16 2 2 5 3 2" xfId="39572" xr:uid="{00000000-0005-0000-0000-0000B8460000}"/>
    <cellStyle name="Normal 16 2 2 5 4" xfId="27267" xr:uid="{00000000-0005-0000-0000-0000B9460000}"/>
    <cellStyle name="Normal 16 2 2 6" xfId="10434" xr:uid="{00000000-0005-0000-0000-0000BA460000}"/>
    <cellStyle name="Normal 16 2 2 6 2" xfId="30354" xr:uid="{00000000-0005-0000-0000-0000BB460000}"/>
    <cellStyle name="Normal 16 2 2 7" xfId="16586" xr:uid="{00000000-0005-0000-0000-0000BC460000}"/>
    <cellStyle name="Normal 16 2 2 7 2" xfId="36506" xr:uid="{00000000-0005-0000-0000-0000BD460000}"/>
    <cellStyle name="Normal 16 2 2 8" xfId="24201" xr:uid="{00000000-0005-0000-0000-0000BE460000}"/>
    <cellStyle name="Normal 16 2 3" xfId="3379" xr:uid="{00000000-0005-0000-0000-0000BF460000}"/>
    <cellStyle name="Normal 16 2 3 2" xfId="3380" xr:uid="{00000000-0005-0000-0000-0000C0460000}"/>
    <cellStyle name="Normal 16 2 3 2 2" xfId="4902" xr:uid="{00000000-0005-0000-0000-0000C1460000}"/>
    <cellStyle name="Normal 16 2 3 2 2 2" xfId="6527" xr:uid="{00000000-0005-0000-0000-0000C2460000}"/>
    <cellStyle name="Normal 16 2 3 2 2 2 2" xfId="9613" xr:uid="{00000000-0005-0000-0000-0000C3460000}"/>
    <cellStyle name="Normal 16 2 3 2 2 2 2 2" xfId="15806" xr:uid="{00000000-0005-0000-0000-0000C4460000}"/>
    <cellStyle name="Normal 16 2 3 2 2 2 2 2 2" xfId="35726" xr:uid="{00000000-0005-0000-0000-0000C5460000}"/>
    <cellStyle name="Normal 16 2 3 2 2 2 2 3" xfId="21958" xr:uid="{00000000-0005-0000-0000-0000C6460000}"/>
    <cellStyle name="Normal 16 2 3 2 2 2 2 3 2" xfId="41878" xr:uid="{00000000-0005-0000-0000-0000C7460000}"/>
    <cellStyle name="Normal 16 2 3 2 2 2 2 4" xfId="29573" xr:uid="{00000000-0005-0000-0000-0000C8460000}"/>
    <cellStyle name="Normal 16 2 3 2 2 2 3" xfId="12740" xr:uid="{00000000-0005-0000-0000-0000C9460000}"/>
    <cellStyle name="Normal 16 2 3 2 2 2 3 2" xfId="32660" xr:uid="{00000000-0005-0000-0000-0000CA460000}"/>
    <cellStyle name="Normal 16 2 3 2 2 2 4" xfId="18892" xr:uid="{00000000-0005-0000-0000-0000CB460000}"/>
    <cellStyle name="Normal 16 2 3 2 2 2 4 2" xfId="38812" xr:uid="{00000000-0005-0000-0000-0000CC460000}"/>
    <cellStyle name="Normal 16 2 3 2 2 2 5" xfId="26507" xr:uid="{00000000-0005-0000-0000-0000CD460000}"/>
    <cellStyle name="Normal 16 2 3 2 2 3" xfId="8078" xr:uid="{00000000-0005-0000-0000-0000CE460000}"/>
    <cellStyle name="Normal 16 2 3 2 2 3 2" xfId="14272" xr:uid="{00000000-0005-0000-0000-0000CF460000}"/>
    <cellStyle name="Normal 16 2 3 2 2 3 2 2" xfId="34192" xr:uid="{00000000-0005-0000-0000-0000D0460000}"/>
    <cellStyle name="Normal 16 2 3 2 2 3 3" xfId="20424" xr:uid="{00000000-0005-0000-0000-0000D1460000}"/>
    <cellStyle name="Normal 16 2 3 2 2 3 3 2" xfId="40344" xr:uid="{00000000-0005-0000-0000-0000D2460000}"/>
    <cellStyle name="Normal 16 2 3 2 2 3 4" xfId="28039" xr:uid="{00000000-0005-0000-0000-0000D3460000}"/>
    <cellStyle name="Normal 16 2 3 2 2 4" xfId="11206" xr:uid="{00000000-0005-0000-0000-0000D4460000}"/>
    <cellStyle name="Normal 16 2 3 2 2 4 2" xfId="31126" xr:uid="{00000000-0005-0000-0000-0000D5460000}"/>
    <cellStyle name="Normal 16 2 3 2 2 5" xfId="17358" xr:uid="{00000000-0005-0000-0000-0000D6460000}"/>
    <cellStyle name="Normal 16 2 3 2 2 5 2" xfId="37278" xr:uid="{00000000-0005-0000-0000-0000D7460000}"/>
    <cellStyle name="Normal 16 2 3 2 2 6" xfId="24973" xr:uid="{00000000-0005-0000-0000-0000D8460000}"/>
    <cellStyle name="Normal 16 2 3 2 3" xfId="5744" xr:uid="{00000000-0005-0000-0000-0000D9460000}"/>
    <cellStyle name="Normal 16 2 3 2 3 2" xfId="8844" xr:uid="{00000000-0005-0000-0000-0000DA460000}"/>
    <cellStyle name="Normal 16 2 3 2 3 2 2" xfId="15037" xr:uid="{00000000-0005-0000-0000-0000DB460000}"/>
    <cellStyle name="Normal 16 2 3 2 3 2 2 2" xfId="34957" xr:uid="{00000000-0005-0000-0000-0000DC460000}"/>
    <cellStyle name="Normal 16 2 3 2 3 2 3" xfId="21189" xr:uid="{00000000-0005-0000-0000-0000DD460000}"/>
    <cellStyle name="Normal 16 2 3 2 3 2 3 2" xfId="41109" xr:uid="{00000000-0005-0000-0000-0000DE460000}"/>
    <cellStyle name="Normal 16 2 3 2 3 2 4" xfId="28804" xr:uid="{00000000-0005-0000-0000-0000DF460000}"/>
    <cellStyle name="Normal 16 2 3 2 3 3" xfId="11971" xr:uid="{00000000-0005-0000-0000-0000E0460000}"/>
    <cellStyle name="Normal 16 2 3 2 3 3 2" xfId="31891" xr:uid="{00000000-0005-0000-0000-0000E1460000}"/>
    <cellStyle name="Normal 16 2 3 2 3 4" xfId="18123" xr:uid="{00000000-0005-0000-0000-0000E2460000}"/>
    <cellStyle name="Normal 16 2 3 2 3 4 2" xfId="38043" xr:uid="{00000000-0005-0000-0000-0000E3460000}"/>
    <cellStyle name="Normal 16 2 3 2 3 5" xfId="25738" xr:uid="{00000000-0005-0000-0000-0000E4460000}"/>
    <cellStyle name="Normal 16 2 3 2 4" xfId="7309" xr:uid="{00000000-0005-0000-0000-0000E5460000}"/>
    <cellStyle name="Normal 16 2 3 2 4 2" xfId="13503" xr:uid="{00000000-0005-0000-0000-0000E6460000}"/>
    <cellStyle name="Normal 16 2 3 2 4 2 2" xfId="33423" xr:uid="{00000000-0005-0000-0000-0000E7460000}"/>
    <cellStyle name="Normal 16 2 3 2 4 3" xfId="19655" xr:uid="{00000000-0005-0000-0000-0000E8460000}"/>
    <cellStyle name="Normal 16 2 3 2 4 3 2" xfId="39575" xr:uid="{00000000-0005-0000-0000-0000E9460000}"/>
    <cellStyle name="Normal 16 2 3 2 4 4" xfId="27270" xr:uid="{00000000-0005-0000-0000-0000EA460000}"/>
    <cellStyle name="Normal 16 2 3 2 5" xfId="10437" xr:uid="{00000000-0005-0000-0000-0000EB460000}"/>
    <cellStyle name="Normal 16 2 3 2 5 2" xfId="30357" xr:uid="{00000000-0005-0000-0000-0000EC460000}"/>
    <cellStyle name="Normal 16 2 3 2 6" xfId="16589" xr:uid="{00000000-0005-0000-0000-0000ED460000}"/>
    <cellStyle name="Normal 16 2 3 2 6 2" xfId="36509" xr:uid="{00000000-0005-0000-0000-0000EE460000}"/>
    <cellStyle name="Normal 16 2 3 2 7" xfId="24204" xr:uid="{00000000-0005-0000-0000-0000EF460000}"/>
    <cellStyle name="Normal 16 2 3 3" xfId="4901" xr:uid="{00000000-0005-0000-0000-0000F0460000}"/>
    <cellStyle name="Normal 16 2 3 3 2" xfId="6526" xr:uid="{00000000-0005-0000-0000-0000F1460000}"/>
    <cellStyle name="Normal 16 2 3 3 2 2" xfId="9612" xr:uid="{00000000-0005-0000-0000-0000F2460000}"/>
    <cellStyle name="Normal 16 2 3 3 2 2 2" xfId="15805" xr:uid="{00000000-0005-0000-0000-0000F3460000}"/>
    <cellStyle name="Normal 16 2 3 3 2 2 2 2" xfId="35725" xr:uid="{00000000-0005-0000-0000-0000F4460000}"/>
    <cellStyle name="Normal 16 2 3 3 2 2 3" xfId="21957" xr:uid="{00000000-0005-0000-0000-0000F5460000}"/>
    <cellStyle name="Normal 16 2 3 3 2 2 3 2" xfId="41877" xr:uid="{00000000-0005-0000-0000-0000F6460000}"/>
    <cellStyle name="Normal 16 2 3 3 2 2 4" xfId="29572" xr:uid="{00000000-0005-0000-0000-0000F7460000}"/>
    <cellStyle name="Normal 16 2 3 3 2 3" xfId="12739" xr:uid="{00000000-0005-0000-0000-0000F8460000}"/>
    <cellStyle name="Normal 16 2 3 3 2 3 2" xfId="32659" xr:uid="{00000000-0005-0000-0000-0000F9460000}"/>
    <cellStyle name="Normal 16 2 3 3 2 4" xfId="18891" xr:uid="{00000000-0005-0000-0000-0000FA460000}"/>
    <cellStyle name="Normal 16 2 3 3 2 4 2" xfId="38811" xr:uid="{00000000-0005-0000-0000-0000FB460000}"/>
    <cellStyle name="Normal 16 2 3 3 2 5" xfId="26506" xr:uid="{00000000-0005-0000-0000-0000FC460000}"/>
    <cellStyle name="Normal 16 2 3 3 3" xfId="8077" xr:uid="{00000000-0005-0000-0000-0000FD460000}"/>
    <cellStyle name="Normal 16 2 3 3 3 2" xfId="14271" xr:uid="{00000000-0005-0000-0000-0000FE460000}"/>
    <cellStyle name="Normal 16 2 3 3 3 2 2" xfId="34191" xr:uid="{00000000-0005-0000-0000-0000FF460000}"/>
    <cellStyle name="Normal 16 2 3 3 3 3" xfId="20423" xr:uid="{00000000-0005-0000-0000-000000470000}"/>
    <cellStyle name="Normal 16 2 3 3 3 3 2" xfId="40343" xr:uid="{00000000-0005-0000-0000-000001470000}"/>
    <cellStyle name="Normal 16 2 3 3 3 4" xfId="28038" xr:uid="{00000000-0005-0000-0000-000002470000}"/>
    <cellStyle name="Normal 16 2 3 3 4" xfId="11205" xr:uid="{00000000-0005-0000-0000-000003470000}"/>
    <cellStyle name="Normal 16 2 3 3 4 2" xfId="31125" xr:uid="{00000000-0005-0000-0000-000004470000}"/>
    <cellStyle name="Normal 16 2 3 3 5" xfId="17357" xr:uid="{00000000-0005-0000-0000-000005470000}"/>
    <cellStyle name="Normal 16 2 3 3 5 2" xfId="37277" xr:uid="{00000000-0005-0000-0000-000006470000}"/>
    <cellStyle name="Normal 16 2 3 3 6" xfId="24972" xr:uid="{00000000-0005-0000-0000-000007470000}"/>
    <cellStyle name="Normal 16 2 3 4" xfId="5743" xr:uid="{00000000-0005-0000-0000-000008470000}"/>
    <cellStyle name="Normal 16 2 3 4 2" xfId="8843" xr:uid="{00000000-0005-0000-0000-000009470000}"/>
    <cellStyle name="Normal 16 2 3 4 2 2" xfId="15036" xr:uid="{00000000-0005-0000-0000-00000A470000}"/>
    <cellStyle name="Normal 16 2 3 4 2 2 2" xfId="34956" xr:uid="{00000000-0005-0000-0000-00000B470000}"/>
    <cellStyle name="Normal 16 2 3 4 2 3" xfId="21188" xr:uid="{00000000-0005-0000-0000-00000C470000}"/>
    <cellStyle name="Normal 16 2 3 4 2 3 2" xfId="41108" xr:uid="{00000000-0005-0000-0000-00000D470000}"/>
    <cellStyle name="Normal 16 2 3 4 2 4" xfId="28803" xr:uid="{00000000-0005-0000-0000-00000E470000}"/>
    <cellStyle name="Normal 16 2 3 4 3" xfId="11970" xr:uid="{00000000-0005-0000-0000-00000F470000}"/>
    <cellStyle name="Normal 16 2 3 4 3 2" xfId="31890" xr:uid="{00000000-0005-0000-0000-000010470000}"/>
    <cellStyle name="Normal 16 2 3 4 4" xfId="18122" xr:uid="{00000000-0005-0000-0000-000011470000}"/>
    <cellStyle name="Normal 16 2 3 4 4 2" xfId="38042" xr:uid="{00000000-0005-0000-0000-000012470000}"/>
    <cellStyle name="Normal 16 2 3 4 5" xfId="25737" xr:uid="{00000000-0005-0000-0000-000013470000}"/>
    <cellStyle name="Normal 16 2 3 5" xfId="7308" xr:uid="{00000000-0005-0000-0000-000014470000}"/>
    <cellStyle name="Normal 16 2 3 5 2" xfId="13502" xr:uid="{00000000-0005-0000-0000-000015470000}"/>
    <cellStyle name="Normal 16 2 3 5 2 2" xfId="33422" xr:uid="{00000000-0005-0000-0000-000016470000}"/>
    <cellStyle name="Normal 16 2 3 5 3" xfId="19654" xr:uid="{00000000-0005-0000-0000-000017470000}"/>
    <cellStyle name="Normal 16 2 3 5 3 2" xfId="39574" xr:uid="{00000000-0005-0000-0000-000018470000}"/>
    <cellStyle name="Normal 16 2 3 5 4" xfId="27269" xr:uid="{00000000-0005-0000-0000-000019470000}"/>
    <cellStyle name="Normal 16 2 3 6" xfId="10436" xr:uid="{00000000-0005-0000-0000-00001A470000}"/>
    <cellStyle name="Normal 16 2 3 6 2" xfId="30356" xr:uid="{00000000-0005-0000-0000-00001B470000}"/>
    <cellStyle name="Normal 16 2 3 7" xfId="16588" xr:uid="{00000000-0005-0000-0000-00001C470000}"/>
    <cellStyle name="Normal 16 2 3 7 2" xfId="36508" xr:uid="{00000000-0005-0000-0000-00001D470000}"/>
    <cellStyle name="Normal 16 2 3 8" xfId="24203" xr:uid="{00000000-0005-0000-0000-00001E470000}"/>
    <cellStyle name="Normal 16 2 4" xfId="3381" xr:uid="{00000000-0005-0000-0000-00001F470000}"/>
    <cellStyle name="Normal 16 2 4 2" xfId="4903" xr:uid="{00000000-0005-0000-0000-000020470000}"/>
    <cellStyle name="Normal 16 2 4 2 2" xfId="6528" xr:uid="{00000000-0005-0000-0000-000021470000}"/>
    <cellStyle name="Normal 16 2 4 2 2 2" xfId="9614" xr:uid="{00000000-0005-0000-0000-000022470000}"/>
    <cellStyle name="Normal 16 2 4 2 2 2 2" xfId="15807" xr:uid="{00000000-0005-0000-0000-000023470000}"/>
    <cellStyle name="Normal 16 2 4 2 2 2 2 2" xfId="35727" xr:uid="{00000000-0005-0000-0000-000024470000}"/>
    <cellStyle name="Normal 16 2 4 2 2 2 3" xfId="21959" xr:uid="{00000000-0005-0000-0000-000025470000}"/>
    <cellStyle name="Normal 16 2 4 2 2 2 3 2" xfId="41879" xr:uid="{00000000-0005-0000-0000-000026470000}"/>
    <cellStyle name="Normal 16 2 4 2 2 2 4" xfId="29574" xr:uid="{00000000-0005-0000-0000-000027470000}"/>
    <cellStyle name="Normal 16 2 4 2 2 3" xfId="12741" xr:uid="{00000000-0005-0000-0000-000028470000}"/>
    <cellStyle name="Normal 16 2 4 2 2 3 2" xfId="32661" xr:uid="{00000000-0005-0000-0000-000029470000}"/>
    <cellStyle name="Normal 16 2 4 2 2 4" xfId="18893" xr:uid="{00000000-0005-0000-0000-00002A470000}"/>
    <cellStyle name="Normal 16 2 4 2 2 4 2" xfId="38813" xr:uid="{00000000-0005-0000-0000-00002B470000}"/>
    <cellStyle name="Normal 16 2 4 2 2 5" xfId="26508" xr:uid="{00000000-0005-0000-0000-00002C470000}"/>
    <cellStyle name="Normal 16 2 4 2 3" xfId="8079" xr:uid="{00000000-0005-0000-0000-00002D470000}"/>
    <cellStyle name="Normal 16 2 4 2 3 2" xfId="14273" xr:uid="{00000000-0005-0000-0000-00002E470000}"/>
    <cellStyle name="Normal 16 2 4 2 3 2 2" xfId="34193" xr:uid="{00000000-0005-0000-0000-00002F470000}"/>
    <cellStyle name="Normal 16 2 4 2 3 3" xfId="20425" xr:uid="{00000000-0005-0000-0000-000030470000}"/>
    <cellStyle name="Normal 16 2 4 2 3 3 2" xfId="40345" xr:uid="{00000000-0005-0000-0000-000031470000}"/>
    <cellStyle name="Normal 16 2 4 2 3 4" xfId="28040" xr:uid="{00000000-0005-0000-0000-000032470000}"/>
    <cellStyle name="Normal 16 2 4 2 4" xfId="11207" xr:uid="{00000000-0005-0000-0000-000033470000}"/>
    <cellStyle name="Normal 16 2 4 2 4 2" xfId="31127" xr:uid="{00000000-0005-0000-0000-000034470000}"/>
    <cellStyle name="Normal 16 2 4 2 5" xfId="17359" xr:uid="{00000000-0005-0000-0000-000035470000}"/>
    <cellStyle name="Normal 16 2 4 2 5 2" xfId="37279" xr:uid="{00000000-0005-0000-0000-000036470000}"/>
    <cellStyle name="Normal 16 2 4 2 6" xfId="24974" xr:uid="{00000000-0005-0000-0000-000037470000}"/>
    <cellStyle name="Normal 16 2 4 3" xfId="5745" xr:uid="{00000000-0005-0000-0000-000038470000}"/>
    <cellStyle name="Normal 16 2 4 3 2" xfId="8845" xr:uid="{00000000-0005-0000-0000-000039470000}"/>
    <cellStyle name="Normal 16 2 4 3 2 2" xfId="15038" xr:uid="{00000000-0005-0000-0000-00003A470000}"/>
    <cellStyle name="Normal 16 2 4 3 2 2 2" xfId="34958" xr:uid="{00000000-0005-0000-0000-00003B470000}"/>
    <cellStyle name="Normal 16 2 4 3 2 3" xfId="21190" xr:uid="{00000000-0005-0000-0000-00003C470000}"/>
    <cellStyle name="Normal 16 2 4 3 2 3 2" xfId="41110" xr:uid="{00000000-0005-0000-0000-00003D470000}"/>
    <cellStyle name="Normal 16 2 4 3 2 4" xfId="28805" xr:uid="{00000000-0005-0000-0000-00003E470000}"/>
    <cellStyle name="Normal 16 2 4 3 3" xfId="11972" xr:uid="{00000000-0005-0000-0000-00003F470000}"/>
    <cellStyle name="Normal 16 2 4 3 3 2" xfId="31892" xr:uid="{00000000-0005-0000-0000-000040470000}"/>
    <cellStyle name="Normal 16 2 4 3 4" xfId="18124" xr:uid="{00000000-0005-0000-0000-000041470000}"/>
    <cellStyle name="Normal 16 2 4 3 4 2" xfId="38044" xr:uid="{00000000-0005-0000-0000-000042470000}"/>
    <cellStyle name="Normal 16 2 4 3 5" xfId="25739" xr:uid="{00000000-0005-0000-0000-000043470000}"/>
    <cellStyle name="Normal 16 2 4 4" xfId="7310" xr:uid="{00000000-0005-0000-0000-000044470000}"/>
    <cellStyle name="Normal 16 2 4 4 2" xfId="13504" xr:uid="{00000000-0005-0000-0000-000045470000}"/>
    <cellStyle name="Normal 16 2 4 4 2 2" xfId="33424" xr:uid="{00000000-0005-0000-0000-000046470000}"/>
    <cellStyle name="Normal 16 2 4 4 3" xfId="19656" xr:uid="{00000000-0005-0000-0000-000047470000}"/>
    <cellStyle name="Normal 16 2 4 4 3 2" xfId="39576" xr:uid="{00000000-0005-0000-0000-000048470000}"/>
    <cellStyle name="Normal 16 2 4 4 4" xfId="27271" xr:uid="{00000000-0005-0000-0000-000049470000}"/>
    <cellStyle name="Normal 16 2 4 5" xfId="10438" xr:uid="{00000000-0005-0000-0000-00004A470000}"/>
    <cellStyle name="Normal 16 2 4 5 2" xfId="30358" xr:uid="{00000000-0005-0000-0000-00004B470000}"/>
    <cellStyle name="Normal 16 2 4 6" xfId="16590" xr:uid="{00000000-0005-0000-0000-00004C470000}"/>
    <cellStyle name="Normal 16 2 4 6 2" xfId="36510" xr:uid="{00000000-0005-0000-0000-00004D470000}"/>
    <cellStyle name="Normal 16 2 4 7" xfId="24205" xr:uid="{00000000-0005-0000-0000-00004E470000}"/>
    <cellStyle name="Normal 16 2 5" xfId="4898" xr:uid="{00000000-0005-0000-0000-00004F470000}"/>
    <cellStyle name="Normal 16 2 5 2" xfId="6523" xr:uid="{00000000-0005-0000-0000-000050470000}"/>
    <cellStyle name="Normal 16 2 5 2 2" xfId="9609" xr:uid="{00000000-0005-0000-0000-000051470000}"/>
    <cellStyle name="Normal 16 2 5 2 2 2" xfId="15802" xr:uid="{00000000-0005-0000-0000-000052470000}"/>
    <cellStyle name="Normal 16 2 5 2 2 2 2" xfId="35722" xr:uid="{00000000-0005-0000-0000-000053470000}"/>
    <cellStyle name="Normal 16 2 5 2 2 3" xfId="21954" xr:uid="{00000000-0005-0000-0000-000054470000}"/>
    <cellStyle name="Normal 16 2 5 2 2 3 2" xfId="41874" xr:uid="{00000000-0005-0000-0000-000055470000}"/>
    <cellStyle name="Normal 16 2 5 2 2 4" xfId="29569" xr:uid="{00000000-0005-0000-0000-000056470000}"/>
    <cellStyle name="Normal 16 2 5 2 3" xfId="12736" xr:uid="{00000000-0005-0000-0000-000057470000}"/>
    <cellStyle name="Normal 16 2 5 2 3 2" xfId="32656" xr:uid="{00000000-0005-0000-0000-000058470000}"/>
    <cellStyle name="Normal 16 2 5 2 4" xfId="18888" xr:uid="{00000000-0005-0000-0000-000059470000}"/>
    <cellStyle name="Normal 16 2 5 2 4 2" xfId="38808" xr:uid="{00000000-0005-0000-0000-00005A470000}"/>
    <cellStyle name="Normal 16 2 5 2 5" xfId="26503" xr:uid="{00000000-0005-0000-0000-00005B470000}"/>
    <cellStyle name="Normal 16 2 5 3" xfId="8074" xr:uid="{00000000-0005-0000-0000-00005C470000}"/>
    <cellStyle name="Normal 16 2 5 3 2" xfId="14268" xr:uid="{00000000-0005-0000-0000-00005D470000}"/>
    <cellStyle name="Normal 16 2 5 3 2 2" xfId="34188" xr:uid="{00000000-0005-0000-0000-00005E470000}"/>
    <cellStyle name="Normal 16 2 5 3 3" xfId="20420" xr:uid="{00000000-0005-0000-0000-00005F470000}"/>
    <cellStyle name="Normal 16 2 5 3 3 2" xfId="40340" xr:uid="{00000000-0005-0000-0000-000060470000}"/>
    <cellStyle name="Normal 16 2 5 3 4" xfId="28035" xr:uid="{00000000-0005-0000-0000-000061470000}"/>
    <cellStyle name="Normal 16 2 5 4" xfId="11202" xr:uid="{00000000-0005-0000-0000-000062470000}"/>
    <cellStyle name="Normal 16 2 5 4 2" xfId="31122" xr:uid="{00000000-0005-0000-0000-000063470000}"/>
    <cellStyle name="Normal 16 2 5 5" xfId="17354" xr:uid="{00000000-0005-0000-0000-000064470000}"/>
    <cellStyle name="Normal 16 2 5 5 2" xfId="37274" xr:uid="{00000000-0005-0000-0000-000065470000}"/>
    <cellStyle name="Normal 16 2 5 6" xfId="24969" xr:uid="{00000000-0005-0000-0000-000066470000}"/>
    <cellStyle name="Normal 16 2 6" xfId="5740" xr:uid="{00000000-0005-0000-0000-000067470000}"/>
    <cellStyle name="Normal 16 2 6 2" xfId="8840" xr:uid="{00000000-0005-0000-0000-000068470000}"/>
    <cellStyle name="Normal 16 2 6 2 2" xfId="15033" xr:uid="{00000000-0005-0000-0000-000069470000}"/>
    <cellStyle name="Normal 16 2 6 2 2 2" xfId="34953" xr:uid="{00000000-0005-0000-0000-00006A470000}"/>
    <cellStyle name="Normal 16 2 6 2 3" xfId="21185" xr:uid="{00000000-0005-0000-0000-00006B470000}"/>
    <cellStyle name="Normal 16 2 6 2 3 2" xfId="41105" xr:uid="{00000000-0005-0000-0000-00006C470000}"/>
    <cellStyle name="Normal 16 2 6 2 4" xfId="28800" xr:uid="{00000000-0005-0000-0000-00006D470000}"/>
    <cellStyle name="Normal 16 2 6 3" xfId="11967" xr:uid="{00000000-0005-0000-0000-00006E470000}"/>
    <cellStyle name="Normal 16 2 6 3 2" xfId="31887" xr:uid="{00000000-0005-0000-0000-00006F470000}"/>
    <cellStyle name="Normal 16 2 6 4" xfId="18119" xr:uid="{00000000-0005-0000-0000-000070470000}"/>
    <cellStyle name="Normal 16 2 6 4 2" xfId="38039" xr:uid="{00000000-0005-0000-0000-000071470000}"/>
    <cellStyle name="Normal 16 2 6 5" xfId="25734" xr:uid="{00000000-0005-0000-0000-000072470000}"/>
    <cellStyle name="Normal 16 2 7" xfId="7305" xr:uid="{00000000-0005-0000-0000-000073470000}"/>
    <cellStyle name="Normal 16 2 7 2" xfId="13499" xr:uid="{00000000-0005-0000-0000-000074470000}"/>
    <cellStyle name="Normal 16 2 7 2 2" xfId="33419" xr:uid="{00000000-0005-0000-0000-000075470000}"/>
    <cellStyle name="Normal 16 2 7 3" xfId="19651" xr:uid="{00000000-0005-0000-0000-000076470000}"/>
    <cellStyle name="Normal 16 2 7 3 2" xfId="39571" xr:uid="{00000000-0005-0000-0000-000077470000}"/>
    <cellStyle name="Normal 16 2 7 4" xfId="27266" xr:uid="{00000000-0005-0000-0000-000078470000}"/>
    <cellStyle name="Normal 16 2 8" xfId="10433" xr:uid="{00000000-0005-0000-0000-000079470000}"/>
    <cellStyle name="Normal 16 2 8 2" xfId="30353" xr:uid="{00000000-0005-0000-0000-00007A470000}"/>
    <cellStyle name="Normal 16 2 9" xfId="16585" xr:uid="{00000000-0005-0000-0000-00007B470000}"/>
    <cellStyle name="Normal 16 2 9 2" xfId="36505" xr:uid="{00000000-0005-0000-0000-00007C470000}"/>
    <cellStyle name="Normal 16 3" xfId="3382" xr:uid="{00000000-0005-0000-0000-00007D470000}"/>
    <cellStyle name="Normal 16 3 2" xfId="3383" xr:uid="{00000000-0005-0000-0000-00007E470000}"/>
    <cellStyle name="Normal 16 3 2 2" xfId="4905" xr:uid="{00000000-0005-0000-0000-00007F470000}"/>
    <cellStyle name="Normal 16 3 2 2 2" xfId="6530" xr:uid="{00000000-0005-0000-0000-000080470000}"/>
    <cellStyle name="Normal 16 3 2 2 2 2" xfId="9616" xr:uid="{00000000-0005-0000-0000-000081470000}"/>
    <cellStyle name="Normal 16 3 2 2 2 2 2" xfId="15809" xr:uid="{00000000-0005-0000-0000-000082470000}"/>
    <cellStyle name="Normal 16 3 2 2 2 2 2 2" xfId="35729" xr:uid="{00000000-0005-0000-0000-000083470000}"/>
    <cellStyle name="Normal 16 3 2 2 2 2 3" xfId="21961" xr:uid="{00000000-0005-0000-0000-000084470000}"/>
    <cellStyle name="Normal 16 3 2 2 2 2 3 2" xfId="41881" xr:uid="{00000000-0005-0000-0000-000085470000}"/>
    <cellStyle name="Normal 16 3 2 2 2 2 4" xfId="29576" xr:uid="{00000000-0005-0000-0000-000086470000}"/>
    <cellStyle name="Normal 16 3 2 2 2 3" xfId="12743" xr:uid="{00000000-0005-0000-0000-000087470000}"/>
    <cellStyle name="Normal 16 3 2 2 2 3 2" xfId="32663" xr:uid="{00000000-0005-0000-0000-000088470000}"/>
    <cellStyle name="Normal 16 3 2 2 2 4" xfId="18895" xr:uid="{00000000-0005-0000-0000-000089470000}"/>
    <cellStyle name="Normal 16 3 2 2 2 4 2" xfId="38815" xr:uid="{00000000-0005-0000-0000-00008A470000}"/>
    <cellStyle name="Normal 16 3 2 2 2 5" xfId="26510" xr:uid="{00000000-0005-0000-0000-00008B470000}"/>
    <cellStyle name="Normal 16 3 2 2 3" xfId="8081" xr:uid="{00000000-0005-0000-0000-00008C470000}"/>
    <cellStyle name="Normal 16 3 2 2 3 2" xfId="14275" xr:uid="{00000000-0005-0000-0000-00008D470000}"/>
    <cellStyle name="Normal 16 3 2 2 3 2 2" xfId="34195" xr:uid="{00000000-0005-0000-0000-00008E470000}"/>
    <cellStyle name="Normal 16 3 2 2 3 3" xfId="20427" xr:uid="{00000000-0005-0000-0000-00008F470000}"/>
    <cellStyle name="Normal 16 3 2 2 3 3 2" xfId="40347" xr:uid="{00000000-0005-0000-0000-000090470000}"/>
    <cellStyle name="Normal 16 3 2 2 3 4" xfId="28042" xr:uid="{00000000-0005-0000-0000-000091470000}"/>
    <cellStyle name="Normal 16 3 2 2 4" xfId="11209" xr:uid="{00000000-0005-0000-0000-000092470000}"/>
    <cellStyle name="Normal 16 3 2 2 4 2" xfId="31129" xr:uid="{00000000-0005-0000-0000-000093470000}"/>
    <cellStyle name="Normal 16 3 2 2 5" xfId="17361" xr:uid="{00000000-0005-0000-0000-000094470000}"/>
    <cellStyle name="Normal 16 3 2 2 5 2" xfId="37281" xr:uid="{00000000-0005-0000-0000-000095470000}"/>
    <cellStyle name="Normal 16 3 2 2 6" xfId="24976" xr:uid="{00000000-0005-0000-0000-000096470000}"/>
    <cellStyle name="Normal 16 3 2 3" xfId="5747" xr:uid="{00000000-0005-0000-0000-000097470000}"/>
    <cellStyle name="Normal 16 3 2 3 2" xfId="8847" xr:uid="{00000000-0005-0000-0000-000098470000}"/>
    <cellStyle name="Normal 16 3 2 3 2 2" xfId="15040" xr:uid="{00000000-0005-0000-0000-000099470000}"/>
    <cellStyle name="Normal 16 3 2 3 2 2 2" xfId="34960" xr:uid="{00000000-0005-0000-0000-00009A470000}"/>
    <cellStyle name="Normal 16 3 2 3 2 3" xfId="21192" xr:uid="{00000000-0005-0000-0000-00009B470000}"/>
    <cellStyle name="Normal 16 3 2 3 2 3 2" xfId="41112" xr:uid="{00000000-0005-0000-0000-00009C470000}"/>
    <cellStyle name="Normal 16 3 2 3 2 4" xfId="28807" xr:uid="{00000000-0005-0000-0000-00009D470000}"/>
    <cellStyle name="Normal 16 3 2 3 3" xfId="11974" xr:uid="{00000000-0005-0000-0000-00009E470000}"/>
    <cellStyle name="Normal 16 3 2 3 3 2" xfId="31894" xr:uid="{00000000-0005-0000-0000-00009F470000}"/>
    <cellStyle name="Normal 16 3 2 3 4" xfId="18126" xr:uid="{00000000-0005-0000-0000-0000A0470000}"/>
    <cellStyle name="Normal 16 3 2 3 4 2" xfId="38046" xr:uid="{00000000-0005-0000-0000-0000A1470000}"/>
    <cellStyle name="Normal 16 3 2 3 5" xfId="25741" xr:uid="{00000000-0005-0000-0000-0000A2470000}"/>
    <cellStyle name="Normal 16 3 2 4" xfId="7312" xr:uid="{00000000-0005-0000-0000-0000A3470000}"/>
    <cellStyle name="Normal 16 3 2 4 2" xfId="13506" xr:uid="{00000000-0005-0000-0000-0000A4470000}"/>
    <cellStyle name="Normal 16 3 2 4 2 2" xfId="33426" xr:uid="{00000000-0005-0000-0000-0000A5470000}"/>
    <cellStyle name="Normal 16 3 2 4 3" xfId="19658" xr:uid="{00000000-0005-0000-0000-0000A6470000}"/>
    <cellStyle name="Normal 16 3 2 4 3 2" xfId="39578" xr:uid="{00000000-0005-0000-0000-0000A7470000}"/>
    <cellStyle name="Normal 16 3 2 4 4" xfId="27273" xr:uid="{00000000-0005-0000-0000-0000A8470000}"/>
    <cellStyle name="Normal 16 3 2 5" xfId="10440" xr:uid="{00000000-0005-0000-0000-0000A9470000}"/>
    <cellStyle name="Normal 16 3 2 5 2" xfId="30360" xr:uid="{00000000-0005-0000-0000-0000AA470000}"/>
    <cellStyle name="Normal 16 3 2 6" xfId="16592" xr:uid="{00000000-0005-0000-0000-0000AB470000}"/>
    <cellStyle name="Normal 16 3 2 6 2" xfId="36512" xr:uid="{00000000-0005-0000-0000-0000AC470000}"/>
    <cellStyle name="Normal 16 3 2 7" xfId="24207" xr:uid="{00000000-0005-0000-0000-0000AD470000}"/>
    <cellStyle name="Normal 16 3 3" xfId="4904" xr:uid="{00000000-0005-0000-0000-0000AE470000}"/>
    <cellStyle name="Normal 16 3 3 2" xfId="6529" xr:uid="{00000000-0005-0000-0000-0000AF470000}"/>
    <cellStyle name="Normal 16 3 3 2 2" xfId="9615" xr:uid="{00000000-0005-0000-0000-0000B0470000}"/>
    <cellStyle name="Normal 16 3 3 2 2 2" xfId="15808" xr:uid="{00000000-0005-0000-0000-0000B1470000}"/>
    <cellStyle name="Normal 16 3 3 2 2 2 2" xfId="35728" xr:uid="{00000000-0005-0000-0000-0000B2470000}"/>
    <cellStyle name="Normal 16 3 3 2 2 3" xfId="21960" xr:uid="{00000000-0005-0000-0000-0000B3470000}"/>
    <cellStyle name="Normal 16 3 3 2 2 3 2" xfId="41880" xr:uid="{00000000-0005-0000-0000-0000B4470000}"/>
    <cellStyle name="Normal 16 3 3 2 2 4" xfId="29575" xr:uid="{00000000-0005-0000-0000-0000B5470000}"/>
    <cellStyle name="Normal 16 3 3 2 3" xfId="12742" xr:uid="{00000000-0005-0000-0000-0000B6470000}"/>
    <cellStyle name="Normal 16 3 3 2 3 2" xfId="32662" xr:uid="{00000000-0005-0000-0000-0000B7470000}"/>
    <cellStyle name="Normal 16 3 3 2 4" xfId="18894" xr:uid="{00000000-0005-0000-0000-0000B8470000}"/>
    <cellStyle name="Normal 16 3 3 2 4 2" xfId="38814" xr:uid="{00000000-0005-0000-0000-0000B9470000}"/>
    <cellStyle name="Normal 16 3 3 2 5" xfId="26509" xr:uid="{00000000-0005-0000-0000-0000BA470000}"/>
    <cellStyle name="Normal 16 3 3 3" xfId="8080" xr:uid="{00000000-0005-0000-0000-0000BB470000}"/>
    <cellStyle name="Normal 16 3 3 3 2" xfId="14274" xr:uid="{00000000-0005-0000-0000-0000BC470000}"/>
    <cellStyle name="Normal 16 3 3 3 2 2" xfId="34194" xr:uid="{00000000-0005-0000-0000-0000BD470000}"/>
    <cellStyle name="Normal 16 3 3 3 3" xfId="20426" xr:uid="{00000000-0005-0000-0000-0000BE470000}"/>
    <cellStyle name="Normal 16 3 3 3 3 2" xfId="40346" xr:uid="{00000000-0005-0000-0000-0000BF470000}"/>
    <cellStyle name="Normal 16 3 3 3 4" xfId="28041" xr:uid="{00000000-0005-0000-0000-0000C0470000}"/>
    <cellStyle name="Normal 16 3 3 4" xfId="11208" xr:uid="{00000000-0005-0000-0000-0000C1470000}"/>
    <cellStyle name="Normal 16 3 3 4 2" xfId="31128" xr:uid="{00000000-0005-0000-0000-0000C2470000}"/>
    <cellStyle name="Normal 16 3 3 5" xfId="17360" xr:uid="{00000000-0005-0000-0000-0000C3470000}"/>
    <cellStyle name="Normal 16 3 3 5 2" xfId="37280" xr:uid="{00000000-0005-0000-0000-0000C4470000}"/>
    <cellStyle name="Normal 16 3 3 6" xfId="24975" xr:uid="{00000000-0005-0000-0000-0000C5470000}"/>
    <cellStyle name="Normal 16 3 4" xfId="5746" xr:uid="{00000000-0005-0000-0000-0000C6470000}"/>
    <cellStyle name="Normal 16 3 4 2" xfId="8846" xr:uid="{00000000-0005-0000-0000-0000C7470000}"/>
    <cellStyle name="Normal 16 3 4 2 2" xfId="15039" xr:uid="{00000000-0005-0000-0000-0000C8470000}"/>
    <cellStyle name="Normal 16 3 4 2 2 2" xfId="34959" xr:uid="{00000000-0005-0000-0000-0000C9470000}"/>
    <cellStyle name="Normal 16 3 4 2 3" xfId="21191" xr:uid="{00000000-0005-0000-0000-0000CA470000}"/>
    <cellStyle name="Normal 16 3 4 2 3 2" xfId="41111" xr:uid="{00000000-0005-0000-0000-0000CB470000}"/>
    <cellStyle name="Normal 16 3 4 2 4" xfId="28806" xr:uid="{00000000-0005-0000-0000-0000CC470000}"/>
    <cellStyle name="Normal 16 3 4 3" xfId="11973" xr:uid="{00000000-0005-0000-0000-0000CD470000}"/>
    <cellStyle name="Normal 16 3 4 3 2" xfId="31893" xr:uid="{00000000-0005-0000-0000-0000CE470000}"/>
    <cellStyle name="Normal 16 3 4 4" xfId="18125" xr:uid="{00000000-0005-0000-0000-0000CF470000}"/>
    <cellStyle name="Normal 16 3 4 4 2" xfId="38045" xr:uid="{00000000-0005-0000-0000-0000D0470000}"/>
    <cellStyle name="Normal 16 3 4 5" xfId="25740" xr:uid="{00000000-0005-0000-0000-0000D1470000}"/>
    <cellStyle name="Normal 16 3 5" xfId="7311" xr:uid="{00000000-0005-0000-0000-0000D2470000}"/>
    <cellStyle name="Normal 16 3 5 2" xfId="13505" xr:uid="{00000000-0005-0000-0000-0000D3470000}"/>
    <cellStyle name="Normal 16 3 5 2 2" xfId="33425" xr:uid="{00000000-0005-0000-0000-0000D4470000}"/>
    <cellStyle name="Normal 16 3 5 3" xfId="19657" xr:uid="{00000000-0005-0000-0000-0000D5470000}"/>
    <cellStyle name="Normal 16 3 5 3 2" xfId="39577" xr:uid="{00000000-0005-0000-0000-0000D6470000}"/>
    <cellStyle name="Normal 16 3 5 4" xfId="27272" xr:uid="{00000000-0005-0000-0000-0000D7470000}"/>
    <cellStyle name="Normal 16 3 6" xfId="10439" xr:uid="{00000000-0005-0000-0000-0000D8470000}"/>
    <cellStyle name="Normal 16 3 6 2" xfId="30359" xr:uid="{00000000-0005-0000-0000-0000D9470000}"/>
    <cellStyle name="Normal 16 3 7" xfId="16591" xr:uid="{00000000-0005-0000-0000-0000DA470000}"/>
    <cellStyle name="Normal 16 3 7 2" xfId="36511" xr:uid="{00000000-0005-0000-0000-0000DB470000}"/>
    <cellStyle name="Normal 16 3 8" xfId="24206" xr:uid="{00000000-0005-0000-0000-0000DC470000}"/>
    <cellStyle name="Normal 16 4" xfId="3384" xr:uid="{00000000-0005-0000-0000-0000DD470000}"/>
    <cellStyle name="Normal 16 4 2" xfId="3385" xr:uid="{00000000-0005-0000-0000-0000DE470000}"/>
    <cellStyle name="Normal 16 4 2 2" xfId="4907" xr:uid="{00000000-0005-0000-0000-0000DF470000}"/>
    <cellStyle name="Normal 16 4 2 2 2" xfId="6532" xr:uid="{00000000-0005-0000-0000-0000E0470000}"/>
    <cellStyle name="Normal 16 4 2 2 2 2" xfId="9618" xr:uid="{00000000-0005-0000-0000-0000E1470000}"/>
    <cellStyle name="Normal 16 4 2 2 2 2 2" xfId="15811" xr:uid="{00000000-0005-0000-0000-0000E2470000}"/>
    <cellStyle name="Normal 16 4 2 2 2 2 2 2" xfId="35731" xr:uid="{00000000-0005-0000-0000-0000E3470000}"/>
    <cellStyle name="Normal 16 4 2 2 2 2 3" xfId="21963" xr:uid="{00000000-0005-0000-0000-0000E4470000}"/>
    <cellStyle name="Normal 16 4 2 2 2 2 3 2" xfId="41883" xr:uid="{00000000-0005-0000-0000-0000E5470000}"/>
    <cellStyle name="Normal 16 4 2 2 2 2 4" xfId="29578" xr:uid="{00000000-0005-0000-0000-0000E6470000}"/>
    <cellStyle name="Normal 16 4 2 2 2 3" xfId="12745" xr:uid="{00000000-0005-0000-0000-0000E7470000}"/>
    <cellStyle name="Normal 16 4 2 2 2 3 2" xfId="32665" xr:uid="{00000000-0005-0000-0000-0000E8470000}"/>
    <cellStyle name="Normal 16 4 2 2 2 4" xfId="18897" xr:uid="{00000000-0005-0000-0000-0000E9470000}"/>
    <cellStyle name="Normal 16 4 2 2 2 4 2" xfId="38817" xr:uid="{00000000-0005-0000-0000-0000EA470000}"/>
    <cellStyle name="Normal 16 4 2 2 2 5" xfId="26512" xr:uid="{00000000-0005-0000-0000-0000EB470000}"/>
    <cellStyle name="Normal 16 4 2 2 3" xfId="8083" xr:uid="{00000000-0005-0000-0000-0000EC470000}"/>
    <cellStyle name="Normal 16 4 2 2 3 2" xfId="14277" xr:uid="{00000000-0005-0000-0000-0000ED470000}"/>
    <cellStyle name="Normal 16 4 2 2 3 2 2" xfId="34197" xr:uid="{00000000-0005-0000-0000-0000EE470000}"/>
    <cellStyle name="Normal 16 4 2 2 3 3" xfId="20429" xr:uid="{00000000-0005-0000-0000-0000EF470000}"/>
    <cellStyle name="Normal 16 4 2 2 3 3 2" xfId="40349" xr:uid="{00000000-0005-0000-0000-0000F0470000}"/>
    <cellStyle name="Normal 16 4 2 2 3 4" xfId="28044" xr:uid="{00000000-0005-0000-0000-0000F1470000}"/>
    <cellStyle name="Normal 16 4 2 2 4" xfId="11211" xr:uid="{00000000-0005-0000-0000-0000F2470000}"/>
    <cellStyle name="Normal 16 4 2 2 4 2" xfId="31131" xr:uid="{00000000-0005-0000-0000-0000F3470000}"/>
    <cellStyle name="Normal 16 4 2 2 5" xfId="17363" xr:uid="{00000000-0005-0000-0000-0000F4470000}"/>
    <cellStyle name="Normal 16 4 2 2 5 2" xfId="37283" xr:uid="{00000000-0005-0000-0000-0000F5470000}"/>
    <cellStyle name="Normal 16 4 2 2 6" xfId="24978" xr:uid="{00000000-0005-0000-0000-0000F6470000}"/>
    <cellStyle name="Normal 16 4 2 3" xfId="5749" xr:uid="{00000000-0005-0000-0000-0000F7470000}"/>
    <cellStyle name="Normal 16 4 2 3 2" xfId="8849" xr:uid="{00000000-0005-0000-0000-0000F8470000}"/>
    <cellStyle name="Normal 16 4 2 3 2 2" xfId="15042" xr:uid="{00000000-0005-0000-0000-0000F9470000}"/>
    <cellStyle name="Normal 16 4 2 3 2 2 2" xfId="34962" xr:uid="{00000000-0005-0000-0000-0000FA470000}"/>
    <cellStyle name="Normal 16 4 2 3 2 3" xfId="21194" xr:uid="{00000000-0005-0000-0000-0000FB470000}"/>
    <cellStyle name="Normal 16 4 2 3 2 3 2" xfId="41114" xr:uid="{00000000-0005-0000-0000-0000FC470000}"/>
    <cellStyle name="Normal 16 4 2 3 2 4" xfId="28809" xr:uid="{00000000-0005-0000-0000-0000FD470000}"/>
    <cellStyle name="Normal 16 4 2 3 3" xfId="11976" xr:uid="{00000000-0005-0000-0000-0000FE470000}"/>
    <cellStyle name="Normal 16 4 2 3 3 2" xfId="31896" xr:uid="{00000000-0005-0000-0000-0000FF470000}"/>
    <cellStyle name="Normal 16 4 2 3 4" xfId="18128" xr:uid="{00000000-0005-0000-0000-000000480000}"/>
    <cellStyle name="Normal 16 4 2 3 4 2" xfId="38048" xr:uid="{00000000-0005-0000-0000-000001480000}"/>
    <cellStyle name="Normal 16 4 2 3 5" xfId="25743" xr:uid="{00000000-0005-0000-0000-000002480000}"/>
    <cellStyle name="Normal 16 4 2 4" xfId="7314" xr:uid="{00000000-0005-0000-0000-000003480000}"/>
    <cellStyle name="Normal 16 4 2 4 2" xfId="13508" xr:uid="{00000000-0005-0000-0000-000004480000}"/>
    <cellStyle name="Normal 16 4 2 4 2 2" xfId="33428" xr:uid="{00000000-0005-0000-0000-000005480000}"/>
    <cellStyle name="Normal 16 4 2 4 3" xfId="19660" xr:uid="{00000000-0005-0000-0000-000006480000}"/>
    <cellStyle name="Normal 16 4 2 4 3 2" xfId="39580" xr:uid="{00000000-0005-0000-0000-000007480000}"/>
    <cellStyle name="Normal 16 4 2 4 4" xfId="27275" xr:uid="{00000000-0005-0000-0000-000008480000}"/>
    <cellStyle name="Normal 16 4 2 5" xfId="10442" xr:uid="{00000000-0005-0000-0000-000009480000}"/>
    <cellStyle name="Normal 16 4 2 5 2" xfId="30362" xr:uid="{00000000-0005-0000-0000-00000A480000}"/>
    <cellStyle name="Normal 16 4 2 6" xfId="16594" xr:uid="{00000000-0005-0000-0000-00000B480000}"/>
    <cellStyle name="Normal 16 4 2 6 2" xfId="36514" xr:uid="{00000000-0005-0000-0000-00000C480000}"/>
    <cellStyle name="Normal 16 4 2 7" xfId="24209" xr:uid="{00000000-0005-0000-0000-00000D480000}"/>
    <cellStyle name="Normal 16 4 3" xfId="4906" xr:uid="{00000000-0005-0000-0000-00000E480000}"/>
    <cellStyle name="Normal 16 4 3 2" xfId="6531" xr:uid="{00000000-0005-0000-0000-00000F480000}"/>
    <cellStyle name="Normal 16 4 3 2 2" xfId="9617" xr:uid="{00000000-0005-0000-0000-000010480000}"/>
    <cellStyle name="Normal 16 4 3 2 2 2" xfId="15810" xr:uid="{00000000-0005-0000-0000-000011480000}"/>
    <cellStyle name="Normal 16 4 3 2 2 2 2" xfId="35730" xr:uid="{00000000-0005-0000-0000-000012480000}"/>
    <cellStyle name="Normal 16 4 3 2 2 3" xfId="21962" xr:uid="{00000000-0005-0000-0000-000013480000}"/>
    <cellStyle name="Normal 16 4 3 2 2 3 2" xfId="41882" xr:uid="{00000000-0005-0000-0000-000014480000}"/>
    <cellStyle name="Normal 16 4 3 2 2 4" xfId="29577" xr:uid="{00000000-0005-0000-0000-000015480000}"/>
    <cellStyle name="Normal 16 4 3 2 3" xfId="12744" xr:uid="{00000000-0005-0000-0000-000016480000}"/>
    <cellStyle name="Normal 16 4 3 2 3 2" xfId="32664" xr:uid="{00000000-0005-0000-0000-000017480000}"/>
    <cellStyle name="Normal 16 4 3 2 4" xfId="18896" xr:uid="{00000000-0005-0000-0000-000018480000}"/>
    <cellStyle name="Normal 16 4 3 2 4 2" xfId="38816" xr:uid="{00000000-0005-0000-0000-000019480000}"/>
    <cellStyle name="Normal 16 4 3 2 5" xfId="26511" xr:uid="{00000000-0005-0000-0000-00001A480000}"/>
    <cellStyle name="Normal 16 4 3 3" xfId="8082" xr:uid="{00000000-0005-0000-0000-00001B480000}"/>
    <cellStyle name="Normal 16 4 3 3 2" xfId="14276" xr:uid="{00000000-0005-0000-0000-00001C480000}"/>
    <cellStyle name="Normal 16 4 3 3 2 2" xfId="34196" xr:uid="{00000000-0005-0000-0000-00001D480000}"/>
    <cellStyle name="Normal 16 4 3 3 3" xfId="20428" xr:uid="{00000000-0005-0000-0000-00001E480000}"/>
    <cellStyle name="Normal 16 4 3 3 3 2" xfId="40348" xr:uid="{00000000-0005-0000-0000-00001F480000}"/>
    <cellStyle name="Normal 16 4 3 3 4" xfId="28043" xr:uid="{00000000-0005-0000-0000-000020480000}"/>
    <cellStyle name="Normal 16 4 3 4" xfId="11210" xr:uid="{00000000-0005-0000-0000-000021480000}"/>
    <cellStyle name="Normal 16 4 3 4 2" xfId="31130" xr:uid="{00000000-0005-0000-0000-000022480000}"/>
    <cellStyle name="Normal 16 4 3 5" xfId="17362" xr:uid="{00000000-0005-0000-0000-000023480000}"/>
    <cellStyle name="Normal 16 4 3 5 2" xfId="37282" xr:uid="{00000000-0005-0000-0000-000024480000}"/>
    <cellStyle name="Normal 16 4 3 6" xfId="24977" xr:uid="{00000000-0005-0000-0000-000025480000}"/>
    <cellStyle name="Normal 16 4 4" xfId="5748" xr:uid="{00000000-0005-0000-0000-000026480000}"/>
    <cellStyle name="Normal 16 4 4 2" xfId="8848" xr:uid="{00000000-0005-0000-0000-000027480000}"/>
    <cellStyle name="Normal 16 4 4 2 2" xfId="15041" xr:uid="{00000000-0005-0000-0000-000028480000}"/>
    <cellStyle name="Normal 16 4 4 2 2 2" xfId="34961" xr:uid="{00000000-0005-0000-0000-000029480000}"/>
    <cellStyle name="Normal 16 4 4 2 3" xfId="21193" xr:uid="{00000000-0005-0000-0000-00002A480000}"/>
    <cellStyle name="Normal 16 4 4 2 3 2" xfId="41113" xr:uid="{00000000-0005-0000-0000-00002B480000}"/>
    <cellStyle name="Normal 16 4 4 2 4" xfId="28808" xr:uid="{00000000-0005-0000-0000-00002C480000}"/>
    <cellStyle name="Normal 16 4 4 3" xfId="11975" xr:uid="{00000000-0005-0000-0000-00002D480000}"/>
    <cellStyle name="Normal 16 4 4 3 2" xfId="31895" xr:uid="{00000000-0005-0000-0000-00002E480000}"/>
    <cellStyle name="Normal 16 4 4 4" xfId="18127" xr:uid="{00000000-0005-0000-0000-00002F480000}"/>
    <cellStyle name="Normal 16 4 4 4 2" xfId="38047" xr:uid="{00000000-0005-0000-0000-000030480000}"/>
    <cellStyle name="Normal 16 4 4 5" xfId="25742" xr:uid="{00000000-0005-0000-0000-000031480000}"/>
    <cellStyle name="Normal 16 4 5" xfId="7313" xr:uid="{00000000-0005-0000-0000-000032480000}"/>
    <cellStyle name="Normal 16 4 5 2" xfId="13507" xr:uid="{00000000-0005-0000-0000-000033480000}"/>
    <cellStyle name="Normal 16 4 5 2 2" xfId="33427" xr:uid="{00000000-0005-0000-0000-000034480000}"/>
    <cellStyle name="Normal 16 4 5 3" xfId="19659" xr:uid="{00000000-0005-0000-0000-000035480000}"/>
    <cellStyle name="Normal 16 4 5 3 2" xfId="39579" xr:uid="{00000000-0005-0000-0000-000036480000}"/>
    <cellStyle name="Normal 16 4 5 4" xfId="27274" xr:uid="{00000000-0005-0000-0000-000037480000}"/>
    <cellStyle name="Normal 16 4 6" xfId="10441" xr:uid="{00000000-0005-0000-0000-000038480000}"/>
    <cellStyle name="Normal 16 4 6 2" xfId="30361" xr:uid="{00000000-0005-0000-0000-000039480000}"/>
    <cellStyle name="Normal 16 4 7" xfId="16593" xr:uid="{00000000-0005-0000-0000-00003A480000}"/>
    <cellStyle name="Normal 16 4 7 2" xfId="36513" xr:uid="{00000000-0005-0000-0000-00003B480000}"/>
    <cellStyle name="Normal 16 4 8" xfId="24208" xr:uid="{00000000-0005-0000-0000-00003C480000}"/>
    <cellStyle name="Normal 16 5" xfId="3386" xr:uid="{00000000-0005-0000-0000-00003D480000}"/>
    <cellStyle name="Normal 16 5 2" xfId="3387" xr:uid="{00000000-0005-0000-0000-00003E480000}"/>
    <cellStyle name="Normal 16 5 2 2" xfId="4908" xr:uid="{00000000-0005-0000-0000-00003F480000}"/>
    <cellStyle name="Normal 16 5 2 2 2" xfId="6533" xr:uid="{00000000-0005-0000-0000-000040480000}"/>
    <cellStyle name="Normal 16 5 2 2 2 2" xfId="9619" xr:uid="{00000000-0005-0000-0000-000041480000}"/>
    <cellStyle name="Normal 16 5 2 2 2 2 2" xfId="15812" xr:uid="{00000000-0005-0000-0000-000042480000}"/>
    <cellStyle name="Normal 16 5 2 2 2 2 2 2" xfId="35732" xr:uid="{00000000-0005-0000-0000-000043480000}"/>
    <cellStyle name="Normal 16 5 2 2 2 2 3" xfId="21964" xr:uid="{00000000-0005-0000-0000-000044480000}"/>
    <cellStyle name="Normal 16 5 2 2 2 2 3 2" xfId="41884" xr:uid="{00000000-0005-0000-0000-000045480000}"/>
    <cellStyle name="Normal 16 5 2 2 2 2 4" xfId="29579" xr:uid="{00000000-0005-0000-0000-000046480000}"/>
    <cellStyle name="Normal 16 5 2 2 2 3" xfId="12746" xr:uid="{00000000-0005-0000-0000-000047480000}"/>
    <cellStyle name="Normal 16 5 2 2 2 3 2" xfId="32666" xr:uid="{00000000-0005-0000-0000-000048480000}"/>
    <cellStyle name="Normal 16 5 2 2 2 4" xfId="18898" xr:uid="{00000000-0005-0000-0000-000049480000}"/>
    <cellStyle name="Normal 16 5 2 2 2 4 2" xfId="38818" xr:uid="{00000000-0005-0000-0000-00004A480000}"/>
    <cellStyle name="Normal 16 5 2 2 2 5" xfId="26513" xr:uid="{00000000-0005-0000-0000-00004B480000}"/>
    <cellStyle name="Normal 16 5 2 2 3" xfId="8084" xr:uid="{00000000-0005-0000-0000-00004C480000}"/>
    <cellStyle name="Normal 16 5 2 2 3 2" xfId="14278" xr:uid="{00000000-0005-0000-0000-00004D480000}"/>
    <cellStyle name="Normal 16 5 2 2 3 2 2" xfId="34198" xr:uid="{00000000-0005-0000-0000-00004E480000}"/>
    <cellStyle name="Normal 16 5 2 2 3 3" xfId="20430" xr:uid="{00000000-0005-0000-0000-00004F480000}"/>
    <cellStyle name="Normal 16 5 2 2 3 3 2" xfId="40350" xr:uid="{00000000-0005-0000-0000-000050480000}"/>
    <cellStyle name="Normal 16 5 2 2 3 4" xfId="28045" xr:uid="{00000000-0005-0000-0000-000051480000}"/>
    <cellStyle name="Normal 16 5 2 2 4" xfId="11212" xr:uid="{00000000-0005-0000-0000-000052480000}"/>
    <cellStyle name="Normal 16 5 2 2 4 2" xfId="31132" xr:uid="{00000000-0005-0000-0000-000053480000}"/>
    <cellStyle name="Normal 16 5 2 2 5" xfId="17364" xr:uid="{00000000-0005-0000-0000-000054480000}"/>
    <cellStyle name="Normal 16 5 2 2 5 2" xfId="37284" xr:uid="{00000000-0005-0000-0000-000055480000}"/>
    <cellStyle name="Normal 16 5 2 2 6" xfId="24979" xr:uid="{00000000-0005-0000-0000-000056480000}"/>
    <cellStyle name="Normal 16 5 2 3" xfId="5750" xr:uid="{00000000-0005-0000-0000-000057480000}"/>
    <cellStyle name="Normal 16 5 2 3 2" xfId="8850" xr:uid="{00000000-0005-0000-0000-000058480000}"/>
    <cellStyle name="Normal 16 5 2 3 2 2" xfId="15043" xr:uid="{00000000-0005-0000-0000-000059480000}"/>
    <cellStyle name="Normal 16 5 2 3 2 2 2" xfId="34963" xr:uid="{00000000-0005-0000-0000-00005A480000}"/>
    <cellStyle name="Normal 16 5 2 3 2 3" xfId="21195" xr:uid="{00000000-0005-0000-0000-00005B480000}"/>
    <cellStyle name="Normal 16 5 2 3 2 3 2" xfId="41115" xr:uid="{00000000-0005-0000-0000-00005C480000}"/>
    <cellStyle name="Normal 16 5 2 3 2 4" xfId="28810" xr:uid="{00000000-0005-0000-0000-00005D480000}"/>
    <cellStyle name="Normal 16 5 2 3 3" xfId="11977" xr:uid="{00000000-0005-0000-0000-00005E480000}"/>
    <cellStyle name="Normal 16 5 2 3 3 2" xfId="31897" xr:uid="{00000000-0005-0000-0000-00005F480000}"/>
    <cellStyle name="Normal 16 5 2 3 4" xfId="18129" xr:uid="{00000000-0005-0000-0000-000060480000}"/>
    <cellStyle name="Normal 16 5 2 3 4 2" xfId="38049" xr:uid="{00000000-0005-0000-0000-000061480000}"/>
    <cellStyle name="Normal 16 5 2 3 5" xfId="25744" xr:uid="{00000000-0005-0000-0000-000062480000}"/>
    <cellStyle name="Normal 16 5 2 4" xfId="7315" xr:uid="{00000000-0005-0000-0000-000063480000}"/>
    <cellStyle name="Normal 16 5 2 4 2" xfId="13509" xr:uid="{00000000-0005-0000-0000-000064480000}"/>
    <cellStyle name="Normal 16 5 2 4 2 2" xfId="33429" xr:uid="{00000000-0005-0000-0000-000065480000}"/>
    <cellStyle name="Normal 16 5 2 4 3" xfId="19661" xr:uid="{00000000-0005-0000-0000-000066480000}"/>
    <cellStyle name="Normal 16 5 2 4 3 2" xfId="39581" xr:uid="{00000000-0005-0000-0000-000067480000}"/>
    <cellStyle name="Normal 16 5 2 4 4" xfId="27276" xr:uid="{00000000-0005-0000-0000-000068480000}"/>
    <cellStyle name="Normal 16 5 2 5" xfId="10443" xr:uid="{00000000-0005-0000-0000-000069480000}"/>
    <cellStyle name="Normal 16 5 2 5 2" xfId="30363" xr:uid="{00000000-0005-0000-0000-00006A480000}"/>
    <cellStyle name="Normal 16 5 2 6" xfId="16595" xr:uid="{00000000-0005-0000-0000-00006B480000}"/>
    <cellStyle name="Normal 16 5 2 6 2" xfId="36515" xr:uid="{00000000-0005-0000-0000-00006C480000}"/>
    <cellStyle name="Normal 16 5 2 7" xfId="24210" xr:uid="{00000000-0005-0000-0000-00006D480000}"/>
    <cellStyle name="Normal 16 6" xfId="3388" xr:uid="{00000000-0005-0000-0000-00006E480000}"/>
    <cellStyle name="Normal 16 6 2" xfId="4909" xr:uid="{00000000-0005-0000-0000-00006F480000}"/>
    <cellStyle name="Normal 16 6 2 2" xfId="6534" xr:uid="{00000000-0005-0000-0000-000070480000}"/>
    <cellStyle name="Normal 16 6 2 2 2" xfId="9620" xr:uid="{00000000-0005-0000-0000-000071480000}"/>
    <cellStyle name="Normal 16 6 2 2 2 2" xfId="15813" xr:uid="{00000000-0005-0000-0000-000072480000}"/>
    <cellStyle name="Normal 16 6 2 2 2 2 2" xfId="35733" xr:uid="{00000000-0005-0000-0000-000073480000}"/>
    <cellStyle name="Normal 16 6 2 2 2 3" xfId="21965" xr:uid="{00000000-0005-0000-0000-000074480000}"/>
    <cellStyle name="Normal 16 6 2 2 2 3 2" xfId="41885" xr:uid="{00000000-0005-0000-0000-000075480000}"/>
    <cellStyle name="Normal 16 6 2 2 2 4" xfId="29580" xr:uid="{00000000-0005-0000-0000-000076480000}"/>
    <cellStyle name="Normal 16 6 2 2 3" xfId="12747" xr:uid="{00000000-0005-0000-0000-000077480000}"/>
    <cellStyle name="Normal 16 6 2 2 3 2" xfId="32667" xr:uid="{00000000-0005-0000-0000-000078480000}"/>
    <cellStyle name="Normal 16 6 2 2 4" xfId="18899" xr:uid="{00000000-0005-0000-0000-000079480000}"/>
    <cellStyle name="Normal 16 6 2 2 4 2" xfId="38819" xr:uid="{00000000-0005-0000-0000-00007A480000}"/>
    <cellStyle name="Normal 16 6 2 2 5" xfId="26514" xr:uid="{00000000-0005-0000-0000-00007B480000}"/>
    <cellStyle name="Normal 16 6 2 3" xfId="8085" xr:uid="{00000000-0005-0000-0000-00007C480000}"/>
    <cellStyle name="Normal 16 6 2 3 2" xfId="14279" xr:uid="{00000000-0005-0000-0000-00007D480000}"/>
    <cellStyle name="Normal 16 6 2 3 2 2" xfId="34199" xr:uid="{00000000-0005-0000-0000-00007E480000}"/>
    <cellStyle name="Normal 16 6 2 3 3" xfId="20431" xr:uid="{00000000-0005-0000-0000-00007F480000}"/>
    <cellStyle name="Normal 16 6 2 3 3 2" xfId="40351" xr:uid="{00000000-0005-0000-0000-000080480000}"/>
    <cellStyle name="Normal 16 6 2 3 4" xfId="28046" xr:uid="{00000000-0005-0000-0000-000081480000}"/>
    <cellStyle name="Normal 16 6 2 4" xfId="11213" xr:uid="{00000000-0005-0000-0000-000082480000}"/>
    <cellStyle name="Normal 16 6 2 4 2" xfId="31133" xr:uid="{00000000-0005-0000-0000-000083480000}"/>
    <cellStyle name="Normal 16 6 2 5" xfId="17365" xr:uid="{00000000-0005-0000-0000-000084480000}"/>
    <cellStyle name="Normal 16 6 2 5 2" xfId="37285" xr:uid="{00000000-0005-0000-0000-000085480000}"/>
    <cellStyle name="Normal 16 6 2 6" xfId="24980" xr:uid="{00000000-0005-0000-0000-000086480000}"/>
    <cellStyle name="Normal 16 6 3" xfId="5751" xr:uid="{00000000-0005-0000-0000-000087480000}"/>
    <cellStyle name="Normal 16 6 3 2" xfId="8851" xr:uid="{00000000-0005-0000-0000-000088480000}"/>
    <cellStyle name="Normal 16 6 3 2 2" xfId="15044" xr:uid="{00000000-0005-0000-0000-000089480000}"/>
    <cellStyle name="Normal 16 6 3 2 2 2" xfId="34964" xr:uid="{00000000-0005-0000-0000-00008A480000}"/>
    <cellStyle name="Normal 16 6 3 2 3" xfId="21196" xr:uid="{00000000-0005-0000-0000-00008B480000}"/>
    <cellStyle name="Normal 16 6 3 2 3 2" xfId="41116" xr:uid="{00000000-0005-0000-0000-00008C480000}"/>
    <cellStyle name="Normal 16 6 3 2 4" xfId="28811" xr:uid="{00000000-0005-0000-0000-00008D480000}"/>
    <cellStyle name="Normal 16 6 3 3" xfId="11978" xr:uid="{00000000-0005-0000-0000-00008E480000}"/>
    <cellStyle name="Normal 16 6 3 3 2" xfId="31898" xr:uid="{00000000-0005-0000-0000-00008F480000}"/>
    <cellStyle name="Normal 16 6 3 4" xfId="18130" xr:uid="{00000000-0005-0000-0000-000090480000}"/>
    <cellStyle name="Normal 16 6 3 4 2" xfId="38050" xr:uid="{00000000-0005-0000-0000-000091480000}"/>
    <cellStyle name="Normal 16 6 3 5" xfId="25745" xr:uid="{00000000-0005-0000-0000-000092480000}"/>
    <cellStyle name="Normal 16 6 4" xfId="7316" xr:uid="{00000000-0005-0000-0000-000093480000}"/>
    <cellStyle name="Normal 16 6 4 2" xfId="13510" xr:uid="{00000000-0005-0000-0000-000094480000}"/>
    <cellStyle name="Normal 16 6 4 2 2" xfId="33430" xr:uid="{00000000-0005-0000-0000-000095480000}"/>
    <cellStyle name="Normal 16 6 4 3" xfId="19662" xr:uid="{00000000-0005-0000-0000-000096480000}"/>
    <cellStyle name="Normal 16 6 4 3 2" xfId="39582" xr:uid="{00000000-0005-0000-0000-000097480000}"/>
    <cellStyle name="Normal 16 6 4 4" xfId="27277" xr:uid="{00000000-0005-0000-0000-000098480000}"/>
    <cellStyle name="Normal 16 6 5" xfId="10444" xr:uid="{00000000-0005-0000-0000-000099480000}"/>
    <cellStyle name="Normal 16 6 5 2" xfId="30364" xr:uid="{00000000-0005-0000-0000-00009A480000}"/>
    <cellStyle name="Normal 16 6 6" xfId="16596" xr:uid="{00000000-0005-0000-0000-00009B480000}"/>
    <cellStyle name="Normal 16 6 6 2" xfId="36516" xr:uid="{00000000-0005-0000-0000-00009C480000}"/>
    <cellStyle name="Normal 16 6 7" xfId="24211" xr:uid="{00000000-0005-0000-0000-00009D480000}"/>
    <cellStyle name="Normal 17" xfId="241" xr:uid="{00000000-0005-0000-0000-00009E480000}"/>
    <cellStyle name="Normal 17 2" xfId="3389" xr:uid="{00000000-0005-0000-0000-00009F480000}"/>
    <cellStyle name="Normal 17 2 10" xfId="24212" xr:uid="{00000000-0005-0000-0000-0000A0480000}"/>
    <cellStyle name="Normal 17 2 2" xfId="3390" xr:uid="{00000000-0005-0000-0000-0000A1480000}"/>
    <cellStyle name="Normal 17 2 2 2" xfId="3391" xr:uid="{00000000-0005-0000-0000-0000A2480000}"/>
    <cellStyle name="Normal 17 2 2 2 2" xfId="4912" xr:uid="{00000000-0005-0000-0000-0000A3480000}"/>
    <cellStyle name="Normal 17 2 2 2 2 2" xfId="6537" xr:uid="{00000000-0005-0000-0000-0000A4480000}"/>
    <cellStyle name="Normal 17 2 2 2 2 2 2" xfId="9623" xr:uid="{00000000-0005-0000-0000-0000A5480000}"/>
    <cellStyle name="Normal 17 2 2 2 2 2 2 2" xfId="15816" xr:uid="{00000000-0005-0000-0000-0000A6480000}"/>
    <cellStyle name="Normal 17 2 2 2 2 2 2 2 2" xfId="35736" xr:uid="{00000000-0005-0000-0000-0000A7480000}"/>
    <cellStyle name="Normal 17 2 2 2 2 2 2 3" xfId="21968" xr:uid="{00000000-0005-0000-0000-0000A8480000}"/>
    <cellStyle name="Normal 17 2 2 2 2 2 2 3 2" xfId="41888" xr:uid="{00000000-0005-0000-0000-0000A9480000}"/>
    <cellStyle name="Normal 17 2 2 2 2 2 2 4" xfId="29583" xr:uid="{00000000-0005-0000-0000-0000AA480000}"/>
    <cellStyle name="Normal 17 2 2 2 2 2 3" xfId="12750" xr:uid="{00000000-0005-0000-0000-0000AB480000}"/>
    <cellStyle name="Normal 17 2 2 2 2 2 3 2" xfId="32670" xr:uid="{00000000-0005-0000-0000-0000AC480000}"/>
    <cellStyle name="Normal 17 2 2 2 2 2 4" xfId="18902" xr:uid="{00000000-0005-0000-0000-0000AD480000}"/>
    <cellStyle name="Normal 17 2 2 2 2 2 4 2" xfId="38822" xr:uid="{00000000-0005-0000-0000-0000AE480000}"/>
    <cellStyle name="Normal 17 2 2 2 2 2 5" xfId="26517" xr:uid="{00000000-0005-0000-0000-0000AF480000}"/>
    <cellStyle name="Normal 17 2 2 2 2 3" xfId="8088" xr:uid="{00000000-0005-0000-0000-0000B0480000}"/>
    <cellStyle name="Normal 17 2 2 2 2 3 2" xfId="14282" xr:uid="{00000000-0005-0000-0000-0000B1480000}"/>
    <cellStyle name="Normal 17 2 2 2 2 3 2 2" xfId="34202" xr:uid="{00000000-0005-0000-0000-0000B2480000}"/>
    <cellStyle name="Normal 17 2 2 2 2 3 3" xfId="20434" xr:uid="{00000000-0005-0000-0000-0000B3480000}"/>
    <cellStyle name="Normal 17 2 2 2 2 3 3 2" xfId="40354" xr:uid="{00000000-0005-0000-0000-0000B4480000}"/>
    <cellStyle name="Normal 17 2 2 2 2 3 4" xfId="28049" xr:uid="{00000000-0005-0000-0000-0000B5480000}"/>
    <cellStyle name="Normal 17 2 2 2 2 4" xfId="11216" xr:uid="{00000000-0005-0000-0000-0000B6480000}"/>
    <cellStyle name="Normal 17 2 2 2 2 4 2" xfId="31136" xr:uid="{00000000-0005-0000-0000-0000B7480000}"/>
    <cellStyle name="Normal 17 2 2 2 2 5" xfId="17368" xr:uid="{00000000-0005-0000-0000-0000B8480000}"/>
    <cellStyle name="Normal 17 2 2 2 2 5 2" xfId="37288" xr:uid="{00000000-0005-0000-0000-0000B9480000}"/>
    <cellStyle name="Normal 17 2 2 2 2 6" xfId="24983" xr:uid="{00000000-0005-0000-0000-0000BA480000}"/>
    <cellStyle name="Normal 17 2 2 2 3" xfId="5754" xr:uid="{00000000-0005-0000-0000-0000BB480000}"/>
    <cellStyle name="Normal 17 2 2 2 3 2" xfId="8854" xr:uid="{00000000-0005-0000-0000-0000BC480000}"/>
    <cellStyle name="Normal 17 2 2 2 3 2 2" xfId="15047" xr:uid="{00000000-0005-0000-0000-0000BD480000}"/>
    <cellStyle name="Normal 17 2 2 2 3 2 2 2" xfId="34967" xr:uid="{00000000-0005-0000-0000-0000BE480000}"/>
    <cellStyle name="Normal 17 2 2 2 3 2 3" xfId="21199" xr:uid="{00000000-0005-0000-0000-0000BF480000}"/>
    <cellStyle name="Normal 17 2 2 2 3 2 3 2" xfId="41119" xr:uid="{00000000-0005-0000-0000-0000C0480000}"/>
    <cellStyle name="Normal 17 2 2 2 3 2 4" xfId="28814" xr:uid="{00000000-0005-0000-0000-0000C1480000}"/>
    <cellStyle name="Normal 17 2 2 2 3 3" xfId="11981" xr:uid="{00000000-0005-0000-0000-0000C2480000}"/>
    <cellStyle name="Normal 17 2 2 2 3 3 2" xfId="31901" xr:uid="{00000000-0005-0000-0000-0000C3480000}"/>
    <cellStyle name="Normal 17 2 2 2 3 4" xfId="18133" xr:uid="{00000000-0005-0000-0000-0000C4480000}"/>
    <cellStyle name="Normal 17 2 2 2 3 4 2" xfId="38053" xr:uid="{00000000-0005-0000-0000-0000C5480000}"/>
    <cellStyle name="Normal 17 2 2 2 3 5" xfId="25748" xr:uid="{00000000-0005-0000-0000-0000C6480000}"/>
    <cellStyle name="Normal 17 2 2 2 4" xfId="7319" xr:uid="{00000000-0005-0000-0000-0000C7480000}"/>
    <cellStyle name="Normal 17 2 2 2 4 2" xfId="13513" xr:uid="{00000000-0005-0000-0000-0000C8480000}"/>
    <cellStyle name="Normal 17 2 2 2 4 2 2" xfId="33433" xr:uid="{00000000-0005-0000-0000-0000C9480000}"/>
    <cellStyle name="Normal 17 2 2 2 4 3" xfId="19665" xr:uid="{00000000-0005-0000-0000-0000CA480000}"/>
    <cellStyle name="Normal 17 2 2 2 4 3 2" xfId="39585" xr:uid="{00000000-0005-0000-0000-0000CB480000}"/>
    <cellStyle name="Normal 17 2 2 2 4 4" xfId="27280" xr:uid="{00000000-0005-0000-0000-0000CC480000}"/>
    <cellStyle name="Normal 17 2 2 2 5" xfId="10447" xr:uid="{00000000-0005-0000-0000-0000CD480000}"/>
    <cellStyle name="Normal 17 2 2 2 5 2" xfId="30367" xr:uid="{00000000-0005-0000-0000-0000CE480000}"/>
    <cellStyle name="Normal 17 2 2 2 6" xfId="16599" xr:uid="{00000000-0005-0000-0000-0000CF480000}"/>
    <cellStyle name="Normal 17 2 2 2 6 2" xfId="36519" xr:uid="{00000000-0005-0000-0000-0000D0480000}"/>
    <cellStyle name="Normal 17 2 2 2 7" xfId="24214" xr:uid="{00000000-0005-0000-0000-0000D1480000}"/>
    <cellStyle name="Normal 17 2 2 3" xfId="4911" xr:uid="{00000000-0005-0000-0000-0000D2480000}"/>
    <cellStyle name="Normal 17 2 2 3 2" xfId="6536" xr:uid="{00000000-0005-0000-0000-0000D3480000}"/>
    <cellStyle name="Normal 17 2 2 3 2 2" xfId="9622" xr:uid="{00000000-0005-0000-0000-0000D4480000}"/>
    <cellStyle name="Normal 17 2 2 3 2 2 2" xfId="15815" xr:uid="{00000000-0005-0000-0000-0000D5480000}"/>
    <cellStyle name="Normal 17 2 2 3 2 2 2 2" xfId="35735" xr:uid="{00000000-0005-0000-0000-0000D6480000}"/>
    <cellStyle name="Normal 17 2 2 3 2 2 3" xfId="21967" xr:uid="{00000000-0005-0000-0000-0000D7480000}"/>
    <cellStyle name="Normal 17 2 2 3 2 2 3 2" xfId="41887" xr:uid="{00000000-0005-0000-0000-0000D8480000}"/>
    <cellStyle name="Normal 17 2 2 3 2 2 4" xfId="29582" xr:uid="{00000000-0005-0000-0000-0000D9480000}"/>
    <cellStyle name="Normal 17 2 2 3 2 3" xfId="12749" xr:uid="{00000000-0005-0000-0000-0000DA480000}"/>
    <cellStyle name="Normal 17 2 2 3 2 3 2" xfId="32669" xr:uid="{00000000-0005-0000-0000-0000DB480000}"/>
    <cellStyle name="Normal 17 2 2 3 2 4" xfId="18901" xr:uid="{00000000-0005-0000-0000-0000DC480000}"/>
    <cellStyle name="Normal 17 2 2 3 2 4 2" xfId="38821" xr:uid="{00000000-0005-0000-0000-0000DD480000}"/>
    <cellStyle name="Normal 17 2 2 3 2 5" xfId="26516" xr:uid="{00000000-0005-0000-0000-0000DE480000}"/>
    <cellStyle name="Normal 17 2 2 3 3" xfId="8087" xr:uid="{00000000-0005-0000-0000-0000DF480000}"/>
    <cellStyle name="Normal 17 2 2 3 3 2" xfId="14281" xr:uid="{00000000-0005-0000-0000-0000E0480000}"/>
    <cellStyle name="Normal 17 2 2 3 3 2 2" xfId="34201" xr:uid="{00000000-0005-0000-0000-0000E1480000}"/>
    <cellStyle name="Normal 17 2 2 3 3 3" xfId="20433" xr:uid="{00000000-0005-0000-0000-0000E2480000}"/>
    <cellStyle name="Normal 17 2 2 3 3 3 2" xfId="40353" xr:uid="{00000000-0005-0000-0000-0000E3480000}"/>
    <cellStyle name="Normal 17 2 2 3 3 4" xfId="28048" xr:uid="{00000000-0005-0000-0000-0000E4480000}"/>
    <cellStyle name="Normal 17 2 2 3 4" xfId="11215" xr:uid="{00000000-0005-0000-0000-0000E5480000}"/>
    <cellStyle name="Normal 17 2 2 3 4 2" xfId="31135" xr:uid="{00000000-0005-0000-0000-0000E6480000}"/>
    <cellStyle name="Normal 17 2 2 3 5" xfId="17367" xr:uid="{00000000-0005-0000-0000-0000E7480000}"/>
    <cellStyle name="Normal 17 2 2 3 5 2" xfId="37287" xr:uid="{00000000-0005-0000-0000-0000E8480000}"/>
    <cellStyle name="Normal 17 2 2 3 6" xfId="24982" xr:uid="{00000000-0005-0000-0000-0000E9480000}"/>
    <cellStyle name="Normal 17 2 2 4" xfId="5753" xr:uid="{00000000-0005-0000-0000-0000EA480000}"/>
    <cellStyle name="Normal 17 2 2 4 2" xfId="8853" xr:uid="{00000000-0005-0000-0000-0000EB480000}"/>
    <cellStyle name="Normal 17 2 2 4 2 2" xfId="15046" xr:uid="{00000000-0005-0000-0000-0000EC480000}"/>
    <cellStyle name="Normal 17 2 2 4 2 2 2" xfId="34966" xr:uid="{00000000-0005-0000-0000-0000ED480000}"/>
    <cellStyle name="Normal 17 2 2 4 2 3" xfId="21198" xr:uid="{00000000-0005-0000-0000-0000EE480000}"/>
    <cellStyle name="Normal 17 2 2 4 2 3 2" xfId="41118" xr:uid="{00000000-0005-0000-0000-0000EF480000}"/>
    <cellStyle name="Normal 17 2 2 4 2 4" xfId="28813" xr:uid="{00000000-0005-0000-0000-0000F0480000}"/>
    <cellStyle name="Normal 17 2 2 4 3" xfId="11980" xr:uid="{00000000-0005-0000-0000-0000F1480000}"/>
    <cellStyle name="Normal 17 2 2 4 3 2" xfId="31900" xr:uid="{00000000-0005-0000-0000-0000F2480000}"/>
    <cellStyle name="Normal 17 2 2 4 4" xfId="18132" xr:uid="{00000000-0005-0000-0000-0000F3480000}"/>
    <cellStyle name="Normal 17 2 2 4 4 2" xfId="38052" xr:uid="{00000000-0005-0000-0000-0000F4480000}"/>
    <cellStyle name="Normal 17 2 2 4 5" xfId="25747" xr:uid="{00000000-0005-0000-0000-0000F5480000}"/>
    <cellStyle name="Normal 17 2 2 5" xfId="7318" xr:uid="{00000000-0005-0000-0000-0000F6480000}"/>
    <cellStyle name="Normal 17 2 2 5 2" xfId="13512" xr:uid="{00000000-0005-0000-0000-0000F7480000}"/>
    <cellStyle name="Normal 17 2 2 5 2 2" xfId="33432" xr:uid="{00000000-0005-0000-0000-0000F8480000}"/>
    <cellStyle name="Normal 17 2 2 5 3" xfId="19664" xr:uid="{00000000-0005-0000-0000-0000F9480000}"/>
    <cellStyle name="Normal 17 2 2 5 3 2" xfId="39584" xr:uid="{00000000-0005-0000-0000-0000FA480000}"/>
    <cellStyle name="Normal 17 2 2 5 4" xfId="27279" xr:uid="{00000000-0005-0000-0000-0000FB480000}"/>
    <cellStyle name="Normal 17 2 2 6" xfId="10446" xr:uid="{00000000-0005-0000-0000-0000FC480000}"/>
    <cellStyle name="Normal 17 2 2 6 2" xfId="30366" xr:uid="{00000000-0005-0000-0000-0000FD480000}"/>
    <cellStyle name="Normal 17 2 2 7" xfId="16598" xr:uid="{00000000-0005-0000-0000-0000FE480000}"/>
    <cellStyle name="Normal 17 2 2 7 2" xfId="36518" xr:uid="{00000000-0005-0000-0000-0000FF480000}"/>
    <cellStyle name="Normal 17 2 2 8" xfId="24213" xr:uid="{00000000-0005-0000-0000-000000490000}"/>
    <cellStyle name="Normal 17 2 3" xfId="3392" xr:uid="{00000000-0005-0000-0000-000001490000}"/>
    <cellStyle name="Normal 17 2 3 2" xfId="3393" xr:uid="{00000000-0005-0000-0000-000002490000}"/>
    <cellStyle name="Normal 17 2 3 2 2" xfId="4914" xr:uid="{00000000-0005-0000-0000-000003490000}"/>
    <cellStyle name="Normal 17 2 3 2 2 2" xfId="6539" xr:uid="{00000000-0005-0000-0000-000004490000}"/>
    <cellStyle name="Normal 17 2 3 2 2 2 2" xfId="9625" xr:uid="{00000000-0005-0000-0000-000005490000}"/>
    <cellStyle name="Normal 17 2 3 2 2 2 2 2" xfId="15818" xr:uid="{00000000-0005-0000-0000-000006490000}"/>
    <cellStyle name="Normal 17 2 3 2 2 2 2 2 2" xfId="35738" xr:uid="{00000000-0005-0000-0000-000007490000}"/>
    <cellStyle name="Normal 17 2 3 2 2 2 2 3" xfId="21970" xr:uid="{00000000-0005-0000-0000-000008490000}"/>
    <cellStyle name="Normal 17 2 3 2 2 2 2 3 2" xfId="41890" xr:uid="{00000000-0005-0000-0000-000009490000}"/>
    <cellStyle name="Normal 17 2 3 2 2 2 2 4" xfId="29585" xr:uid="{00000000-0005-0000-0000-00000A490000}"/>
    <cellStyle name="Normal 17 2 3 2 2 2 3" xfId="12752" xr:uid="{00000000-0005-0000-0000-00000B490000}"/>
    <cellStyle name="Normal 17 2 3 2 2 2 3 2" xfId="32672" xr:uid="{00000000-0005-0000-0000-00000C490000}"/>
    <cellStyle name="Normal 17 2 3 2 2 2 4" xfId="18904" xr:uid="{00000000-0005-0000-0000-00000D490000}"/>
    <cellStyle name="Normal 17 2 3 2 2 2 4 2" xfId="38824" xr:uid="{00000000-0005-0000-0000-00000E490000}"/>
    <cellStyle name="Normal 17 2 3 2 2 2 5" xfId="26519" xr:uid="{00000000-0005-0000-0000-00000F490000}"/>
    <cellStyle name="Normal 17 2 3 2 2 3" xfId="8090" xr:uid="{00000000-0005-0000-0000-000010490000}"/>
    <cellStyle name="Normal 17 2 3 2 2 3 2" xfId="14284" xr:uid="{00000000-0005-0000-0000-000011490000}"/>
    <cellStyle name="Normal 17 2 3 2 2 3 2 2" xfId="34204" xr:uid="{00000000-0005-0000-0000-000012490000}"/>
    <cellStyle name="Normal 17 2 3 2 2 3 3" xfId="20436" xr:uid="{00000000-0005-0000-0000-000013490000}"/>
    <cellStyle name="Normal 17 2 3 2 2 3 3 2" xfId="40356" xr:uid="{00000000-0005-0000-0000-000014490000}"/>
    <cellStyle name="Normal 17 2 3 2 2 3 4" xfId="28051" xr:uid="{00000000-0005-0000-0000-000015490000}"/>
    <cellStyle name="Normal 17 2 3 2 2 4" xfId="11218" xr:uid="{00000000-0005-0000-0000-000016490000}"/>
    <cellStyle name="Normal 17 2 3 2 2 4 2" xfId="31138" xr:uid="{00000000-0005-0000-0000-000017490000}"/>
    <cellStyle name="Normal 17 2 3 2 2 5" xfId="17370" xr:uid="{00000000-0005-0000-0000-000018490000}"/>
    <cellStyle name="Normal 17 2 3 2 2 5 2" xfId="37290" xr:uid="{00000000-0005-0000-0000-000019490000}"/>
    <cellStyle name="Normal 17 2 3 2 2 6" xfId="24985" xr:uid="{00000000-0005-0000-0000-00001A490000}"/>
    <cellStyle name="Normal 17 2 3 2 3" xfId="5756" xr:uid="{00000000-0005-0000-0000-00001B490000}"/>
    <cellStyle name="Normal 17 2 3 2 3 2" xfId="8856" xr:uid="{00000000-0005-0000-0000-00001C490000}"/>
    <cellStyle name="Normal 17 2 3 2 3 2 2" xfId="15049" xr:uid="{00000000-0005-0000-0000-00001D490000}"/>
    <cellStyle name="Normal 17 2 3 2 3 2 2 2" xfId="34969" xr:uid="{00000000-0005-0000-0000-00001E490000}"/>
    <cellStyle name="Normal 17 2 3 2 3 2 3" xfId="21201" xr:uid="{00000000-0005-0000-0000-00001F490000}"/>
    <cellStyle name="Normal 17 2 3 2 3 2 3 2" xfId="41121" xr:uid="{00000000-0005-0000-0000-000020490000}"/>
    <cellStyle name="Normal 17 2 3 2 3 2 4" xfId="28816" xr:uid="{00000000-0005-0000-0000-000021490000}"/>
    <cellStyle name="Normal 17 2 3 2 3 3" xfId="11983" xr:uid="{00000000-0005-0000-0000-000022490000}"/>
    <cellStyle name="Normal 17 2 3 2 3 3 2" xfId="31903" xr:uid="{00000000-0005-0000-0000-000023490000}"/>
    <cellStyle name="Normal 17 2 3 2 3 4" xfId="18135" xr:uid="{00000000-0005-0000-0000-000024490000}"/>
    <cellStyle name="Normal 17 2 3 2 3 4 2" xfId="38055" xr:uid="{00000000-0005-0000-0000-000025490000}"/>
    <cellStyle name="Normal 17 2 3 2 3 5" xfId="25750" xr:uid="{00000000-0005-0000-0000-000026490000}"/>
    <cellStyle name="Normal 17 2 3 2 4" xfId="7321" xr:uid="{00000000-0005-0000-0000-000027490000}"/>
    <cellStyle name="Normal 17 2 3 2 4 2" xfId="13515" xr:uid="{00000000-0005-0000-0000-000028490000}"/>
    <cellStyle name="Normal 17 2 3 2 4 2 2" xfId="33435" xr:uid="{00000000-0005-0000-0000-000029490000}"/>
    <cellStyle name="Normal 17 2 3 2 4 3" xfId="19667" xr:uid="{00000000-0005-0000-0000-00002A490000}"/>
    <cellStyle name="Normal 17 2 3 2 4 3 2" xfId="39587" xr:uid="{00000000-0005-0000-0000-00002B490000}"/>
    <cellStyle name="Normal 17 2 3 2 4 4" xfId="27282" xr:uid="{00000000-0005-0000-0000-00002C490000}"/>
    <cellStyle name="Normal 17 2 3 2 5" xfId="10449" xr:uid="{00000000-0005-0000-0000-00002D490000}"/>
    <cellStyle name="Normal 17 2 3 2 5 2" xfId="30369" xr:uid="{00000000-0005-0000-0000-00002E490000}"/>
    <cellStyle name="Normal 17 2 3 2 6" xfId="16601" xr:uid="{00000000-0005-0000-0000-00002F490000}"/>
    <cellStyle name="Normal 17 2 3 2 6 2" xfId="36521" xr:uid="{00000000-0005-0000-0000-000030490000}"/>
    <cellStyle name="Normal 17 2 3 2 7" xfId="24216" xr:uid="{00000000-0005-0000-0000-000031490000}"/>
    <cellStyle name="Normal 17 2 3 3" xfId="4913" xr:uid="{00000000-0005-0000-0000-000032490000}"/>
    <cellStyle name="Normal 17 2 3 3 2" xfId="6538" xr:uid="{00000000-0005-0000-0000-000033490000}"/>
    <cellStyle name="Normal 17 2 3 3 2 2" xfId="9624" xr:uid="{00000000-0005-0000-0000-000034490000}"/>
    <cellStyle name="Normal 17 2 3 3 2 2 2" xfId="15817" xr:uid="{00000000-0005-0000-0000-000035490000}"/>
    <cellStyle name="Normal 17 2 3 3 2 2 2 2" xfId="35737" xr:uid="{00000000-0005-0000-0000-000036490000}"/>
    <cellStyle name="Normal 17 2 3 3 2 2 3" xfId="21969" xr:uid="{00000000-0005-0000-0000-000037490000}"/>
    <cellStyle name="Normal 17 2 3 3 2 2 3 2" xfId="41889" xr:uid="{00000000-0005-0000-0000-000038490000}"/>
    <cellStyle name="Normal 17 2 3 3 2 2 4" xfId="29584" xr:uid="{00000000-0005-0000-0000-000039490000}"/>
    <cellStyle name="Normal 17 2 3 3 2 3" xfId="12751" xr:uid="{00000000-0005-0000-0000-00003A490000}"/>
    <cellStyle name="Normal 17 2 3 3 2 3 2" xfId="32671" xr:uid="{00000000-0005-0000-0000-00003B490000}"/>
    <cellStyle name="Normal 17 2 3 3 2 4" xfId="18903" xr:uid="{00000000-0005-0000-0000-00003C490000}"/>
    <cellStyle name="Normal 17 2 3 3 2 4 2" xfId="38823" xr:uid="{00000000-0005-0000-0000-00003D490000}"/>
    <cellStyle name="Normal 17 2 3 3 2 5" xfId="26518" xr:uid="{00000000-0005-0000-0000-00003E490000}"/>
    <cellStyle name="Normal 17 2 3 3 3" xfId="8089" xr:uid="{00000000-0005-0000-0000-00003F490000}"/>
    <cellStyle name="Normal 17 2 3 3 3 2" xfId="14283" xr:uid="{00000000-0005-0000-0000-000040490000}"/>
    <cellStyle name="Normal 17 2 3 3 3 2 2" xfId="34203" xr:uid="{00000000-0005-0000-0000-000041490000}"/>
    <cellStyle name="Normal 17 2 3 3 3 3" xfId="20435" xr:uid="{00000000-0005-0000-0000-000042490000}"/>
    <cellStyle name="Normal 17 2 3 3 3 3 2" xfId="40355" xr:uid="{00000000-0005-0000-0000-000043490000}"/>
    <cellStyle name="Normal 17 2 3 3 3 4" xfId="28050" xr:uid="{00000000-0005-0000-0000-000044490000}"/>
    <cellStyle name="Normal 17 2 3 3 4" xfId="11217" xr:uid="{00000000-0005-0000-0000-000045490000}"/>
    <cellStyle name="Normal 17 2 3 3 4 2" xfId="31137" xr:uid="{00000000-0005-0000-0000-000046490000}"/>
    <cellStyle name="Normal 17 2 3 3 5" xfId="17369" xr:uid="{00000000-0005-0000-0000-000047490000}"/>
    <cellStyle name="Normal 17 2 3 3 5 2" xfId="37289" xr:uid="{00000000-0005-0000-0000-000048490000}"/>
    <cellStyle name="Normal 17 2 3 3 6" xfId="24984" xr:uid="{00000000-0005-0000-0000-000049490000}"/>
    <cellStyle name="Normal 17 2 3 4" xfId="5755" xr:uid="{00000000-0005-0000-0000-00004A490000}"/>
    <cellStyle name="Normal 17 2 3 4 2" xfId="8855" xr:uid="{00000000-0005-0000-0000-00004B490000}"/>
    <cellStyle name="Normal 17 2 3 4 2 2" xfId="15048" xr:uid="{00000000-0005-0000-0000-00004C490000}"/>
    <cellStyle name="Normal 17 2 3 4 2 2 2" xfId="34968" xr:uid="{00000000-0005-0000-0000-00004D490000}"/>
    <cellStyle name="Normal 17 2 3 4 2 3" xfId="21200" xr:uid="{00000000-0005-0000-0000-00004E490000}"/>
    <cellStyle name="Normal 17 2 3 4 2 3 2" xfId="41120" xr:uid="{00000000-0005-0000-0000-00004F490000}"/>
    <cellStyle name="Normal 17 2 3 4 2 4" xfId="28815" xr:uid="{00000000-0005-0000-0000-000050490000}"/>
    <cellStyle name="Normal 17 2 3 4 3" xfId="11982" xr:uid="{00000000-0005-0000-0000-000051490000}"/>
    <cellStyle name="Normal 17 2 3 4 3 2" xfId="31902" xr:uid="{00000000-0005-0000-0000-000052490000}"/>
    <cellStyle name="Normal 17 2 3 4 4" xfId="18134" xr:uid="{00000000-0005-0000-0000-000053490000}"/>
    <cellStyle name="Normal 17 2 3 4 4 2" xfId="38054" xr:uid="{00000000-0005-0000-0000-000054490000}"/>
    <cellStyle name="Normal 17 2 3 4 5" xfId="25749" xr:uid="{00000000-0005-0000-0000-000055490000}"/>
    <cellStyle name="Normal 17 2 3 5" xfId="7320" xr:uid="{00000000-0005-0000-0000-000056490000}"/>
    <cellStyle name="Normal 17 2 3 5 2" xfId="13514" xr:uid="{00000000-0005-0000-0000-000057490000}"/>
    <cellStyle name="Normal 17 2 3 5 2 2" xfId="33434" xr:uid="{00000000-0005-0000-0000-000058490000}"/>
    <cellStyle name="Normal 17 2 3 5 3" xfId="19666" xr:uid="{00000000-0005-0000-0000-000059490000}"/>
    <cellStyle name="Normal 17 2 3 5 3 2" xfId="39586" xr:uid="{00000000-0005-0000-0000-00005A490000}"/>
    <cellStyle name="Normal 17 2 3 5 4" xfId="27281" xr:uid="{00000000-0005-0000-0000-00005B490000}"/>
    <cellStyle name="Normal 17 2 3 6" xfId="10448" xr:uid="{00000000-0005-0000-0000-00005C490000}"/>
    <cellStyle name="Normal 17 2 3 6 2" xfId="30368" xr:uid="{00000000-0005-0000-0000-00005D490000}"/>
    <cellStyle name="Normal 17 2 3 7" xfId="16600" xr:uid="{00000000-0005-0000-0000-00005E490000}"/>
    <cellStyle name="Normal 17 2 3 7 2" xfId="36520" xr:uid="{00000000-0005-0000-0000-00005F490000}"/>
    <cellStyle name="Normal 17 2 3 8" xfId="24215" xr:uid="{00000000-0005-0000-0000-000060490000}"/>
    <cellStyle name="Normal 17 2 4" xfId="3394" xr:uid="{00000000-0005-0000-0000-000061490000}"/>
    <cellStyle name="Normal 17 2 4 2" xfId="4915" xr:uid="{00000000-0005-0000-0000-000062490000}"/>
    <cellStyle name="Normal 17 2 4 2 2" xfId="6540" xr:uid="{00000000-0005-0000-0000-000063490000}"/>
    <cellStyle name="Normal 17 2 4 2 2 2" xfId="9626" xr:uid="{00000000-0005-0000-0000-000064490000}"/>
    <cellStyle name="Normal 17 2 4 2 2 2 2" xfId="15819" xr:uid="{00000000-0005-0000-0000-000065490000}"/>
    <cellStyle name="Normal 17 2 4 2 2 2 2 2" xfId="35739" xr:uid="{00000000-0005-0000-0000-000066490000}"/>
    <cellStyle name="Normal 17 2 4 2 2 2 3" xfId="21971" xr:uid="{00000000-0005-0000-0000-000067490000}"/>
    <cellStyle name="Normal 17 2 4 2 2 2 3 2" xfId="41891" xr:uid="{00000000-0005-0000-0000-000068490000}"/>
    <cellStyle name="Normal 17 2 4 2 2 2 4" xfId="29586" xr:uid="{00000000-0005-0000-0000-000069490000}"/>
    <cellStyle name="Normal 17 2 4 2 2 3" xfId="12753" xr:uid="{00000000-0005-0000-0000-00006A490000}"/>
    <cellStyle name="Normal 17 2 4 2 2 3 2" xfId="32673" xr:uid="{00000000-0005-0000-0000-00006B490000}"/>
    <cellStyle name="Normal 17 2 4 2 2 4" xfId="18905" xr:uid="{00000000-0005-0000-0000-00006C490000}"/>
    <cellStyle name="Normal 17 2 4 2 2 4 2" xfId="38825" xr:uid="{00000000-0005-0000-0000-00006D490000}"/>
    <cellStyle name="Normal 17 2 4 2 2 5" xfId="26520" xr:uid="{00000000-0005-0000-0000-00006E490000}"/>
    <cellStyle name="Normal 17 2 4 2 3" xfId="8091" xr:uid="{00000000-0005-0000-0000-00006F490000}"/>
    <cellStyle name="Normal 17 2 4 2 3 2" xfId="14285" xr:uid="{00000000-0005-0000-0000-000070490000}"/>
    <cellStyle name="Normal 17 2 4 2 3 2 2" xfId="34205" xr:uid="{00000000-0005-0000-0000-000071490000}"/>
    <cellStyle name="Normal 17 2 4 2 3 3" xfId="20437" xr:uid="{00000000-0005-0000-0000-000072490000}"/>
    <cellStyle name="Normal 17 2 4 2 3 3 2" xfId="40357" xr:uid="{00000000-0005-0000-0000-000073490000}"/>
    <cellStyle name="Normal 17 2 4 2 3 4" xfId="28052" xr:uid="{00000000-0005-0000-0000-000074490000}"/>
    <cellStyle name="Normal 17 2 4 2 4" xfId="11219" xr:uid="{00000000-0005-0000-0000-000075490000}"/>
    <cellStyle name="Normal 17 2 4 2 4 2" xfId="31139" xr:uid="{00000000-0005-0000-0000-000076490000}"/>
    <cellStyle name="Normal 17 2 4 2 5" xfId="17371" xr:uid="{00000000-0005-0000-0000-000077490000}"/>
    <cellStyle name="Normal 17 2 4 2 5 2" xfId="37291" xr:uid="{00000000-0005-0000-0000-000078490000}"/>
    <cellStyle name="Normal 17 2 4 2 6" xfId="24986" xr:uid="{00000000-0005-0000-0000-000079490000}"/>
    <cellStyle name="Normal 17 2 4 3" xfId="5757" xr:uid="{00000000-0005-0000-0000-00007A490000}"/>
    <cellStyle name="Normal 17 2 4 3 2" xfId="8857" xr:uid="{00000000-0005-0000-0000-00007B490000}"/>
    <cellStyle name="Normal 17 2 4 3 2 2" xfId="15050" xr:uid="{00000000-0005-0000-0000-00007C490000}"/>
    <cellStyle name="Normal 17 2 4 3 2 2 2" xfId="34970" xr:uid="{00000000-0005-0000-0000-00007D490000}"/>
    <cellStyle name="Normal 17 2 4 3 2 3" xfId="21202" xr:uid="{00000000-0005-0000-0000-00007E490000}"/>
    <cellStyle name="Normal 17 2 4 3 2 3 2" xfId="41122" xr:uid="{00000000-0005-0000-0000-00007F490000}"/>
    <cellStyle name="Normal 17 2 4 3 2 4" xfId="28817" xr:uid="{00000000-0005-0000-0000-000080490000}"/>
    <cellStyle name="Normal 17 2 4 3 3" xfId="11984" xr:uid="{00000000-0005-0000-0000-000081490000}"/>
    <cellStyle name="Normal 17 2 4 3 3 2" xfId="31904" xr:uid="{00000000-0005-0000-0000-000082490000}"/>
    <cellStyle name="Normal 17 2 4 3 4" xfId="18136" xr:uid="{00000000-0005-0000-0000-000083490000}"/>
    <cellStyle name="Normal 17 2 4 3 4 2" xfId="38056" xr:uid="{00000000-0005-0000-0000-000084490000}"/>
    <cellStyle name="Normal 17 2 4 3 5" xfId="25751" xr:uid="{00000000-0005-0000-0000-000085490000}"/>
    <cellStyle name="Normal 17 2 4 4" xfId="7322" xr:uid="{00000000-0005-0000-0000-000086490000}"/>
    <cellStyle name="Normal 17 2 4 4 2" xfId="13516" xr:uid="{00000000-0005-0000-0000-000087490000}"/>
    <cellStyle name="Normal 17 2 4 4 2 2" xfId="33436" xr:uid="{00000000-0005-0000-0000-000088490000}"/>
    <cellStyle name="Normal 17 2 4 4 3" xfId="19668" xr:uid="{00000000-0005-0000-0000-000089490000}"/>
    <cellStyle name="Normal 17 2 4 4 3 2" xfId="39588" xr:uid="{00000000-0005-0000-0000-00008A490000}"/>
    <cellStyle name="Normal 17 2 4 4 4" xfId="27283" xr:uid="{00000000-0005-0000-0000-00008B490000}"/>
    <cellStyle name="Normal 17 2 4 5" xfId="10450" xr:uid="{00000000-0005-0000-0000-00008C490000}"/>
    <cellStyle name="Normal 17 2 4 5 2" xfId="30370" xr:uid="{00000000-0005-0000-0000-00008D490000}"/>
    <cellStyle name="Normal 17 2 4 6" xfId="16602" xr:uid="{00000000-0005-0000-0000-00008E490000}"/>
    <cellStyle name="Normal 17 2 4 6 2" xfId="36522" xr:uid="{00000000-0005-0000-0000-00008F490000}"/>
    <cellStyle name="Normal 17 2 4 7" xfId="24217" xr:uid="{00000000-0005-0000-0000-000090490000}"/>
    <cellStyle name="Normal 17 2 5" xfId="4910" xr:uid="{00000000-0005-0000-0000-000091490000}"/>
    <cellStyle name="Normal 17 2 5 2" xfId="6535" xr:uid="{00000000-0005-0000-0000-000092490000}"/>
    <cellStyle name="Normal 17 2 5 2 2" xfId="9621" xr:uid="{00000000-0005-0000-0000-000093490000}"/>
    <cellStyle name="Normal 17 2 5 2 2 2" xfId="15814" xr:uid="{00000000-0005-0000-0000-000094490000}"/>
    <cellStyle name="Normal 17 2 5 2 2 2 2" xfId="35734" xr:uid="{00000000-0005-0000-0000-000095490000}"/>
    <cellStyle name="Normal 17 2 5 2 2 3" xfId="21966" xr:uid="{00000000-0005-0000-0000-000096490000}"/>
    <cellStyle name="Normal 17 2 5 2 2 3 2" xfId="41886" xr:uid="{00000000-0005-0000-0000-000097490000}"/>
    <cellStyle name="Normal 17 2 5 2 2 4" xfId="29581" xr:uid="{00000000-0005-0000-0000-000098490000}"/>
    <cellStyle name="Normal 17 2 5 2 3" xfId="12748" xr:uid="{00000000-0005-0000-0000-000099490000}"/>
    <cellStyle name="Normal 17 2 5 2 3 2" xfId="32668" xr:uid="{00000000-0005-0000-0000-00009A490000}"/>
    <cellStyle name="Normal 17 2 5 2 4" xfId="18900" xr:uid="{00000000-0005-0000-0000-00009B490000}"/>
    <cellStyle name="Normal 17 2 5 2 4 2" xfId="38820" xr:uid="{00000000-0005-0000-0000-00009C490000}"/>
    <cellStyle name="Normal 17 2 5 2 5" xfId="26515" xr:uid="{00000000-0005-0000-0000-00009D490000}"/>
    <cellStyle name="Normal 17 2 5 3" xfId="8086" xr:uid="{00000000-0005-0000-0000-00009E490000}"/>
    <cellStyle name="Normal 17 2 5 3 2" xfId="14280" xr:uid="{00000000-0005-0000-0000-00009F490000}"/>
    <cellStyle name="Normal 17 2 5 3 2 2" xfId="34200" xr:uid="{00000000-0005-0000-0000-0000A0490000}"/>
    <cellStyle name="Normal 17 2 5 3 3" xfId="20432" xr:uid="{00000000-0005-0000-0000-0000A1490000}"/>
    <cellStyle name="Normal 17 2 5 3 3 2" xfId="40352" xr:uid="{00000000-0005-0000-0000-0000A2490000}"/>
    <cellStyle name="Normal 17 2 5 3 4" xfId="28047" xr:uid="{00000000-0005-0000-0000-0000A3490000}"/>
    <cellStyle name="Normal 17 2 5 4" xfId="11214" xr:uid="{00000000-0005-0000-0000-0000A4490000}"/>
    <cellStyle name="Normal 17 2 5 4 2" xfId="31134" xr:uid="{00000000-0005-0000-0000-0000A5490000}"/>
    <cellStyle name="Normal 17 2 5 5" xfId="17366" xr:uid="{00000000-0005-0000-0000-0000A6490000}"/>
    <cellStyle name="Normal 17 2 5 5 2" xfId="37286" xr:uid="{00000000-0005-0000-0000-0000A7490000}"/>
    <cellStyle name="Normal 17 2 5 6" xfId="24981" xr:uid="{00000000-0005-0000-0000-0000A8490000}"/>
    <cellStyle name="Normal 17 2 6" xfId="5752" xr:uid="{00000000-0005-0000-0000-0000A9490000}"/>
    <cellStyle name="Normal 17 2 6 2" xfId="8852" xr:uid="{00000000-0005-0000-0000-0000AA490000}"/>
    <cellStyle name="Normal 17 2 6 2 2" xfId="15045" xr:uid="{00000000-0005-0000-0000-0000AB490000}"/>
    <cellStyle name="Normal 17 2 6 2 2 2" xfId="34965" xr:uid="{00000000-0005-0000-0000-0000AC490000}"/>
    <cellStyle name="Normal 17 2 6 2 3" xfId="21197" xr:uid="{00000000-0005-0000-0000-0000AD490000}"/>
    <cellStyle name="Normal 17 2 6 2 3 2" xfId="41117" xr:uid="{00000000-0005-0000-0000-0000AE490000}"/>
    <cellStyle name="Normal 17 2 6 2 4" xfId="28812" xr:uid="{00000000-0005-0000-0000-0000AF490000}"/>
    <cellStyle name="Normal 17 2 6 3" xfId="11979" xr:uid="{00000000-0005-0000-0000-0000B0490000}"/>
    <cellStyle name="Normal 17 2 6 3 2" xfId="31899" xr:uid="{00000000-0005-0000-0000-0000B1490000}"/>
    <cellStyle name="Normal 17 2 6 4" xfId="18131" xr:uid="{00000000-0005-0000-0000-0000B2490000}"/>
    <cellStyle name="Normal 17 2 6 4 2" xfId="38051" xr:uid="{00000000-0005-0000-0000-0000B3490000}"/>
    <cellStyle name="Normal 17 2 6 5" xfId="25746" xr:uid="{00000000-0005-0000-0000-0000B4490000}"/>
    <cellStyle name="Normal 17 2 7" xfId="7317" xr:uid="{00000000-0005-0000-0000-0000B5490000}"/>
    <cellStyle name="Normal 17 2 7 2" xfId="13511" xr:uid="{00000000-0005-0000-0000-0000B6490000}"/>
    <cellStyle name="Normal 17 2 7 2 2" xfId="33431" xr:uid="{00000000-0005-0000-0000-0000B7490000}"/>
    <cellStyle name="Normal 17 2 7 3" xfId="19663" xr:uid="{00000000-0005-0000-0000-0000B8490000}"/>
    <cellStyle name="Normal 17 2 7 3 2" xfId="39583" xr:uid="{00000000-0005-0000-0000-0000B9490000}"/>
    <cellStyle name="Normal 17 2 7 4" xfId="27278" xr:uid="{00000000-0005-0000-0000-0000BA490000}"/>
    <cellStyle name="Normal 17 2 8" xfId="10445" xr:uid="{00000000-0005-0000-0000-0000BB490000}"/>
    <cellStyle name="Normal 17 2 8 2" xfId="30365" xr:uid="{00000000-0005-0000-0000-0000BC490000}"/>
    <cellStyle name="Normal 17 2 9" xfId="16597" xr:uid="{00000000-0005-0000-0000-0000BD490000}"/>
    <cellStyle name="Normal 17 2 9 2" xfId="36517" xr:uid="{00000000-0005-0000-0000-0000BE490000}"/>
    <cellStyle name="Normal 17 3" xfId="3395" xr:uid="{00000000-0005-0000-0000-0000BF490000}"/>
    <cellStyle name="Normal 17 3 2" xfId="3396" xr:uid="{00000000-0005-0000-0000-0000C0490000}"/>
    <cellStyle name="Normal 17 3 2 2" xfId="4917" xr:uid="{00000000-0005-0000-0000-0000C1490000}"/>
    <cellStyle name="Normal 17 3 2 2 2" xfId="6542" xr:uid="{00000000-0005-0000-0000-0000C2490000}"/>
    <cellStyle name="Normal 17 3 2 2 2 2" xfId="9628" xr:uid="{00000000-0005-0000-0000-0000C3490000}"/>
    <cellStyle name="Normal 17 3 2 2 2 2 2" xfId="15821" xr:uid="{00000000-0005-0000-0000-0000C4490000}"/>
    <cellStyle name="Normal 17 3 2 2 2 2 2 2" xfId="35741" xr:uid="{00000000-0005-0000-0000-0000C5490000}"/>
    <cellStyle name="Normal 17 3 2 2 2 2 3" xfId="21973" xr:uid="{00000000-0005-0000-0000-0000C6490000}"/>
    <cellStyle name="Normal 17 3 2 2 2 2 3 2" xfId="41893" xr:uid="{00000000-0005-0000-0000-0000C7490000}"/>
    <cellStyle name="Normal 17 3 2 2 2 2 4" xfId="29588" xr:uid="{00000000-0005-0000-0000-0000C8490000}"/>
    <cellStyle name="Normal 17 3 2 2 2 3" xfId="12755" xr:uid="{00000000-0005-0000-0000-0000C9490000}"/>
    <cellStyle name="Normal 17 3 2 2 2 3 2" xfId="32675" xr:uid="{00000000-0005-0000-0000-0000CA490000}"/>
    <cellStyle name="Normal 17 3 2 2 2 4" xfId="18907" xr:uid="{00000000-0005-0000-0000-0000CB490000}"/>
    <cellStyle name="Normal 17 3 2 2 2 4 2" xfId="38827" xr:uid="{00000000-0005-0000-0000-0000CC490000}"/>
    <cellStyle name="Normal 17 3 2 2 2 5" xfId="26522" xr:uid="{00000000-0005-0000-0000-0000CD490000}"/>
    <cellStyle name="Normal 17 3 2 2 3" xfId="8093" xr:uid="{00000000-0005-0000-0000-0000CE490000}"/>
    <cellStyle name="Normal 17 3 2 2 3 2" xfId="14287" xr:uid="{00000000-0005-0000-0000-0000CF490000}"/>
    <cellStyle name="Normal 17 3 2 2 3 2 2" xfId="34207" xr:uid="{00000000-0005-0000-0000-0000D0490000}"/>
    <cellStyle name="Normal 17 3 2 2 3 3" xfId="20439" xr:uid="{00000000-0005-0000-0000-0000D1490000}"/>
    <cellStyle name="Normal 17 3 2 2 3 3 2" xfId="40359" xr:uid="{00000000-0005-0000-0000-0000D2490000}"/>
    <cellStyle name="Normal 17 3 2 2 3 4" xfId="28054" xr:uid="{00000000-0005-0000-0000-0000D3490000}"/>
    <cellStyle name="Normal 17 3 2 2 4" xfId="11221" xr:uid="{00000000-0005-0000-0000-0000D4490000}"/>
    <cellStyle name="Normal 17 3 2 2 4 2" xfId="31141" xr:uid="{00000000-0005-0000-0000-0000D5490000}"/>
    <cellStyle name="Normal 17 3 2 2 5" xfId="17373" xr:uid="{00000000-0005-0000-0000-0000D6490000}"/>
    <cellStyle name="Normal 17 3 2 2 5 2" xfId="37293" xr:uid="{00000000-0005-0000-0000-0000D7490000}"/>
    <cellStyle name="Normal 17 3 2 2 6" xfId="24988" xr:uid="{00000000-0005-0000-0000-0000D8490000}"/>
    <cellStyle name="Normal 17 3 2 3" xfId="5759" xr:uid="{00000000-0005-0000-0000-0000D9490000}"/>
    <cellStyle name="Normal 17 3 2 3 2" xfId="8859" xr:uid="{00000000-0005-0000-0000-0000DA490000}"/>
    <cellStyle name="Normal 17 3 2 3 2 2" xfId="15052" xr:uid="{00000000-0005-0000-0000-0000DB490000}"/>
    <cellStyle name="Normal 17 3 2 3 2 2 2" xfId="34972" xr:uid="{00000000-0005-0000-0000-0000DC490000}"/>
    <cellStyle name="Normal 17 3 2 3 2 3" xfId="21204" xr:uid="{00000000-0005-0000-0000-0000DD490000}"/>
    <cellStyle name="Normal 17 3 2 3 2 3 2" xfId="41124" xr:uid="{00000000-0005-0000-0000-0000DE490000}"/>
    <cellStyle name="Normal 17 3 2 3 2 4" xfId="28819" xr:uid="{00000000-0005-0000-0000-0000DF490000}"/>
    <cellStyle name="Normal 17 3 2 3 3" xfId="11986" xr:uid="{00000000-0005-0000-0000-0000E0490000}"/>
    <cellStyle name="Normal 17 3 2 3 3 2" xfId="31906" xr:uid="{00000000-0005-0000-0000-0000E1490000}"/>
    <cellStyle name="Normal 17 3 2 3 4" xfId="18138" xr:uid="{00000000-0005-0000-0000-0000E2490000}"/>
    <cellStyle name="Normal 17 3 2 3 4 2" xfId="38058" xr:uid="{00000000-0005-0000-0000-0000E3490000}"/>
    <cellStyle name="Normal 17 3 2 3 5" xfId="25753" xr:uid="{00000000-0005-0000-0000-0000E4490000}"/>
    <cellStyle name="Normal 17 3 2 4" xfId="7324" xr:uid="{00000000-0005-0000-0000-0000E5490000}"/>
    <cellStyle name="Normal 17 3 2 4 2" xfId="13518" xr:uid="{00000000-0005-0000-0000-0000E6490000}"/>
    <cellStyle name="Normal 17 3 2 4 2 2" xfId="33438" xr:uid="{00000000-0005-0000-0000-0000E7490000}"/>
    <cellStyle name="Normal 17 3 2 4 3" xfId="19670" xr:uid="{00000000-0005-0000-0000-0000E8490000}"/>
    <cellStyle name="Normal 17 3 2 4 3 2" xfId="39590" xr:uid="{00000000-0005-0000-0000-0000E9490000}"/>
    <cellStyle name="Normal 17 3 2 4 4" xfId="27285" xr:uid="{00000000-0005-0000-0000-0000EA490000}"/>
    <cellStyle name="Normal 17 3 2 5" xfId="10452" xr:uid="{00000000-0005-0000-0000-0000EB490000}"/>
    <cellStyle name="Normal 17 3 2 5 2" xfId="30372" xr:uid="{00000000-0005-0000-0000-0000EC490000}"/>
    <cellStyle name="Normal 17 3 2 6" xfId="16604" xr:uid="{00000000-0005-0000-0000-0000ED490000}"/>
    <cellStyle name="Normal 17 3 2 6 2" xfId="36524" xr:uid="{00000000-0005-0000-0000-0000EE490000}"/>
    <cellStyle name="Normal 17 3 2 7" xfId="24219" xr:uid="{00000000-0005-0000-0000-0000EF490000}"/>
    <cellStyle name="Normal 17 3 3" xfId="4916" xr:uid="{00000000-0005-0000-0000-0000F0490000}"/>
    <cellStyle name="Normal 17 3 3 2" xfId="6541" xr:uid="{00000000-0005-0000-0000-0000F1490000}"/>
    <cellStyle name="Normal 17 3 3 2 2" xfId="9627" xr:uid="{00000000-0005-0000-0000-0000F2490000}"/>
    <cellStyle name="Normal 17 3 3 2 2 2" xfId="15820" xr:uid="{00000000-0005-0000-0000-0000F3490000}"/>
    <cellStyle name="Normal 17 3 3 2 2 2 2" xfId="35740" xr:uid="{00000000-0005-0000-0000-0000F4490000}"/>
    <cellStyle name="Normal 17 3 3 2 2 3" xfId="21972" xr:uid="{00000000-0005-0000-0000-0000F5490000}"/>
    <cellStyle name="Normal 17 3 3 2 2 3 2" xfId="41892" xr:uid="{00000000-0005-0000-0000-0000F6490000}"/>
    <cellStyle name="Normal 17 3 3 2 2 4" xfId="29587" xr:uid="{00000000-0005-0000-0000-0000F7490000}"/>
    <cellStyle name="Normal 17 3 3 2 3" xfId="12754" xr:uid="{00000000-0005-0000-0000-0000F8490000}"/>
    <cellStyle name="Normal 17 3 3 2 3 2" xfId="32674" xr:uid="{00000000-0005-0000-0000-0000F9490000}"/>
    <cellStyle name="Normal 17 3 3 2 4" xfId="18906" xr:uid="{00000000-0005-0000-0000-0000FA490000}"/>
    <cellStyle name="Normal 17 3 3 2 4 2" xfId="38826" xr:uid="{00000000-0005-0000-0000-0000FB490000}"/>
    <cellStyle name="Normal 17 3 3 2 5" xfId="26521" xr:uid="{00000000-0005-0000-0000-0000FC490000}"/>
    <cellStyle name="Normal 17 3 3 3" xfId="8092" xr:uid="{00000000-0005-0000-0000-0000FD490000}"/>
    <cellStyle name="Normal 17 3 3 3 2" xfId="14286" xr:uid="{00000000-0005-0000-0000-0000FE490000}"/>
    <cellStyle name="Normal 17 3 3 3 2 2" xfId="34206" xr:uid="{00000000-0005-0000-0000-0000FF490000}"/>
    <cellStyle name="Normal 17 3 3 3 3" xfId="20438" xr:uid="{00000000-0005-0000-0000-0000004A0000}"/>
    <cellStyle name="Normal 17 3 3 3 3 2" xfId="40358" xr:uid="{00000000-0005-0000-0000-0000014A0000}"/>
    <cellStyle name="Normal 17 3 3 3 4" xfId="28053" xr:uid="{00000000-0005-0000-0000-0000024A0000}"/>
    <cellStyle name="Normal 17 3 3 4" xfId="11220" xr:uid="{00000000-0005-0000-0000-0000034A0000}"/>
    <cellStyle name="Normal 17 3 3 4 2" xfId="31140" xr:uid="{00000000-0005-0000-0000-0000044A0000}"/>
    <cellStyle name="Normal 17 3 3 5" xfId="17372" xr:uid="{00000000-0005-0000-0000-0000054A0000}"/>
    <cellStyle name="Normal 17 3 3 5 2" xfId="37292" xr:uid="{00000000-0005-0000-0000-0000064A0000}"/>
    <cellStyle name="Normal 17 3 3 6" xfId="24987" xr:uid="{00000000-0005-0000-0000-0000074A0000}"/>
    <cellStyle name="Normal 17 3 4" xfId="5758" xr:uid="{00000000-0005-0000-0000-0000084A0000}"/>
    <cellStyle name="Normal 17 3 4 2" xfId="8858" xr:uid="{00000000-0005-0000-0000-0000094A0000}"/>
    <cellStyle name="Normal 17 3 4 2 2" xfId="15051" xr:uid="{00000000-0005-0000-0000-00000A4A0000}"/>
    <cellStyle name="Normal 17 3 4 2 2 2" xfId="34971" xr:uid="{00000000-0005-0000-0000-00000B4A0000}"/>
    <cellStyle name="Normal 17 3 4 2 3" xfId="21203" xr:uid="{00000000-0005-0000-0000-00000C4A0000}"/>
    <cellStyle name="Normal 17 3 4 2 3 2" xfId="41123" xr:uid="{00000000-0005-0000-0000-00000D4A0000}"/>
    <cellStyle name="Normal 17 3 4 2 4" xfId="28818" xr:uid="{00000000-0005-0000-0000-00000E4A0000}"/>
    <cellStyle name="Normal 17 3 4 3" xfId="11985" xr:uid="{00000000-0005-0000-0000-00000F4A0000}"/>
    <cellStyle name="Normal 17 3 4 3 2" xfId="31905" xr:uid="{00000000-0005-0000-0000-0000104A0000}"/>
    <cellStyle name="Normal 17 3 4 4" xfId="18137" xr:uid="{00000000-0005-0000-0000-0000114A0000}"/>
    <cellStyle name="Normal 17 3 4 4 2" xfId="38057" xr:uid="{00000000-0005-0000-0000-0000124A0000}"/>
    <cellStyle name="Normal 17 3 4 5" xfId="25752" xr:uid="{00000000-0005-0000-0000-0000134A0000}"/>
    <cellStyle name="Normal 17 3 5" xfId="7323" xr:uid="{00000000-0005-0000-0000-0000144A0000}"/>
    <cellStyle name="Normal 17 3 5 2" xfId="13517" xr:uid="{00000000-0005-0000-0000-0000154A0000}"/>
    <cellStyle name="Normal 17 3 5 2 2" xfId="33437" xr:uid="{00000000-0005-0000-0000-0000164A0000}"/>
    <cellStyle name="Normal 17 3 5 3" xfId="19669" xr:uid="{00000000-0005-0000-0000-0000174A0000}"/>
    <cellStyle name="Normal 17 3 5 3 2" xfId="39589" xr:uid="{00000000-0005-0000-0000-0000184A0000}"/>
    <cellStyle name="Normal 17 3 5 4" xfId="27284" xr:uid="{00000000-0005-0000-0000-0000194A0000}"/>
    <cellStyle name="Normal 17 3 6" xfId="10451" xr:uid="{00000000-0005-0000-0000-00001A4A0000}"/>
    <cellStyle name="Normal 17 3 6 2" xfId="30371" xr:uid="{00000000-0005-0000-0000-00001B4A0000}"/>
    <cellStyle name="Normal 17 3 7" xfId="16603" xr:uid="{00000000-0005-0000-0000-00001C4A0000}"/>
    <cellStyle name="Normal 17 3 7 2" xfId="36523" xr:uid="{00000000-0005-0000-0000-00001D4A0000}"/>
    <cellStyle name="Normal 17 3 8" xfId="24218" xr:uid="{00000000-0005-0000-0000-00001E4A0000}"/>
    <cellStyle name="Normal 17 4" xfId="3397" xr:uid="{00000000-0005-0000-0000-00001F4A0000}"/>
    <cellStyle name="Normal 17 4 2" xfId="3398" xr:uid="{00000000-0005-0000-0000-0000204A0000}"/>
    <cellStyle name="Normal 17 4 2 2" xfId="4919" xr:uid="{00000000-0005-0000-0000-0000214A0000}"/>
    <cellStyle name="Normal 17 4 2 2 2" xfId="6544" xr:uid="{00000000-0005-0000-0000-0000224A0000}"/>
    <cellStyle name="Normal 17 4 2 2 2 2" xfId="9630" xr:uid="{00000000-0005-0000-0000-0000234A0000}"/>
    <cellStyle name="Normal 17 4 2 2 2 2 2" xfId="15823" xr:uid="{00000000-0005-0000-0000-0000244A0000}"/>
    <cellStyle name="Normal 17 4 2 2 2 2 2 2" xfId="35743" xr:uid="{00000000-0005-0000-0000-0000254A0000}"/>
    <cellStyle name="Normal 17 4 2 2 2 2 3" xfId="21975" xr:uid="{00000000-0005-0000-0000-0000264A0000}"/>
    <cellStyle name="Normal 17 4 2 2 2 2 3 2" xfId="41895" xr:uid="{00000000-0005-0000-0000-0000274A0000}"/>
    <cellStyle name="Normal 17 4 2 2 2 2 4" xfId="29590" xr:uid="{00000000-0005-0000-0000-0000284A0000}"/>
    <cellStyle name="Normal 17 4 2 2 2 3" xfId="12757" xr:uid="{00000000-0005-0000-0000-0000294A0000}"/>
    <cellStyle name="Normal 17 4 2 2 2 3 2" xfId="32677" xr:uid="{00000000-0005-0000-0000-00002A4A0000}"/>
    <cellStyle name="Normal 17 4 2 2 2 4" xfId="18909" xr:uid="{00000000-0005-0000-0000-00002B4A0000}"/>
    <cellStyle name="Normal 17 4 2 2 2 4 2" xfId="38829" xr:uid="{00000000-0005-0000-0000-00002C4A0000}"/>
    <cellStyle name="Normal 17 4 2 2 2 5" xfId="26524" xr:uid="{00000000-0005-0000-0000-00002D4A0000}"/>
    <cellStyle name="Normal 17 4 2 2 3" xfId="8095" xr:uid="{00000000-0005-0000-0000-00002E4A0000}"/>
    <cellStyle name="Normal 17 4 2 2 3 2" xfId="14289" xr:uid="{00000000-0005-0000-0000-00002F4A0000}"/>
    <cellStyle name="Normal 17 4 2 2 3 2 2" xfId="34209" xr:uid="{00000000-0005-0000-0000-0000304A0000}"/>
    <cellStyle name="Normal 17 4 2 2 3 3" xfId="20441" xr:uid="{00000000-0005-0000-0000-0000314A0000}"/>
    <cellStyle name="Normal 17 4 2 2 3 3 2" xfId="40361" xr:uid="{00000000-0005-0000-0000-0000324A0000}"/>
    <cellStyle name="Normal 17 4 2 2 3 4" xfId="28056" xr:uid="{00000000-0005-0000-0000-0000334A0000}"/>
    <cellStyle name="Normal 17 4 2 2 4" xfId="11223" xr:uid="{00000000-0005-0000-0000-0000344A0000}"/>
    <cellStyle name="Normal 17 4 2 2 4 2" xfId="31143" xr:uid="{00000000-0005-0000-0000-0000354A0000}"/>
    <cellStyle name="Normal 17 4 2 2 5" xfId="17375" xr:uid="{00000000-0005-0000-0000-0000364A0000}"/>
    <cellStyle name="Normal 17 4 2 2 5 2" xfId="37295" xr:uid="{00000000-0005-0000-0000-0000374A0000}"/>
    <cellStyle name="Normal 17 4 2 2 6" xfId="24990" xr:uid="{00000000-0005-0000-0000-0000384A0000}"/>
    <cellStyle name="Normal 17 4 2 3" xfId="5761" xr:uid="{00000000-0005-0000-0000-0000394A0000}"/>
    <cellStyle name="Normal 17 4 2 3 2" xfId="8861" xr:uid="{00000000-0005-0000-0000-00003A4A0000}"/>
    <cellStyle name="Normal 17 4 2 3 2 2" xfId="15054" xr:uid="{00000000-0005-0000-0000-00003B4A0000}"/>
    <cellStyle name="Normal 17 4 2 3 2 2 2" xfId="34974" xr:uid="{00000000-0005-0000-0000-00003C4A0000}"/>
    <cellStyle name="Normal 17 4 2 3 2 3" xfId="21206" xr:uid="{00000000-0005-0000-0000-00003D4A0000}"/>
    <cellStyle name="Normal 17 4 2 3 2 3 2" xfId="41126" xr:uid="{00000000-0005-0000-0000-00003E4A0000}"/>
    <cellStyle name="Normal 17 4 2 3 2 4" xfId="28821" xr:uid="{00000000-0005-0000-0000-00003F4A0000}"/>
    <cellStyle name="Normal 17 4 2 3 3" xfId="11988" xr:uid="{00000000-0005-0000-0000-0000404A0000}"/>
    <cellStyle name="Normal 17 4 2 3 3 2" xfId="31908" xr:uid="{00000000-0005-0000-0000-0000414A0000}"/>
    <cellStyle name="Normal 17 4 2 3 4" xfId="18140" xr:uid="{00000000-0005-0000-0000-0000424A0000}"/>
    <cellStyle name="Normal 17 4 2 3 4 2" xfId="38060" xr:uid="{00000000-0005-0000-0000-0000434A0000}"/>
    <cellStyle name="Normal 17 4 2 3 5" xfId="25755" xr:uid="{00000000-0005-0000-0000-0000444A0000}"/>
    <cellStyle name="Normal 17 4 2 4" xfId="7326" xr:uid="{00000000-0005-0000-0000-0000454A0000}"/>
    <cellStyle name="Normal 17 4 2 4 2" xfId="13520" xr:uid="{00000000-0005-0000-0000-0000464A0000}"/>
    <cellStyle name="Normal 17 4 2 4 2 2" xfId="33440" xr:uid="{00000000-0005-0000-0000-0000474A0000}"/>
    <cellStyle name="Normal 17 4 2 4 3" xfId="19672" xr:uid="{00000000-0005-0000-0000-0000484A0000}"/>
    <cellStyle name="Normal 17 4 2 4 3 2" xfId="39592" xr:uid="{00000000-0005-0000-0000-0000494A0000}"/>
    <cellStyle name="Normal 17 4 2 4 4" xfId="27287" xr:uid="{00000000-0005-0000-0000-00004A4A0000}"/>
    <cellStyle name="Normal 17 4 2 5" xfId="10454" xr:uid="{00000000-0005-0000-0000-00004B4A0000}"/>
    <cellStyle name="Normal 17 4 2 5 2" xfId="30374" xr:uid="{00000000-0005-0000-0000-00004C4A0000}"/>
    <cellStyle name="Normal 17 4 2 6" xfId="16606" xr:uid="{00000000-0005-0000-0000-00004D4A0000}"/>
    <cellStyle name="Normal 17 4 2 6 2" xfId="36526" xr:uid="{00000000-0005-0000-0000-00004E4A0000}"/>
    <cellStyle name="Normal 17 4 2 7" xfId="24221" xr:uid="{00000000-0005-0000-0000-00004F4A0000}"/>
    <cellStyle name="Normal 17 4 3" xfId="4918" xr:uid="{00000000-0005-0000-0000-0000504A0000}"/>
    <cellStyle name="Normal 17 4 3 2" xfId="6543" xr:uid="{00000000-0005-0000-0000-0000514A0000}"/>
    <cellStyle name="Normal 17 4 3 2 2" xfId="9629" xr:uid="{00000000-0005-0000-0000-0000524A0000}"/>
    <cellStyle name="Normal 17 4 3 2 2 2" xfId="15822" xr:uid="{00000000-0005-0000-0000-0000534A0000}"/>
    <cellStyle name="Normal 17 4 3 2 2 2 2" xfId="35742" xr:uid="{00000000-0005-0000-0000-0000544A0000}"/>
    <cellStyle name="Normal 17 4 3 2 2 3" xfId="21974" xr:uid="{00000000-0005-0000-0000-0000554A0000}"/>
    <cellStyle name="Normal 17 4 3 2 2 3 2" xfId="41894" xr:uid="{00000000-0005-0000-0000-0000564A0000}"/>
    <cellStyle name="Normal 17 4 3 2 2 4" xfId="29589" xr:uid="{00000000-0005-0000-0000-0000574A0000}"/>
    <cellStyle name="Normal 17 4 3 2 3" xfId="12756" xr:uid="{00000000-0005-0000-0000-0000584A0000}"/>
    <cellStyle name="Normal 17 4 3 2 3 2" xfId="32676" xr:uid="{00000000-0005-0000-0000-0000594A0000}"/>
    <cellStyle name="Normal 17 4 3 2 4" xfId="18908" xr:uid="{00000000-0005-0000-0000-00005A4A0000}"/>
    <cellStyle name="Normal 17 4 3 2 4 2" xfId="38828" xr:uid="{00000000-0005-0000-0000-00005B4A0000}"/>
    <cellStyle name="Normal 17 4 3 2 5" xfId="26523" xr:uid="{00000000-0005-0000-0000-00005C4A0000}"/>
    <cellStyle name="Normal 17 4 3 3" xfId="8094" xr:uid="{00000000-0005-0000-0000-00005D4A0000}"/>
    <cellStyle name="Normal 17 4 3 3 2" xfId="14288" xr:uid="{00000000-0005-0000-0000-00005E4A0000}"/>
    <cellStyle name="Normal 17 4 3 3 2 2" xfId="34208" xr:uid="{00000000-0005-0000-0000-00005F4A0000}"/>
    <cellStyle name="Normal 17 4 3 3 3" xfId="20440" xr:uid="{00000000-0005-0000-0000-0000604A0000}"/>
    <cellStyle name="Normal 17 4 3 3 3 2" xfId="40360" xr:uid="{00000000-0005-0000-0000-0000614A0000}"/>
    <cellStyle name="Normal 17 4 3 3 4" xfId="28055" xr:uid="{00000000-0005-0000-0000-0000624A0000}"/>
    <cellStyle name="Normal 17 4 3 4" xfId="11222" xr:uid="{00000000-0005-0000-0000-0000634A0000}"/>
    <cellStyle name="Normal 17 4 3 4 2" xfId="31142" xr:uid="{00000000-0005-0000-0000-0000644A0000}"/>
    <cellStyle name="Normal 17 4 3 5" xfId="17374" xr:uid="{00000000-0005-0000-0000-0000654A0000}"/>
    <cellStyle name="Normal 17 4 3 5 2" xfId="37294" xr:uid="{00000000-0005-0000-0000-0000664A0000}"/>
    <cellStyle name="Normal 17 4 3 6" xfId="24989" xr:uid="{00000000-0005-0000-0000-0000674A0000}"/>
    <cellStyle name="Normal 17 4 4" xfId="5760" xr:uid="{00000000-0005-0000-0000-0000684A0000}"/>
    <cellStyle name="Normal 17 4 4 2" xfId="8860" xr:uid="{00000000-0005-0000-0000-0000694A0000}"/>
    <cellStyle name="Normal 17 4 4 2 2" xfId="15053" xr:uid="{00000000-0005-0000-0000-00006A4A0000}"/>
    <cellStyle name="Normal 17 4 4 2 2 2" xfId="34973" xr:uid="{00000000-0005-0000-0000-00006B4A0000}"/>
    <cellStyle name="Normal 17 4 4 2 3" xfId="21205" xr:uid="{00000000-0005-0000-0000-00006C4A0000}"/>
    <cellStyle name="Normal 17 4 4 2 3 2" xfId="41125" xr:uid="{00000000-0005-0000-0000-00006D4A0000}"/>
    <cellStyle name="Normal 17 4 4 2 4" xfId="28820" xr:uid="{00000000-0005-0000-0000-00006E4A0000}"/>
    <cellStyle name="Normal 17 4 4 3" xfId="11987" xr:uid="{00000000-0005-0000-0000-00006F4A0000}"/>
    <cellStyle name="Normal 17 4 4 3 2" xfId="31907" xr:uid="{00000000-0005-0000-0000-0000704A0000}"/>
    <cellStyle name="Normal 17 4 4 4" xfId="18139" xr:uid="{00000000-0005-0000-0000-0000714A0000}"/>
    <cellStyle name="Normal 17 4 4 4 2" xfId="38059" xr:uid="{00000000-0005-0000-0000-0000724A0000}"/>
    <cellStyle name="Normal 17 4 4 5" xfId="25754" xr:uid="{00000000-0005-0000-0000-0000734A0000}"/>
    <cellStyle name="Normal 17 4 5" xfId="7325" xr:uid="{00000000-0005-0000-0000-0000744A0000}"/>
    <cellStyle name="Normal 17 4 5 2" xfId="13519" xr:uid="{00000000-0005-0000-0000-0000754A0000}"/>
    <cellStyle name="Normal 17 4 5 2 2" xfId="33439" xr:uid="{00000000-0005-0000-0000-0000764A0000}"/>
    <cellStyle name="Normal 17 4 5 3" xfId="19671" xr:uid="{00000000-0005-0000-0000-0000774A0000}"/>
    <cellStyle name="Normal 17 4 5 3 2" xfId="39591" xr:uid="{00000000-0005-0000-0000-0000784A0000}"/>
    <cellStyle name="Normal 17 4 5 4" xfId="27286" xr:uid="{00000000-0005-0000-0000-0000794A0000}"/>
    <cellStyle name="Normal 17 4 6" xfId="10453" xr:uid="{00000000-0005-0000-0000-00007A4A0000}"/>
    <cellStyle name="Normal 17 4 6 2" xfId="30373" xr:uid="{00000000-0005-0000-0000-00007B4A0000}"/>
    <cellStyle name="Normal 17 4 7" xfId="16605" xr:uid="{00000000-0005-0000-0000-00007C4A0000}"/>
    <cellStyle name="Normal 17 4 7 2" xfId="36525" xr:uid="{00000000-0005-0000-0000-00007D4A0000}"/>
    <cellStyle name="Normal 17 4 8" xfId="24220" xr:uid="{00000000-0005-0000-0000-00007E4A0000}"/>
    <cellStyle name="Normal 17 5" xfId="3399" xr:uid="{00000000-0005-0000-0000-00007F4A0000}"/>
    <cellStyle name="Normal 17 5 2" xfId="3400" xr:uid="{00000000-0005-0000-0000-0000804A0000}"/>
    <cellStyle name="Normal 17 5 2 2" xfId="4920" xr:uid="{00000000-0005-0000-0000-0000814A0000}"/>
    <cellStyle name="Normal 17 5 2 2 2" xfId="6545" xr:uid="{00000000-0005-0000-0000-0000824A0000}"/>
    <cellStyle name="Normal 17 5 2 2 2 2" xfId="9631" xr:uid="{00000000-0005-0000-0000-0000834A0000}"/>
    <cellStyle name="Normal 17 5 2 2 2 2 2" xfId="15824" xr:uid="{00000000-0005-0000-0000-0000844A0000}"/>
    <cellStyle name="Normal 17 5 2 2 2 2 2 2" xfId="35744" xr:uid="{00000000-0005-0000-0000-0000854A0000}"/>
    <cellStyle name="Normal 17 5 2 2 2 2 3" xfId="21976" xr:uid="{00000000-0005-0000-0000-0000864A0000}"/>
    <cellStyle name="Normal 17 5 2 2 2 2 3 2" xfId="41896" xr:uid="{00000000-0005-0000-0000-0000874A0000}"/>
    <cellStyle name="Normal 17 5 2 2 2 2 4" xfId="29591" xr:uid="{00000000-0005-0000-0000-0000884A0000}"/>
    <cellStyle name="Normal 17 5 2 2 2 3" xfId="12758" xr:uid="{00000000-0005-0000-0000-0000894A0000}"/>
    <cellStyle name="Normal 17 5 2 2 2 3 2" xfId="32678" xr:uid="{00000000-0005-0000-0000-00008A4A0000}"/>
    <cellStyle name="Normal 17 5 2 2 2 4" xfId="18910" xr:uid="{00000000-0005-0000-0000-00008B4A0000}"/>
    <cellStyle name="Normal 17 5 2 2 2 4 2" xfId="38830" xr:uid="{00000000-0005-0000-0000-00008C4A0000}"/>
    <cellStyle name="Normal 17 5 2 2 2 5" xfId="26525" xr:uid="{00000000-0005-0000-0000-00008D4A0000}"/>
    <cellStyle name="Normal 17 5 2 2 3" xfId="8096" xr:uid="{00000000-0005-0000-0000-00008E4A0000}"/>
    <cellStyle name="Normal 17 5 2 2 3 2" xfId="14290" xr:uid="{00000000-0005-0000-0000-00008F4A0000}"/>
    <cellStyle name="Normal 17 5 2 2 3 2 2" xfId="34210" xr:uid="{00000000-0005-0000-0000-0000904A0000}"/>
    <cellStyle name="Normal 17 5 2 2 3 3" xfId="20442" xr:uid="{00000000-0005-0000-0000-0000914A0000}"/>
    <cellStyle name="Normal 17 5 2 2 3 3 2" xfId="40362" xr:uid="{00000000-0005-0000-0000-0000924A0000}"/>
    <cellStyle name="Normal 17 5 2 2 3 4" xfId="28057" xr:uid="{00000000-0005-0000-0000-0000934A0000}"/>
    <cellStyle name="Normal 17 5 2 2 4" xfId="11224" xr:uid="{00000000-0005-0000-0000-0000944A0000}"/>
    <cellStyle name="Normal 17 5 2 2 4 2" xfId="31144" xr:uid="{00000000-0005-0000-0000-0000954A0000}"/>
    <cellStyle name="Normal 17 5 2 2 5" xfId="17376" xr:uid="{00000000-0005-0000-0000-0000964A0000}"/>
    <cellStyle name="Normal 17 5 2 2 5 2" xfId="37296" xr:uid="{00000000-0005-0000-0000-0000974A0000}"/>
    <cellStyle name="Normal 17 5 2 2 6" xfId="24991" xr:uid="{00000000-0005-0000-0000-0000984A0000}"/>
    <cellStyle name="Normal 17 5 2 3" xfId="5762" xr:uid="{00000000-0005-0000-0000-0000994A0000}"/>
    <cellStyle name="Normal 17 5 2 3 2" xfId="8862" xr:uid="{00000000-0005-0000-0000-00009A4A0000}"/>
    <cellStyle name="Normal 17 5 2 3 2 2" xfId="15055" xr:uid="{00000000-0005-0000-0000-00009B4A0000}"/>
    <cellStyle name="Normal 17 5 2 3 2 2 2" xfId="34975" xr:uid="{00000000-0005-0000-0000-00009C4A0000}"/>
    <cellStyle name="Normal 17 5 2 3 2 3" xfId="21207" xr:uid="{00000000-0005-0000-0000-00009D4A0000}"/>
    <cellStyle name="Normal 17 5 2 3 2 3 2" xfId="41127" xr:uid="{00000000-0005-0000-0000-00009E4A0000}"/>
    <cellStyle name="Normal 17 5 2 3 2 4" xfId="28822" xr:uid="{00000000-0005-0000-0000-00009F4A0000}"/>
    <cellStyle name="Normal 17 5 2 3 3" xfId="11989" xr:uid="{00000000-0005-0000-0000-0000A04A0000}"/>
    <cellStyle name="Normal 17 5 2 3 3 2" xfId="31909" xr:uid="{00000000-0005-0000-0000-0000A14A0000}"/>
    <cellStyle name="Normal 17 5 2 3 4" xfId="18141" xr:uid="{00000000-0005-0000-0000-0000A24A0000}"/>
    <cellStyle name="Normal 17 5 2 3 4 2" xfId="38061" xr:uid="{00000000-0005-0000-0000-0000A34A0000}"/>
    <cellStyle name="Normal 17 5 2 3 5" xfId="25756" xr:uid="{00000000-0005-0000-0000-0000A44A0000}"/>
    <cellStyle name="Normal 17 5 2 4" xfId="7327" xr:uid="{00000000-0005-0000-0000-0000A54A0000}"/>
    <cellStyle name="Normal 17 5 2 4 2" xfId="13521" xr:uid="{00000000-0005-0000-0000-0000A64A0000}"/>
    <cellStyle name="Normal 17 5 2 4 2 2" xfId="33441" xr:uid="{00000000-0005-0000-0000-0000A74A0000}"/>
    <cellStyle name="Normal 17 5 2 4 3" xfId="19673" xr:uid="{00000000-0005-0000-0000-0000A84A0000}"/>
    <cellStyle name="Normal 17 5 2 4 3 2" xfId="39593" xr:uid="{00000000-0005-0000-0000-0000A94A0000}"/>
    <cellStyle name="Normal 17 5 2 4 4" xfId="27288" xr:uid="{00000000-0005-0000-0000-0000AA4A0000}"/>
    <cellStyle name="Normal 17 5 2 5" xfId="10455" xr:uid="{00000000-0005-0000-0000-0000AB4A0000}"/>
    <cellStyle name="Normal 17 5 2 5 2" xfId="30375" xr:uid="{00000000-0005-0000-0000-0000AC4A0000}"/>
    <cellStyle name="Normal 17 5 2 6" xfId="16607" xr:uid="{00000000-0005-0000-0000-0000AD4A0000}"/>
    <cellStyle name="Normal 17 5 2 6 2" xfId="36527" xr:uid="{00000000-0005-0000-0000-0000AE4A0000}"/>
    <cellStyle name="Normal 17 5 2 7" xfId="24222" xr:uid="{00000000-0005-0000-0000-0000AF4A0000}"/>
    <cellStyle name="Normal 17 6" xfId="3401" xr:uid="{00000000-0005-0000-0000-0000B04A0000}"/>
    <cellStyle name="Normal 17 6 2" xfId="4921" xr:uid="{00000000-0005-0000-0000-0000B14A0000}"/>
    <cellStyle name="Normal 17 6 2 2" xfId="6546" xr:uid="{00000000-0005-0000-0000-0000B24A0000}"/>
    <cellStyle name="Normal 17 6 2 2 2" xfId="9632" xr:uid="{00000000-0005-0000-0000-0000B34A0000}"/>
    <cellStyle name="Normal 17 6 2 2 2 2" xfId="15825" xr:uid="{00000000-0005-0000-0000-0000B44A0000}"/>
    <cellStyle name="Normal 17 6 2 2 2 2 2" xfId="35745" xr:uid="{00000000-0005-0000-0000-0000B54A0000}"/>
    <cellStyle name="Normal 17 6 2 2 2 3" xfId="21977" xr:uid="{00000000-0005-0000-0000-0000B64A0000}"/>
    <cellStyle name="Normal 17 6 2 2 2 3 2" xfId="41897" xr:uid="{00000000-0005-0000-0000-0000B74A0000}"/>
    <cellStyle name="Normal 17 6 2 2 2 4" xfId="29592" xr:uid="{00000000-0005-0000-0000-0000B84A0000}"/>
    <cellStyle name="Normal 17 6 2 2 3" xfId="12759" xr:uid="{00000000-0005-0000-0000-0000B94A0000}"/>
    <cellStyle name="Normal 17 6 2 2 3 2" xfId="32679" xr:uid="{00000000-0005-0000-0000-0000BA4A0000}"/>
    <cellStyle name="Normal 17 6 2 2 4" xfId="18911" xr:uid="{00000000-0005-0000-0000-0000BB4A0000}"/>
    <cellStyle name="Normal 17 6 2 2 4 2" xfId="38831" xr:uid="{00000000-0005-0000-0000-0000BC4A0000}"/>
    <cellStyle name="Normal 17 6 2 2 5" xfId="26526" xr:uid="{00000000-0005-0000-0000-0000BD4A0000}"/>
    <cellStyle name="Normal 17 6 2 3" xfId="8097" xr:uid="{00000000-0005-0000-0000-0000BE4A0000}"/>
    <cellStyle name="Normal 17 6 2 3 2" xfId="14291" xr:uid="{00000000-0005-0000-0000-0000BF4A0000}"/>
    <cellStyle name="Normal 17 6 2 3 2 2" xfId="34211" xr:uid="{00000000-0005-0000-0000-0000C04A0000}"/>
    <cellStyle name="Normal 17 6 2 3 3" xfId="20443" xr:uid="{00000000-0005-0000-0000-0000C14A0000}"/>
    <cellStyle name="Normal 17 6 2 3 3 2" xfId="40363" xr:uid="{00000000-0005-0000-0000-0000C24A0000}"/>
    <cellStyle name="Normal 17 6 2 3 4" xfId="28058" xr:uid="{00000000-0005-0000-0000-0000C34A0000}"/>
    <cellStyle name="Normal 17 6 2 4" xfId="11225" xr:uid="{00000000-0005-0000-0000-0000C44A0000}"/>
    <cellStyle name="Normal 17 6 2 4 2" xfId="31145" xr:uid="{00000000-0005-0000-0000-0000C54A0000}"/>
    <cellStyle name="Normal 17 6 2 5" xfId="17377" xr:uid="{00000000-0005-0000-0000-0000C64A0000}"/>
    <cellStyle name="Normal 17 6 2 5 2" xfId="37297" xr:uid="{00000000-0005-0000-0000-0000C74A0000}"/>
    <cellStyle name="Normal 17 6 2 6" xfId="24992" xr:uid="{00000000-0005-0000-0000-0000C84A0000}"/>
    <cellStyle name="Normal 17 6 3" xfId="5763" xr:uid="{00000000-0005-0000-0000-0000C94A0000}"/>
    <cellStyle name="Normal 17 6 3 2" xfId="8863" xr:uid="{00000000-0005-0000-0000-0000CA4A0000}"/>
    <cellStyle name="Normal 17 6 3 2 2" xfId="15056" xr:uid="{00000000-0005-0000-0000-0000CB4A0000}"/>
    <cellStyle name="Normal 17 6 3 2 2 2" xfId="34976" xr:uid="{00000000-0005-0000-0000-0000CC4A0000}"/>
    <cellStyle name="Normal 17 6 3 2 3" xfId="21208" xr:uid="{00000000-0005-0000-0000-0000CD4A0000}"/>
    <cellStyle name="Normal 17 6 3 2 3 2" xfId="41128" xr:uid="{00000000-0005-0000-0000-0000CE4A0000}"/>
    <cellStyle name="Normal 17 6 3 2 4" xfId="28823" xr:uid="{00000000-0005-0000-0000-0000CF4A0000}"/>
    <cellStyle name="Normal 17 6 3 3" xfId="11990" xr:uid="{00000000-0005-0000-0000-0000D04A0000}"/>
    <cellStyle name="Normal 17 6 3 3 2" xfId="31910" xr:uid="{00000000-0005-0000-0000-0000D14A0000}"/>
    <cellStyle name="Normal 17 6 3 4" xfId="18142" xr:uid="{00000000-0005-0000-0000-0000D24A0000}"/>
    <cellStyle name="Normal 17 6 3 4 2" xfId="38062" xr:uid="{00000000-0005-0000-0000-0000D34A0000}"/>
    <cellStyle name="Normal 17 6 3 5" xfId="25757" xr:uid="{00000000-0005-0000-0000-0000D44A0000}"/>
    <cellStyle name="Normal 17 6 4" xfId="7328" xr:uid="{00000000-0005-0000-0000-0000D54A0000}"/>
    <cellStyle name="Normal 17 6 4 2" xfId="13522" xr:uid="{00000000-0005-0000-0000-0000D64A0000}"/>
    <cellStyle name="Normal 17 6 4 2 2" xfId="33442" xr:uid="{00000000-0005-0000-0000-0000D74A0000}"/>
    <cellStyle name="Normal 17 6 4 3" xfId="19674" xr:uid="{00000000-0005-0000-0000-0000D84A0000}"/>
    <cellStyle name="Normal 17 6 4 3 2" xfId="39594" xr:uid="{00000000-0005-0000-0000-0000D94A0000}"/>
    <cellStyle name="Normal 17 6 4 4" xfId="27289" xr:uid="{00000000-0005-0000-0000-0000DA4A0000}"/>
    <cellStyle name="Normal 17 6 5" xfId="10456" xr:uid="{00000000-0005-0000-0000-0000DB4A0000}"/>
    <cellStyle name="Normal 17 6 5 2" xfId="30376" xr:uid="{00000000-0005-0000-0000-0000DC4A0000}"/>
    <cellStyle name="Normal 17 6 6" xfId="16608" xr:uid="{00000000-0005-0000-0000-0000DD4A0000}"/>
    <cellStyle name="Normal 17 6 6 2" xfId="36528" xr:uid="{00000000-0005-0000-0000-0000DE4A0000}"/>
    <cellStyle name="Normal 17 6 7" xfId="24223" xr:uid="{00000000-0005-0000-0000-0000DF4A0000}"/>
    <cellStyle name="Normal 18" xfId="256" xr:uid="{00000000-0005-0000-0000-0000E04A0000}"/>
    <cellStyle name="Normal 18 2" xfId="3402" xr:uid="{00000000-0005-0000-0000-0000E14A0000}"/>
    <cellStyle name="Normal 19" xfId="272" xr:uid="{00000000-0005-0000-0000-0000E24A0000}"/>
    <cellStyle name="Normal 19 2" xfId="3403" xr:uid="{00000000-0005-0000-0000-0000E34A0000}"/>
    <cellStyle name="Normal 19 2 2" xfId="3404" xr:uid="{00000000-0005-0000-0000-0000E44A0000}"/>
    <cellStyle name="Normal 19 2 2 2" xfId="3405" xr:uid="{00000000-0005-0000-0000-0000E54A0000}"/>
    <cellStyle name="Normal 19 2 3" xfId="3406" xr:uid="{00000000-0005-0000-0000-0000E64A0000}"/>
    <cellStyle name="Normal 19 3" xfId="3407" xr:uid="{00000000-0005-0000-0000-0000E74A0000}"/>
    <cellStyle name="Normal 2" xfId="4" xr:uid="{00000000-0005-0000-0000-0000E84A0000}"/>
    <cellStyle name="Normal 2 10" xfId="1108" xr:uid="{00000000-0005-0000-0000-0000E94A0000}"/>
    <cellStyle name="Normal 2 10 2" xfId="4546" xr:uid="{00000000-0005-0000-0000-0000EA4A0000}"/>
    <cellStyle name="Normal 2 10 3" xfId="3408" xr:uid="{00000000-0005-0000-0000-0000EB4A0000}"/>
    <cellStyle name="Normal 2 10 3 2" xfId="4922" xr:uid="{00000000-0005-0000-0000-0000EC4A0000}"/>
    <cellStyle name="Normal 2 10 3 2 2" xfId="6547" xr:uid="{00000000-0005-0000-0000-0000ED4A0000}"/>
    <cellStyle name="Normal 2 10 3 2 2 2" xfId="9633" xr:uid="{00000000-0005-0000-0000-0000EE4A0000}"/>
    <cellStyle name="Normal 2 10 3 2 2 2 2" xfId="15826" xr:uid="{00000000-0005-0000-0000-0000EF4A0000}"/>
    <cellStyle name="Normal 2 10 3 2 2 2 2 2" xfId="35746" xr:uid="{00000000-0005-0000-0000-0000F04A0000}"/>
    <cellStyle name="Normal 2 10 3 2 2 2 3" xfId="21978" xr:uid="{00000000-0005-0000-0000-0000F14A0000}"/>
    <cellStyle name="Normal 2 10 3 2 2 2 3 2" xfId="41898" xr:uid="{00000000-0005-0000-0000-0000F24A0000}"/>
    <cellStyle name="Normal 2 10 3 2 2 2 4" xfId="29593" xr:uid="{00000000-0005-0000-0000-0000F34A0000}"/>
    <cellStyle name="Normal 2 10 3 2 2 3" xfId="12760" xr:uid="{00000000-0005-0000-0000-0000F44A0000}"/>
    <cellStyle name="Normal 2 10 3 2 2 3 2" xfId="32680" xr:uid="{00000000-0005-0000-0000-0000F54A0000}"/>
    <cellStyle name="Normal 2 10 3 2 2 4" xfId="18912" xr:uid="{00000000-0005-0000-0000-0000F64A0000}"/>
    <cellStyle name="Normal 2 10 3 2 2 4 2" xfId="38832" xr:uid="{00000000-0005-0000-0000-0000F74A0000}"/>
    <cellStyle name="Normal 2 10 3 2 2 5" xfId="26527" xr:uid="{00000000-0005-0000-0000-0000F84A0000}"/>
    <cellStyle name="Normal 2 10 3 2 3" xfId="8098" xr:uid="{00000000-0005-0000-0000-0000F94A0000}"/>
    <cellStyle name="Normal 2 10 3 2 3 2" xfId="14292" xr:uid="{00000000-0005-0000-0000-0000FA4A0000}"/>
    <cellStyle name="Normal 2 10 3 2 3 2 2" xfId="34212" xr:uid="{00000000-0005-0000-0000-0000FB4A0000}"/>
    <cellStyle name="Normal 2 10 3 2 3 3" xfId="20444" xr:uid="{00000000-0005-0000-0000-0000FC4A0000}"/>
    <cellStyle name="Normal 2 10 3 2 3 3 2" xfId="40364" xr:uid="{00000000-0005-0000-0000-0000FD4A0000}"/>
    <cellStyle name="Normal 2 10 3 2 3 4" xfId="28059" xr:uid="{00000000-0005-0000-0000-0000FE4A0000}"/>
    <cellStyle name="Normal 2 10 3 2 4" xfId="11226" xr:uid="{00000000-0005-0000-0000-0000FF4A0000}"/>
    <cellStyle name="Normal 2 10 3 2 4 2" xfId="31146" xr:uid="{00000000-0005-0000-0000-0000004B0000}"/>
    <cellStyle name="Normal 2 10 3 2 5" xfId="17378" xr:uid="{00000000-0005-0000-0000-0000014B0000}"/>
    <cellStyle name="Normal 2 10 3 2 5 2" xfId="37298" xr:uid="{00000000-0005-0000-0000-0000024B0000}"/>
    <cellStyle name="Normal 2 10 3 2 6" xfId="24993" xr:uid="{00000000-0005-0000-0000-0000034B0000}"/>
    <cellStyle name="Normal 2 10 3 3" xfId="5764" xr:uid="{00000000-0005-0000-0000-0000044B0000}"/>
    <cellStyle name="Normal 2 10 3 3 2" xfId="8864" xr:uid="{00000000-0005-0000-0000-0000054B0000}"/>
    <cellStyle name="Normal 2 10 3 3 2 2" xfId="15057" xr:uid="{00000000-0005-0000-0000-0000064B0000}"/>
    <cellStyle name="Normal 2 10 3 3 2 2 2" xfId="34977" xr:uid="{00000000-0005-0000-0000-0000074B0000}"/>
    <cellStyle name="Normal 2 10 3 3 2 3" xfId="21209" xr:uid="{00000000-0005-0000-0000-0000084B0000}"/>
    <cellStyle name="Normal 2 10 3 3 2 3 2" xfId="41129" xr:uid="{00000000-0005-0000-0000-0000094B0000}"/>
    <cellStyle name="Normal 2 10 3 3 2 4" xfId="28824" xr:uid="{00000000-0005-0000-0000-00000A4B0000}"/>
    <cellStyle name="Normal 2 10 3 3 3" xfId="11991" xr:uid="{00000000-0005-0000-0000-00000B4B0000}"/>
    <cellStyle name="Normal 2 10 3 3 3 2" xfId="31911" xr:uid="{00000000-0005-0000-0000-00000C4B0000}"/>
    <cellStyle name="Normal 2 10 3 3 4" xfId="18143" xr:uid="{00000000-0005-0000-0000-00000D4B0000}"/>
    <cellStyle name="Normal 2 10 3 3 4 2" xfId="38063" xr:uid="{00000000-0005-0000-0000-00000E4B0000}"/>
    <cellStyle name="Normal 2 10 3 3 5" xfId="25758" xr:uid="{00000000-0005-0000-0000-00000F4B0000}"/>
    <cellStyle name="Normal 2 10 3 4" xfId="7329" xr:uid="{00000000-0005-0000-0000-0000104B0000}"/>
    <cellStyle name="Normal 2 10 3 4 2" xfId="13523" xr:uid="{00000000-0005-0000-0000-0000114B0000}"/>
    <cellStyle name="Normal 2 10 3 4 2 2" xfId="33443" xr:uid="{00000000-0005-0000-0000-0000124B0000}"/>
    <cellStyle name="Normal 2 10 3 4 3" xfId="19675" xr:uid="{00000000-0005-0000-0000-0000134B0000}"/>
    <cellStyle name="Normal 2 10 3 4 3 2" xfId="39595" xr:uid="{00000000-0005-0000-0000-0000144B0000}"/>
    <cellStyle name="Normal 2 10 3 4 4" xfId="27290" xr:uid="{00000000-0005-0000-0000-0000154B0000}"/>
    <cellStyle name="Normal 2 10 3 5" xfId="10457" xr:uid="{00000000-0005-0000-0000-0000164B0000}"/>
    <cellStyle name="Normal 2 10 3 5 2" xfId="30377" xr:uid="{00000000-0005-0000-0000-0000174B0000}"/>
    <cellStyle name="Normal 2 10 3 6" xfId="16609" xr:uid="{00000000-0005-0000-0000-0000184B0000}"/>
    <cellStyle name="Normal 2 10 3 6 2" xfId="36529" xr:uid="{00000000-0005-0000-0000-0000194B0000}"/>
    <cellStyle name="Normal 2 10 3 7" xfId="24224" xr:uid="{00000000-0005-0000-0000-00001A4B0000}"/>
    <cellStyle name="Normal 2 11" xfId="1109" xr:uid="{00000000-0005-0000-0000-00001B4B0000}"/>
    <cellStyle name="Normal 2 11 2" xfId="4547" xr:uid="{00000000-0005-0000-0000-00001C4B0000}"/>
    <cellStyle name="Normal 2 11 3" xfId="3409" xr:uid="{00000000-0005-0000-0000-00001D4B0000}"/>
    <cellStyle name="Normal 2 11 3 2" xfId="4923" xr:uid="{00000000-0005-0000-0000-00001E4B0000}"/>
    <cellStyle name="Normal 2 11 3 2 2" xfId="6548" xr:uid="{00000000-0005-0000-0000-00001F4B0000}"/>
    <cellStyle name="Normal 2 11 3 2 2 2" xfId="9634" xr:uid="{00000000-0005-0000-0000-0000204B0000}"/>
    <cellStyle name="Normal 2 11 3 2 2 2 2" xfId="15827" xr:uid="{00000000-0005-0000-0000-0000214B0000}"/>
    <cellStyle name="Normal 2 11 3 2 2 2 2 2" xfId="35747" xr:uid="{00000000-0005-0000-0000-0000224B0000}"/>
    <cellStyle name="Normal 2 11 3 2 2 2 3" xfId="21979" xr:uid="{00000000-0005-0000-0000-0000234B0000}"/>
    <cellStyle name="Normal 2 11 3 2 2 2 3 2" xfId="41899" xr:uid="{00000000-0005-0000-0000-0000244B0000}"/>
    <cellStyle name="Normal 2 11 3 2 2 2 4" xfId="29594" xr:uid="{00000000-0005-0000-0000-0000254B0000}"/>
    <cellStyle name="Normal 2 11 3 2 2 3" xfId="12761" xr:uid="{00000000-0005-0000-0000-0000264B0000}"/>
    <cellStyle name="Normal 2 11 3 2 2 3 2" xfId="32681" xr:uid="{00000000-0005-0000-0000-0000274B0000}"/>
    <cellStyle name="Normal 2 11 3 2 2 4" xfId="18913" xr:uid="{00000000-0005-0000-0000-0000284B0000}"/>
    <cellStyle name="Normal 2 11 3 2 2 4 2" xfId="38833" xr:uid="{00000000-0005-0000-0000-0000294B0000}"/>
    <cellStyle name="Normal 2 11 3 2 2 5" xfId="26528" xr:uid="{00000000-0005-0000-0000-00002A4B0000}"/>
    <cellStyle name="Normal 2 11 3 2 3" xfId="8099" xr:uid="{00000000-0005-0000-0000-00002B4B0000}"/>
    <cellStyle name="Normal 2 11 3 2 3 2" xfId="14293" xr:uid="{00000000-0005-0000-0000-00002C4B0000}"/>
    <cellStyle name="Normal 2 11 3 2 3 2 2" xfId="34213" xr:uid="{00000000-0005-0000-0000-00002D4B0000}"/>
    <cellStyle name="Normal 2 11 3 2 3 3" xfId="20445" xr:uid="{00000000-0005-0000-0000-00002E4B0000}"/>
    <cellStyle name="Normal 2 11 3 2 3 3 2" xfId="40365" xr:uid="{00000000-0005-0000-0000-00002F4B0000}"/>
    <cellStyle name="Normal 2 11 3 2 3 4" xfId="28060" xr:uid="{00000000-0005-0000-0000-0000304B0000}"/>
    <cellStyle name="Normal 2 11 3 2 4" xfId="11227" xr:uid="{00000000-0005-0000-0000-0000314B0000}"/>
    <cellStyle name="Normal 2 11 3 2 4 2" xfId="31147" xr:uid="{00000000-0005-0000-0000-0000324B0000}"/>
    <cellStyle name="Normal 2 11 3 2 5" xfId="17379" xr:uid="{00000000-0005-0000-0000-0000334B0000}"/>
    <cellStyle name="Normal 2 11 3 2 5 2" xfId="37299" xr:uid="{00000000-0005-0000-0000-0000344B0000}"/>
    <cellStyle name="Normal 2 11 3 2 6" xfId="24994" xr:uid="{00000000-0005-0000-0000-0000354B0000}"/>
    <cellStyle name="Normal 2 11 3 3" xfId="5765" xr:uid="{00000000-0005-0000-0000-0000364B0000}"/>
    <cellStyle name="Normal 2 11 3 3 2" xfId="8865" xr:uid="{00000000-0005-0000-0000-0000374B0000}"/>
    <cellStyle name="Normal 2 11 3 3 2 2" xfId="15058" xr:uid="{00000000-0005-0000-0000-0000384B0000}"/>
    <cellStyle name="Normal 2 11 3 3 2 2 2" xfId="34978" xr:uid="{00000000-0005-0000-0000-0000394B0000}"/>
    <cellStyle name="Normal 2 11 3 3 2 3" xfId="21210" xr:uid="{00000000-0005-0000-0000-00003A4B0000}"/>
    <cellStyle name="Normal 2 11 3 3 2 3 2" xfId="41130" xr:uid="{00000000-0005-0000-0000-00003B4B0000}"/>
    <cellStyle name="Normal 2 11 3 3 2 4" xfId="28825" xr:uid="{00000000-0005-0000-0000-00003C4B0000}"/>
    <cellStyle name="Normal 2 11 3 3 3" xfId="11992" xr:uid="{00000000-0005-0000-0000-00003D4B0000}"/>
    <cellStyle name="Normal 2 11 3 3 3 2" xfId="31912" xr:uid="{00000000-0005-0000-0000-00003E4B0000}"/>
    <cellStyle name="Normal 2 11 3 3 4" xfId="18144" xr:uid="{00000000-0005-0000-0000-00003F4B0000}"/>
    <cellStyle name="Normal 2 11 3 3 4 2" xfId="38064" xr:uid="{00000000-0005-0000-0000-0000404B0000}"/>
    <cellStyle name="Normal 2 11 3 3 5" xfId="25759" xr:uid="{00000000-0005-0000-0000-0000414B0000}"/>
    <cellStyle name="Normal 2 11 3 4" xfId="7330" xr:uid="{00000000-0005-0000-0000-0000424B0000}"/>
    <cellStyle name="Normal 2 11 3 4 2" xfId="13524" xr:uid="{00000000-0005-0000-0000-0000434B0000}"/>
    <cellStyle name="Normal 2 11 3 4 2 2" xfId="33444" xr:uid="{00000000-0005-0000-0000-0000444B0000}"/>
    <cellStyle name="Normal 2 11 3 4 3" xfId="19676" xr:uid="{00000000-0005-0000-0000-0000454B0000}"/>
    <cellStyle name="Normal 2 11 3 4 3 2" xfId="39596" xr:uid="{00000000-0005-0000-0000-0000464B0000}"/>
    <cellStyle name="Normal 2 11 3 4 4" xfId="27291" xr:uid="{00000000-0005-0000-0000-0000474B0000}"/>
    <cellStyle name="Normal 2 11 3 5" xfId="10458" xr:uid="{00000000-0005-0000-0000-0000484B0000}"/>
    <cellStyle name="Normal 2 11 3 5 2" xfId="30378" xr:uid="{00000000-0005-0000-0000-0000494B0000}"/>
    <cellStyle name="Normal 2 11 3 6" xfId="16610" xr:uid="{00000000-0005-0000-0000-00004A4B0000}"/>
    <cellStyle name="Normal 2 11 3 6 2" xfId="36530" xr:uid="{00000000-0005-0000-0000-00004B4B0000}"/>
    <cellStyle name="Normal 2 11 3 7" xfId="24225" xr:uid="{00000000-0005-0000-0000-00004C4B0000}"/>
    <cellStyle name="Normal 2 12" xfId="1110" xr:uid="{00000000-0005-0000-0000-00004D4B0000}"/>
    <cellStyle name="Normal 2 12 2" xfId="4548" xr:uid="{00000000-0005-0000-0000-00004E4B0000}"/>
    <cellStyle name="Normal 2 12 3" xfId="3410" xr:uid="{00000000-0005-0000-0000-00004F4B0000}"/>
    <cellStyle name="Normal 2 12 3 2" xfId="4924" xr:uid="{00000000-0005-0000-0000-0000504B0000}"/>
    <cellStyle name="Normal 2 12 3 2 2" xfId="6549" xr:uid="{00000000-0005-0000-0000-0000514B0000}"/>
    <cellStyle name="Normal 2 12 3 2 2 2" xfId="9635" xr:uid="{00000000-0005-0000-0000-0000524B0000}"/>
    <cellStyle name="Normal 2 12 3 2 2 2 2" xfId="15828" xr:uid="{00000000-0005-0000-0000-0000534B0000}"/>
    <cellStyle name="Normal 2 12 3 2 2 2 2 2" xfId="35748" xr:uid="{00000000-0005-0000-0000-0000544B0000}"/>
    <cellStyle name="Normal 2 12 3 2 2 2 3" xfId="21980" xr:uid="{00000000-0005-0000-0000-0000554B0000}"/>
    <cellStyle name="Normal 2 12 3 2 2 2 3 2" xfId="41900" xr:uid="{00000000-0005-0000-0000-0000564B0000}"/>
    <cellStyle name="Normal 2 12 3 2 2 2 4" xfId="29595" xr:uid="{00000000-0005-0000-0000-0000574B0000}"/>
    <cellStyle name="Normal 2 12 3 2 2 3" xfId="12762" xr:uid="{00000000-0005-0000-0000-0000584B0000}"/>
    <cellStyle name="Normal 2 12 3 2 2 3 2" xfId="32682" xr:uid="{00000000-0005-0000-0000-0000594B0000}"/>
    <cellStyle name="Normal 2 12 3 2 2 4" xfId="18914" xr:uid="{00000000-0005-0000-0000-00005A4B0000}"/>
    <cellStyle name="Normal 2 12 3 2 2 4 2" xfId="38834" xr:uid="{00000000-0005-0000-0000-00005B4B0000}"/>
    <cellStyle name="Normal 2 12 3 2 2 5" xfId="26529" xr:uid="{00000000-0005-0000-0000-00005C4B0000}"/>
    <cellStyle name="Normal 2 12 3 2 3" xfId="8100" xr:uid="{00000000-0005-0000-0000-00005D4B0000}"/>
    <cellStyle name="Normal 2 12 3 2 3 2" xfId="14294" xr:uid="{00000000-0005-0000-0000-00005E4B0000}"/>
    <cellStyle name="Normal 2 12 3 2 3 2 2" xfId="34214" xr:uid="{00000000-0005-0000-0000-00005F4B0000}"/>
    <cellStyle name="Normal 2 12 3 2 3 3" xfId="20446" xr:uid="{00000000-0005-0000-0000-0000604B0000}"/>
    <cellStyle name="Normal 2 12 3 2 3 3 2" xfId="40366" xr:uid="{00000000-0005-0000-0000-0000614B0000}"/>
    <cellStyle name="Normal 2 12 3 2 3 4" xfId="28061" xr:uid="{00000000-0005-0000-0000-0000624B0000}"/>
    <cellStyle name="Normal 2 12 3 2 4" xfId="11228" xr:uid="{00000000-0005-0000-0000-0000634B0000}"/>
    <cellStyle name="Normal 2 12 3 2 4 2" xfId="31148" xr:uid="{00000000-0005-0000-0000-0000644B0000}"/>
    <cellStyle name="Normal 2 12 3 2 5" xfId="17380" xr:uid="{00000000-0005-0000-0000-0000654B0000}"/>
    <cellStyle name="Normal 2 12 3 2 5 2" xfId="37300" xr:uid="{00000000-0005-0000-0000-0000664B0000}"/>
    <cellStyle name="Normal 2 12 3 2 6" xfId="24995" xr:uid="{00000000-0005-0000-0000-0000674B0000}"/>
    <cellStyle name="Normal 2 12 3 3" xfId="5766" xr:uid="{00000000-0005-0000-0000-0000684B0000}"/>
    <cellStyle name="Normal 2 12 3 3 2" xfId="8866" xr:uid="{00000000-0005-0000-0000-0000694B0000}"/>
    <cellStyle name="Normal 2 12 3 3 2 2" xfId="15059" xr:uid="{00000000-0005-0000-0000-00006A4B0000}"/>
    <cellStyle name="Normal 2 12 3 3 2 2 2" xfId="34979" xr:uid="{00000000-0005-0000-0000-00006B4B0000}"/>
    <cellStyle name="Normal 2 12 3 3 2 3" xfId="21211" xr:uid="{00000000-0005-0000-0000-00006C4B0000}"/>
    <cellStyle name="Normal 2 12 3 3 2 3 2" xfId="41131" xr:uid="{00000000-0005-0000-0000-00006D4B0000}"/>
    <cellStyle name="Normal 2 12 3 3 2 4" xfId="28826" xr:uid="{00000000-0005-0000-0000-00006E4B0000}"/>
    <cellStyle name="Normal 2 12 3 3 3" xfId="11993" xr:uid="{00000000-0005-0000-0000-00006F4B0000}"/>
    <cellStyle name="Normal 2 12 3 3 3 2" xfId="31913" xr:uid="{00000000-0005-0000-0000-0000704B0000}"/>
    <cellStyle name="Normal 2 12 3 3 4" xfId="18145" xr:uid="{00000000-0005-0000-0000-0000714B0000}"/>
    <cellStyle name="Normal 2 12 3 3 4 2" xfId="38065" xr:uid="{00000000-0005-0000-0000-0000724B0000}"/>
    <cellStyle name="Normal 2 12 3 3 5" xfId="25760" xr:uid="{00000000-0005-0000-0000-0000734B0000}"/>
    <cellStyle name="Normal 2 12 3 4" xfId="7331" xr:uid="{00000000-0005-0000-0000-0000744B0000}"/>
    <cellStyle name="Normal 2 12 3 4 2" xfId="13525" xr:uid="{00000000-0005-0000-0000-0000754B0000}"/>
    <cellStyle name="Normal 2 12 3 4 2 2" xfId="33445" xr:uid="{00000000-0005-0000-0000-0000764B0000}"/>
    <cellStyle name="Normal 2 12 3 4 3" xfId="19677" xr:uid="{00000000-0005-0000-0000-0000774B0000}"/>
    <cellStyle name="Normal 2 12 3 4 3 2" xfId="39597" xr:uid="{00000000-0005-0000-0000-0000784B0000}"/>
    <cellStyle name="Normal 2 12 3 4 4" xfId="27292" xr:uid="{00000000-0005-0000-0000-0000794B0000}"/>
    <cellStyle name="Normal 2 12 3 5" xfId="10459" xr:uid="{00000000-0005-0000-0000-00007A4B0000}"/>
    <cellStyle name="Normal 2 12 3 5 2" xfId="30379" xr:uid="{00000000-0005-0000-0000-00007B4B0000}"/>
    <cellStyle name="Normal 2 12 3 6" xfId="16611" xr:uid="{00000000-0005-0000-0000-00007C4B0000}"/>
    <cellStyle name="Normal 2 12 3 6 2" xfId="36531" xr:uid="{00000000-0005-0000-0000-00007D4B0000}"/>
    <cellStyle name="Normal 2 12 3 7" xfId="24226" xr:uid="{00000000-0005-0000-0000-00007E4B0000}"/>
    <cellStyle name="Normal 2 13" xfId="1111" xr:uid="{00000000-0005-0000-0000-00007F4B0000}"/>
    <cellStyle name="Normal 2 13 2" xfId="4549" xr:uid="{00000000-0005-0000-0000-0000804B0000}"/>
    <cellStyle name="Normal 2 13 3" xfId="3411" xr:uid="{00000000-0005-0000-0000-0000814B0000}"/>
    <cellStyle name="Normal 2 13 3 2" xfId="4925" xr:uid="{00000000-0005-0000-0000-0000824B0000}"/>
    <cellStyle name="Normal 2 13 3 2 2" xfId="6550" xr:uid="{00000000-0005-0000-0000-0000834B0000}"/>
    <cellStyle name="Normal 2 13 3 2 2 2" xfId="9636" xr:uid="{00000000-0005-0000-0000-0000844B0000}"/>
    <cellStyle name="Normal 2 13 3 2 2 2 2" xfId="15829" xr:uid="{00000000-0005-0000-0000-0000854B0000}"/>
    <cellStyle name="Normal 2 13 3 2 2 2 2 2" xfId="35749" xr:uid="{00000000-0005-0000-0000-0000864B0000}"/>
    <cellStyle name="Normal 2 13 3 2 2 2 3" xfId="21981" xr:uid="{00000000-0005-0000-0000-0000874B0000}"/>
    <cellStyle name="Normal 2 13 3 2 2 2 3 2" xfId="41901" xr:uid="{00000000-0005-0000-0000-0000884B0000}"/>
    <cellStyle name="Normal 2 13 3 2 2 2 4" xfId="29596" xr:uid="{00000000-0005-0000-0000-0000894B0000}"/>
    <cellStyle name="Normal 2 13 3 2 2 3" xfId="12763" xr:uid="{00000000-0005-0000-0000-00008A4B0000}"/>
    <cellStyle name="Normal 2 13 3 2 2 3 2" xfId="32683" xr:uid="{00000000-0005-0000-0000-00008B4B0000}"/>
    <cellStyle name="Normal 2 13 3 2 2 4" xfId="18915" xr:uid="{00000000-0005-0000-0000-00008C4B0000}"/>
    <cellStyle name="Normal 2 13 3 2 2 4 2" xfId="38835" xr:uid="{00000000-0005-0000-0000-00008D4B0000}"/>
    <cellStyle name="Normal 2 13 3 2 2 5" xfId="26530" xr:uid="{00000000-0005-0000-0000-00008E4B0000}"/>
    <cellStyle name="Normal 2 13 3 2 3" xfId="8101" xr:uid="{00000000-0005-0000-0000-00008F4B0000}"/>
    <cellStyle name="Normal 2 13 3 2 3 2" xfId="14295" xr:uid="{00000000-0005-0000-0000-0000904B0000}"/>
    <cellStyle name="Normal 2 13 3 2 3 2 2" xfId="34215" xr:uid="{00000000-0005-0000-0000-0000914B0000}"/>
    <cellStyle name="Normal 2 13 3 2 3 3" xfId="20447" xr:uid="{00000000-0005-0000-0000-0000924B0000}"/>
    <cellStyle name="Normal 2 13 3 2 3 3 2" xfId="40367" xr:uid="{00000000-0005-0000-0000-0000934B0000}"/>
    <cellStyle name="Normal 2 13 3 2 3 4" xfId="28062" xr:uid="{00000000-0005-0000-0000-0000944B0000}"/>
    <cellStyle name="Normal 2 13 3 2 4" xfId="11229" xr:uid="{00000000-0005-0000-0000-0000954B0000}"/>
    <cellStyle name="Normal 2 13 3 2 4 2" xfId="31149" xr:uid="{00000000-0005-0000-0000-0000964B0000}"/>
    <cellStyle name="Normal 2 13 3 2 5" xfId="17381" xr:uid="{00000000-0005-0000-0000-0000974B0000}"/>
    <cellStyle name="Normal 2 13 3 2 5 2" xfId="37301" xr:uid="{00000000-0005-0000-0000-0000984B0000}"/>
    <cellStyle name="Normal 2 13 3 2 6" xfId="24996" xr:uid="{00000000-0005-0000-0000-0000994B0000}"/>
    <cellStyle name="Normal 2 13 3 3" xfId="5767" xr:uid="{00000000-0005-0000-0000-00009A4B0000}"/>
    <cellStyle name="Normal 2 13 3 3 2" xfId="8867" xr:uid="{00000000-0005-0000-0000-00009B4B0000}"/>
    <cellStyle name="Normal 2 13 3 3 2 2" xfId="15060" xr:uid="{00000000-0005-0000-0000-00009C4B0000}"/>
    <cellStyle name="Normal 2 13 3 3 2 2 2" xfId="34980" xr:uid="{00000000-0005-0000-0000-00009D4B0000}"/>
    <cellStyle name="Normal 2 13 3 3 2 3" xfId="21212" xr:uid="{00000000-0005-0000-0000-00009E4B0000}"/>
    <cellStyle name="Normal 2 13 3 3 2 3 2" xfId="41132" xr:uid="{00000000-0005-0000-0000-00009F4B0000}"/>
    <cellStyle name="Normal 2 13 3 3 2 4" xfId="28827" xr:uid="{00000000-0005-0000-0000-0000A04B0000}"/>
    <cellStyle name="Normal 2 13 3 3 3" xfId="11994" xr:uid="{00000000-0005-0000-0000-0000A14B0000}"/>
    <cellStyle name="Normal 2 13 3 3 3 2" xfId="31914" xr:uid="{00000000-0005-0000-0000-0000A24B0000}"/>
    <cellStyle name="Normal 2 13 3 3 4" xfId="18146" xr:uid="{00000000-0005-0000-0000-0000A34B0000}"/>
    <cellStyle name="Normal 2 13 3 3 4 2" xfId="38066" xr:uid="{00000000-0005-0000-0000-0000A44B0000}"/>
    <cellStyle name="Normal 2 13 3 3 5" xfId="25761" xr:uid="{00000000-0005-0000-0000-0000A54B0000}"/>
    <cellStyle name="Normal 2 13 3 4" xfId="7332" xr:uid="{00000000-0005-0000-0000-0000A64B0000}"/>
    <cellStyle name="Normal 2 13 3 4 2" xfId="13526" xr:uid="{00000000-0005-0000-0000-0000A74B0000}"/>
    <cellStyle name="Normal 2 13 3 4 2 2" xfId="33446" xr:uid="{00000000-0005-0000-0000-0000A84B0000}"/>
    <cellStyle name="Normal 2 13 3 4 3" xfId="19678" xr:uid="{00000000-0005-0000-0000-0000A94B0000}"/>
    <cellStyle name="Normal 2 13 3 4 3 2" xfId="39598" xr:uid="{00000000-0005-0000-0000-0000AA4B0000}"/>
    <cellStyle name="Normal 2 13 3 4 4" xfId="27293" xr:uid="{00000000-0005-0000-0000-0000AB4B0000}"/>
    <cellStyle name="Normal 2 13 3 5" xfId="10460" xr:uid="{00000000-0005-0000-0000-0000AC4B0000}"/>
    <cellStyle name="Normal 2 13 3 5 2" xfId="30380" xr:uid="{00000000-0005-0000-0000-0000AD4B0000}"/>
    <cellStyle name="Normal 2 13 3 6" xfId="16612" xr:uid="{00000000-0005-0000-0000-0000AE4B0000}"/>
    <cellStyle name="Normal 2 13 3 6 2" xfId="36532" xr:uid="{00000000-0005-0000-0000-0000AF4B0000}"/>
    <cellStyle name="Normal 2 13 3 7" xfId="24227" xr:uid="{00000000-0005-0000-0000-0000B04B0000}"/>
    <cellStyle name="Normal 2 14" xfId="1112" xr:uid="{00000000-0005-0000-0000-0000B14B0000}"/>
    <cellStyle name="Normal 2 14 2" xfId="4550" xr:uid="{00000000-0005-0000-0000-0000B24B0000}"/>
    <cellStyle name="Normal 2 14 3" xfId="3412" xr:uid="{00000000-0005-0000-0000-0000B34B0000}"/>
    <cellStyle name="Normal 2 14 3 2" xfId="4926" xr:uid="{00000000-0005-0000-0000-0000B44B0000}"/>
    <cellStyle name="Normal 2 14 3 2 2" xfId="6551" xr:uid="{00000000-0005-0000-0000-0000B54B0000}"/>
    <cellStyle name="Normal 2 14 3 2 2 2" xfId="9637" xr:uid="{00000000-0005-0000-0000-0000B64B0000}"/>
    <cellStyle name="Normal 2 14 3 2 2 2 2" xfId="15830" xr:uid="{00000000-0005-0000-0000-0000B74B0000}"/>
    <cellStyle name="Normal 2 14 3 2 2 2 2 2" xfId="35750" xr:uid="{00000000-0005-0000-0000-0000B84B0000}"/>
    <cellStyle name="Normal 2 14 3 2 2 2 3" xfId="21982" xr:uid="{00000000-0005-0000-0000-0000B94B0000}"/>
    <cellStyle name="Normal 2 14 3 2 2 2 3 2" xfId="41902" xr:uid="{00000000-0005-0000-0000-0000BA4B0000}"/>
    <cellStyle name="Normal 2 14 3 2 2 2 4" xfId="29597" xr:uid="{00000000-0005-0000-0000-0000BB4B0000}"/>
    <cellStyle name="Normal 2 14 3 2 2 3" xfId="12764" xr:uid="{00000000-0005-0000-0000-0000BC4B0000}"/>
    <cellStyle name="Normal 2 14 3 2 2 3 2" xfId="32684" xr:uid="{00000000-0005-0000-0000-0000BD4B0000}"/>
    <cellStyle name="Normal 2 14 3 2 2 4" xfId="18916" xr:uid="{00000000-0005-0000-0000-0000BE4B0000}"/>
    <cellStyle name="Normal 2 14 3 2 2 4 2" xfId="38836" xr:uid="{00000000-0005-0000-0000-0000BF4B0000}"/>
    <cellStyle name="Normal 2 14 3 2 2 5" xfId="26531" xr:uid="{00000000-0005-0000-0000-0000C04B0000}"/>
    <cellStyle name="Normal 2 14 3 2 3" xfId="8102" xr:uid="{00000000-0005-0000-0000-0000C14B0000}"/>
    <cellStyle name="Normal 2 14 3 2 3 2" xfId="14296" xr:uid="{00000000-0005-0000-0000-0000C24B0000}"/>
    <cellStyle name="Normal 2 14 3 2 3 2 2" xfId="34216" xr:uid="{00000000-0005-0000-0000-0000C34B0000}"/>
    <cellStyle name="Normal 2 14 3 2 3 3" xfId="20448" xr:uid="{00000000-0005-0000-0000-0000C44B0000}"/>
    <cellStyle name="Normal 2 14 3 2 3 3 2" xfId="40368" xr:uid="{00000000-0005-0000-0000-0000C54B0000}"/>
    <cellStyle name="Normal 2 14 3 2 3 4" xfId="28063" xr:uid="{00000000-0005-0000-0000-0000C64B0000}"/>
    <cellStyle name="Normal 2 14 3 2 4" xfId="11230" xr:uid="{00000000-0005-0000-0000-0000C74B0000}"/>
    <cellStyle name="Normal 2 14 3 2 4 2" xfId="31150" xr:uid="{00000000-0005-0000-0000-0000C84B0000}"/>
    <cellStyle name="Normal 2 14 3 2 5" xfId="17382" xr:uid="{00000000-0005-0000-0000-0000C94B0000}"/>
    <cellStyle name="Normal 2 14 3 2 5 2" xfId="37302" xr:uid="{00000000-0005-0000-0000-0000CA4B0000}"/>
    <cellStyle name="Normal 2 14 3 2 6" xfId="24997" xr:uid="{00000000-0005-0000-0000-0000CB4B0000}"/>
    <cellStyle name="Normal 2 14 3 3" xfId="5768" xr:uid="{00000000-0005-0000-0000-0000CC4B0000}"/>
    <cellStyle name="Normal 2 14 3 3 2" xfId="8868" xr:uid="{00000000-0005-0000-0000-0000CD4B0000}"/>
    <cellStyle name="Normal 2 14 3 3 2 2" xfId="15061" xr:uid="{00000000-0005-0000-0000-0000CE4B0000}"/>
    <cellStyle name="Normal 2 14 3 3 2 2 2" xfId="34981" xr:uid="{00000000-0005-0000-0000-0000CF4B0000}"/>
    <cellStyle name="Normal 2 14 3 3 2 3" xfId="21213" xr:uid="{00000000-0005-0000-0000-0000D04B0000}"/>
    <cellStyle name="Normal 2 14 3 3 2 3 2" xfId="41133" xr:uid="{00000000-0005-0000-0000-0000D14B0000}"/>
    <cellStyle name="Normal 2 14 3 3 2 4" xfId="28828" xr:uid="{00000000-0005-0000-0000-0000D24B0000}"/>
    <cellStyle name="Normal 2 14 3 3 3" xfId="11995" xr:uid="{00000000-0005-0000-0000-0000D34B0000}"/>
    <cellStyle name="Normal 2 14 3 3 3 2" xfId="31915" xr:uid="{00000000-0005-0000-0000-0000D44B0000}"/>
    <cellStyle name="Normal 2 14 3 3 4" xfId="18147" xr:uid="{00000000-0005-0000-0000-0000D54B0000}"/>
    <cellStyle name="Normal 2 14 3 3 4 2" xfId="38067" xr:uid="{00000000-0005-0000-0000-0000D64B0000}"/>
    <cellStyle name="Normal 2 14 3 3 5" xfId="25762" xr:uid="{00000000-0005-0000-0000-0000D74B0000}"/>
    <cellStyle name="Normal 2 14 3 4" xfId="7333" xr:uid="{00000000-0005-0000-0000-0000D84B0000}"/>
    <cellStyle name="Normal 2 14 3 4 2" xfId="13527" xr:uid="{00000000-0005-0000-0000-0000D94B0000}"/>
    <cellStyle name="Normal 2 14 3 4 2 2" xfId="33447" xr:uid="{00000000-0005-0000-0000-0000DA4B0000}"/>
    <cellStyle name="Normal 2 14 3 4 3" xfId="19679" xr:uid="{00000000-0005-0000-0000-0000DB4B0000}"/>
    <cellStyle name="Normal 2 14 3 4 3 2" xfId="39599" xr:uid="{00000000-0005-0000-0000-0000DC4B0000}"/>
    <cellStyle name="Normal 2 14 3 4 4" xfId="27294" xr:uid="{00000000-0005-0000-0000-0000DD4B0000}"/>
    <cellStyle name="Normal 2 14 3 5" xfId="10461" xr:uid="{00000000-0005-0000-0000-0000DE4B0000}"/>
    <cellStyle name="Normal 2 14 3 5 2" xfId="30381" xr:uid="{00000000-0005-0000-0000-0000DF4B0000}"/>
    <cellStyle name="Normal 2 14 3 6" xfId="16613" xr:uid="{00000000-0005-0000-0000-0000E04B0000}"/>
    <cellStyle name="Normal 2 14 3 6 2" xfId="36533" xr:uid="{00000000-0005-0000-0000-0000E14B0000}"/>
    <cellStyle name="Normal 2 14 3 7" xfId="24228" xr:uid="{00000000-0005-0000-0000-0000E24B0000}"/>
    <cellStyle name="Normal 2 15" xfId="1113" xr:uid="{00000000-0005-0000-0000-0000E34B0000}"/>
    <cellStyle name="Normal 2 15 2" xfId="4551" xr:uid="{00000000-0005-0000-0000-0000E44B0000}"/>
    <cellStyle name="Normal 2 15 3" xfId="3413" xr:uid="{00000000-0005-0000-0000-0000E54B0000}"/>
    <cellStyle name="Normal 2 15 3 2" xfId="4927" xr:uid="{00000000-0005-0000-0000-0000E64B0000}"/>
    <cellStyle name="Normal 2 15 3 2 2" xfId="6552" xr:uid="{00000000-0005-0000-0000-0000E74B0000}"/>
    <cellStyle name="Normal 2 15 3 2 2 2" xfId="9638" xr:uid="{00000000-0005-0000-0000-0000E84B0000}"/>
    <cellStyle name="Normal 2 15 3 2 2 2 2" xfId="15831" xr:uid="{00000000-0005-0000-0000-0000E94B0000}"/>
    <cellStyle name="Normal 2 15 3 2 2 2 2 2" xfId="35751" xr:uid="{00000000-0005-0000-0000-0000EA4B0000}"/>
    <cellStyle name="Normal 2 15 3 2 2 2 3" xfId="21983" xr:uid="{00000000-0005-0000-0000-0000EB4B0000}"/>
    <cellStyle name="Normal 2 15 3 2 2 2 3 2" xfId="41903" xr:uid="{00000000-0005-0000-0000-0000EC4B0000}"/>
    <cellStyle name="Normal 2 15 3 2 2 2 4" xfId="29598" xr:uid="{00000000-0005-0000-0000-0000ED4B0000}"/>
    <cellStyle name="Normal 2 15 3 2 2 3" xfId="12765" xr:uid="{00000000-0005-0000-0000-0000EE4B0000}"/>
    <cellStyle name="Normal 2 15 3 2 2 3 2" xfId="32685" xr:uid="{00000000-0005-0000-0000-0000EF4B0000}"/>
    <cellStyle name="Normal 2 15 3 2 2 4" xfId="18917" xr:uid="{00000000-0005-0000-0000-0000F04B0000}"/>
    <cellStyle name="Normal 2 15 3 2 2 4 2" xfId="38837" xr:uid="{00000000-0005-0000-0000-0000F14B0000}"/>
    <cellStyle name="Normal 2 15 3 2 2 5" xfId="26532" xr:uid="{00000000-0005-0000-0000-0000F24B0000}"/>
    <cellStyle name="Normal 2 15 3 2 3" xfId="8103" xr:uid="{00000000-0005-0000-0000-0000F34B0000}"/>
    <cellStyle name="Normal 2 15 3 2 3 2" xfId="14297" xr:uid="{00000000-0005-0000-0000-0000F44B0000}"/>
    <cellStyle name="Normal 2 15 3 2 3 2 2" xfId="34217" xr:uid="{00000000-0005-0000-0000-0000F54B0000}"/>
    <cellStyle name="Normal 2 15 3 2 3 3" xfId="20449" xr:uid="{00000000-0005-0000-0000-0000F64B0000}"/>
    <cellStyle name="Normal 2 15 3 2 3 3 2" xfId="40369" xr:uid="{00000000-0005-0000-0000-0000F74B0000}"/>
    <cellStyle name="Normal 2 15 3 2 3 4" xfId="28064" xr:uid="{00000000-0005-0000-0000-0000F84B0000}"/>
    <cellStyle name="Normal 2 15 3 2 4" xfId="11231" xr:uid="{00000000-0005-0000-0000-0000F94B0000}"/>
    <cellStyle name="Normal 2 15 3 2 4 2" xfId="31151" xr:uid="{00000000-0005-0000-0000-0000FA4B0000}"/>
    <cellStyle name="Normal 2 15 3 2 5" xfId="17383" xr:uid="{00000000-0005-0000-0000-0000FB4B0000}"/>
    <cellStyle name="Normal 2 15 3 2 5 2" xfId="37303" xr:uid="{00000000-0005-0000-0000-0000FC4B0000}"/>
    <cellStyle name="Normal 2 15 3 2 6" xfId="24998" xr:uid="{00000000-0005-0000-0000-0000FD4B0000}"/>
    <cellStyle name="Normal 2 15 3 3" xfId="5769" xr:uid="{00000000-0005-0000-0000-0000FE4B0000}"/>
    <cellStyle name="Normal 2 15 3 3 2" xfId="8869" xr:uid="{00000000-0005-0000-0000-0000FF4B0000}"/>
    <cellStyle name="Normal 2 15 3 3 2 2" xfId="15062" xr:uid="{00000000-0005-0000-0000-0000004C0000}"/>
    <cellStyle name="Normal 2 15 3 3 2 2 2" xfId="34982" xr:uid="{00000000-0005-0000-0000-0000014C0000}"/>
    <cellStyle name="Normal 2 15 3 3 2 3" xfId="21214" xr:uid="{00000000-0005-0000-0000-0000024C0000}"/>
    <cellStyle name="Normal 2 15 3 3 2 3 2" xfId="41134" xr:uid="{00000000-0005-0000-0000-0000034C0000}"/>
    <cellStyle name="Normal 2 15 3 3 2 4" xfId="28829" xr:uid="{00000000-0005-0000-0000-0000044C0000}"/>
    <cellStyle name="Normal 2 15 3 3 3" xfId="11996" xr:uid="{00000000-0005-0000-0000-0000054C0000}"/>
    <cellStyle name="Normal 2 15 3 3 3 2" xfId="31916" xr:uid="{00000000-0005-0000-0000-0000064C0000}"/>
    <cellStyle name="Normal 2 15 3 3 4" xfId="18148" xr:uid="{00000000-0005-0000-0000-0000074C0000}"/>
    <cellStyle name="Normal 2 15 3 3 4 2" xfId="38068" xr:uid="{00000000-0005-0000-0000-0000084C0000}"/>
    <cellStyle name="Normal 2 15 3 3 5" xfId="25763" xr:uid="{00000000-0005-0000-0000-0000094C0000}"/>
    <cellStyle name="Normal 2 15 3 4" xfId="7334" xr:uid="{00000000-0005-0000-0000-00000A4C0000}"/>
    <cellStyle name="Normal 2 15 3 4 2" xfId="13528" xr:uid="{00000000-0005-0000-0000-00000B4C0000}"/>
    <cellStyle name="Normal 2 15 3 4 2 2" xfId="33448" xr:uid="{00000000-0005-0000-0000-00000C4C0000}"/>
    <cellStyle name="Normal 2 15 3 4 3" xfId="19680" xr:uid="{00000000-0005-0000-0000-00000D4C0000}"/>
    <cellStyle name="Normal 2 15 3 4 3 2" xfId="39600" xr:uid="{00000000-0005-0000-0000-00000E4C0000}"/>
    <cellStyle name="Normal 2 15 3 4 4" xfId="27295" xr:uid="{00000000-0005-0000-0000-00000F4C0000}"/>
    <cellStyle name="Normal 2 15 3 5" xfId="10462" xr:uid="{00000000-0005-0000-0000-0000104C0000}"/>
    <cellStyle name="Normal 2 15 3 5 2" xfId="30382" xr:uid="{00000000-0005-0000-0000-0000114C0000}"/>
    <cellStyle name="Normal 2 15 3 6" xfId="16614" xr:uid="{00000000-0005-0000-0000-0000124C0000}"/>
    <cellStyle name="Normal 2 15 3 6 2" xfId="36534" xr:uid="{00000000-0005-0000-0000-0000134C0000}"/>
    <cellStyle name="Normal 2 15 3 7" xfId="24229" xr:uid="{00000000-0005-0000-0000-0000144C0000}"/>
    <cellStyle name="Normal 2 16" xfId="1114" xr:uid="{00000000-0005-0000-0000-0000154C0000}"/>
    <cellStyle name="Normal 2 16 2" xfId="4552" xr:uid="{00000000-0005-0000-0000-0000164C0000}"/>
    <cellStyle name="Normal 2 16 3" xfId="3414" xr:uid="{00000000-0005-0000-0000-0000174C0000}"/>
    <cellStyle name="Normal 2 16 3 2" xfId="4928" xr:uid="{00000000-0005-0000-0000-0000184C0000}"/>
    <cellStyle name="Normal 2 16 3 2 2" xfId="6553" xr:uid="{00000000-0005-0000-0000-0000194C0000}"/>
    <cellStyle name="Normal 2 16 3 2 2 2" xfId="9639" xr:uid="{00000000-0005-0000-0000-00001A4C0000}"/>
    <cellStyle name="Normal 2 16 3 2 2 2 2" xfId="15832" xr:uid="{00000000-0005-0000-0000-00001B4C0000}"/>
    <cellStyle name="Normal 2 16 3 2 2 2 2 2" xfId="35752" xr:uid="{00000000-0005-0000-0000-00001C4C0000}"/>
    <cellStyle name="Normal 2 16 3 2 2 2 3" xfId="21984" xr:uid="{00000000-0005-0000-0000-00001D4C0000}"/>
    <cellStyle name="Normal 2 16 3 2 2 2 3 2" xfId="41904" xr:uid="{00000000-0005-0000-0000-00001E4C0000}"/>
    <cellStyle name="Normal 2 16 3 2 2 2 4" xfId="29599" xr:uid="{00000000-0005-0000-0000-00001F4C0000}"/>
    <cellStyle name="Normal 2 16 3 2 2 3" xfId="12766" xr:uid="{00000000-0005-0000-0000-0000204C0000}"/>
    <cellStyle name="Normal 2 16 3 2 2 3 2" xfId="32686" xr:uid="{00000000-0005-0000-0000-0000214C0000}"/>
    <cellStyle name="Normal 2 16 3 2 2 4" xfId="18918" xr:uid="{00000000-0005-0000-0000-0000224C0000}"/>
    <cellStyle name="Normal 2 16 3 2 2 4 2" xfId="38838" xr:uid="{00000000-0005-0000-0000-0000234C0000}"/>
    <cellStyle name="Normal 2 16 3 2 2 5" xfId="26533" xr:uid="{00000000-0005-0000-0000-0000244C0000}"/>
    <cellStyle name="Normal 2 16 3 2 3" xfId="8104" xr:uid="{00000000-0005-0000-0000-0000254C0000}"/>
    <cellStyle name="Normal 2 16 3 2 3 2" xfId="14298" xr:uid="{00000000-0005-0000-0000-0000264C0000}"/>
    <cellStyle name="Normal 2 16 3 2 3 2 2" xfId="34218" xr:uid="{00000000-0005-0000-0000-0000274C0000}"/>
    <cellStyle name="Normal 2 16 3 2 3 3" xfId="20450" xr:uid="{00000000-0005-0000-0000-0000284C0000}"/>
    <cellStyle name="Normal 2 16 3 2 3 3 2" xfId="40370" xr:uid="{00000000-0005-0000-0000-0000294C0000}"/>
    <cellStyle name="Normal 2 16 3 2 3 4" xfId="28065" xr:uid="{00000000-0005-0000-0000-00002A4C0000}"/>
    <cellStyle name="Normal 2 16 3 2 4" xfId="11232" xr:uid="{00000000-0005-0000-0000-00002B4C0000}"/>
    <cellStyle name="Normal 2 16 3 2 4 2" xfId="31152" xr:uid="{00000000-0005-0000-0000-00002C4C0000}"/>
    <cellStyle name="Normal 2 16 3 2 5" xfId="17384" xr:uid="{00000000-0005-0000-0000-00002D4C0000}"/>
    <cellStyle name="Normal 2 16 3 2 5 2" xfId="37304" xr:uid="{00000000-0005-0000-0000-00002E4C0000}"/>
    <cellStyle name="Normal 2 16 3 2 6" xfId="24999" xr:uid="{00000000-0005-0000-0000-00002F4C0000}"/>
    <cellStyle name="Normal 2 16 3 3" xfId="5770" xr:uid="{00000000-0005-0000-0000-0000304C0000}"/>
    <cellStyle name="Normal 2 16 3 3 2" xfId="8870" xr:uid="{00000000-0005-0000-0000-0000314C0000}"/>
    <cellStyle name="Normal 2 16 3 3 2 2" xfId="15063" xr:uid="{00000000-0005-0000-0000-0000324C0000}"/>
    <cellStyle name="Normal 2 16 3 3 2 2 2" xfId="34983" xr:uid="{00000000-0005-0000-0000-0000334C0000}"/>
    <cellStyle name="Normal 2 16 3 3 2 3" xfId="21215" xr:uid="{00000000-0005-0000-0000-0000344C0000}"/>
    <cellStyle name="Normal 2 16 3 3 2 3 2" xfId="41135" xr:uid="{00000000-0005-0000-0000-0000354C0000}"/>
    <cellStyle name="Normal 2 16 3 3 2 4" xfId="28830" xr:uid="{00000000-0005-0000-0000-0000364C0000}"/>
    <cellStyle name="Normal 2 16 3 3 3" xfId="11997" xr:uid="{00000000-0005-0000-0000-0000374C0000}"/>
    <cellStyle name="Normal 2 16 3 3 3 2" xfId="31917" xr:uid="{00000000-0005-0000-0000-0000384C0000}"/>
    <cellStyle name="Normal 2 16 3 3 4" xfId="18149" xr:uid="{00000000-0005-0000-0000-0000394C0000}"/>
    <cellStyle name="Normal 2 16 3 3 4 2" xfId="38069" xr:uid="{00000000-0005-0000-0000-00003A4C0000}"/>
    <cellStyle name="Normal 2 16 3 3 5" xfId="25764" xr:uid="{00000000-0005-0000-0000-00003B4C0000}"/>
    <cellStyle name="Normal 2 16 3 4" xfId="7335" xr:uid="{00000000-0005-0000-0000-00003C4C0000}"/>
    <cellStyle name="Normal 2 16 3 4 2" xfId="13529" xr:uid="{00000000-0005-0000-0000-00003D4C0000}"/>
    <cellStyle name="Normal 2 16 3 4 2 2" xfId="33449" xr:uid="{00000000-0005-0000-0000-00003E4C0000}"/>
    <cellStyle name="Normal 2 16 3 4 3" xfId="19681" xr:uid="{00000000-0005-0000-0000-00003F4C0000}"/>
    <cellStyle name="Normal 2 16 3 4 3 2" xfId="39601" xr:uid="{00000000-0005-0000-0000-0000404C0000}"/>
    <cellStyle name="Normal 2 16 3 4 4" xfId="27296" xr:uid="{00000000-0005-0000-0000-0000414C0000}"/>
    <cellStyle name="Normal 2 16 3 5" xfId="10463" xr:uid="{00000000-0005-0000-0000-0000424C0000}"/>
    <cellStyle name="Normal 2 16 3 5 2" xfId="30383" xr:uid="{00000000-0005-0000-0000-0000434C0000}"/>
    <cellStyle name="Normal 2 16 3 6" xfId="16615" xr:uid="{00000000-0005-0000-0000-0000444C0000}"/>
    <cellStyle name="Normal 2 16 3 6 2" xfId="36535" xr:uid="{00000000-0005-0000-0000-0000454C0000}"/>
    <cellStyle name="Normal 2 16 3 7" xfId="24230" xr:uid="{00000000-0005-0000-0000-0000464C0000}"/>
    <cellStyle name="Normal 2 17" xfId="1115" xr:uid="{00000000-0005-0000-0000-0000474C0000}"/>
    <cellStyle name="Normal 2 17 2" xfId="4553" xr:uid="{00000000-0005-0000-0000-0000484C0000}"/>
    <cellStyle name="Normal 2 17 3" xfId="3415" xr:uid="{00000000-0005-0000-0000-0000494C0000}"/>
    <cellStyle name="Normal 2 17 3 2" xfId="4929" xr:uid="{00000000-0005-0000-0000-00004A4C0000}"/>
    <cellStyle name="Normal 2 17 3 2 2" xfId="6554" xr:uid="{00000000-0005-0000-0000-00004B4C0000}"/>
    <cellStyle name="Normal 2 17 3 2 2 2" xfId="9640" xr:uid="{00000000-0005-0000-0000-00004C4C0000}"/>
    <cellStyle name="Normal 2 17 3 2 2 2 2" xfId="15833" xr:uid="{00000000-0005-0000-0000-00004D4C0000}"/>
    <cellStyle name="Normal 2 17 3 2 2 2 2 2" xfId="35753" xr:uid="{00000000-0005-0000-0000-00004E4C0000}"/>
    <cellStyle name="Normal 2 17 3 2 2 2 3" xfId="21985" xr:uid="{00000000-0005-0000-0000-00004F4C0000}"/>
    <cellStyle name="Normal 2 17 3 2 2 2 3 2" xfId="41905" xr:uid="{00000000-0005-0000-0000-0000504C0000}"/>
    <cellStyle name="Normal 2 17 3 2 2 2 4" xfId="29600" xr:uid="{00000000-0005-0000-0000-0000514C0000}"/>
    <cellStyle name="Normal 2 17 3 2 2 3" xfId="12767" xr:uid="{00000000-0005-0000-0000-0000524C0000}"/>
    <cellStyle name="Normal 2 17 3 2 2 3 2" xfId="32687" xr:uid="{00000000-0005-0000-0000-0000534C0000}"/>
    <cellStyle name="Normal 2 17 3 2 2 4" xfId="18919" xr:uid="{00000000-0005-0000-0000-0000544C0000}"/>
    <cellStyle name="Normal 2 17 3 2 2 4 2" xfId="38839" xr:uid="{00000000-0005-0000-0000-0000554C0000}"/>
    <cellStyle name="Normal 2 17 3 2 2 5" xfId="26534" xr:uid="{00000000-0005-0000-0000-0000564C0000}"/>
    <cellStyle name="Normal 2 17 3 2 3" xfId="8105" xr:uid="{00000000-0005-0000-0000-0000574C0000}"/>
    <cellStyle name="Normal 2 17 3 2 3 2" xfId="14299" xr:uid="{00000000-0005-0000-0000-0000584C0000}"/>
    <cellStyle name="Normal 2 17 3 2 3 2 2" xfId="34219" xr:uid="{00000000-0005-0000-0000-0000594C0000}"/>
    <cellStyle name="Normal 2 17 3 2 3 3" xfId="20451" xr:uid="{00000000-0005-0000-0000-00005A4C0000}"/>
    <cellStyle name="Normal 2 17 3 2 3 3 2" xfId="40371" xr:uid="{00000000-0005-0000-0000-00005B4C0000}"/>
    <cellStyle name="Normal 2 17 3 2 3 4" xfId="28066" xr:uid="{00000000-0005-0000-0000-00005C4C0000}"/>
    <cellStyle name="Normal 2 17 3 2 4" xfId="11233" xr:uid="{00000000-0005-0000-0000-00005D4C0000}"/>
    <cellStyle name="Normal 2 17 3 2 4 2" xfId="31153" xr:uid="{00000000-0005-0000-0000-00005E4C0000}"/>
    <cellStyle name="Normal 2 17 3 2 5" xfId="17385" xr:uid="{00000000-0005-0000-0000-00005F4C0000}"/>
    <cellStyle name="Normal 2 17 3 2 5 2" xfId="37305" xr:uid="{00000000-0005-0000-0000-0000604C0000}"/>
    <cellStyle name="Normal 2 17 3 2 6" xfId="25000" xr:uid="{00000000-0005-0000-0000-0000614C0000}"/>
    <cellStyle name="Normal 2 17 3 3" xfId="5771" xr:uid="{00000000-0005-0000-0000-0000624C0000}"/>
    <cellStyle name="Normal 2 17 3 3 2" xfId="8871" xr:uid="{00000000-0005-0000-0000-0000634C0000}"/>
    <cellStyle name="Normal 2 17 3 3 2 2" xfId="15064" xr:uid="{00000000-0005-0000-0000-0000644C0000}"/>
    <cellStyle name="Normal 2 17 3 3 2 2 2" xfId="34984" xr:uid="{00000000-0005-0000-0000-0000654C0000}"/>
    <cellStyle name="Normal 2 17 3 3 2 3" xfId="21216" xr:uid="{00000000-0005-0000-0000-0000664C0000}"/>
    <cellStyle name="Normal 2 17 3 3 2 3 2" xfId="41136" xr:uid="{00000000-0005-0000-0000-0000674C0000}"/>
    <cellStyle name="Normal 2 17 3 3 2 4" xfId="28831" xr:uid="{00000000-0005-0000-0000-0000684C0000}"/>
    <cellStyle name="Normal 2 17 3 3 3" xfId="11998" xr:uid="{00000000-0005-0000-0000-0000694C0000}"/>
    <cellStyle name="Normal 2 17 3 3 3 2" xfId="31918" xr:uid="{00000000-0005-0000-0000-00006A4C0000}"/>
    <cellStyle name="Normal 2 17 3 3 4" xfId="18150" xr:uid="{00000000-0005-0000-0000-00006B4C0000}"/>
    <cellStyle name="Normal 2 17 3 3 4 2" xfId="38070" xr:uid="{00000000-0005-0000-0000-00006C4C0000}"/>
    <cellStyle name="Normal 2 17 3 3 5" xfId="25765" xr:uid="{00000000-0005-0000-0000-00006D4C0000}"/>
    <cellStyle name="Normal 2 17 3 4" xfId="7336" xr:uid="{00000000-0005-0000-0000-00006E4C0000}"/>
    <cellStyle name="Normal 2 17 3 4 2" xfId="13530" xr:uid="{00000000-0005-0000-0000-00006F4C0000}"/>
    <cellStyle name="Normal 2 17 3 4 2 2" xfId="33450" xr:uid="{00000000-0005-0000-0000-0000704C0000}"/>
    <cellStyle name="Normal 2 17 3 4 3" xfId="19682" xr:uid="{00000000-0005-0000-0000-0000714C0000}"/>
    <cellStyle name="Normal 2 17 3 4 3 2" xfId="39602" xr:uid="{00000000-0005-0000-0000-0000724C0000}"/>
    <cellStyle name="Normal 2 17 3 4 4" xfId="27297" xr:uid="{00000000-0005-0000-0000-0000734C0000}"/>
    <cellStyle name="Normal 2 17 3 5" xfId="10464" xr:uid="{00000000-0005-0000-0000-0000744C0000}"/>
    <cellStyle name="Normal 2 17 3 5 2" xfId="30384" xr:uid="{00000000-0005-0000-0000-0000754C0000}"/>
    <cellStyle name="Normal 2 17 3 6" xfId="16616" xr:uid="{00000000-0005-0000-0000-0000764C0000}"/>
    <cellStyle name="Normal 2 17 3 6 2" xfId="36536" xr:uid="{00000000-0005-0000-0000-0000774C0000}"/>
    <cellStyle name="Normal 2 17 3 7" xfId="24231" xr:uid="{00000000-0005-0000-0000-0000784C0000}"/>
    <cellStyle name="Normal 2 18" xfId="1116" xr:uid="{00000000-0005-0000-0000-0000794C0000}"/>
    <cellStyle name="Normal 2 18 2" xfId="4554" xr:uid="{00000000-0005-0000-0000-00007A4C0000}"/>
    <cellStyle name="Normal 2 18 3" xfId="3416" xr:uid="{00000000-0005-0000-0000-00007B4C0000}"/>
    <cellStyle name="Normal 2 18 3 2" xfId="4930" xr:uid="{00000000-0005-0000-0000-00007C4C0000}"/>
    <cellStyle name="Normal 2 18 3 2 2" xfId="6555" xr:uid="{00000000-0005-0000-0000-00007D4C0000}"/>
    <cellStyle name="Normal 2 18 3 2 2 2" xfId="9641" xr:uid="{00000000-0005-0000-0000-00007E4C0000}"/>
    <cellStyle name="Normal 2 18 3 2 2 2 2" xfId="15834" xr:uid="{00000000-0005-0000-0000-00007F4C0000}"/>
    <cellStyle name="Normal 2 18 3 2 2 2 2 2" xfId="35754" xr:uid="{00000000-0005-0000-0000-0000804C0000}"/>
    <cellStyle name="Normal 2 18 3 2 2 2 3" xfId="21986" xr:uid="{00000000-0005-0000-0000-0000814C0000}"/>
    <cellStyle name="Normal 2 18 3 2 2 2 3 2" xfId="41906" xr:uid="{00000000-0005-0000-0000-0000824C0000}"/>
    <cellStyle name="Normal 2 18 3 2 2 2 4" xfId="29601" xr:uid="{00000000-0005-0000-0000-0000834C0000}"/>
    <cellStyle name="Normal 2 18 3 2 2 3" xfId="12768" xr:uid="{00000000-0005-0000-0000-0000844C0000}"/>
    <cellStyle name="Normal 2 18 3 2 2 3 2" xfId="32688" xr:uid="{00000000-0005-0000-0000-0000854C0000}"/>
    <cellStyle name="Normal 2 18 3 2 2 4" xfId="18920" xr:uid="{00000000-0005-0000-0000-0000864C0000}"/>
    <cellStyle name="Normal 2 18 3 2 2 4 2" xfId="38840" xr:uid="{00000000-0005-0000-0000-0000874C0000}"/>
    <cellStyle name="Normal 2 18 3 2 2 5" xfId="26535" xr:uid="{00000000-0005-0000-0000-0000884C0000}"/>
    <cellStyle name="Normal 2 18 3 2 3" xfId="8106" xr:uid="{00000000-0005-0000-0000-0000894C0000}"/>
    <cellStyle name="Normal 2 18 3 2 3 2" xfId="14300" xr:uid="{00000000-0005-0000-0000-00008A4C0000}"/>
    <cellStyle name="Normal 2 18 3 2 3 2 2" xfId="34220" xr:uid="{00000000-0005-0000-0000-00008B4C0000}"/>
    <cellStyle name="Normal 2 18 3 2 3 3" xfId="20452" xr:uid="{00000000-0005-0000-0000-00008C4C0000}"/>
    <cellStyle name="Normal 2 18 3 2 3 3 2" xfId="40372" xr:uid="{00000000-0005-0000-0000-00008D4C0000}"/>
    <cellStyle name="Normal 2 18 3 2 3 4" xfId="28067" xr:uid="{00000000-0005-0000-0000-00008E4C0000}"/>
    <cellStyle name="Normal 2 18 3 2 4" xfId="11234" xr:uid="{00000000-0005-0000-0000-00008F4C0000}"/>
    <cellStyle name="Normal 2 18 3 2 4 2" xfId="31154" xr:uid="{00000000-0005-0000-0000-0000904C0000}"/>
    <cellStyle name="Normal 2 18 3 2 5" xfId="17386" xr:uid="{00000000-0005-0000-0000-0000914C0000}"/>
    <cellStyle name="Normal 2 18 3 2 5 2" xfId="37306" xr:uid="{00000000-0005-0000-0000-0000924C0000}"/>
    <cellStyle name="Normal 2 18 3 2 6" xfId="25001" xr:uid="{00000000-0005-0000-0000-0000934C0000}"/>
    <cellStyle name="Normal 2 18 3 3" xfId="5772" xr:uid="{00000000-0005-0000-0000-0000944C0000}"/>
    <cellStyle name="Normal 2 18 3 3 2" xfId="8872" xr:uid="{00000000-0005-0000-0000-0000954C0000}"/>
    <cellStyle name="Normal 2 18 3 3 2 2" xfId="15065" xr:uid="{00000000-0005-0000-0000-0000964C0000}"/>
    <cellStyle name="Normal 2 18 3 3 2 2 2" xfId="34985" xr:uid="{00000000-0005-0000-0000-0000974C0000}"/>
    <cellStyle name="Normal 2 18 3 3 2 3" xfId="21217" xr:uid="{00000000-0005-0000-0000-0000984C0000}"/>
    <cellStyle name="Normal 2 18 3 3 2 3 2" xfId="41137" xr:uid="{00000000-0005-0000-0000-0000994C0000}"/>
    <cellStyle name="Normal 2 18 3 3 2 4" xfId="28832" xr:uid="{00000000-0005-0000-0000-00009A4C0000}"/>
    <cellStyle name="Normal 2 18 3 3 3" xfId="11999" xr:uid="{00000000-0005-0000-0000-00009B4C0000}"/>
    <cellStyle name="Normal 2 18 3 3 3 2" xfId="31919" xr:uid="{00000000-0005-0000-0000-00009C4C0000}"/>
    <cellStyle name="Normal 2 18 3 3 4" xfId="18151" xr:uid="{00000000-0005-0000-0000-00009D4C0000}"/>
    <cellStyle name="Normal 2 18 3 3 4 2" xfId="38071" xr:uid="{00000000-0005-0000-0000-00009E4C0000}"/>
    <cellStyle name="Normal 2 18 3 3 5" xfId="25766" xr:uid="{00000000-0005-0000-0000-00009F4C0000}"/>
    <cellStyle name="Normal 2 18 3 4" xfId="7337" xr:uid="{00000000-0005-0000-0000-0000A04C0000}"/>
    <cellStyle name="Normal 2 18 3 4 2" xfId="13531" xr:uid="{00000000-0005-0000-0000-0000A14C0000}"/>
    <cellStyle name="Normal 2 18 3 4 2 2" xfId="33451" xr:uid="{00000000-0005-0000-0000-0000A24C0000}"/>
    <cellStyle name="Normal 2 18 3 4 3" xfId="19683" xr:uid="{00000000-0005-0000-0000-0000A34C0000}"/>
    <cellStyle name="Normal 2 18 3 4 3 2" xfId="39603" xr:uid="{00000000-0005-0000-0000-0000A44C0000}"/>
    <cellStyle name="Normal 2 18 3 4 4" xfId="27298" xr:uid="{00000000-0005-0000-0000-0000A54C0000}"/>
    <cellStyle name="Normal 2 18 3 5" xfId="10465" xr:uid="{00000000-0005-0000-0000-0000A64C0000}"/>
    <cellStyle name="Normal 2 18 3 5 2" xfId="30385" xr:uid="{00000000-0005-0000-0000-0000A74C0000}"/>
    <cellStyle name="Normal 2 18 3 6" xfId="16617" xr:uid="{00000000-0005-0000-0000-0000A84C0000}"/>
    <cellStyle name="Normal 2 18 3 6 2" xfId="36537" xr:uid="{00000000-0005-0000-0000-0000A94C0000}"/>
    <cellStyle name="Normal 2 18 3 7" xfId="24232" xr:uid="{00000000-0005-0000-0000-0000AA4C0000}"/>
    <cellStyle name="Normal 2 19" xfId="1117" xr:uid="{00000000-0005-0000-0000-0000AB4C0000}"/>
    <cellStyle name="Normal 2 19 2" xfId="4555" xr:uid="{00000000-0005-0000-0000-0000AC4C0000}"/>
    <cellStyle name="Normal 2 19 3" xfId="3417" xr:uid="{00000000-0005-0000-0000-0000AD4C0000}"/>
    <cellStyle name="Normal 2 19 3 2" xfId="4931" xr:uid="{00000000-0005-0000-0000-0000AE4C0000}"/>
    <cellStyle name="Normal 2 19 3 2 2" xfId="6556" xr:uid="{00000000-0005-0000-0000-0000AF4C0000}"/>
    <cellStyle name="Normal 2 19 3 2 2 2" xfId="9642" xr:uid="{00000000-0005-0000-0000-0000B04C0000}"/>
    <cellStyle name="Normal 2 19 3 2 2 2 2" xfId="15835" xr:uid="{00000000-0005-0000-0000-0000B14C0000}"/>
    <cellStyle name="Normal 2 19 3 2 2 2 2 2" xfId="35755" xr:uid="{00000000-0005-0000-0000-0000B24C0000}"/>
    <cellStyle name="Normal 2 19 3 2 2 2 3" xfId="21987" xr:uid="{00000000-0005-0000-0000-0000B34C0000}"/>
    <cellStyle name="Normal 2 19 3 2 2 2 3 2" xfId="41907" xr:uid="{00000000-0005-0000-0000-0000B44C0000}"/>
    <cellStyle name="Normal 2 19 3 2 2 2 4" xfId="29602" xr:uid="{00000000-0005-0000-0000-0000B54C0000}"/>
    <cellStyle name="Normal 2 19 3 2 2 3" xfId="12769" xr:uid="{00000000-0005-0000-0000-0000B64C0000}"/>
    <cellStyle name="Normal 2 19 3 2 2 3 2" xfId="32689" xr:uid="{00000000-0005-0000-0000-0000B74C0000}"/>
    <cellStyle name="Normal 2 19 3 2 2 4" xfId="18921" xr:uid="{00000000-0005-0000-0000-0000B84C0000}"/>
    <cellStyle name="Normal 2 19 3 2 2 4 2" xfId="38841" xr:uid="{00000000-0005-0000-0000-0000B94C0000}"/>
    <cellStyle name="Normal 2 19 3 2 2 5" xfId="26536" xr:uid="{00000000-0005-0000-0000-0000BA4C0000}"/>
    <cellStyle name="Normal 2 19 3 2 3" xfId="8107" xr:uid="{00000000-0005-0000-0000-0000BB4C0000}"/>
    <cellStyle name="Normal 2 19 3 2 3 2" xfId="14301" xr:uid="{00000000-0005-0000-0000-0000BC4C0000}"/>
    <cellStyle name="Normal 2 19 3 2 3 2 2" xfId="34221" xr:uid="{00000000-0005-0000-0000-0000BD4C0000}"/>
    <cellStyle name="Normal 2 19 3 2 3 3" xfId="20453" xr:uid="{00000000-0005-0000-0000-0000BE4C0000}"/>
    <cellStyle name="Normal 2 19 3 2 3 3 2" xfId="40373" xr:uid="{00000000-0005-0000-0000-0000BF4C0000}"/>
    <cellStyle name="Normal 2 19 3 2 3 4" xfId="28068" xr:uid="{00000000-0005-0000-0000-0000C04C0000}"/>
    <cellStyle name="Normal 2 19 3 2 4" xfId="11235" xr:uid="{00000000-0005-0000-0000-0000C14C0000}"/>
    <cellStyle name="Normal 2 19 3 2 4 2" xfId="31155" xr:uid="{00000000-0005-0000-0000-0000C24C0000}"/>
    <cellStyle name="Normal 2 19 3 2 5" xfId="17387" xr:uid="{00000000-0005-0000-0000-0000C34C0000}"/>
    <cellStyle name="Normal 2 19 3 2 5 2" xfId="37307" xr:uid="{00000000-0005-0000-0000-0000C44C0000}"/>
    <cellStyle name="Normal 2 19 3 2 6" xfId="25002" xr:uid="{00000000-0005-0000-0000-0000C54C0000}"/>
    <cellStyle name="Normal 2 19 3 3" xfId="5773" xr:uid="{00000000-0005-0000-0000-0000C64C0000}"/>
    <cellStyle name="Normal 2 19 3 3 2" xfId="8873" xr:uid="{00000000-0005-0000-0000-0000C74C0000}"/>
    <cellStyle name="Normal 2 19 3 3 2 2" xfId="15066" xr:uid="{00000000-0005-0000-0000-0000C84C0000}"/>
    <cellStyle name="Normal 2 19 3 3 2 2 2" xfId="34986" xr:uid="{00000000-0005-0000-0000-0000C94C0000}"/>
    <cellStyle name="Normal 2 19 3 3 2 3" xfId="21218" xr:uid="{00000000-0005-0000-0000-0000CA4C0000}"/>
    <cellStyle name="Normal 2 19 3 3 2 3 2" xfId="41138" xr:uid="{00000000-0005-0000-0000-0000CB4C0000}"/>
    <cellStyle name="Normal 2 19 3 3 2 4" xfId="28833" xr:uid="{00000000-0005-0000-0000-0000CC4C0000}"/>
    <cellStyle name="Normal 2 19 3 3 3" xfId="12000" xr:uid="{00000000-0005-0000-0000-0000CD4C0000}"/>
    <cellStyle name="Normal 2 19 3 3 3 2" xfId="31920" xr:uid="{00000000-0005-0000-0000-0000CE4C0000}"/>
    <cellStyle name="Normal 2 19 3 3 4" xfId="18152" xr:uid="{00000000-0005-0000-0000-0000CF4C0000}"/>
    <cellStyle name="Normal 2 19 3 3 4 2" xfId="38072" xr:uid="{00000000-0005-0000-0000-0000D04C0000}"/>
    <cellStyle name="Normal 2 19 3 3 5" xfId="25767" xr:uid="{00000000-0005-0000-0000-0000D14C0000}"/>
    <cellStyle name="Normal 2 19 3 4" xfId="7338" xr:uid="{00000000-0005-0000-0000-0000D24C0000}"/>
    <cellStyle name="Normal 2 19 3 4 2" xfId="13532" xr:uid="{00000000-0005-0000-0000-0000D34C0000}"/>
    <cellStyle name="Normal 2 19 3 4 2 2" xfId="33452" xr:uid="{00000000-0005-0000-0000-0000D44C0000}"/>
    <cellStyle name="Normal 2 19 3 4 3" xfId="19684" xr:uid="{00000000-0005-0000-0000-0000D54C0000}"/>
    <cellStyle name="Normal 2 19 3 4 3 2" xfId="39604" xr:uid="{00000000-0005-0000-0000-0000D64C0000}"/>
    <cellStyle name="Normal 2 19 3 4 4" xfId="27299" xr:uid="{00000000-0005-0000-0000-0000D74C0000}"/>
    <cellStyle name="Normal 2 19 3 5" xfId="10466" xr:uid="{00000000-0005-0000-0000-0000D84C0000}"/>
    <cellStyle name="Normal 2 19 3 5 2" xfId="30386" xr:uid="{00000000-0005-0000-0000-0000D94C0000}"/>
    <cellStyle name="Normal 2 19 3 6" xfId="16618" xr:uid="{00000000-0005-0000-0000-0000DA4C0000}"/>
    <cellStyle name="Normal 2 19 3 6 2" xfId="36538" xr:uid="{00000000-0005-0000-0000-0000DB4C0000}"/>
    <cellStyle name="Normal 2 19 3 7" xfId="24233" xr:uid="{00000000-0005-0000-0000-0000DC4C0000}"/>
    <cellStyle name="Normal 2 2" xfId="23" xr:uid="{00000000-0005-0000-0000-0000DD4C0000}"/>
    <cellStyle name="Normal 2 2 10" xfId="210" xr:uid="{00000000-0005-0000-0000-0000DE4C0000}"/>
    <cellStyle name="Normal 2 2 10 2" xfId="4932" xr:uid="{00000000-0005-0000-0000-0000DF4C0000}"/>
    <cellStyle name="Normal 2 2 10 2 2" xfId="6557" xr:uid="{00000000-0005-0000-0000-0000E04C0000}"/>
    <cellStyle name="Normal 2 2 10 2 2 2" xfId="9643" xr:uid="{00000000-0005-0000-0000-0000E14C0000}"/>
    <cellStyle name="Normal 2 2 10 2 2 2 2" xfId="15836" xr:uid="{00000000-0005-0000-0000-0000E24C0000}"/>
    <cellStyle name="Normal 2 2 10 2 2 2 2 2" xfId="35756" xr:uid="{00000000-0005-0000-0000-0000E34C0000}"/>
    <cellStyle name="Normal 2 2 10 2 2 2 3" xfId="21988" xr:uid="{00000000-0005-0000-0000-0000E44C0000}"/>
    <cellStyle name="Normal 2 2 10 2 2 2 3 2" xfId="41908" xr:uid="{00000000-0005-0000-0000-0000E54C0000}"/>
    <cellStyle name="Normal 2 2 10 2 2 2 4" xfId="29603" xr:uid="{00000000-0005-0000-0000-0000E64C0000}"/>
    <cellStyle name="Normal 2 2 10 2 2 3" xfId="12770" xr:uid="{00000000-0005-0000-0000-0000E74C0000}"/>
    <cellStyle name="Normal 2 2 10 2 2 3 2" xfId="32690" xr:uid="{00000000-0005-0000-0000-0000E84C0000}"/>
    <cellStyle name="Normal 2 2 10 2 2 4" xfId="18922" xr:uid="{00000000-0005-0000-0000-0000E94C0000}"/>
    <cellStyle name="Normal 2 2 10 2 2 4 2" xfId="38842" xr:uid="{00000000-0005-0000-0000-0000EA4C0000}"/>
    <cellStyle name="Normal 2 2 10 2 2 5" xfId="26537" xr:uid="{00000000-0005-0000-0000-0000EB4C0000}"/>
    <cellStyle name="Normal 2 2 10 2 3" xfId="8108" xr:uid="{00000000-0005-0000-0000-0000EC4C0000}"/>
    <cellStyle name="Normal 2 2 10 2 3 2" xfId="14302" xr:uid="{00000000-0005-0000-0000-0000ED4C0000}"/>
    <cellStyle name="Normal 2 2 10 2 3 2 2" xfId="34222" xr:uid="{00000000-0005-0000-0000-0000EE4C0000}"/>
    <cellStyle name="Normal 2 2 10 2 3 3" xfId="20454" xr:uid="{00000000-0005-0000-0000-0000EF4C0000}"/>
    <cellStyle name="Normal 2 2 10 2 3 3 2" xfId="40374" xr:uid="{00000000-0005-0000-0000-0000F04C0000}"/>
    <cellStyle name="Normal 2 2 10 2 3 4" xfId="28069" xr:uid="{00000000-0005-0000-0000-0000F14C0000}"/>
    <cellStyle name="Normal 2 2 10 2 4" xfId="11236" xr:uid="{00000000-0005-0000-0000-0000F24C0000}"/>
    <cellStyle name="Normal 2 2 10 2 4 2" xfId="31156" xr:uid="{00000000-0005-0000-0000-0000F34C0000}"/>
    <cellStyle name="Normal 2 2 10 2 5" xfId="17388" xr:uid="{00000000-0005-0000-0000-0000F44C0000}"/>
    <cellStyle name="Normal 2 2 10 2 5 2" xfId="37308" xr:uid="{00000000-0005-0000-0000-0000F54C0000}"/>
    <cellStyle name="Normal 2 2 10 2 6" xfId="25003" xr:uid="{00000000-0005-0000-0000-0000F64C0000}"/>
    <cellStyle name="Normal 2 2 10 3" xfId="5774" xr:uid="{00000000-0005-0000-0000-0000F74C0000}"/>
    <cellStyle name="Normal 2 2 10 3 2" xfId="8874" xr:uid="{00000000-0005-0000-0000-0000F84C0000}"/>
    <cellStyle name="Normal 2 2 10 3 2 2" xfId="15067" xr:uid="{00000000-0005-0000-0000-0000F94C0000}"/>
    <cellStyle name="Normal 2 2 10 3 2 2 2" xfId="34987" xr:uid="{00000000-0005-0000-0000-0000FA4C0000}"/>
    <cellStyle name="Normal 2 2 10 3 2 3" xfId="21219" xr:uid="{00000000-0005-0000-0000-0000FB4C0000}"/>
    <cellStyle name="Normal 2 2 10 3 2 3 2" xfId="41139" xr:uid="{00000000-0005-0000-0000-0000FC4C0000}"/>
    <cellStyle name="Normal 2 2 10 3 2 4" xfId="28834" xr:uid="{00000000-0005-0000-0000-0000FD4C0000}"/>
    <cellStyle name="Normal 2 2 10 3 3" xfId="12001" xr:uid="{00000000-0005-0000-0000-0000FE4C0000}"/>
    <cellStyle name="Normal 2 2 10 3 3 2" xfId="31921" xr:uid="{00000000-0005-0000-0000-0000FF4C0000}"/>
    <cellStyle name="Normal 2 2 10 3 4" xfId="18153" xr:uid="{00000000-0005-0000-0000-0000004D0000}"/>
    <cellStyle name="Normal 2 2 10 3 4 2" xfId="38073" xr:uid="{00000000-0005-0000-0000-0000014D0000}"/>
    <cellStyle name="Normal 2 2 10 3 5" xfId="25768" xr:uid="{00000000-0005-0000-0000-0000024D0000}"/>
    <cellStyle name="Normal 2 2 10 4" xfId="7339" xr:uid="{00000000-0005-0000-0000-0000034D0000}"/>
    <cellStyle name="Normal 2 2 10 4 2" xfId="13533" xr:uid="{00000000-0005-0000-0000-0000044D0000}"/>
    <cellStyle name="Normal 2 2 10 4 2 2" xfId="33453" xr:uid="{00000000-0005-0000-0000-0000054D0000}"/>
    <cellStyle name="Normal 2 2 10 4 3" xfId="19685" xr:uid="{00000000-0005-0000-0000-0000064D0000}"/>
    <cellStyle name="Normal 2 2 10 4 3 2" xfId="39605" xr:uid="{00000000-0005-0000-0000-0000074D0000}"/>
    <cellStyle name="Normal 2 2 10 4 4" xfId="27300" xr:uid="{00000000-0005-0000-0000-0000084D0000}"/>
    <cellStyle name="Normal 2 2 10 5" xfId="10467" xr:uid="{00000000-0005-0000-0000-0000094D0000}"/>
    <cellStyle name="Normal 2 2 10 5 2" xfId="30387" xr:uid="{00000000-0005-0000-0000-00000A4D0000}"/>
    <cellStyle name="Normal 2 2 10 6" xfId="16619" xr:uid="{00000000-0005-0000-0000-00000B4D0000}"/>
    <cellStyle name="Normal 2 2 10 6 2" xfId="36539" xr:uid="{00000000-0005-0000-0000-00000C4D0000}"/>
    <cellStyle name="Normal 2 2 10 7" xfId="3418" xr:uid="{00000000-0005-0000-0000-00000D4D0000}"/>
    <cellStyle name="Normal 2 2 10 7 2" xfId="24234" xr:uid="{00000000-0005-0000-0000-00000E4D0000}"/>
    <cellStyle name="Normal 2 2 11" xfId="231" xr:uid="{00000000-0005-0000-0000-00000F4D0000}"/>
    <cellStyle name="Normal 2 2 11 2" xfId="4933" xr:uid="{00000000-0005-0000-0000-0000104D0000}"/>
    <cellStyle name="Normal 2 2 11 2 2" xfId="6558" xr:uid="{00000000-0005-0000-0000-0000114D0000}"/>
    <cellStyle name="Normal 2 2 11 2 2 2" xfId="9644" xr:uid="{00000000-0005-0000-0000-0000124D0000}"/>
    <cellStyle name="Normal 2 2 11 2 2 2 2" xfId="15837" xr:uid="{00000000-0005-0000-0000-0000134D0000}"/>
    <cellStyle name="Normal 2 2 11 2 2 2 2 2" xfId="35757" xr:uid="{00000000-0005-0000-0000-0000144D0000}"/>
    <cellStyle name="Normal 2 2 11 2 2 2 3" xfId="21989" xr:uid="{00000000-0005-0000-0000-0000154D0000}"/>
    <cellStyle name="Normal 2 2 11 2 2 2 3 2" xfId="41909" xr:uid="{00000000-0005-0000-0000-0000164D0000}"/>
    <cellStyle name="Normal 2 2 11 2 2 2 4" xfId="29604" xr:uid="{00000000-0005-0000-0000-0000174D0000}"/>
    <cellStyle name="Normal 2 2 11 2 2 3" xfId="12771" xr:uid="{00000000-0005-0000-0000-0000184D0000}"/>
    <cellStyle name="Normal 2 2 11 2 2 3 2" xfId="32691" xr:uid="{00000000-0005-0000-0000-0000194D0000}"/>
    <cellStyle name="Normal 2 2 11 2 2 4" xfId="18923" xr:uid="{00000000-0005-0000-0000-00001A4D0000}"/>
    <cellStyle name="Normal 2 2 11 2 2 4 2" xfId="38843" xr:uid="{00000000-0005-0000-0000-00001B4D0000}"/>
    <cellStyle name="Normal 2 2 11 2 2 5" xfId="26538" xr:uid="{00000000-0005-0000-0000-00001C4D0000}"/>
    <cellStyle name="Normal 2 2 11 2 3" xfId="8109" xr:uid="{00000000-0005-0000-0000-00001D4D0000}"/>
    <cellStyle name="Normal 2 2 11 2 3 2" xfId="14303" xr:uid="{00000000-0005-0000-0000-00001E4D0000}"/>
    <cellStyle name="Normal 2 2 11 2 3 2 2" xfId="34223" xr:uid="{00000000-0005-0000-0000-00001F4D0000}"/>
    <cellStyle name="Normal 2 2 11 2 3 3" xfId="20455" xr:uid="{00000000-0005-0000-0000-0000204D0000}"/>
    <cellStyle name="Normal 2 2 11 2 3 3 2" xfId="40375" xr:uid="{00000000-0005-0000-0000-0000214D0000}"/>
    <cellStyle name="Normal 2 2 11 2 3 4" xfId="28070" xr:uid="{00000000-0005-0000-0000-0000224D0000}"/>
    <cellStyle name="Normal 2 2 11 2 4" xfId="11237" xr:uid="{00000000-0005-0000-0000-0000234D0000}"/>
    <cellStyle name="Normal 2 2 11 2 4 2" xfId="31157" xr:uid="{00000000-0005-0000-0000-0000244D0000}"/>
    <cellStyle name="Normal 2 2 11 2 5" xfId="17389" xr:uid="{00000000-0005-0000-0000-0000254D0000}"/>
    <cellStyle name="Normal 2 2 11 2 5 2" xfId="37309" xr:uid="{00000000-0005-0000-0000-0000264D0000}"/>
    <cellStyle name="Normal 2 2 11 2 6" xfId="25004" xr:uid="{00000000-0005-0000-0000-0000274D0000}"/>
    <cellStyle name="Normal 2 2 11 3" xfId="5775" xr:uid="{00000000-0005-0000-0000-0000284D0000}"/>
    <cellStyle name="Normal 2 2 11 3 2" xfId="8875" xr:uid="{00000000-0005-0000-0000-0000294D0000}"/>
    <cellStyle name="Normal 2 2 11 3 2 2" xfId="15068" xr:uid="{00000000-0005-0000-0000-00002A4D0000}"/>
    <cellStyle name="Normal 2 2 11 3 2 2 2" xfId="34988" xr:uid="{00000000-0005-0000-0000-00002B4D0000}"/>
    <cellStyle name="Normal 2 2 11 3 2 3" xfId="21220" xr:uid="{00000000-0005-0000-0000-00002C4D0000}"/>
    <cellStyle name="Normal 2 2 11 3 2 3 2" xfId="41140" xr:uid="{00000000-0005-0000-0000-00002D4D0000}"/>
    <cellStyle name="Normal 2 2 11 3 2 4" xfId="28835" xr:uid="{00000000-0005-0000-0000-00002E4D0000}"/>
    <cellStyle name="Normal 2 2 11 3 3" xfId="12002" xr:uid="{00000000-0005-0000-0000-00002F4D0000}"/>
    <cellStyle name="Normal 2 2 11 3 3 2" xfId="31922" xr:uid="{00000000-0005-0000-0000-0000304D0000}"/>
    <cellStyle name="Normal 2 2 11 3 4" xfId="18154" xr:uid="{00000000-0005-0000-0000-0000314D0000}"/>
    <cellStyle name="Normal 2 2 11 3 4 2" xfId="38074" xr:uid="{00000000-0005-0000-0000-0000324D0000}"/>
    <cellStyle name="Normal 2 2 11 3 5" xfId="25769" xr:uid="{00000000-0005-0000-0000-0000334D0000}"/>
    <cellStyle name="Normal 2 2 11 4" xfId="7340" xr:uid="{00000000-0005-0000-0000-0000344D0000}"/>
    <cellStyle name="Normal 2 2 11 4 2" xfId="13534" xr:uid="{00000000-0005-0000-0000-0000354D0000}"/>
    <cellStyle name="Normal 2 2 11 4 2 2" xfId="33454" xr:uid="{00000000-0005-0000-0000-0000364D0000}"/>
    <cellStyle name="Normal 2 2 11 4 3" xfId="19686" xr:uid="{00000000-0005-0000-0000-0000374D0000}"/>
    <cellStyle name="Normal 2 2 11 4 3 2" xfId="39606" xr:uid="{00000000-0005-0000-0000-0000384D0000}"/>
    <cellStyle name="Normal 2 2 11 4 4" xfId="27301" xr:uid="{00000000-0005-0000-0000-0000394D0000}"/>
    <cellStyle name="Normal 2 2 11 5" xfId="10468" xr:uid="{00000000-0005-0000-0000-00003A4D0000}"/>
    <cellStyle name="Normal 2 2 11 5 2" xfId="30388" xr:uid="{00000000-0005-0000-0000-00003B4D0000}"/>
    <cellStyle name="Normal 2 2 11 6" xfId="16620" xr:uid="{00000000-0005-0000-0000-00003C4D0000}"/>
    <cellStyle name="Normal 2 2 11 6 2" xfId="36540" xr:uid="{00000000-0005-0000-0000-00003D4D0000}"/>
    <cellStyle name="Normal 2 2 11 7" xfId="3419" xr:uid="{00000000-0005-0000-0000-00003E4D0000}"/>
    <cellStyle name="Normal 2 2 11 7 2" xfId="24235" xr:uid="{00000000-0005-0000-0000-00003F4D0000}"/>
    <cellStyle name="Normal 2 2 12" xfId="195" xr:uid="{00000000-0005-0000-0000-0000404D0000}"/>
    <cellStyle name="Normal 2 2 12 2" xfId="4934" xr:uid="{00000000-0005-0000-0000-0000414D0000}"/>
    <cellStyle name="Normal 2 2 12 2 2" xfId="6559" xr:uid="{00000000-0005-0000-0000-0000424D0000}"/>
    <cellStyle name="Normal 2 2 12 2 2 2" xfId="9645" xr:uid="{00000000-0005-0000-0000-0000434D0000}"/>
    <cellStyle name="Normal 2 2 12 2 2 2 2" xfId="15838" xr:uid="{00000000-0005-0000-0000-0000444D0000}"/>
    <cellStyle name="Normal 2 2 12 2 2 2 2 2" xfId="35758" xr:uid="{00000000-0005-0000-0000-0000454D0000}"/>
    <cellStyle name="Normal 2 2 12 2 2 2 3" xfId="21990" xr:uid="{00000000-0005-0000-0000-0000464D0000}"/>
    <cellStyle name="Normal 2 2 12 2 2 2 3 2" xfId="41910" xr:uid="{00000000-0005-0000-0000-0000474D0000}"/>
    <cellStyle name="Normal 2 2 12 2 2 2 4" xfId="29605" xr:uid="{00000000-0005-0000-0000-0000484D0000}"/>
    <cellStyle name="Normal 2 2 12 2 2 3" xfId="12772" xr:uid="{00000000-0005-0000-0000-0000494D0000}"/>
    <cellStyle name="Normal 2 2 12 2 2 3 2" xfId="32692" xr:uid="{00000000-0005-0000-0000-00004A4D0000}"/>
    <cellStyle name="Normal 2 2 12 2 2 4" xfId="18924" xr:uid="{00000000-0005-0000-0000-00004B4D0000}"/>
    <cellStyle name="Normal 2 2 12 2 2 4 2" xfId="38844" xr:uid="{00000000-0005-0000-0000-00004C4D0000}"/>
    <cellStyle name="Normal 2 2 12 2 2 5" xfId="26539" xr:uid="{00000000-0005-0000-0000-00004D4D0000}"/>
    <cellStyle name="Normal 2 2 12 2 3" xfId="8110" xr:uid="{00000000-0005-0000-0000-00004E4D0000}"/>
    <cellStyle name="Normal 2 2 12 2 3 2" xfId="14304" xr:uid="{00000000-0005-0000-0000-00004F4D0000}"/>
    <cellStyle name="Normal 2 2 12 2 3 2 2" xfId="34224" xr:uid="{00000000-0005-0000-0000-0000504D0000}"/>
    <cellStyle name="Normal 2 2 12 2 3 3" xfId="20456" xr:uid="{00000000-0005-0000-0000-0000514D0000}"/>
    <cellStyle name="Normal 2 2 12 2 3 3 2" xfId="40376" xr:uid="{00000000-0005-0000-0000-0000524D0000}"/>
    <cellStyle name="Normal 2 2 12 2 3 4" xfId="28071" xr:uid="{00000000-0005-0000-0000-0000534D0000}"/>
    <cellStyle name="Normal 2 2 12 2 4" xfId="11238" xr:uid="{00000000-0005-0000-0000-0000544D0000}"/>
    <cellStyle name="Normal 2 2 12 2 4 2" xfId="31158" xr:uid="{00000000-0005-0000-0000-0000554D0000}"/>
    <cellStyle name="Normal 2 2 12 2 5" xfId="17390" xr:uid="{00000000-0005-0000-0000-0000564D0000}"/>
    <cellStyle name="Normal 2 2 12 2 5 2" xfId="37310" xr:uid="{00000000-0005-0000-0000-0000574D0000}"/>
    <cellStyle name="Normal 2 2 12 2 6" xfId="25005" xr:uid="{00000000-0005-0000-0000-0000584D0000}"/>
    <cellStyle name="Normal 2 2 12 3" xfId="5776" xr:uid="{00000000-0005-0000-0000-0000594D0000}"/>
    <cellStyle name="Normal 2 2 12 3 2" xfId="8876" xr:uid="{00000000-0005-0000-0000-00005A4D0000}"/>
    <cellStyle name="Normal 2 2 12 3 2 2" xfId="15069" xr:uid="{00000000-0005-0000-0000-00005B4D0000}"/>
    <cellStyle name="Normal 2 2 12 3 2 2 2" xfId="34989" xr:uid="{00000000-0005-0000-0000-00005C4D0000}"/>
    <cellStyle name="Normal 2 2 12 3 2 3" xfId="21221" xr:uid="{00000000-0005-0000-0000-00005D4D0000}"/>
    <cellStyle name="Normal 2 2 12 3 2 3 2" xfId="41141" xr:uid="{00000000-0005-0000-0000-00005E4D0000}"/>
    <cellStyle name="Normal 2 2 12 3 2 4" xfId="28836" xr:uid="{00000000-0005-0000-0000-00005F4D0000}"/>
    <cellStyle name="Normal 2 2 12 3 3" xfId="12003" xr:uid="{00000000-0005-0000-0000-0000604D0000}"/>
    <cellStyle name="Normal 2 2 12 3 3 2" xfId="31923" xr:uid="{00000000-0005-0000-0000-0000614D0000}"/>
    <cellStyle name="Normal 2 2 12 3 4" xfId="18155" xr:uid="{00000000-0005-0000-0000-0000624D0000}"/>
    <cellStyle name="Normal 2 2 12 3 4 2" xfId="38075" xr:uid="{00000000-0005-0000-0000-0000634D0000}"/>
    <cellStyle name="Normal 2 2 12 3 5" xfId="25770" xr:uid="{00000000-0005-0000-0000-0000644D0000}"/>
    <cellStyle name="Normal 2 2 12 4" xfId="7341" xr:uid="{00000000-0005-0000-0000-0000654D0000}"/>
    <cellStyle name="Normal 2 2 12 4 2" xfId="13535" xr:uid="{00000000-0005-0000-0000-0000664D0000}"/>
    <cellStyle name="Normal 2 2 12 4 2 2" xfId="33455" xr:uid="{00000000-0005-0000-0000-0000674D0000}"/>
    <cellStyle name="Normal 2 2 12 4 3" xfId="19687" xr:uid="{00000000-0005-0000-0000-0000684D0000}"/>
    <cellStyle name="Normal 2 2 12 4 3 2" xfId="39607" xr:uid="{00000000-0005-0000-0000-0000694D0000}"/>
    <cellStyle name="Normal 2 2 12 4 4" xfId="27302" xr:uid="{00000000-0005-0000-0000-00006A4D0000}"/>
    <cellStyle name="Normal 2 2 12 5" xfId="10469" xr:uid="{00000000-0005-0000-0000-00006B4D0000}"/>
    <cellStyle name="Normal 2 2 12 5 2" xfId="30389" xr:uid="{00000000-0005-0000-0000-00006C4D0000}"/>
    <cellStyle name="Normal 2 2 12 6" xfId="16621" xr:uid="{00000000-0005-0000-0000-00006D4D0000}"/>
    <cellStyle name="Normal 2 2 12 6 2" xfId="36541" xr:uid="{00000000-0005-0000-0000-00006E4D0000}"/>
    <cellStyle name="Normal 2 2 12 7" xfId="3420" xr:uid="{00000000-0005-0000-0000-00006F4D0000}"/>
    <cellStyle name="Normal 2 2 12 7 2" xfId="24236" xr:uid="{00000000-0005-0000-0000-0000704D0000}"/>
    <cellStyle name="Normal 2 2 13" xfId="234" xr:uid="{00000000-0005-0000-0000-0000714D0000}"/>
    <cellStyle name="Normal 2 2 13 2" xfId="4935" xr:uid="{00000000-0005-0000-0000-0000724D0000}"/>
    <cellStyle name="Normal 2 2 13 2 2" xfId="6560" xr:uid="{00000000-0005-0000-0000-0000734D0000}"/>
    <cellStyle name="Normal 2 2 13 2 2 2" xfId="9646" xr:uid="{00000000-0005-0000-0000-0000744D0000}"/>
    <cellStyle name="Normal 2 2 13 2 2 2 2" xfId="15839" xr:uid="{00000000-0005-0000-0000-0000754D0000}"/>
    <cellStyle name="Normal 2 2 13 2 2 2 2 2" xfId="35759" xr:uid="{00000000-0005-0000-0000-0000764D0000}"/>
    <cellStyle name="Normal 2 2 13 2 2 2 3" xfId="21991" xr:uid="{00000000-0005-0000-0000-0000774D0000}"/>
    <cellStyle name="Normal 2 2 13 2 2 2 3 2" xfId="41911" xr:uid="{00000000-0005-0000-0000-0000784D0000}"/>
    <cellStyle name="Normal 2 2 13 2 2 2 4" xfId="29606" xr:uid="{00000000-0005-0000-0000-0000794D0000}"/>
    <cellStyle name="Normal 2 2 13 2 2 3" xfId="12773" xr:uid="{00000000-0005-0000-0000-00007A4D0000}"/>
    <cellStyle name="Normal 2 2 13 2 2 3 2" xfId="32693" xr:uid="{00000000-0005-0000-0000-00007B4D0000}"/>
    <cellStyle name="Normal 2 2 13 2 2 4" xfId="18925" xr:uid="{00000000-0005-0000-0000-00007C4D0000}"/>
    <cellStyle name="Normal 2 2 13 2 2 4 2" xfId="38845" xr:uid="{00000000-0005-0000-0000-00007D4D0000}"/>
    <cellStyle name="Normal 2 2 13 2 2 5" xfId="26540" xr:uid="{00000000-0005-0000-0000-00007E4D0000}"/>
    <cellStyle name="Normal 2 2 13 2 3" xfId="8111" xr:uid="{00000000-0005-0000-0000-00007F4D0000}"/>
    <cellStyle name="Normal 2 2 13 2 3 2" xfId="14305" xr:uid="{00000000-0005-0000-0000-0000804D0000}"/>
    <cellStyle name="Normal 2 2 13 2 3 2 2" xfId="34225" xr:uid="{00000000-0005-0000-0000-0000814D0000}"/>
    <cellStyle name="Normal 2 2 13 2 3 3" xfId="20457" xr:uid="{00000000-0005-0000-0000-0000824D0000}"/>
    <cellStyle name="Normal 2 2 13 2 3 3 2" xfId="40377" xr:uid="{00000000-0005-0000-0000-0000834D0000}"/>
    <cellStyle name="Normal 2 2 13 2 3 4" xfId="28072" xr:uid="{00000000-0005-0000-0000-0000844D0000}"/>
    <cellStyle name="Normal 2 2 13 2 4" xfId="11239" xr:uid="{00000000-0005-0000-0000-0000854D0000}"/>
    <cellStyle name="Normal 2 2 13 2 4 2" xfId="31159" xr:uid="{00000000-0005-0000-0000-0000864D0000}"/>
    <cellStyle name="Normal 2 2 13 2 5" xfId="17391" xr:uid="{00000000-0005-0000-0000-0000874D0000}"/>
    <cellStyle name="Normal 2 2 13 2 5 2" xfId="37311" xr:uid="{00000000-0005-0000-0000-0000884D0000}"/>
    <cellStyle name="Normal 2 2 13 2 6" xfId="25006" xr:uid="{00000000-0005-0000-0000-0000894D0000}"/>
    <cellStyle name="Normal 2 2 13 3" xfId="5777" xr:uid="{00000000-0005-0000-0000-00008A4D0000}"/>
    <cellStyle name="Normal 2 2 13 3 2" xfId="8877" xr:uid="{00000000-0005-0000-0000-00008B4D0000}"/>
    <cellStyle name="Normal 2 2 13 3 2 2" xfId="15070" xr:uid="{00000000-0005-0000-0000-00008C4D0000}"/>
    <cellStyle name="Normal 2 2 13 3 2 2 2" xfId="34990" xr:uid="{00000000-0005-0000-0000-00008D4D0000}"/>
    <cellStyle name="Normal 2 2 13 3 2 3" xfId="21222" xr:uid="{00000000-0005-0000-0000-00008E4D0000}"/>
    <cellStyle name="Normal 2 2 13 3 2 3 2" xfId="41142" xr:uid="{00000000-0005-0000-0000-00008F4D0000}"/>
    <cellStyle name="Normal 2 2 13 3 2 4" xfId="28837" xr:uid="{00000000-0005-0000-0000-0000904D0000}"/>
    <cellStyle name="Normal 2 2 13 3 3" xfId="12004" xr:uid="{00000000-0005-0000-0000-0000914D0000}"/>
    <cellStyle name="Normal 2 2 13 3 3 2" xfId="31924" xr:uid="{00000000-0005-0000-0000-0000924D0000}"/>
    <cellStyle name="Normal 2 2 13 3 4" xfId="18156" xr:uid="{00000000-0005-0000-0000-0000934D0000}"/>
    <cellStyle name="Normal 2 2 13 3 4 2" xfId="38076" xr:uid="{00000000-0005-0000-0000-0000944D0000}"/>
    <cellStyle name="Normal 2 2 13 3 5" xfId="25771" xr:uid="{00000000-0005-0000-0000-0000954D0000}"/>
    <cellStyle name="Normal 2 2 13 4" xfId="7342" xr:uid="{00000000-0005-0000-0000-0000964D0000}"/>
    <cellStyle name="Normal 2 2 13 4 2" xfId="13536" xr:uid="{00000000-0005-0000-0000-0000974D0000}"/>
    <cellStyle name="Normal 2 2 13 4 2 2" xfId="33456" xr:uid="{00000000-0005-0000-0000-0000984D0000}"/>
    <cellStyle name="Normal 2 2 13 4 3" xfId="19688" xr:uid="{00000000-0005-0000-0000-0000994D0000}"/>
    <cellStyle name="Normal 2 2 13 4 3 2" xfId="39608" xr:uid="{00000000-0005-0000-0000-00009A4D0000}"/>
    <cellStyle name="Normal 2 2 13 4 4" xfId="27303" xr:uid="{00000000-0005-0000-0000-00009B4D0000}"/>
    <cellStyle name="Normal 2 2 13 5" xfId="10470" xr:uid="{00000000-0005-0000-0000-00009C4D0000}"/>
    <cellStyle name="Normal 2 2 13 5 2" xfId="30390" xr:uid="{00000000-0005-0000-0000-00009D4D0000}"/>
    <cellStyle name="Normal 2 2 13 6" xfId="16622" xr:uid="{00000000-0005-0000-0000-00009E4D0000}"/>
    <cellStyle name="Normal 2 2 13 6 2" xfId="36542" xr:uid="{00000000-0005-0000-0000-00009F4D0000}"/>
    <cellStyle name="Normal 2 2 13 7" xfId="3421" xr:uid="{00000000-0005-0000-0000-0000A04D0000}"/>
    <cellStyle name="Normal 2 2 13 7 2" xfId="24237" xr:uid="{00000000-0005-0000-0000-0000A14D0000}"/>
    <cellStyle name="Normal 2 2 14" xfId="249" xr:uid="{00000000-0005-0000-0000-0000A24D0000}"/>
    <cellStyle name="Normal 2 2 14 2" xfId="4936" xr:uid="{00000000-0005-0000-0000-0000A34D0000}"/>
    <cellStyle name="Normal 2 2 14 2 2" xfId="6561" xr:uid="{00000000-0005-0000-0000-0000A44D0000}"/>
    <cellStyle name="Normal 2 2 14 2 2 2" xfId="9647" xr:uid="{00000000-0005-0000-0000-0000A54D0000}"/>
    <cellStyle name="Normal 2 2 14 2 2 2 2" xfId="15840" xr:uid="{00000000-0005-0000-0000-0000A64D0000}"/>
    <cellStyle name="Normal 2 2 14 2 2 2 2 2" xfId="35760" xr:uid="{00000000-0005-0000-0000-0000A74D0000}"/>
    <cellStyle name="Normal 2 2 14 2 2 2 3" xfId="21992" xr:uid="{00000000-0005-0000-0000-0000A84D0000}"/>
    <cellStyle name="Normal 2 2 14 2 2 2 3 2" xfId="41912" xr:uid="{00000000-0005-0000-0000-0000A94D0000}"/>
    <cellStyle name="Normal 2 2 14 2 2 2 4" xfId="29607" xr:uid="{00000000-0005-0000-0000-0000AA4D0000}"/>
    <cellStyle name="Normal 2 2 14 2 2 3" xfId="12774" xr:uid="{00000000-0005-0000-0000-0000AB4D0000}"/>
    <cellStyle name="Normal 2 2 14 2 2 3 2" xfId="32694" xr:uid="{00000000-0005-0000-0000-0000AC4D0000}"/>
    <cellStyle name="Normal 2 2 14 2 2 4" xfId="18926" xr:uid="{00000000-0005-0000-0000-0000AD4D0000}"/>
    <cellStyle name="Normal 2 2 14 2 2 4 2" xfId="38846" xr:uid="{00000000-0005-0000-0000-0000AE4D0000}"/>
    <cellStyle name="Normal 2 2 14 2 2 5" xfId="26541" xr:uid="{00000000-0005-0000-0000-0000AF4D0000}"/>
    <cellStyle name="Normal 2 2 14 2 3" xfId="8112" xr:uid="{00000000-0005-0000-0000-0000B04D0000}"/>
    <cellStyle name="Normal 2 2 14 2 3 2" xfId="14306" xr:uid="{00000000-0005-0000-0000-0000B14D0000}"/>
    <cellStyle name="Normal 2 2 14 2 3 2 2" xfId="34226" xr:uid="{00000000-0005-0000-0000-0000B24D0000}"/>
    <cellStyle name="Normal 2 2 14 2 3 3" xfId="20458" xr:uid="{00000000-0005-0000-0000-0000B34D0000}"/>
    <cellStyle name="Normal 2 2 14 2 3 3 2" xfId="40378" xr:uid="{00000000-0005-0000-0000-0000B44D0000}"/>
    <cellStyle name="Normal 2 2 14 2 3 4" xfId="28073" xr:uid="{00000000-0005-0000-0000-0000B54D0000}"/>
    <cellStyle name="Normal 2 2 14 2 4" xfId="11240" xr:uid="{00000000-0005-0000-0000-0000B64D0000}"/>
    <cellStyle name="Normal 2 2 14 2 4 2" xfId="31160" xr:uid="{00000000-0005-0000-0000-0000B74D0000}"/>
    <cellStyle name="Normal 2 2 14 2 5" xfId="17392" xr:uid="{00000000-0005-0000-0000-0000B84D0000}"/>
    <cellStyle name="Normal 2 2 14 2 5 2" xfId="37312" xr:uid="{00000000-0005-0000-0000-0000B94D0000}"/>
    <cellStyle name="Normal 2 2 14 2 6" xfId="25007" xr:uid="{00000000-0005-0000-0000-0000BA4D0000}"/>
    <cellStyle name="Normal 2 2 14 3" xfId="5778" xr:uid="{00000000-0005-0000-0000-0000BB4D0000}"/>
    <cellStyle name="Normal 2 2 14 3 2" xfId="8878" xr:uid="{00000000-0005-0000-0000-0000BC4D0000}"/>
    <cellStyle name="Normal 2 2 14 3 2 2" xfId="15071" xr:uid="{00000000-0005-0000-0000-0000BD4D0000}"/>
    <cellStyle name="Normal 2 2 14 3 2 2 2" xfId="34991" xr:uid="{00000000-0005-0000-0000-0000BE4D0000}"/>
    <cellStyle name="Normal 2 2 14 3 2 3" xfId="21223" xr:uid="{00000000-0005-0000-0000-0000BF4D0000}"/>
    <cellStyle name="Normal 2 2 14 3 2 3 2" xfId="41143" xr:uid="{00000000-0005-0000-0000-0000C04D0000}"/>
    <cellStyle name="Normal 2 2 14 3 2 4" xfId="28838" xr:uid="{00000000-0005-0000-0000-0000C14D0000}"/>
    <cellStyle name="Normal 2 2 14 3 3" xfId="12005" xr:uid="{00000000-0005-0000-0000-0000C24D0000}"/>
    <cellStyle name="Normal 2 2 14 3 3 2" xfId="31925" xr:uid="{00000000-0005-0000-0000-0000C34D0000}"/>
    <cellStyle name="Normal 2 2 14 3 4" xfId="18157" xr:uid="{00000000-0005-0000-0000-0000C44D0000}"/>
    <cellStyle name="Normal 2 2 14 3 4 2" xfId="38077" xr:uid="{00000000-0005-0000-0000-0000C54D0000}"/>
    <cellStyle name="Normal 2 2 14 3 5" xfId="25772" xr:uid="{00000000-0005-0000-0000-0000C64D0000}"/>
    <cellStyle name="Normal 2 2 14 4" xfId="7343" xr:uid="{00000000-0005-0000-0000-0000C74D0000}"/>
    <cellStyle name="Normal 2 2 14 4 2" xfId="13537" xr:uid="{00000000-0005-0000-0000-0000C84D0000}"/>
    <cellStyle name="Normal 2 2 14 4 2 2" xfId="33457" xr:uid="{00000000-0005-0000-0000-0000C94D0000}"/>
    <cellStyle name="Normal 2 2 14 4 3" xfId="19689" xr:uid="{00000000-0005-0000-0000-0000CA4D0000}"/>
    <cellStyle name="Normal 2 2 14 4 3 2" xfId="39609" xr:uid="{00000000-0005-0000-0000-0000CB4D0000}"/>
    <cellStyle name="Normal 2 2 14 4 4" xfId="27304" xr:uid="{00000000-0005-0000-0000-0000CC4D0000}"/>
    <cellStyle name="Normal 2 2 14 5" xfId="10471" xr:uid="{00000000-0005-0000-0000-0000CD4D0000}"/>
    <cellStyle name="Normal 2 2 14 5 2" xfId="30391" xr:uid="{00000000-0005-0000-0000-0000CE4D0000}"/>
    <cellStyle name="Normal 2 2 14 6" xfId="16623" xr:uid="{00000000-0005-0000-0000-0000CF4D0000}"/>
    <cellStyle name="Normal 2 2 14 6 2" xfId="36543" xr:uid="{00000000-0005-0000-0000-0000D04D0000}"/>
    <cellStyle name="Normal 2 2 14 7" xfId="3422" xr:uid="{00000000-0005-0000-0000-0000D14D0000}"/>
    <cellStyle name="Normal 2 2 14 7 2" xfId="24238" xr:uid="{00000000-0005-0000-0000-0000D24D0000}"/>
    <cellStyle name="Normal 2 2 15" xfId="315" xr:uid="{00000000-0005-0000-0000-0000D34D0000}"/>
    <cellStyle name="Normal 2 2 15 2" xfId="4937" xr:uid="{00000000-0005-0000-0000-0000D44D0000}"/>
    <cellStyle name="Normal 2 2 15 2 2" xfId="6562" xr:uid="{00000000-0005-0000-0000-0000D54D0000}"/>
    <cellStyle name="Normal 2 2 15 2 2 2" xfId="9648" xr:uid="{00000000-0005-0000-0000-0000D64D0000}"/>
    <cellStyle name="Normal 2 2 15 2 2 2 2" xfId="15841" xr:uid="{00000000-0005-0000-0000-0000D74D0000}"/>
    <cellStyle name="Normal 2 2 15 2 2 2 2 2" xfId="35761" xr:uid="{00000000-0005-0000-0000-0000D84D0000}"/>
    <cellStyle name="Normal 2 2 15 2 2 2 3" xfId="21993" xr:uid="{00000000-0005-0000-0000-0000D94D0000}"/>
    <cellStyle name="Normal 2 2 15 2 2 2 3 2" xfId="41913" xr:uid="{00000000-0005-0000-0000-0000DA4D0000}"/>
    <cellStyle name="Normal 2 2 15 2 2 2 4" xfId="29608" xr:uid="{00000000-0005-0000-0000-0000DB4D0000}"/>
    <cellStyle name="Normal 2 2 15 2 2 3" xfId="12775" xr:uid="{00000000-0005-0000-0000-0000DC4D0000}"/>
    <cellStyle name="Normal 2 2 15 2 2 3 2" xfId="32695" xr:uid="{00000000-0005-0000-0000-0000DD4D0000}"/>
    <cellStyle name="Normal 2 2 15 2 2 4" xfId="18927" xr:uid="{00000000-0005-0000-0000-0000DE4D0000}"/>
    <cellStyle name="Normal 2 2 15 2 2 4 2" xfId="38847" xr:uid="{00000000-0005-0000-0000-0000DF4D0000}"/>
    <cellStyle name="Normal 2 2 15 2 2 5" xfId="26542" xr:uid="{00000000-0005-0000-0000-0000E04D0000}"/>
    <cellStyle name="Normal 2 2 15 2 3" xfId="8113" xr:uid="{00000000-0005-0000-0000-0000E14D0000}"/>
    <cellStyle name="Normal 2 2 15 2 3 2" xfId="14307" xr:uid="{00000000-0005-0000-0000-0000E24D0000}"/>
    <cellStyle name="Normal 2 2 15 2 3 2 2" xfId="34227" xr:uid="{00000000-0005-0000-0000-0000E34D0000}"/>
    <cellStyle name="Normal 2 2 15 2 3 3" xfId="20459" xr:uid="{00000000-0005-0000-0000-0000E44D0000}"/>
    <cellStyle name="Normal 2 2 15 2 3 3 2" xfId="40379" xr:uid="{00000000-0005-0000-0000-0000E54D0000}"/>
    <cellStyle name="Normal 2 2 15 2 3 4" xfId="28074" xr:uid="{00000000-0005-0000-0000-0000E64D0000}"/>
    <cellStyle name="Normal 2 2 15 2 4" xfId="11241" xr:uid="{00000000-0005-0000-0000-0000E74D0000}"/>
    <cellStyle name="Normal 2 2 15 2 4 2" xfId="31161" xr:uid="{00000000-0005-0000-0000-0000E84D0000}"/>
    <cellStyle name="Normal 2 2 15 2 5" xfId="17393" xr:uid="{00000000-0005-0000-0000-0000E94D0000}"/>
    <cellStyle name="Normal 2 2 15 2 5 2" xfId="37313" xr:uid="{00000000-0005-0000-0000-0000EA4D0000}"/>
    <cellStyle name="Normal 2 2 15 2 6" xfId="25008" xr:uid="{00000000-0005-0000-0000-0000EB4D0000}"/>
    <cellStyle name="Normal 2 2 15 3" xfId="5779" xr:uid="{00000000-0005-0000-0000-0000EC4D0000}"/>
    <cellStyle name="Normal 2 2 15 3 2" xfId="8879" xr:uid="{00000000-0005-0000-0000-0000ED4D0000}"/>
    <cellStyle name="Normal 2 2 15 3 2 2" xfId="15072" xr:uid="{00000000-0005-0000-0000-0000EE4D0000}"/>
    <cellStyle name="Normal 2 2 15 3 2 2 2" xfId="34992" xr:uid="{00000000-0005-0000-0000-0000EF4D0000}"/>
    <cellStyle name="Normal 2 2 15 3 2 3" xfId="21224" xr:uid="{00000000-0005-0000-0000-0000F04D0000}"/>
    <cellStyle name="Normal 2 2 15 3 2 3 2" xfId="41144" xr:uid="{00000000-0005-0000-0000-0000F14D0000}"/>
    <cellStyle name="Normal 2 2 15 3 2 4" xfId="28839" xr:uid="{00000000-0005-0000-0000-0000F24D0000}"/>
    <cellStyle name="Normal 2 2 15 3 3" xfId="12006" xr:uid="{00000000-0005-0000-0000-0000F34D0000}"/>
    <cellStyle name="Normal 2 2 15 3 3 2" xfId="31926" xr:uid="{00000000-0005-0000-0000-0000F44D0000}"/>
    <cellStyle name="Normal 2 2 15 3 4" xfId="18158" xr:uid="{00000000-0005-0000-0000-0000F54D0000}"/>
    <cellStyle name="Normal 2 2 15 3 4 2" xfId="38078" xr:uid="{00000000-0005-0000-0000-0000F64D0000}"/>
    <cellStyle name="Normal 2 2 15 3 5" xfId="25773" xr:uid="{00000000-0005-0000-0000-0000F74D0000}"/>
    <cellStyle name="Normal 2 2 15 4" xfId="7344" xr:uid="{00000000-0005-0000-0000-0000F84D0000}"/>
    <cellStyle name="Normal 2 2 15 4 2" xfId="13538" xr:uid="{00000000-0005-0000-0000-0000F94D0000}"/>
    <cellStyle name="Normal 2 2 15 4 2 2" xfId="33458" xr:uid="{00000000-0005-0000-0000-0000FA4D0000}"/>
    <cellStyle name="Normal 2 2 15 4 3" xfId="19690" xr:uid="{00000000-0005-0000-0000-0000FB4D0000}"/>
    <cellStyle name="Normal 2 2 15 4 3 2" xfId="39610" xr:uid="{00000000-0005-0000-0000-0000FC4D0000}"/>
    <cellStyle name="Normal 2 2 15 4 4" xfId="27305" xr:uid="{00000000-0005-0000-0000-0000FD4D0000}"/>
    <cellStyle name="Normal 2 2 15 5" xfId="10472" xr:uid="{00000000-0005-0000-0000-0000FE4D0000}"/>
    <cellStyle name="Normal 2 2 15 5 2" xfId="30392" xr:uid="{00000000-0005-0000-0000-0000FF4D0000}"/>
    <cellStyle name="Normal 2 2 15 6" xfId="16624" xr:uid="{00000000-0005-0000-0000-0000004E0000}"/>
    <cellStyle name="Normal 2 2 15 6 2" xfId="36544" xr:uid="{00000000-0005-0000-0000-0000014E0000}"/>
    <cellStyle name="Normal 2 2 15 7" xfId="3423" xr:uid="{00000000-0005-0000-0000-0000024E0000}"/>
    <cellStyle name="Normal 2 2 15 7 2" xfId="24239" xr:uid="{00000000-0005-0000-0000-0000034E0000}"/>
    <cellStyle name="Normal 2 2 16" xfId="335" xr:uid="{00000000-0005-0000-0000-0000044E0000}"/>
    <cellStyle name="Normal 2 2 16 2" xfId="4938" xr:uid="{00000000-0005-0000-0000-0000054E0000}"/>
    <cellStyle name="Normal 2 2 16 2 2" xfId="6563" xr:uid="{00000000-0005-0000-0000-0000064E0000}"/>
    <cellStyle name="Normal 2 2 16 2 2 2" xfId="9649" xr:uid="{00000000-0005-0000-0000-0000074E0000}"/>
    <cellStyle name="Normal 2 2 16 2 2 2 2" xfId="15842" xr:uid="{00000000-0005-0000-0000-0000084E0000}"/>
    <cellStyle name="Normal 2 2 16 2 2 2 2 2" xfId="35762" xr:uid="{00000000-0005-0000-0000-0000094E0000}"/>
    <cellStyle name="Normal 2 2 16 2 2 2 3" xfId="21994" xr:uid="{00000000-0005-0000-0000-00000A4E0000}"/>
    <cellStyle name="Normal 2 2 16 2 2 2 3 2" xfId="41914" xr:uid="{00000000-0005-0000-0000-00000B4E0000}"/>
    <cellStyle name="Normal 2 2 16 2 2 2 4" xfId="29609" xr:uid="{00000000-0005-0000-0000-00000C4E0000}"/>
    <cellStyle name="Normal 2 2 16 2 2 3" xfId="12776" xr:uid="{00000000-0005-0000-0000-00000D4E0000}"/>
    <cellStyle name="Normal 2 2 16 2 2 3 2" xfId="32696" xr:uid="{00000000-0005-0000-0000-00000E4E0000}"/>
    <cellStyle name="Normal 2 2 16 2 2 4" xfId="18928" xr:uid="{00000000-0005-0000-0000-00000F4E0000}"/>
    <cellStyle name="Normal 2 2 16 2 2 4 2" xfId="38848" xr:uid="{00000000-0005-0000-0000-0000104E0000}"/>
    <cellStyle name="Normal 2 2 16 2 2 5" xfId="26543" xr:uid="{00000000-0005-0000-0000-0000114E0000}"/>
    <cellStyle name="Normal 2 2 16 2 3" xfId="8114" xr:uid="{00000000-0005-0000-0000-0000124E0000}"/>
    <cellStyle name="Normal 2 2 16 2 3 2" xfId="14308" xr:uid="{00000000-0005-0000-0000-0000134E0000}"/>
    <cellStyle name="Normal 2 2 16 2 3 2 2" xfId="34228" xr:uid="{00000000-0005-0000-0000-0000144E0000}"/>
    <cellStyle name="Normal 2 2 16 2 3 3" xfId="20460" xr:uid="{00000000-0005-0000-0000-0000154E0000}"/>
    <cellStyle name="Normal 2 2 16 2 3 3 2" xfId="40380" xr:uid="{00000000-0005-0000-0000-0000164E0000}"/>
    <cellStyle name="Normal 2 2 16 2 3 4" xfId="28075" xr:uid="{00000000-0005-0000-0000-0000174E0000}"/>
    <cellStyle name="Normal 2 2 16 2 4" xfId="11242" xr:uid="{00000000-0005-0000-0000-0000184E0000}"/>
    <cellStyle name="Normal 2 2 16 2 4 2" xfId="31162" xr:uid="{00000000-0005-0000-0000-0000194E0000}"/>
    <cellStyle name="Normal 2 2 16 2 5" xfId="17394" xr:uid="{00000000-0005-0000-0000-00001A4E0000}"/>
    <cellStyle name="Normal 2 2 16 2 5 2" xfId="37314" xr:uid="{00000000-0005-0000-0000-00001B4E0000}"/>
    <cellStyle name="Normal 2 2 16 2 6" xfId="25009" xr:uid="{00000000-0005-0000-0000-00001C4E0000}"/>
    <cellStyle name="Normal 2 2 16 3" xfId="5780" xr:uid="{00000000-0005-0000-0000-00001D4E0000}"/>
    <cellStyle name="Normal 2 2 16 3 2" xfId="8880" xr:uid="{00000000-0005-0000-0000-00001E4E0000}"/>
    <cellStyle name="Normal 2 2 16 3 2 2" xfId="15073" xr:uid="{00000000-0005-0000-0000-00001F4E0000}"/>
    <cellStyle name="Normal 2 2 16 3 2 2 2" xfId="34993" xr:uid="{00000000-0005-0000-0000-0000204E0000}"/>
    <cellStyle name="Normal 2 2 16 3 2 3" xfId="21225" xr:uid="{00000000-0005-0000-0000-0000214E0000}"/>
    <cellStyle name="Normal 2 2 16 3 2 3 2" xfId="41145" xr:uid="{00000000-0005-0000-0000-0000224E0000}"/>
    <cellStyle name="Normal 2 2 16 3 2 4" xfId="28840" xr:uid="{00000000-0005-0000-0000-0000234E0000}"/>
    <cellStyle name="Normal 2 2 16 3 3" xfId="12007" xr:uid="{00000000-0005-0000-0000-0000244E0000}"/>
    <cellStyle name="Normal 2 2 16 3 3 2" xfId="31927" xr:uid="{00000000-0005-0000-0000-0000254E0000}"/>
    <cellStyle name="Normal 2 2 16 3 4" xfId="18159" xr:uid="{00000000-0005-0000-0000-0000264E0000}"/>
    <cellStyle name="Normal 2 2 16 3 4 2" xfId="38079" xr:uid="{00000000-0005-0000-0000-0000274E0000}"/>
    <cellStyle name="Normal 2 2 16 3 5" xfId="25774" xr:uid="{00000000-0005-0000-0000-0000284E0000}"/>
    <cellStyle name="Normal 2 2 16 4" xfId="7345" xr:uid="{00000000-0005-0000-0000-0000294E0000}"/>
    <cellStyle name="Normal 2 2 16 4 2" xfId="13539" xr:uid="{00000000-0005-0000-0000-00002A4E0000}"/>
    <cellStyle name="Normal 2 2 16 4 2 2" xfId="33459" xr:uid="{00000000-0005-0000-0000-00002B4E0000}"/>
    <cellStyle name="Normal 2 2 16 4 3" xfId="19691" xr:uid="{00000000-0005-0000-0000-00002C4E0000}"/>
    <cellStyle name="Normal 2 2 16 4 3 2" xfId="39611" xr:uid="{00000000-0005-0000-0000-00002D4E0000}"/>
    <cellStyle name="Normal 2 2 16 4 4" xfId="27306" xr:uid="{00000000-0005-0000-0000-00002E4E0000}"/>
    <cellStyle name="Normal 2 2 16 5" xfId="10473" xr:uid="{00000000-0005-0000-0000-00002F4E0000}"/>
    <cellStyle name="Normal 2 2 16 5 2" xfId="30393" xr:uid="{00000000-0005-0000-0000-0000304E0000}"/>
    <cellStyle name="Normal 2 2 16 6" xfId="16625" xr:uid="{00000000-0005-0000-0000-0000314E0000}"/>
    <cellStyle name="Normal 2 2 16 6 2" xfId="36545" xr:uid="{00000000-0005-0000-0000-0000324E0000}"/>
    <cellStyle name="Normal 2 2 16 7" xfId="3424" xr:uid="{00000000-0005-0000-0000-0000334E0000}"/>
    <cellStyle name="Normal 2 2 16 7 2" xfId="24240" xr:uid="{00000000-0005-0000-0000-0000344E0000}"/>
    <cellStyle name="Normal 2 2 17" xfId="358" xr:uid="{00000000-0005-0000-0000-0000354E0000}"/>
    <cellStyle name="Normal 2 2 17 2" xfId="4939" xr:uid="{00000000-0005-0000-0000-0000364E0000}"/>
    <cellStyle name="Normal 2 2 17 2 2" xfId="6564" xr:uid="{00000000-0005-0000-0000-0000374E0000}"/>
    <cellStyle name="Normal 2 2 17 2 2 2" xfId="9650" xr:uid="{00000000-0005-0000-0000-0000384E0000}"/>
    <cellStyle name="Normal 2 2 17 2 2 2 2" xfId="15843" xr:uid="{00000000-0005-0000-0000-0000394E0000}"/>
    <cellStyle name="Normal 2 2 17 2 2 2 2 2" xfId="35763" xr:uid="{00000000-0005-0000-0000-00003A4E0000}"/>
    <cellStyle name="Normal 2 2 17 2 2 2 3" xfId="21995" xr:uid="{00000000-0005-0000-0000-00003B4E0000}"/>
    <cellStyle name="Normal 2 2 17 2 2 2 3 2" xfId="41915" xr:uid="{00000000-0005-0000-0000-00003C4E0000}"/>
    <cellStyle name="Normal 2 2 17 2 2 2 4" xfId="29610" xr:uid="{00000000-0005-0000-0000-00003D4E0000}"/>
    <cellStyle name="Normal 2 2 17 2 2 3" xfId="12777" xr:uid="{00000000-0005-0000-0000-00003E4E0000}"/>
    <cellStyle name="Normal 2 2 17 2 2 3 2" xfId="32697" xr:uid="{00000000-0005-0000-0000-00003F4E0000}"/>
    <cellStyle name="Normal 2 2 17 2 2 4" xfId="18929" xr:uid="{00000000-0005-0000-0000-0000404E0000}"/>
    <cellStyle name="Normal 2 2 17 2 2 4 2" xfId="38849" xr:uid="{00000000-0005-0000-0000-0000414E0000}"/>
    <cellStyle name="Normal 2 2 17 2 2 5" xfId="26544" xr:uid="{00000000-0005-0000-0000-0000424E0000}"/>
    <cellStyle name="Normal 2 2 17 2 3" xfId="8115" xr:uid="{00000000-0005-0000-0000-0000434E0000}"/>
    <cellStyle name="Normal 2 2 17 2 3 2" xfId="14309" xr:uid="{00000000-0005-0000-0000-0000444E0000}"/>
    <cellStyle name="Normal 2 2 17 2 3 2 2" xfId="34229" xr:uid="{00000000-0005-0000-0000-0000454E0000}"/>
    <cellStyle name="Normal 2 2 17 2 3 3" xfId="20461" xr:uid="{00000000-0005-0000-0000-0000464E0000}"/>
    <cellStyle name="Normal 2 2 17 2 3 3 2" xfId="40381" xr:uid="{00000000-0005-0000-0000-0000474E0000}"/>
    <cellStyle name="Normal 2 2 17 2 3 4" xfId="28076" xr:uid="{00000000-0005-0000-0000-0000484E0000}"/>
    <cellStyle name="Normal 2 2 17 2 4" xfId="11243" xr:uid="{00000000-0005-0000-0000-0000494E0000}"/>
    <cellStyle name="Normal 2 2 17 2 4 2" xfId="31163" xr:uid="{00000000-0005-0000-0000-00004A4E0000}"/>
    <cellStyle name="Normal 2 2 17 2 5" xfId="17395" xr:uid="{00000000-0005-0000-0000-00004B4E0000}"/>
    <cellStyle name="Normal 2 2 17 2 5 2" xfId="37315" xr:uid="{00000000-0005-0000-0000-00004C4E0000}"/>
    <cellStyle name="Normal 2 2 17 2 6" xfId="25010" xr:uid="{00000000-0005-0000-0000-00004D4E0000}"/>
    <cellStyle name="Normal 2 2 17 3" xfId="5781" xr:uid="{00000000-0005-0000-0000-00004E4E0000}"/>
    <cellStyle name="Normal 2 2 17 3 2" xfId="8881" xr:uid="{00000000-0005-0000-0000-00004F4E0000}"/>
    <cellStyle name="Normal 2 2 17 3 2 2" xfId="15074" xr:uid="{00000000-0005-0000-0000-0000504E0000}"/>
    <cellStyle name="Normal 2 2 17 3 2 2 2" xfId="34994" xr:uid="{00000000-0005-0000-0000-0000514E0000}"/>
    <cellStyle name="Normal 2 2 17 3 2 3" xfId="21226" xr:uid="{00000000-0005-0000-0000-0000524E0000}"/>
    <cellStyle name="Normal 2 2 17 3 2 3 2" xfId="41146" xr:uid="{00000000-0005-0000-0000-0000534E0000}"/>
    <cellStyle name="Normal 2 2 17 3 2 4" xfId="28841" xr:uid="{00000000-0005-0000-0000-0000544E0000}"/>
    <cellStyle name="Normal 2 2 17 3 3" xfId="12008" xr:uid="{00000000-0005-0000-0000-0000554E0000}"/>
    <cellStyle name="Normal 2 2 17 3 3 2" xfId="31928" xr:uid="{00000000-0005-0000-0000-0000564E0000}"/>
    <cellStyle name="Normal 2 2 17 3 4" xfId="18160" xr:uid="{00000000-0005-0000-0000-0000574E0000}"/>
    <cellStyle name="Normal 2 2 17 3 4 2" xfId="38080" xr:uid="{00000000-0005-0000-0000-0000584E0000}"/>
    <cellStyle name="Normal 2 2 17 3 5" xfId="25775" xr:uid="{00000000-0005-0000-0000-0000594E0000}"/>
    <cellStyle name="Normal 2 2 17 4" xfId="7346" xr:uid="{00000000-0005-0000-0000-00005A4E0000}"/>
    <cellStyle name="Normal 2 2 17 4 2" xfId="13540" xr:uid="{00000000-0005-0000-0000-00005B4E0000}"/>
    <cellStyle name="Normal 2 2 17 4 2 2" xfId="33460" xr:uid="{00000000-0005-0000-0000-00005C4E0000}"/>
    <cellStyle name="Normal 2 2 17 4 3" xfId="19692" xr:uid="{00000000-0005-0000-0000-00005D4E0000}"/>
    <cellStyle name="Normal 2 2 17 4 3 2" xfId="39612" xr:uid="{00000000-0005-0000-0000-00005E4E0000}"/>
    <cellStyle name="Normal 2 2 17 4 4" xfId="27307" xr:uid="{00000000-0005-0000-0000-00005F4E0000}"/>
    <cellStyle name="Normal 2 2 17 5" xfId="10474" xr:uid="{00000000-0005-0000-0000-0000604E0000}"/>
    <cellStyle name="Normal 2 2 17 5 2" xfId="30394" xr:uid="{00000000-0005-0000-0000-0000614E0000}"/>
    <cellStyle name="Normal 2 2 17 6" xfId="16626" xr:uid="{00000000-0005-0000-0000-0000624E0000}"/>
    <cellStyle name="Normal 2 2 17 6 2" xfId="36546" xr:uid="{00000000-0005-0000-0000-0000634E0000}"/>
    <cellStyle name="Normal 2 2 17 7" xfId="3425" xr:uid="{00000000-0005-0000-0000-0000644E0000}"/>
    <cellStyle name="Normal 2 2 17 7 2" xfId="24241" xr:uid="{00000000-0005-0000-0000-0000654E0000}"/>
    <cellStyle name="Normal 2 2 18" xfId="393" xr:uid="{00000000-0005-0000-0000-0000664E0000}"/>
    <cellStyle name="Normal 2 2 18 2" xfId="4940" xr:uid="{00000000-0005-0000-0000-0000674E0000}"/>
    <cellStyle name="Normal 2 2 18 2 2" xfId="6565" xr:uid="{00000000-0005-0000-0000-0000684E0000}"/>
    <cellStyle name="Normal 2 2 18 2 2 2" xfId="9651" xr:uid="{00000000-0005-0000-0000-0000694E0000}"/>
    <cellStyle name="Normal 2 2 18 2 2 2 2" xfId="15844" xr:uid="{00000000-0005-0000-0000-00006A4E0000}"/>
    <cellStyle name="Normal 2 2 18 2 2 2 2 2" xfId="35764" xr:uid="{00000000-0005-0000-0000-00006B4E0000}"/>
    <cellStyle name="Normal 2 2 18 2 2 2 3" xfId="21996" xr:uid="{00000000-0005-0000-0000-00006C4E0000}"/>
    <cellStyle name="Normal 2 2 18 2 2 2 3 2" xfId="41916" xr:uid="{00000000-0005-0000-0000-00006D4E0000}"/>
    <cellStyle name="Normal 2 2 18 2 2 2 4" xfId="29611" xr:uid="{00000000-0005-0000-0000-00006E4E0000}"/>
    <cellStyle name="Normal 2 2 18 2 2 3" xfId="12778" xr:uid="{00000000-0005-0000-0000-00006F4E0000}"/>
    <cellStyle name="Normal 2 2 18 2 2 3 2" xfId="32698" xr:uid="{00000000-0005-0000-0000-0000704E0000}"/>
    <cellStyle name="Normal 2 2 18 2 2 4" xfId="18930" xr:uid="{00000000-0005-0000-0000-0000714E0000}"/>
    <cellStyle name="Normal 2 2 18 2 2 4 2" xfId="38850" xr:uid="{00000000-0005-0000-0000-0000724E0000}"/>
    <cellStyle name="Normal 2 2 18 2 2 5" xfId="26545" xr:uid="{00000000-0005-0000-0000-0000734E0000}"/>
    <cellStyle name="Normal 2 2 18 2 3" xfId="8116" xr:uid="{00000000-0005-0000-0000-0000744E0000}"/>
    <cellStyle name="Normal 2 2 18 2 3 2" xfId="14310" xr:uid="{00000000-0005-0000-0000-0000754E0000}"/>
    <cellStyle name="Normal 2 2 18 2 3 2 2" xfId="34230" xr:uid="{00000000-0005-0000-0000-0000764E0000}"/>
    <cellStyle name="Normal 2 2 18 2 3 3" xfId="20462" xr:uid="{00000000-0005-0000-0000-0000774E0000}"/>
    <cellStyle name="Normal 2 2 18 2 3 3 2" xfId="40382" xr:uid="{00000000-0005-0000-0000-0000784E0000}"/>
    <cellStyle name="Normal 2 2 18 2 3 4" xfId="28077" xr:uid="{00000000-0005-0000-0000-0000794E0000}"/>
    <cellStyle name="Normal 2 2 18 2 4" xfId="11244" xr:uid="{00000000-0005-0000-0000-00007A4E0000}"/>
    <cellStyle name="Normal 2 2 18 2 4 2" xfId="31164" xr:uid="{00000000-0005-0000-0000-00007B4E0000}"/>
    <cellStyle name="Normal 2 2 18 2 5" xfId="17396" xr:uid="{00000000-0005-0000-0000-00007C4E0000}"/>
    <cellStyle name="Normal 2 2 18 2 5 2" xfId="37316" xr:uid="{00000000-0005-0000-0000-00007D4E0000}"/>
    <cellStyle name="Normal 2 2 18 2 6" xfId="25011" xr:uid="{00000000-0005-0000-0000-00007E4E0000}"/>
    <cellStyle name="Normal 2 2 18 3" xfId="5782" xr:uid="{00000000-0005-0000-0000-00007F4E0000}"/>
    <cellStyle name="Normal 2 2 18 3 2" xfId="8882" xr:uid="{00000000-0005-0000-0000-0000804E0000}"/>
    <cellStyle name="Normal 2 2 18 3 2 2" xfId="15075" xr:uid="{00000000-0005-0000-0000-0000814E0000}"/>
    <cellStyle name="Normal 2 2 18 3 2 2 2" xfId="34995" xr:uid="{00000000-0005-0000-0000-0000824E0000}"/>
    <cellStyle name="Normal 2 2 18 3 2 3" xfId="21227" xr:uid="{00000000-0005-0000-0000-0000834E0000}"/>
    <cellStyle name="Normal 2 2 18 3 2 3 2" xfId="41147" xr:uid="{00000000-0005-0000-0000-0000844E0000}"/>
    <cellStyle name="Normal 2 2 18 3 2 4" xfId="28842" xr:uid="{00000000-0005-0000-0000-0000854E0000}"/>
    <cellStyle name="Normal 2 2 18 3 3" xfId="12009" xr:uid="{00000000-0005-0000-0000-0000864E0000}"/>
    <cellStyle name="Normal 2 2 18 3 3 2" xfId="31929" xr:uid="{00000000-0005-0000-0000-0000874E0000}"/>
    <cellStyle name="Normal 2 2 18 3 4" xfId="18161" xr:uid="{00000000-0005-0000-0000-0000884E0000}"/>
    <cellStyle name="Normal 2 2 18 3 4 2" xfId="38081" xr:uid="{00000000-0005-0000-0000-0000894E0000}"/>
    <cellStyle name="Normal 2 2 18 3 5" xfId="25776" xr:uid="{00000000-0005-0000-0000-00008A4E0000}"/>
    <cellStyle name="Normal 2 2 18 4" xfId="7347" xr:uid="{00000000-0005-0000-0000-00008B4E0000}"/>
    <cellStyle name="Normal 2 2 18 4 2" xfId="13541" xr:uid="{00000000-0005-0000-0000-00008C4E0000}"/>
    <cellStyle name="Normal 2 2 18 4 2 2" xfId="33461" xr:uid="{00000000-0005-0000-0000-00008D4E0000}"/>
    <cellStyle name="Normal 2 2 18 4 3" xfId="19693" xr:uid="{00000000-0005-0000-0000-00008E4E0000}"/>
    <cellStyle name="Normal 2 2 18 4 3 2" xfId="39613" xr:uid="{00000000-0005-0000-0000-00008F4E0000}"/>
    <cellStyle name="Normal 2 2 18 4 4" xfId="27308" xr:uid="{00000000-0005-0000-0000-0000904E0000}"/>
    <cellStyle name="Normal 2 2 18 5" xfId="10475" xr:uid="{00000000-0005-0000-0000-0000914E0000}"/>
    <cellStyle name="Normal 2 2 18 5 2" xfId="30395" xr:uid="{00000000-0005-0000-0000-0000924E0000}"/>
    <cellStyle name="Normal 2 2 18 6" xfId="16627" xr:uid="{00000000-0005-0000-0000-0000934E0000}"/>
    <cellStyle name="Normal 2 2 18 6 2" xfId="36547" xr:uid="{00000000-0005-0000-0000-0000944E0000}"/>
    <cellStyle name="Normal 2 2 18 7" xfId="3426" xr:uid="{00000000-0005-0000-0000-0000954E0000}"/>
    <cellStyle name="Normal 2 2 18 7 2" xfId="24242" xr:uid="{00000000-0005-0000-0000-0000964E0000}"/>
    <cellStyle name="Normal 2 2 19" xfId="406" xr:uid="{00000000-0005-0000-0000-0000974E0000}"/>
    <cellStyle name="Normal 2 2 19 2" xfId="4941" xr:uid="{00000000-0005-0000-0000-0000984E0000}"/>
    <cellStyle name="Normal 2 2 19 2 2" xfId="6566" xr:uid="{00000000-0005-0000-0000-0000994E0000}"/>
    <cellStyle name="Normal 2 2 19 2 2 2" xfId="9652" xr:uid="{00000000-0005-0000-0000-00009A4E0000}"/>
    <cellStyle name="Normal 2 2 19 2 2 2 2" xfId="15845" xr:uid="{00000000-0005-0000-0000-00009B4E0000}"/>
    <cellStyle name="Normal 2 2 19 2 2 2 2 2" xfId="35765" xr:uid="{00000000-0005-0000-0000-00009C4E0000}"/>
    <cellStyle name="Normal 2 2 19 2 2 2 3" xfId="21997" xr:uid="{00000000-0005-0000-0000-00009D4E0000}"/>
    <cellStyle name="Normal 2 2 19 2 2 2 3 2" xfId="41917" xr:uid="{00000000-0005-0000-0000-00009E4E0000}"/>
    <cellStyle name="Normal 2 2 19 2 2 2 4" xfId="29612" xr:uid="{00000000-0005-0000-0000-00009F4E0000}"/>
    <cellStyle name="Normal 2 2 19 2 2 3" xfId="12779" xr:uid="{00000000-0005-0000-0000-0000A04E0000}"/>
    <cellStyle name="Normal 2 2 19 2 2 3 2" xfId="32699" xr:uid="{00000000-0005-0000-0000-0000A14E0000}"/>
    <cellStyle name="Normal 2 2 19 2 2 4" xfId="18931" xr:uid="{00000000-0005-0000-0000-0000A24E0000}"/>
    <cellStyle name="Normal 2 2 19 2 2 4 2" xfId="38851" xr:uid="{00000000-0005-0000-0000-0000A34E0000}"/>
    <cellStyle name="Normal 2 2 19 2 2 5" xfId="26546" xr:uid="{00000000-0005-0000-0000-0000A44E0000}"/>
    <cellStyle name="Normal 2 2 19 2 3" xfId="8117" xr:uid="{00000000-0005-0000-0000-0000A54E0000}"/>
    <cellStyle name="Normal 2 2 19 2 3 2" xfId="14311" xr:uid="{00000000-0005-0000-0000-0000A64E0000}"/>
    <cellStyle name="Normal 2 2 19 2 3 2 2" xfId="34231" xr:uid="{00000000-0005-0000-0000-0000A74E0000}"/>
    <cellStyle name="Normal 2 2 19 2 3 3" xfId="20463" xr:uid="{00000000-0005-0000-0000-0000A84E0000}"/>
    <cellStyle name="Normal 2 2 19 2 3 3 2" xfId="40383" xr:uid="{00000000-0005-0000-0000-0000A94E0000}"/>
    <cellStyle name="Normal 2 2 19 2 3 4" xfId="28078" xr:uid="{00000000-0005-0000-0000-0000AA4E0000}"/>
    <cellStyle name="Normal 2 2 19 2 4" xfId="11245" xr:uid="{00000000-0005-0000-0000-0000AB4E0000}"/>
    <cellStyle name="Normal 2 2 19 2 4 2" xfId="31165" xr:uid="{00000000-0005-0000-0000-0000AC4E0000}"/>
    <cellStyle name="Normal 2 2 19 2 5" xfId="17397" xr:uid="{00000000-0005-0000-0000-0000AD4E0000}"/>
    <cellStyle name="Normal 2 2 19 2 5 2" xfId="37317" xr:uid="{00000000-0005-0000-0000-0000AE4E0000}"/>
    <cellStyle name="Normal 2 2 19 2 6" xfId="25012" xr:uid="{00000000-0005-0000-0000-0000AF4E0000}"/>
    <cellStyle name="Normal 2 2 19 3" xfId="5783" xr:uid="{00000000-0005-0000-0000-0000B04E0000}"/>
    <cellStyle name="Normal 2 2 19 3 2" xfId="8883" xr:uid="{00000000-0005-0000-0000-0000B14E0000}"/>
    <cellStyle name="Normal 2 2 19 3 2 2" xfId="15076" xr:uid="{00000000-0005-0000-0000-0000B24E0000}"/>
    <cellStyle name="Normal 2 2 19 3 2 2 2" xfId="34996" xr:uid="{00000000-0005-0000-0000-0000B34E0000}"/>
    <cellStyle name="Normal 2 2 19 3 2 3" xfId="21228" xr:uid="{00000000-0005-0000-0000-0000B44E0000}"/>
    <cellStyle name="Normal 2 2 19 3 2 3 2" xfId="41148" xr:uid="{00000000-0005-0000-0000-0000B54E0000}"/>
    <cellStyle name="Normal 2 2 19 3 2 4" xfId="28843" xr:uid="{00000000-0005-0000-0000-0000B64E0000}"/>
    <cellStyle name="Normal 2 2 19 3 3" xfId="12010" xr:uid="{00000000-0005-0000-0000-0000B74E0000}"/>
    <cellStyle name="Normal 2 2 19 3 3 2" xfId="31930" xr:uid="{00000000-0005-0000-0000-0000B84E0000}"/>
    <cellStyle name="Normal 2 2 19 3 4" xfId="18162" xr:uid="{00000000-0005-0000-0000-0000B94E0000}"/>
    <cellStyle name="Normal 2 2 19 3 4 2" xfId="38082" xr:uid="{00000000-0005-0000-0000-0000BA4E0000}"/>
    <cellStyle name="Normal 2 2 19 3 5" xfId="25777" xr:uid="{00000000-0005-0000-0000-0000BB4E0000}"/>
    <cellStyle name="Normal 2 2 19 4" xfId="7348" xr:uid="{00000000-0005-0000-0000-0000BC4E0000}"/>
    <cellStyle name="Normal 2 2 19 4 2" xfId="13542" xr:uid="{00000000-0005-0000-0000-0000BD4E0000}"/>
    <cellStyle name="Normal 2 2 19 4 2 2" xfId="33462" xr:uid="{00000000-0005-0000-0000-0000BE4E0000}"/>
    <cellStyle name="Normal 2 2 19 4 3" xfId="19694" xr:uid="{00000000-0005-0000-0000-0000BF4E0000}"/>
    <cellStyle name="Normal 2 2 19 4 3 2" xfId="39614" xr:uid="{00000000-0005-0000-0000-0000C04E0000}"/>
    <cellStyle name="Normal 2 2 19 4 4" xfId="27309" xr:uid="{00000000-0005-0000-0000-0000C14E0000}"/>
    <cellStyle name="Normal 2 2 19 5" xfId="10476" xr:uid="{00000000-0005-0000-0000-0000C24E0000}"/>
    <cellStyle name="Normal 2 2 19 5 2" xfId="30396" xr:uid="{00000000-0005-0000-0000-0000C34E0000}"/>
    <cellStyle name="Normal 2 2 19 6" xfId="16628" xr:uid="{00000000-0005-0000-0000-0000C44E0000}"/>
    <cellStyle name="Normal 2 2 19 6 2" xfId="36548" xr:uid="{00000000-0005-0000-0000-0000C54E0000}"/>
    <cellStyle name="Normal 2 2 19 7" xfId="3427" xr:uid="{00000000-0005-0000-0000-0000C64E0000}"/>
    <cellStyle name="Normal 2 2 19 7 2" xfId="24243" xr:uid="{00000000-0005-0000-0000-0000C74E0000}"/>
    <cellStyle name="Normal 2 2 2" xfId="89" xr:uid="{00000000-0005-0000-0000-0000C84E0000}"/>
    <cellStyle name="Normal 2 2 2 2" xfId="100" xr:uid="{00000000-0005-0000-0000-0000C94E0000}"/>
    <cellStyle name="Normal 2 2 2 2 10" xfId="16629" xr:uid="{00000000-0005-0000-0000-0000CA4E0000}"/>
    <cellStyle name="Normal 2 2 2 2 10 2" xfId="36549" xr:uid="{00000000-0005-0000-0000-0000CB4E0000}"/>
    <cellStyle name="Normal 2 2 2 2 11" xfId="3429" xr:uid="{00000000-0005-0000-0000-0000CC4E0000}"/>
    <cellStyle name="Normal 2 2 2 2 11 2" xfId="24244" xr:uid="{00000000-0005-0000-0000-0000CD4E0000}"/>
    <cellStyle name="Normal 2 2 2 2 2" xfId="3430" xr:uid="{00000000-0005-0000-0000-0000CE4E0000}"/>
    <cellStyle name="Normal 2 2 2 2 2 2" xfId="3431" xr:uid="{00000000-0005-0000-0000-0000CF4E0000}"/>
    <cellStyle name="Normal 2 2 2 2 2 2 2" xfId="4944" xr:uid="{00000000-0005-0000-0000-0000D04E0000}"/>
    <cellStyle name="Normal 2 2 2 2 2 2 2 2" xfId="6569" xr:uid="{00000000-0005-0000-0000-0000D14E0000}"/>
    <cellStyle name="Normal 2 2 2 2 2 2 2 2 2" xfId="9655" xr:uid="{00000000-0005-0000-0000-0000D24E0000}"/>
    <cellStyle name="Normal 2 2 2 2 2 2 2 2 2 2" xfId="15848" xr:uid="{00000000-0005-0000-0000-0000D34E0000}"/>
    <cellStyle name="Normal 2 2 2 2 2 2 2 2 2 2 2" xfId="35768" xr:uid="{00000000-0005-0000-0000-0000D44E0000}"/>
    <cellStyle name="Normal 2 2 2 2 2 2 2 2 2 3" xfId="22000" xr:uid="{00000000-0005-0000-0000-0000D54E0000}"/>
    <cellStyle name="Normal 2 2 2 2 2 2 2 2 2 3 2" xfId="41920" xr:uid="{00000000-0005-0000-0000-0000D64E0000}"/>
    <cellStyle name="Normal 2 2 2 2 2 2 2 2 2 4" xfId="29615" xr:uid="{00000000-0005-0000-0000-0000D74E0000}"/>
    <cellStyle name="Normal 2 2 2 2 2 2 2 2 3" xfId="12782" xr:uid="{00000000-0005-0000-0000-0000D84E0000}"/>
    <cellStyle name="Normal 2 2 2 2 2 2 2 2 3 2" xfId="32702" xr:uid="{00000000-0005-0000-0000-0000D94E0000}"/>
    <cellStyle name="Normal 2 2 2 2 2 2 2 2 4" xfId="18934" xr:uid="{00000000-0005-0000-0000-0000DA4E0000}"/>
    <cellStyle name="Normal 2 2 2 2 2 2 2 2 4 2" xfId="38854" xr:uid="{00000000-0005-0000-0000-0000DB4E0000}"/>
    <cellStyle name="Normal 2 2 2 2 2 2 2 2 5" xfId="26549" xr:uid="{00000000-0005-0000-0000-0000DC4E0000}"/>
    <cellStyle name="Normal 2 2 2 2 2 2 2 3" xfId="8120" xr:uid="{00000000-0005-0000-0000-0000DD4E0000}"/>
    <cellStyle name="Normal 2 2 2 2 2 2 2 3 2" xfId="14314" xr:uid="{00000000-0005-0000-0000-0000DE4E0000}"/>
    <cellStyle name="Normal 2 2 2 2 2 2 2 3 2 2" xfId="34234" xr:uid="{00000000-0005-0000-0000-0000DF4E0000}"/>
    <cellStyle name="Normal 2 2 2 2 2 2 2 3 3" xfId="20466" xr:uid="{00000000-0005-0000-0000-0000E04E0000}"/>
    <cellStyle name="Normal 2 2 2 2 2 2 2 3 3 2" xfId="40386" xr:uid="{00000000-0005-0000-0000-0000E14E0000}"/>
    <cellStyle name="Normal 2 2 2 2 2 2 2 3 4" xfId="28081" xr:uid="{00000000-0005-0000-0000-0000E24E0000}"/>
    <cellStyle name="Normal 2 2 2 2 2 2 2 4" xfId="11248" xr:uid="{00000000-0005-0000-0000-0000E34E0000}"/>
    <cellStyle name="Normal 2 2 2 2 2 2 2 4 2" xfId="31168" xr:uid="{00000000-0005-0000-0000-0000E44E0000}"/>
    <cellStyle name="Normal 2 2 2 2 2 2 2 5" xfId="17400" xr:uid="{00000000-0005-0000-0000-0000E54E0000}"/>
    <cellStyle name="Normal 2 2 2 2 2 2 2 5 2" xfId="37320" xr:uid="{00000000-0005-0000-0000-0000E64E0000}"/>
    <cellStyle name="Normal 2 2 2 2 2 2 2 6" xfId="25015" xr:uid="{00000000-0005-0000-0000-0000E74E0000}"/>
    <cellStyle name="Normal 2 2 2 2 2 2 3" xfId="5786" xr:uid="{00000000-0005-0000-0000-0000E84E0000}"/>
    <cellStyle name="Normal 2 2 2 2 2 2 3 2" xfId="8886" xr:uid="{00000000-0005-0000-0000-0000E94E0000}"/>
    <cellStyle name="Normal 2 2 2 2 2 2 3 2 2" xfId="15079" xr:uid="{00000000-0005-0000-0000-0000EA4E0000}"/>
    <cellStyle name="Normal 2 2 2 2 2 2 3 2 2 2" xfId="34999" xr:uid="{00000000-0005-0000-0000-0000EB4E0000}"/>
    <cellStyle name="Normal 2 2 2 2 2 2 3 2 3" xfId="21231" xr:uid="{00000000-0005-0000-0000-0000EC4E0000}"/>
    <cellStyle name="Normal 2 2 2 2 2 2 3 2 3 2" xfId="41151" xr:uid="{00000000-0005-0000-0000-0000ED4E0000}"/>
    <cellStyle name="Normal 2 2 2 2 2 2 3 2 4" xfId="28846" xr:uid="{00000000-0005-0000-0000-0000EE4E0000}"/>
    <cellStyle name="Normal 2 2 2 2 2 2 3 3" xfId="12013" xr:uid="{00000000-0005-0000-0000-0000EF4E0000}"/>
    <cellStyle name="Normal 2 2 2 2 2 2 3 3 2" xfId="31933" xr:uid="{00000000-0005-0000-0000-0000F04E0000}"/>
    <cellStyle name="Normal 2 2 2 2 2 2 3 4" xfId="18165" xr:uid="{00000000-0005-0000-0000-0000F14E0000}"/>
    <cellStyle name="Normal 2 2 2 2 2 2 3 4 2" xfId="38085" xr:uid="{00000000-0005-0000-0000-0000F24E0000}"/>
    <cellStyle name="Normal 2 2 2 2 2 2 3 5" xfId="25780" xr:uid="{00000000-0005-0000-0000-0000F34E0000}"/>
    <cellStyle name="Normal 2 2 2 2 2 2 4" xfId="7351" xr:uid="{00000000-0005-0000-0000-0000F44E0000}"/>
    <cellStyle name="Normal 2 2 2 2 2 2 4 2" xfId="13545" xr:uid="{00000000-0005-0000-0000-0000F54E0000}"/>
    <cellStyle name="Normal 2 2 2 2 2 2 4 2 2" xfId="33465" xr:uid="{00000000-0005-0000-0000-0000F64E0000}"/>
    <cellStyle name="Normal 2 2 2 2 2 2 4 3" xfId="19697" xr:uid="{00000000-0005-0000-0000-0000F74E0000}"/>
    <cellStyle name="Normal 2 2 2 2 2 2 4 3 2" xfId="39617" xr:uid="{00000000-0005-0000-0000-0000F84E0000}"/>
    <cellStyle name="Normal 2 2 2 2 2 2 4 4" xfId="27312" xr:uid="{00000000-0005-0000-0000-0000F94E0000}"/>
    <cellStyle name="Normal 2 2 2 2 2 2 5" xfId="10479" xr:uid="{00000000-0005-0000-0000-0000FA4E0000}"/>
    <cellStyle name="Normal 2 2 2 2 2 2 5 2" xfId="30399" xr:uid="{00000000-0005-0000-0000-0000FB4E0000}"/>
    <cellStyle name="Normal 2 2 2 2 2 2 6" xfId="16631" xr:uid="{00000000-0005-0000-0000-0000FC4E0000}"/>
    <cellStyle name="Normal 2 2 2 2 2 2 6 2" xfId="36551" xr:uid="{00000000-0005-0000-0000-0000FD4E0000}"/>
    <cellStyle name="Normal 2 2 2 2 2 2 7" xfId="24246" xr:uid="{00000000-0005-0000-0000-0000FE4E0000}"/>
    <cellStyle name="Normal 2 2 2 2 2 3" xfId="4943" xr:uid="{00000000-0005-0000-0000-0000FF4E0000}"/>
    <cellStyle name="Normal 2 2 2 2 2 3 2" xfId="6568" xr:uid="{00000000-0005-0000-0000-0000004F0000}"/>
    <cellStyle name="Normal 2 2 2 2 2 3 2 2" xfId="9654" xr:uid="{00000000-0005-0000-0000-0000014F0000}"/>
    <cellStyle name="Normal 2 2 2 2 2 3 2 2 2" xfId="15847" xr:uid="{00000000-0005-0000-0000-0000024F0000}"/>
    <cellStyle name="Normal 2 2 2 2 2 3 2 2 2 2" xfId="35767" xr:uid="{00000000-0005-0000-0000-0000034F0000}"/>
    <cellStyle name="Normal 2 2 2 2 2 3 2 2 3" xfId="21999" xr:uid="{00000000-0005-0000-0000-0000044F0000}"/>
    <cellStyle name="Normal 2 2 2 2 2 3 2 2 3 2" xfId="41919" xr:uid="{00000000-0005-0000-0000-0000054F0000}"/>
    <cellStyle name="Normal 2 2 2 2 2 3 2 2 4" xfId="29614" xr:uid="{00000000-0005-0000-0000-0000064F0000}"/>
    <cellStyle name="Normal 2 2 2 2 2 3 2 3" xfId="12781" xr:uid="{00000000-0005-0000-0000-0000074F0000}"/>
    <cellStyle name="Normal 2 2 2 2 2 3 2 3 2" xfId="32701" xr:uid="{00000000-0005-0000-0000-0000084F0000}"/>
    <cellStyle name="Normal 2 2 2 2 2 3 2 4" xfId="18933" xr:uid="{00000000-0005-0000-0000-0000094F0000}"/>
    <cellStyle name="Normal 2 2 2 2 2 3 2 4 2" xfId="38853" xr:uid="{00000000-0005-0000-0000-00000A4F0000}"/>
    <cellStyle name="Normal 2 2 2 2 2 3 2 5" xfId="26548" xr:uid="{00000000-0005-0000-0000-00000B4F0000}"/>
    <cellStyle name="Normal 2 2 2 2 2 3 3" xfId="8119" xr:uid="{00000000-0005-0000-0000-00000C4F0000}"/>
    <cellStyle name="Normal 2 2 2 2 2 3 3 2" xfId="14313" xr:uid="{00000000-0005-0000-0000-00000D4F0000}"/>
    <cellStyle name="Normal 2 2 2 2 2 3 3 2 2" xfId="34233" xr:uid="{00000000-0005-0000-0000-00000E4F0000}"/>
    <cellStyle name="Normal 2 2 2 2 2 3 3 3" xfId="20465" xr:uid="{00000000-0005-0000-0000-00000F4F0000}"/>
    <cellStyle name="Normal 2 2 2 2 2 3 3 3 2" xfId="40385" xr:uid="{00000000-0005-0000-0000-0000104F0000}"/>
    <cellStyle name="Normal 2 2 2 2 2 3 3 4" xfId="28080" xr:uid="{00000000-0005-0000-0000-0000114F0000}"/>
    <cellStyle name="Normal 2 2 2 2 2 3 4" xfId="11247" xr:uid="{00000000-0005-0000-0000-0000124F0000}"/>
    <cellStyle name="Normal 2 2 2 2 2 3 4 2" xfId="31167" xr:uid="{00000000-0005-0000-0000-0000134F0000}"/>
    <cellStyle name="Normal 2 2 2 2 2 3 5" xfId="17399" xr:uid="{00000000-0005-0000-0000-0000144F0000}"/>
    <cellStyle name="Normal 2 2 2 2 2 3 5 2" xfId="37319" xr:uid="{00000000-0005-0000-0000-0000154F0000}"/>
    <cellStyle name="Normal 2 2 2 2 2 3 6" xfId="25014" xr:uid="{00000000-0005-0000-0000-0000164F0000}"/>
    <cellStyle name="Normal 2 2 2 2 2 4" xfId="5785" xr:uid="{00000000-0005-0000-0000-0000174F0000}"/>
    <cellStyle name="Normal 2 2 2 2 2 4 2" xfId="8885" xr:uid="{00000000-0005-0000-0000-0000184F0000}"/>
    <cellStyle name="Normal 2 2 2 2 2 4 2 2" xfId="15078" xr:uid="{00000000-0005-0000-0000-0000194F0000}"/>
    <cellStyle name="Normal 2 2 2 2 2 4 2 2 2" xfId="34998" xr:uid="{00000000-0005-0000-0000-00001A4F0000}"/>
    <cellStyle name="Normal 2 2 2 2 2 4 2 3" xfId="21230" xr:uid="{00000000-0005-0000-0000-00001B4F0000}"/>
    <cellStyle name="Normal 2 2 2 2 2 4 2 3 2" xfId="41150" xr:uid="{00000000-0005-0000-0000-00001C4F0000}"/>
    <cellStyle name="Normal 2 2 2 2 2 4 2 4" xfId="28845" xr:uid="{00000000-0005-0000-0000-00001D4F0000}"/>
    <cellStyle name="Normal 2 2 2 2 2 4 3" xfId="12012" xr:uid="{00000000-0005-0000-0000-00001E4F0000}"/>
    <cellStyle name="Normal 2 2 2 2 2 4 3 2" xfId="31932" xr:uid="{00000000-0005-0000-0000-00001F4F0000}"/>
    <cellStyle name="Normal 2 2 2 2 2 4 4" xfId="18164" xr:uid="{00000000-0005-0000-0000-0000204F0000}"/>
    <cellStyle name="Normal 2 2 2 2 2 4 4 2" xfId="38084" xr:uid="{00000000-0005-0000-0000-0000214F0000}"/>
    <cellStyle name="Normal 2 2 2 2 2 4 5" xfId="25779" xr:uid="{00000000-0005-0000-0000-0000224F0000}"/>
    <cellStyle name="Normal 2 2 2 2 2 5" xfId="7350" xr:uid="{00000000-0005-0000-0000-0000234F0000}"/>
    <cellStyle name="Normal 2 2 2 2 2 5 2" xfId="13544" xr:uid="{00000000-0005-0000-0000-0000244F0000}"/>
    <cellStyle name="Normal 2 2 2 2 2 5 2 2" xfId="33464" xr:uid="{00000000-0005-0000-0000-0000254F0000}"/>
    <cellStyle name="Normal 2 2 2 2 2 5 3" xfId="19696" xr:uid="{00000000-0005-0000-0000-0000264F0000}"/>
    <cellStyle name="Normal 2 2 2 2 2 5 3 2" xfId="39616" xr:uid="{00000000-0005-0000-0000-0000274F0000}"/>
    <cellStyle name="Normal 2 2 2 2 2 5 4" xfId="27311" xr:uid="{00000000-0005-0000-0000-0000284F0000}"/>
    <cellStyle name="Normal 2 2 2 2 2 6" xfId="10478" xr:uid="{00000000-0005-0000-0000-0000294F0000}"/>
    <cellStyle name="Normal 2 2 2 2 2 6 2" xfId="30398" xr:uid="{00000000-0005-0000-0000-00002A4F0000}"/>
    <cellStyle name="Normal 2 2 2 2 2 7" xfId="16630" xr:uid="{00000000-0005-0000-0000-00002B4F0000}"/>
    <cellStyle name="Normal 2 2 2 2 2 7 2" xfId="36550" xr:uid="{00000000-0005-0000-0000-00002C4F0000}"/>
    <cellStyle name="Normal 2 2 2 2 2 8" xfId="24245" xr:uid="{00000000-0005-0000-0000-00002D4F0000}"/>
    <cellStyle name="Normal 2 2 2 2 3" xfId="3432" xr:uid="{00000000-0005-0000-0000-00002E4F0000}"/>
    <cellStyle name="Normal 2 2 2 2 3 2" xfId="4945" xr:uid="{00000000-0005-0000-0000-00002F4F0000}"/>
    <cellStyle name="Normal 2 2 2 2 3 2 2" xfId="6570" xr:uid="{00000000-0005-0000-0000-0000304F0000}"/>
    <cellStyle name="Normal 2 2 2 2 3 2 2 2" xfId="9656" xr:uid="{00000000-0005-0000-0000-0000314F0000}"/>
    <cellStyle name="Normal 2 2 2 2 3 2 2 2 2" xfId="15849" xr:uid="{00000000-0005-0000-0000-0000324F0000}"/>
    <cellStyle name="Normal 2 2 2 2 3 2 2 2 2 2" xfId="35769" xr:uid="{00000000-0005-0000-0000-0000334F0000}"/>
    <cellStyle name="Normal 2 2 2 2 3 2 2 2 3" xfId="22001" xr:uid="{00000000-0005-0000-0000-0000344F0000}"/>
    <cellStyle name="Normal 2 2 2 2 3 2 2 2 3 2" xfId="41921" xr:uid="{00000000-0005-0000-0000-0000354F0000}"/>
    <cellStyle name="Normal 2 2 2 2 3 2 2 2 4" xfId="29616" xr:uid="{00000000-0005-0000-0000-0000364F0000}"/>
    <cellStyle name="Normal 2 2 2 2 3 2 2 3" xfId="12783" xr:uid="{00000000-0005-0000-0000-0000374F0000}"/>
    <cellStyle name="Normal 2 2 2 2 3 2 2 3 2" xfId="32703" xr:uid="{00000000-0005-0000-0000-0000384F0000}"/>
    <cellStyle name="Normal 2 2 2 2 3 2 2 4" xfId="18935" xr:uid="{00000000-0005-0000-0000-0000394F0000}"/>
    <cellStyle name="Normal 2 2 2 2 3 2 2 4 2" xfId="38855" xr:uid="{00000000-0005-0000-0000-00003A4F0000}"/>
    <cellStyle name="Normal 2 2 2 2 3 2 2 5" xfId="26550" xr:uid="{00000000-0005-0000-0000-00003B4F0000}"/>
    <cellStyle name="Normal 2 2 2 2 3 2 3" xfId="8121" xr:uid="{00000000-0005-0000-0000-00003C4F0000}"/>
    <cellStyle name="Normal 2 2 2 2 3 2 3 2" xfId="14315" xr:uid="{00000000-0005-0000-0000-00003D4F0000}"/>
    <cellStyle name="Normal 2 2 2 2 3 2 3 2 2" xfId="34235" xr:uid="{00000000-0005-0000-0000-00003E4F0000}"/>
    <cellStyle name="Normal 2 2 2 2 3 2 3 3" xfId="20467" xr:uid="{00000000-0005-0000-0000-00003F4F0000}"/>
    <cellStyle name="Normal 2 2 2 2 3 2 3 3 2" xfId="40387" xr:uid="{00000000-0005-0000-0000-0000404F0000}"/>
    <cellStyle name="Normal 2 2 2 2 3 2 3 4" xfId="28082" xr:uid="{00000000-0005-0000-0000-0000414F0000}"/>
    <cellStyle name="Normal 2 2 2 2 3 2 4" xfId="11249" xr:uid="{00000000-0005-0000-0000-0000424F0000}"/>
    <cellStyle name="Normal 2 2 2 2 3 2 4 2" xfId="31169" xr:uid="{00000000-0005-0000-0000-0000434F0000}"/>
    <cellStyle name="Normal 2 2 2 2 3 2 5" xfId="17401" xr:uid="{00000000-0005-0000-0000-0000444F0000}"/>
    <cellStyle name="Normal 2 2 2 2 3 2 5 2" xfId="37321" xr:uid="{00000000-0005-0000-0000-0000454F0000}"/>
    <cellStyle name="Normal 2 2 2 2 3 2 6" xfId="25016" xr:uid="{00000000-0005-0000-0000-0000464F0000}"/>
    <cellStyle name="Normal 2 2 2 2 3 3" xfId="5787" xr:uid="{00000000-0005-0000-0000-0000474F0000}"/>
    <cellStyle name="Normal 2 2 2 2 3 3 2" xfId="8887" xr:uid="{00000000-0005-0000-0000-0000484F0000}"/>
    <cellStyle name="Normal 2 2 2 2 3 3 2 2" xfId="15080" xr:uid="{00000000-0005-0000-0000-0000494F0000}"/>
    <cellStyle name="Normal 2 2 2 2 3 3 2 2 2" xfId="35000" xr:uid="{00000000-0005-0000-0000-00004A4F0000}"/>
    <cellStyle name="Normal 2 2 2 2 3 3 2 3" xfId="21232" xr:uid="{00000000-0005-0000-0000-00004B4F0000}"/>
    <cellStyle name="Normal 2 2 2 2 3 3 2 3 2" xfId="41152" xr:uid="{00000000-0005-0000-0000-00004C4F0000}"/>
    <cellStyle name="Normal 2 2 2 2 3 3 2 4" xfId="28847" xr:uid="{00000000-0005-0000-0000-00004D4F0000}"/>
    <cellStyle name="Normal 2 2 2 2 3 3 3" xfId="12014" xr:uid="{00000000-0005-0000-0000-00004E4F0000}"/>
    <cellStyle name="Normal 2 2 2 2 3 3 3 2" xfId="31934" xr:uid="{00000000-0005-0000-0000-00004F4F0000}"/>
    <cellStyle name="Normal 2 2 2 2 3 3 4" xfId="18166" xr:uid="{00000000-0005-0000-0000-0000504F0000}"/>
    <cellStyle name="Normal 2 2 2 2 3 3 4 2" xfId="38086" xr:uid="{00000000-0005-0000-0000-0000514F0000}"/>
    <cellStyle name="Normal 2 2 2 2 3 3 5" xfId="25781" xr:uid="{00000000-0005-0000-0000-0000524F0000}"/>
    <cellStyle name="Normal 2 2 2 2 3 4" xfId="7352" xr:uid="{00000000-0005-0000-0000-0000534F0000}"/>
    <cellStyle name="Normal 2 2 2 2 3 4 2" xfId="13546" xr:uid="{00000000-0005-0000-0000-0000544F0000}"/>
    <cellStyle name="Normal 2 2 2 2 3 4 2 2" xfId="33466" xr:uid="{00000000-0005-0000-0000-0000554F0000}"/>
    <cellStyle name="Normal 2 2 2 2 3 4 3" xfId="19698" xr:uid="{00000000-0005-0000-0000-0000564F0000}"/>
    <cellStyle name="Normal 2 2 2 2 3 4 3 2" xfId="39618" xr:uid="{00000000-0005-0000-0000-0000574F0000}"/>
    <cellStyle name="Normal 2 2 2 2 3 4 4" xfId="27313" xr:uid="{00000000-0005-0000-0000-0000584F0000}"/>
    <cellStyle name="Normal 2 2 2 2 3 5" xfId="10480" xr:uid="{00000000-0005-0000-0000-0000594F0000}"/>
    <cellStyle name="Normal 2 2 2 2 3 5 2" xfId="30400" xr:uid="{00000000-0005-0000-0000-00005A4F0000}"/>
    <cellStyle name="Normal 2 2 2 2 3 6" xfId="16632" xr:uid="{00000000-0005-0000-0000-00005B4F0000}"/>
    <cellStyle name="Normal 2 2 2 2 3 6 2" xfId="36552" xr:uid="{00000000-0005-0000-0000-00005C4F0000}"/>
    <cellStyle name="Normal 2 2 2 2 3 7" xfId="24247" xr:uid="{00000000-0005-0000-0000-00005D4F0000}"/>
    <cellStyle name="Normal 2 2 2 2 4" xfId="3433" xr:uid="{00000000-0005-0000-0000-00005E4F0000}"/>
    <cellStyle name="Normal 2 2 2 2 4 2" xfId="4946" xr:uid="{00000000-0005-0000-0000-00005F4F0000}"/>
    <cellStyle name="Normal 2 2 2 2 4 2 2" xfId="6571" xr:uid="{00000000-0005-0000-0000-0000604F0000}"/>
    <cellStyle name="Normal 2 2 2 2 4 2 2 2" xfId="9657" xr:uid="{00000000-0005-0000-0000-0000614F0000}"/>
    <cellStyle name="Normal 2 2 2 2 4 2 2 2 2" xfId="15850" xr:uid="{00000000-0005-0000-0000-0000624F0000}"/>
    <cellStyle name="Normal 2 2 2 2 4 2 2 2 2 2" xfId="35770" xr:uid="{00000000-0005-0000-0000-0000634F0000}"/>
    <cellStyle name="Normal 2 2 2 2 4 2 2 2 3" xfId="22002" xr:uid="{00000000-0005-0000-0000-0000644F0000}"/>
    <cellStyle name="Normal 2 2 2 2 4 2 2 2 3 2" xfId="41922" xr:uid="{00000000-0005-0000-0000-0000654F0000}"/>
    <cellStyle name="Normal 2 2 2 2 4 2 2 2 4" xfId="29617" xr:uid="{00000000-0005-0000-0000-0000664F0000}"/>
    <cellStyle name="Normal 2 2 2 2 4 2 2 3" xfId="12784" xr:uid="{00000000-0005-0000-0000-0000674F0000}"/>
    <cellStyle name="Normal 2 2 2 2 4 2 2 3 2" xfId="32704" xr:uid="{00000000-0005-0000-0000-0000684F0000}"/>
    <cellStyle name="Normal 2 2 2 2 4 2 2 4" xfId="18936" xr:uid="{00000000-0005-0000-0000-0000694F0000}"/>
    <cellStyle name="Normal 2 2 2 2 4 2 2 4 2" xfId="38856" xr:uid="{00000000-0005-0000-0000-00006A4F0000}"/>
    <cellStyle name="Normal 2 2 2 2 4 2 2 5" xfId="26551" xr:uid="{00000000-0005-0000-0000-00006B4F0000}"/>
    <cellStyle name="Normal 2 2 2 2 4 2 3" xfId="8122" xr:uid="{00000000-0005-0000-0000-00006C4F0000}"/>
    <cellStyle name="Normal 2 2 2 2 4 2 3 2" xfId="14316" xr:uid="{00000000-0005-0000-0000-00006D4F0000}"/>
    <cellStyle name="Normal 2 2 2 2 4 2 3 2 2" xfId="34236" xr:uid="{00000000-0005-0000-0000-00006E4F0000}"/>
    <cellStyle name="Normal 2 2 2 2 4 2 3 3" xfId="20468" xr:uid="{00000000-0005-0000-0000-00006F4F0000}"/>
    <cellStyle name="Normal 2 2 2 2 4 2 3 3 2" xfId="40388" xr:uid="{00000000-0005-0000-0000-0000704F0000}"/>
    <cellStyle name="Normal 2 2 2 2 4 2 3 4" xfId="28083" xr:uid="{00000000-0005-0000-0000-0000714F0000}"/>
    <cellStyle name="Normal 2 2 2 2 4 2 4" xfId="11250" xr:uid="{00000000-0005-0000-0000-0000724F0000}"/>
    <cellStyle name="Normal 2 2 2 2 4 2 4 2" xfId="31170" xr:uid="{00000000-0005-0000-0000-0000734F0000}"/>
    <cellStyle name="Normal 2 2 2 2 4 2 5" xfId="17402" xr:uid="{00000000-0005-0000-0000-0000744F0000}"/>
    <cellStyle name="Normal 2 2 2 2 4 2 5 2" xfId="37322" xr:uid="{00000000-0005-0000-0000-0000754F0000}"/>
    <cellStyle name="Normal 2 2 2 2 4 2 6" xfId="25017" xr:uid="{00000000-0005-0000-0000-0000764F0000}"/>
    <cellStyle name="Normal 2 2 2 2 4 3" xfId="5788" xr:uid="{00000000-0005-0000-0000-0000774F0000}"/>
    <cellStyle name="Normal 2 2 2 2 4 3 2" xfId="8888" xr:uid="{00000000-0005-0000-0000-0000784F0000}"/>
    <cellStyle name="Normal 2 2 2 2 4 3 2 2" xfId="15081" xr:uid="{00000000-0005-0000-0000-0000794F0000}"/>
    <cellStyle name="Normal 2 2 2 2 4 3 2 2 2" xfId="35001" xr:uid="{00000000-0005-0000-0000-00007A4F0000}"/>
    <cellStyle name="Normal 2 2 2 2 4 3 2 3" xfId="21233" xr:uid="{00000000-0005-0000-0000-00007B4F0000}"/>
    <cellStyle name="Normal 2 2 2 2 4 3 2 3 2" xfId="41153" xr:uid="{00000000-0005-0000-0000-00007C4F0000}"/>
    <cellStyle name="Normal 2 2 2 2 4 3 2 4" xfId="28848" xr:uid="{00000000-0005-0000-0000-00007D4F0000}"/>
    <cellStyle name="Normal 2 2 2 2 4 3 3" xfId="12015" xr:uid="{00000000-0005-0000-0000-00007E4F0000}"/>
    <cellStyle name="Normal 2 2 2 2 4 3 3 2" xfId="31935" xr:uid="{00000000-0005-0000-0000-00007F4F0000}"/>
    <cellStyle name="Normal 2 2 2 2 4 3 4" xfId="18167" xr:uid="{00000000-0005-0000-0000-0000804F0000}"/>
    <cellStyle name="Normal 2 2 2 2 4 3 4 2" xfId="38087" xr:uid="{00000000-0005-0000-0000-0000814F0000}"/>
    <cellStyle name="Normal 2 2 2 2 4 3 5" xfId="25782" xr:uid="{00000000-0005-0000-0000-0000824F0000}"/>
    <cellStyle name="Normal 2 2 2 2 4 4" xfId="7353" xr:uid="{00000000-0005-0000-0000-0000834F0000}"/>
    <cellStyle name="Normal 2 2 2 2 4 4 2" xfId="13547" xr:uid="{00000000-0005-0000-0000-0000844F0000}"/>
    <cellStyle name="Normal 2 2 2 2 4 4 2 2" xfId="33467" xr:uid="{00000000-0005-0000-0000-0000854F0000}"/>
    <cellStyle name="Normal 2 2 2 2 4 4 3" xfId="19699" xr:uid="{00000000-0005-0000-0000-0000864F0000}"/>
    <cellStyle name="Normal 2 2 2 2 4 4 3 2" xfId="39619" xr:uid="{00000000-0005-0000-0000-0000874F0000}"/>
    <cellStyle name="Normal 2 2 2 2 4 4 4" xfId="27314" xr:uid="{00000000-0005-0000-0000-0000884F0000}"/>
    <cellStyle name="Normal 2 2 2 2 4 5" xfId="10481" xr:uid="{00000000-0005-0000-0000-0000894F0000}"/>
    <cellStyle name="Normal 2 2 2 2 4 5 2" xfId="30401" xr:uid="{00000000-0005-0000-0000-00008A4F0000}"/>
    <cellStyle name="Normal 2 2 2 2 4 6" xfId="16633" xr:uid="{00000000-0005-0000-0000-00008B4F0000}"/>
    <cellStyle name="Normal 2 2 2 2 4 6 2" xfId="36553" xr:uid="{00000000-0005-0000-0000-00008C4F0000}"/>
    <cellStyle name="Normal 2 2 2 2 4 7" xfId="24248" xr:uid="{00000000-0005-0000-0000-00008D4F0000}"/>
    <cellStyle name="Normal 2 2 2 2 5" xfId="3434" xr:uid="{00000000-0005-0000-0000-00008E4F0000}"/>
    <cellStyle name="Normal 2 2 2 2 5 2" xfId="4947" xr:uid="{00000000-0005-0000-0000-00008F4F0000}"/>
    <cellStyle name="Normal 2 2 2 2 5 2 2" xfId="6572" xr:uid="{00000000-0005-0000-0000-0000904F0000}"/>
    <cellStyle name="Normal 2 2 2 2 5 2 2 2" xfId="9658" xr:uid="{00000000-0005-0000-0000-0000914F0000}"/>
    <cellStyle name="Normal 2 2 2 2 5 2 2 2 2" xfId="15851" xr:uid="{00000000-0005-0000-0000-0000924F0000}"/>
    <cellStyle name="Normal 2 2 2 2 5 2 2 2 2 2" xfId="35771" xr:uid="{00000000-0005-0000-0000-0000934F0000}"/>
    <cellStyle name="Normal 2 2 2 2 5 2 2 2 3" xfId="22003" xr:uid="{00000000-0005-0000-0000-0000944F0000}"/>
    <cellStyle name="Normal 2 2 2 2 5 2 2 2 3 2" xfId="41923" xr:uid="{00000000-0005-0000-0000-0000954F0000}"/>
    <cellStyle name="Normal 2 2 2 2 5 2 2 2 4" xfId="29618" xr:uid="{00000000-0005-0000-0000-0000964F0000}"/>
    <cellStyle name="Normal 2 2 2 2 5 2 2 3" xfId="12785" xr:uid="{00000000-0005-0000-0000-0000974F0000}"/>
    <cellStyle name="Normal 2 2 2 2 5 2 2 3 2" xfId="32705" xr:uid="{00000000-0005-0000-0000-0000984F0000}"/>
    <cellStyle name="Normal 2 2 2 2 5 2 2 4" xfId="18937" xr:uid="{00000000-0005-0000-0000-0000994F0000}"/>
    <cellStyle name="Normal 2 2 2 2 5 2 2 4 2" xfId="38857" xr:uid="{00000000-0005-0000-0000-00009A4F0000}"/>
    <cellStyle name="Normal 2 2 2 2 5 2 2 5" xfId="26552" xr:uid="{00000000-0005-0000-0000-00009B4F0000}"/>
    <cellStyle name="Normal 2 2 2 2 5 2 3" xfId="8123" xr:uid="{00000000-0005-0000-0000-00009C4F0000}"/>
    <cellStyle name="Normal 2 2 2 2 5 2 3 2" xfId="14317" xr:uid="{00000000-0005-0000-0000-00009D4F0000}"/>
    <cellStyle name="Normal 2 2 2 2 5 2 3 2 2" xfId="34237" xr:uid="{00000000-0005-0000-0000-00009E4F0000}"/>
    <cellStyle name="Normal 2 2 2 2 5 2 3 3" xfId="20469" xr:uid="{00000000-0005-0000-0000-00009F4F0000}"/>
    <cellStyle name="Normal 2 2 2 2 5 2 3 3 2" xfId="40389" xr:uid="{00000000-0005-0000-0000-0000A04F0000}"/>
    <cellStyle name="Normal 2 2 2 2 5 2 3 4" xfId="28084" xr:uid="{00000000-0005-0000-0000-0000A14F0000}"/>
    <cellStyle name="Normal 2 2 2 2 5 2 4" xfId="11251" xr:uid="{00000000-0005-0000-0000-0000A24F0000}"/>
    <cellStyle name="Normal 2 2 2 2 5 2 4 2" xfId="31171" xr:uid="{00000000-0005-0000-0000-0000A34F0000}"/>
    <cellStyle name="Normal 2 2 2 2 5 2 5" xfId="17403" xr:uid="{00000000-0005-0000-0000-0000A44F0000}"/>
    <cellStyle name="Normal 2 2 2 2 5 2 5 2" xfId="37323" xr:uid="{00000000-0005-0000-0000-0000A54F0000}"/>
    <cellStyle name="Normal 2 2 2 2 5 2 6" xfId="25018" xr:uid="{00000000-0005-0000-0000-0000A64F0000}"/>
    <cellStyle name="Normal 2 2 2 2 5 3" xfId="5789" xr:uid="{00000000-0005-0000-0000-0000A74F0000}"/>
    <cellStyle name="Normal 2 2 2 2 5 3 2" xfId="8889" xr:uid="{00000000-0005-0000-0000-0000A84F0000}"/>
    <cellStyle name="Normal 2 2 2 2 5 3 2 2" xfId="15082" xr:uid="{00000000-0005-0000-0000-0000A94F0000}"/>
    <cellStyle name="Normal 2 2 2 2 5 3 2 2 2" xfId="35002" xr:uid="{00000000-0005-0000-0000-0000AA4F0000}"/>
    <cellStyle name="Normal 2 2 2 2 5 3 2 3" xfId="21234" xr:uid="{00000000-0005-0000-0000-0000AB4F0000}"/>
    <cellStyle name="Normal 2 2 2 2 5 3 2 3 2" xfId="41154" xr:uid="{00000000-0005-0000-0000-0000AC4F0000}"/>
    <cellStyle name="Normal 2 2 2 2 5 3 2 4" xfId="28849" xr:uid="{00000000-0005-0000-0000-0000AD4F0000}"/>
    <cellStyle name="Normal 2 2 2 2 5 3 3" xfId="12016" xr:uid="{00000000-0005-0000-0000-0000AE4F0000}"/>
    <cellStyle name="Normal 2 2 2 2 5 3 3 2" xfId="31936" xr:uid="{00000000-0005-0000-0000-0000AF4F0000}"/>
    <cellStyle name="Normal 2 2 2 2 5 3 4" xfId="18168" xr:uid="{00000000-0005-0000-0000-0000B04F0000}"/>
    <cellStyle name="Normal 2 2 2 2 5 3 4 2" xfId="38088" xr:uid="{00000000-0005-0000-0000-0000B14F0000}"/>
    <cellStyle name="Normal 2 2 2 2 5 3 5" xfId="25783" xr:uid="{00000000-0005-0000-0000-0000B24F0000}"/>
    <cellStyle name="Normal 2 2 2 2 5 4" xfId="7354" xr:uid="{00000000-0005-0000-0000-0000B34F0000}"/>
    <cellStyle name="Normal 2 2 2 2 5 4 2" xfId="13548" xr:uid="{00000000-0005-0000-0000-0000B44F0000}"/>
    <cellStyle name="Normal 2 2 2 2 5 4 2 2" xfId="33468" xr:uid="{00000000-0005-0000-0000-0000B54F0000}"/>
    <cellStyle name="Normal 2 2 2 2 5 4 3" xfId="19700" xr:uid="{00000000-0005-0000-0000-0000B64F0000}"/>
    <cellStyle name="Normal 2 2 2 2 5 4 3 2" xfId="39620" xr:uid="{00000000-0005-0000-0000-0000B74F0000}"/>
    <cellStyle name="Normal 2 2 2 2 5 4 4" xfId="27315" xr:uid="{00000000-0005-0000-0000-0000B84F0000}"/>
    <cellStyle name="Normal 2 2 2 2 5 5" xfId="10482" xr:uid="{00000000-0005-0000-0000-0000B94F0000}"/>
    <cellStyle name="Normal 2 2 2 2 5 5 2" xfId="30402" xr:uid="{00000000-0005-0000-0000-0000BA4F0000}"/>
    <cellStyle name="Normal 2 2 2 2 5 6" xfId="16634" xr:uid="{00000000-0005-0000-0000-0000BB4F0000}"/>
    <cellStyle name="Normal 2 2 2 2 5 6 2" xfId="36554" xr:uid="{00000000-0005-0000-0000-0000BC4F0000}"/>
    <cellStyle name="Normal 2 2 2 2 5 7" xfId="24249" xr:uid="{00000000-0005-0000-0000-0000BD4F0000}"/>
    <cellStyle name="Normal 2 2 2 2 6" xfId="4942" xr:uid="{00000000-0005-0000-0000-0000BE4F0000}"/>
    <cellStyle name="Normal 2 2 2 2 6 2" xfId="6567" xr:uid="{00000000-0005-0000-0000-0000BF4F0000}"/>
    <cellStyle name="Normal 2 2 2 2 6 2 2" xfId="9653" xr:uid="{00000000-0005-0000-0000-0000C04F0000}"/>
    <cellStyle name="Normal 2 2 2 2 6 2 2 2" xfId="15846" xr:uid="{00000000-0005-0000-0000-0000C14F0000}"/>
    <cellStyle name="Normal 2 2 2 2 6 2 2 2 2" xfId="35766" xr:uid="{00000000-0005-0000-0000-0000C24F0000}"/>
    <cellStyle name="Normal 2 2 2 2 6 2 2 3" xfId="21998" xr:uid="{00000000-0005-0000-0000-0000C34F0000}"/>
    <cellStyle name="Normal 2 2 2 2 6 2 2 3 2" xfId="41918" xr:uid="{00000000-0005-0000-0000-0000C44F0000}"/>
    <cellStyle name="Normal 2 2 2 2 6 2 2 4" xfId="29613" xr:uid="{00000000-0005-0000-0000-0000C54F0000}"/>
    <cellStyle name="Normal 2 2 2 2 6 2 3" xfId="12780" xr:uid="{00000000-0005-0000-0000-0000C64F0000}"/>
    <cellStyle name="Normal 2 2 2 2 6 2 3 2" xfId="32700" xr:uid="{00000000-0005-0000-0000-0000C74F0000}"/>
    <cellStyle name="Normal 2 2 2 2 6 2 4" xfId="18932" xr:uid="{00000000-0005-0000-0000-0000C84F0000}"/>
    <cellStyle name="Normal 2 2 2 2 6 2 4 2" xfId="38852" xr:uid="{00000000-0005-0000-0000-0000C94F0000}"/>
    <cellStyle name="Normal 2 2 2 2 6 2 5" xfId="26547" xr:uid="{00000000-0005-0000-0000-0000CA4F0000}"/>
    <cellStyle name="Normal 2 2 2 2 6 3" xfId="8118" xr:uid="{00000000-0005-0000-0000-0000CB4F0000}"/>
    <cellStyle name="Normal 2 2 2 2 6 3 2" xfId="14312" xr:uid="{00000000-0005-0000-0000-0000CC4F0000}"/>
    <cellStyle name="Normal 2 2 2 2 6 3 2 2" xfId="34232" xr:uid="{00000000-0005-0000-0000-0000CD4F0000}"/>
    <cellStyle name="Normal 2 2 2 2 6 3 3" xfId="20464" xr:uid="{00000000-0005-0000-0000-0000CE4F0000}"/>
    <cellStyle name="Normal 2 2 2 2 6 3 3 2" xfId="40384" xr:uid="{00000000-0005-0000-0000-0000CF4F0000}"/>
    <cellStyle name="Normal 2 2 2 2 6 3 4" xfId="28079" xr:uid="{00000000-0005-0000-0000-0000D04F0000}"/>
    <cellStyle name="Normal 2 2 2 2 6 4" xfId="11246" xr:uid="{00000000-0005-0000-0000-0000D14F0000}"/>
    <cellStyle name="Normal 2 2 2 2 6 4 2" xfId="31166" xr:uid="{00000000-0005-0000-0000-0000D24F0000}"/>
    <cellStyle name="Normal 2 2 2 2 6 5" xfId="17398" xr:uid="{00000000-0005-0000-0000-0000D34F0000}"/>
    <cellStyle name="Normal 2 2 2 2 6 5 2" xfId="37318" xr:uid="{00000000-0005-0000-0000-0000D44F0000}"/>
    <cellStyle name="Normal 2 2 2 2 6 6" xfId="25013" xr:uid="{00000000-0005-0000-0000-0000D54F0000}"/>
    <cellStyle name="Normal 2 2 2 2 7" xfId="5784" xr:uid="{00000000-0005-0000-0000-0000D64F0000}"/>
    <cellStyle name="Normal 2 2 2 2 7 2" xfId="8884" xr:uid="{00000000-0005-0000-0000-0000D74F0000}"/>
    <cellStyle name="Normal 2 2 2 2 7 2 2" xfId="15077" xr:uid="{00000000-0005-0000-0000-0000D84F0000}"/>
    <cellStyle name="Normal 2 2 2 2 7 2 2 2" xfId="34997" xr:uid="{00000000-0005-0000-0000-0000D94F0000}"/>
    <cellStyle name="Normal 2 2 2 2 7 2 3" xfId="21229" xr:uid="{00000000-0005-0000-0000-0000DA4F0000}"/>
    <cellStyle name="Normal 2 2 2 2 7 2 3 2" xfId="41149" xr:uid="{00000000-0005-0000-0000-0000DB4F0000}"/>
    <cellStyle name="Normal 2 2 2 2 7 2 4" xfId="28844" xr:uid="{00000000-0005-0000-0000-0000DC4F0000}"/>
    <cellStyle name="Normal 2 2 2 2 7 3" xfId="12011" xr:uid="{00000000-0005-0000-0000-0000DD4F0000}"/>
    <cellStyle name="Normal 2 2 2 2 7 3 2" xfId="31931" xr:uid="{00000000-0005-0000-0000-0000DE4F0000}"/>
    <cellStyle name="Normal 2 2 2 2 7 4" xfId="18163" xr:uid="{00000000-0005-0000-0000-0000DF4F0000}"/>
    <cellStyle name="Normal 2 2 2 2 7 4 2" xfId="38083" xr:uid="{00000000-0005-0000-0000-0000E04F0000}"/>
    <cellStyle name="Normal 2 2 2 2 7 5" xfId="25778" xr:uid="{00000000-0005-0000-0000-0000E14F0000}"/>
    <cellStyle name="Normal 2 2 2 2 8" xfId="7349" xr:uid="{00000000-0005-0000-0000-0000E24F0000}"/>
    <cellStyle name="Normal 2 2 2 2 8 2" xfId="13543" xr:uid="{00000000-0005-0000-0000-0000E34F0000}"/>
    <cellStyle name="Normal 2 2 2 2 8 2 2" xfId="33463" xr:uid="{00000000-0005-0000-0000-0000E44F0000}"/>
    <cellStyle name="Normal 2 2 2 2 8 3" xfId="19695" xr:uid="{00000000-0005-0000-0000-0000E54F0000}"/>
    <cellStyle name="Normal 2 2 2 2 8 3 2" xfId="39615" xr:uid="{00000000-0005-0000-0000-0000E64F0000}"/>
    <cellStyle name="Normal 2 2 2 2 8 4" xfId="27310" xr:uid="{00000000-0005-0000-0000-0000E74F0000}"/>
    <cellStyle name="Normal 2 2 2 2 9" xfId="10477" xr:uid="{00000000-0005-0000-0000-0000E84F0000}"/>
    <cellStyle name="Normal 2 2 2 2 9 2" xfId="30397" xr:uid="{00000000-0005-0000-0000-0000E94F0000}"/>
    <cellStyle name="Normal 2 2 2 3" xfId="3435" xr:uid="{00000000-0005-0000-0000-0000EA4F0000}"/>
    <cellStyle name="Normal 2 2 2 4" xfId="3436" xr:uid="{00000000-0005-0000-0000-0000EB4F0000}"/>
    <cellStyle name="Normal 2 2 2 4 2" xfId="3437" xr:uid="{00000000-0005-0000-0000-0000EC4F0000}"/>
    <cellStyle name="Normal 2 2 2 5" xfId="3438" xr:uid="{00000000-0005-0000-0000-0000ED4F0000}"/>
    <cellStyle name="Normal 2 2 2 5 2" xfId="3439" xr:uid="{00000000-0005-0000-0000-0000EE4F0000}"/>
    <cellStyle name="Normal 2 2 2 6" xfId="3428" xr:uid="{00000000-0005-0000-0000-0000EF4F0000}"/>
    <cellStyle name="Normal 2 2 2 7" xfId="1050" xr:uid="{00000000-0005-0000-0000-0000F04F0000}"/>
    <cellStyle name="Normal 2 2 20" xfId="433" xr:uid="{00000000-0005-0000-0000-0000F14F0000}"/>
    <cellStyle name="Normal 2 2 20 2" xfId="4948" xr:uid="{00000000-0005-0000-0000-0000F24F0000}"/>
    <cellStyle name="Normal 2 2 20 2 2" xfId="6573" xr:uid="{00000000-0005-0000-0000-0000F34F0000}"/>
    <cellStyle name="Normal 2 2 20 2 2 2" xfId="9659" xr:uid="{00000000-0005-0000-0000-0000F44F0000}"/>
    <cellStyle name="Normal 2 2 20 2 2 2 2" xfId="15852" xr:uid="{00000000-0005-0000-0000-0000F54F0000}"/>
    <cellStyle name="Normal 2 2 20 2 2 2 2 2" xfId="35772" xr:uid="{00000000-0005-0000-0000-0000F64F0000}"/>
    <cellStyle name="Normal 2 2 20 2 2 2 3" xfId="22004" xr:uid="{00000000-0005-0000-0000-0000F74F0000}"/>
    <cellStyle name="Normal 2 2 20 2 2 2 3 2" xfId="41924" xr:uid="{00000000-0005-0000-0000-0000F84F0000}"/>
    <cellStyle name="Normal 2 2 20 2 2 2 4" xfId="29619" xr:uid="{00000000-0005-0000-0000-0000F94F0000}"/>
    <cellStyle name="Normal 2 2 20 2 2 3" xfId="12786" xr:uid="{00000000-0005-0000-0000-0000FA4F0000}"/>
    <cellStyle name="Normal 2 2 20 2 2 3 2" xfId="32706" xr:uid="{00000000-0005-0000-0000-0000FB4F0000}"/>
    <cellStyle name="Normal 2 2 20 2 2 4" xfId="18938" xr:uid="{00000000-0005-0000-0000-0000FC4F0000}"/>
    <cellStyle name="Normal 2 2 20 2 2 4 2" xfId="38858" xr:uid="{00000000-0005-0000-0000-0000FD4F0000}"/>
    <cellStyle name="Normal 2 2 20 2 2 5" xfId="26553" xr:uid="{00000000-0005-0000-0000-0000FE4F0000}"/>
    <cellStyle name="Normal 2 2 20 2 3" xfId="8124" xr:uid="{00000000-0005-0000-0000-0000FF4F0000}"/>
    <cellStyle name="Normal 2 2 20 2 3 2" xfId="14318" xr:uid="{00000000-0005-0000-0000-000000500000}"/>
    <cellStyle name="Normal 2 2 20 2 3 2 2" xfId="34238" xr:uid="{00000000-0005-0000-0000-000001500000}"/>
    <cellStyle name="Normal 2 2 20 2 3 3" xfId="20470" xr:uid="{00000000-0005-0000-0000-000002500000}"/>
    <cellStyle name="Normal 2 2 20 2 3 3 2" xfId="40390" xr:uid="{00000000-0005-0000-0000-000003500000}"/>
    <cellStyle name="Normal 2 2 20 2 3 4" xfId="28085" xr:uid="{00000000-0005-0000-0000-000004500000}"/>
    <cellStyle name="Normal 2 2 20 2 4" xfId="11252" xr:uid="{00000000-0005-0000-0000-000005500000}"/>
    <cellStyle name="Normal 2 2 20 2 4 2" xfId="31172" xr:uid="{00000000-0005-0000-0000-000006500000}"/>
    <cellStyle name="Normal 2 2 20 2 5" xfId="17404" xr:uid="{00000000-0005-0000-0000-000007500000}"/>
    <cellStyle name="Normal 2 2 20 2 5 2" xfId="37324" xr:uid="{00000000-0005-0000-0000-000008500000}"/>
    <cellStyle name="Normal 2 2 20 2 6" xfId="25019" xr:uid="{00000000-0005-0000-0000-000009500000}"/>
    <cellStyle name="Normal 2 2 20 3" xfId="5790" xr:uid="{00000000-0005-0000-0000-00000A500000}"/>
    <cellStyle name="Normal 2 2 20 3 2" xfId="8890" xr:uid="{00000000-0005-0000-0000-00000B500000}"/>
    <cellStyle name="Normal 2 2 20 3 2 2" xfId="15083" xr:uid="{00000000-0005-0000-0000-00000C500000}"/>
    <cellStyle name="Normal 2 2 20 3 2 2 2" xfId="35003" xr:uid="{00000000-0005-0000-0000-00000D500000}"/>
    <cellStyle name="Normal 2 2 20 3 2 3" xfId="21235" xr:uid="{00000000-0005-0000-0000-00000E500000}"/>
    <cellStyle name="Normal 2 2 20 3 2 3 2" xfId="41155" xr:uid="{00000000-0005-0000-0000-00000F500000}"/>
    <cellStyle name="Normal 2 2 20 3 2 4" xfId="28850" xr:uid="{00000000-0005-0000-0000-000010500000}"/>
    <cellStyle name="Normal 2 2 20 3 3" xfId="12017" xr:uid="{00000000-0005-0000-0000-000011500000}"/>
    <cellStyle name="Normal 2 2 20 3 3 2" xfId="31937" xr:uid="{00000000-0005-0000-0000-000012500000}"/>
    <cellStyle name="Normal 2 2 20 3 4" xfId="18169" xr:uid="{00000000-0005-0000-0000-000013500000}"/>
    <cellStyle name="Normal 2 2 20 3 4 2" xfId="38089" xr:uid="{00000000-0005-0000-0000-000014500000}"/>
    <cellStyle name="Normal 2 2 20 3 5" xfId="25784" xr:uid="{00000000-0005-0000-0000-000015500000}"/>
    <cellStyle name="Normal 2 2 20 4" xfId="7355" xr:uid="{00000000-0005-0000-0000-000016500000}"/>
    <cellStyle name="Normal 2 2 20 4 2" xfId="13549" xr:uid="{00000000-0005-0000-0000-000017500000}"/>
    <cellStyle name="Normal 2 2 20 4 2 2" xfId="33469" xr:uid="{00000000-0005-0000-0000-000018500000}"/>
    <cellStyle name="Normal 2 2 20 4 3" xfId="19701" xr:uid="{00000000-0005-0000-0000-000019500000}"/>
    <cellStyle name="Normal 2 2 20 4 3 2" xfId="39621" xr:uid="{00000000-0005-0000-0000-00001A500000}"/>
    <cellStyle name="Normal 2 2 20 4 4" xfId="27316" xr:uid="{00000000-0005-0000-0000-00001B500000}"/>
    <cellStyle name="Normal 2 2 20 5" xfId="10483" xr:uid="{00000000-0005-0000-0000-00001C500000}"/>
    <cellStyle name="Normal 2 2 20 5 2" xfId="30403" xr:uid="{00000000-0005-0000-0000-00001D500000}"/>
    <cellStyle name="Normal 2 2 20 6" xfId="16635" xr:uid="{00000000-0005-0000-0000-00001E500000}"/>
    <cellStyle name="Normal 2 2 20 6 2" xfId="36555" xr:uid="{00000000-0005-0000-0000-00001F500000}"/>
    <cellStyle name="Normal 2 2 20 7" xfId="3440" xr:uid="{00000000-0005-0000-0000-000020500000}"/>
    <cellStyle name="Normal 2 2 20 7 2" xfId="24250" xr:uid="{00000000-0005-0000-0000-000021500000}"/>
    <cellStyle name="Normal 2 2 21" xfId="461" xr:uid="{00000000-0005-0000-0000-000022500000}"/>
    <cellStyle name="Normal 2 2 21 2" xfId="4949" xr:uid="{00000000-0005-0000-0000-000023500000}"/>
    <cellStyle name="Normal 2 2 21 2 2" xfId="6574" xr:uid="{00000000-0005-0000-0000-000024500000}"/>
    <cellStyle name="Normal 2 2 21 2 2 2" xfId="9660" xr:uid="{00000000-0005-0000-0000-000025500000}"/>
    <cellStyle name="Normal 2 2 21 2 2 2 2" xfId="15853" xr:uid="{00000000-0005-0000-0000-000026500000}"/>
    <cellStyle name="Normal 2 2 21 2 2 2 2 2" xfId="35773" xr:uid="{00000000-0005-0000-0000-000027500000}"/>
    <cellStyle name="Normal 2 2 21 2 2 2 3" xfId="22005" xr:uid="{00000000-0005-0000-0000-000028500000}"/>
    <cellStyle name="Normal 2 2 21 2 2 2 3 2" xfId="41925" xr:uid="{00000000-0005-0000-0000-000029500000}"/>
    <cellStyle name="Normal 2 2 21 2 2 2 4" xfId="29620" xr:uid="{00000000-0005-0000-0000-00002A500000}"/>
    <cellStyle name="Normal 2 2 21 2 2 3" xfId="12787" xr:uid="{00000000-0005-0000-0000-00002B500000}"/>
    <cellStyle name="Normal 2 2 21 2 2 3 2" xfId="32707" xr:uid="{00000000-0005-0000-0000-00002C500000}"/>
    <cellStyle name="Normal 2 2 21 2 2 4" xfId="18939" xr:uid="{00000000-0005-0000-0000-00002D500000}"/>
    <cellStyle name="Normal 2 2 21 2 2 4 2" xfId="38859" xr:uid="{00000000-0005-0000-0000-00002E500000}"/>
    <cellStyle name="Normal 2 2 21 2 2 5" xfId="26554" xr:uid="{00000000-0005-0000-0000-00002F500000}"/>
    <cellStyle name="Normal 2 2 21 2 3" xfId="8125" xr:uid="{00000000-0005-0000-0000-000030500000}"/>
    <cellStyle name="Normal 2 2 21 2 3 2" xfId="14319" xr:uid="{00000000-0005-0000-0000-000031500000}"/>
    <cellStyle name="Normal 2 2 21 2 3 2 2" xfId="34239" xr:uid="{00000000-0005-0000-0000-000032500000}"/>
    <cellStyle name="Normal 2 2 21 2 3 3" xfId="20471" xr:uid="{00000000-0005-0000-0000-000033500000}"/>
    <cellStyle name="Normal 2 2 21 2 3 3 2" xfId="40391" xr:uid="{00000000-0005-0000-0000-000034500000}"/>
    <cellStyle name="Normal 2 2 21 2 3 4" xfId="28086" xr:uid="{00000000-0005-0000-0000-000035500000}"/>
    <cellStyle name="Normal 2 2 21 2 4" xfId="11253" xr:uid="{00000000-0005-0000-0000-000036500000}"/>
    <cellStyle name="Normal 2 2 21 2 4 2" xfId="31173" xr:uid="{00000000-0005-0000-0000-000037500000}"/>
    <cellStyle name="Normal 2 2 21 2 5" xfId="17405" xr:uid="{00000000-0005-0000-0000-000038500000}"/>
    <cellStyle name="Normal 2 2 21 2 5 2" xfId="37325" xr:uid="{00000000-0005-0000-0000-000039500000}"/>
    <cellStyle name="Normal 2 2 21 2 6" xfId="25020" xr:uid="{00000000-0005-0000-0000-00003A500000}"/>
    <cellStyle name="Normal 2 2 21 3" xfId="5791" xr:uid="{00000000-0005-0000-0000-00003B500000}"/>
    <cellStyle name="Normal 2 2 21 3 2" xfId="8891" xr:uid="{00000000-0005-0000-0000-00003C500000}"/>
    <cellStyle name="Normal 2 2 21 3 2 2" xfId="15084" xr:uid="{00000000-0005-0000-0000-00003D500000}"/>
    <cellStyle name="Normal 2 2 21 3 2 2 2" xfId="35004" xr:uid="{00000000-0005-0000-0000-00003E500000}"/>
    <cellStyle name="Normal 2 2 21 3 2 3" xfId="21236" xr:uid="{00000000-0005-0000-0000-00003F500000}"/>
    <cellStyle name="Normal 2 2 21 3 2 3 2" xfId="41156" xr:uid="{00000000-0005-0000-0000-000040500000}"/>
    <cellStyle name="Normal 2 2 21 3 2 4" xfId="28851" xr:uid="{00000000-0005-0000-0000-000041500000}"/>
    <cellStyle name="Normal 2 2 21 3 3" xfId="12018" xr:uid="{00000000-0005-0000-0000-000042500000}"/>
    <cellStyle name="Normal 2 2 21 3 3 2" xfId="31938" xr:uid="{00000000-0005-0000-0000-000043500000}"/>
    <cellStyle name="Normal 2 2 21 3 4" xfId="18170" xr:uid="{00000000-0005-0000-0000-000044500000}"/>
    <cellStyle name="Normal 2 2 21 3 4 2" xfId="38090" xr:uid="{00000000-0005-0000-0000-000045500000}"/>
    <cellStyle name="Normal 2 2 21 3 5" xfId="25785" xr:uid="{00000000-0005-0000-0000-000046500000}"/>
    <cellStyle name="Normal 2 2 21 4" xfId="7356" xr:uid="{00000000-0005-0000-0000-000047500000}"/>
    <cellStyle name="Normal 2 2 21 4 2" xfId="13550" xr:uid="{00000000-0005-0000-0000-000048500000}"/>
    <cellStyle name="Normal 2 2 21 4 2 2" xfId="33470" xr:uid="{00000000-0005-0000-0000-000049500000}"/>
    <cellStyle name="Normal 2 2 21 4 3" xfId="19702" xr:uid="{00000000-0005-0000-0000-00004A500000}"/>
    <cellStyle name="Normal 2 2 21 4 3 2" xfId="39622" xr:uid="{00000000-0005-0000-0000-00004B500000}"/>
    <cellStyle name="Normal 2 2 21 4 4" xfId="27317" xr:uid="{00000000-0005-0000-0000-00004C500000}"/>
    <cellStyle name="Normal 2 2 21 5" xfId="10484" xr:uid="{00000000-0005-0000-0000-00004D500000}"/>
    <cellStyle name="Normal 2 2 21 5 2" xfId="30404" xr:uid="{00000000-0005-0000-0000-00004E500000}"/>
    <cellStyle name="Normal 2 2 21 6" xfId="16636" xr:uid="{00000000-0005-0000-0000-00004F500000}"/>
    <cellStyle name="Normal 2 2 21 6 2" xfId="36556" xr:uid="{00000000-0005-0000-0000-000050500000}"/>
    <cellStyle name="Normal 2 2 21 7" xfId="3441" xr:uid="{00000000-0005-0000-0000-000051500000}"/>
    <cellStyle name="Normal 2 2 21 7 2" xfId="24251" xr:uid="{00000000-0005-0000-0000-000052500000}"/>
    <cellStyle name="Normal 2 2 22" xfId="478" xr:uid="{00000000-0005-0000-0000-000053500000}"/>
    <cellStyle name="Normal 2 2 22 2" xfId="4950" xr:uid="{00000000-0005-0000-0000-000054500000}"/>
    <cellStyle name="Normal 2 2 22 2 2" xfId="6575" xr:uid="{00000000-0005-0000-0000-000055500000}"/>
    <cellStyle name="Normal 2 2 22 2 2 2" xfId="9661" xr:uid="{00000000-0005-0000-0000-000056500000}"/>
    <cellStyle name="Normal 2 2 22 2 2 2 2" xfId="15854" xr:uid="{00000000-0005-0000-0000-000057500000}"/>
    <cellStyle name="Normal 2 2 22 2 2 2 2 2" xfId="35774" xr:uid="{00000000-0005-0000-0000-000058500000}"/>
    <cellStyle name="Normal 2 2 22 2 2 2 3" xfId="22006" xr:uid="{00000000-0005-0000-0000-000059500000}"/>
    <cellStyle name="Normal 2 2 22 2 2 2 3 2" xfId="41926" xr:uid="{00000000-0005-0000-0000-00005A500000}"/>
    <cellStyle name="Normal 2 2 22 2 2 2 4" xfId="29621" xr:uid="{00000000-0005-0000-0000-00005B500000}"/>
    <cellStyle name="Normal 2 2 22 2 2 3" xfId="12788" xr:uid="{00000000-0005-0000-0000-00005C500000}"/>
    <cellStyle name="Normal 2 2 22 2 2 3 2" xfId="32708" xr:uid="{00000000-0005-0000-0000-00005D500000}"/>
    <cellStyle name="Normal 2 2 22 2 2 4" xfId="18940" xr:uid="{00000000-0005-0000-0000-00005E500000}"/>
    <cellStyle name="Normal 2 2 22 2 2 4 2" xfId="38860" xr:uid="{00000000-0005-0000-0000-00005F500000}"/>
    <cellStyle name="Normal 2 2 22 2 2 5" xfId="26555" xr:uid="{00000000-0005-0000-0000-000060500000}"/>
    <cellStyle name="Normal 2 2 22 2 3" xfId="8126" xr:uid="{00000000-0005-0000-0000-000061500000}"/>
    <cellStyle name="Normal 2 2 22 2 3 2" xfId="14320" xr:uid="{00000000-0005-0000-0000-000062500000}"/>
    <cellStyle name="Normal 2 2 22 2 3 2 2" xfId="34240" xr:uid="{00000000-0005-0000-0000-000063500000}"/>
    <cellStyle name="Normal 2 2 22 2 3 3" xfId="20472" xr:uid="{00000000-0005-0000-0000-000064500000}"/>
    <cellStyle name="Normal 2 2 22 2 3 3 2" xfId="40392" xr:uid="{00000000-0005-0000-0000-000065500000}"/>
    <cellStyle name="Normal 2 2 22 2 3 4" xfId="28087" xr:uid="{00000000-0005-0000-0000-000066500000}"/>
    <cellStyle name="Normal 2 2 22 2 4" xfId="11254" xr:uid="{00000000-0005-0000-0000-000067500000}"/>
    <cellStyle name="Normal 2 2 22 2 4 2" xfId="31174" xr:uid="{00000000-0005-0000-0000-000068500000}"/>
    <cellStyle name="Normal 2 2 22 2 5" xfId="17406" xr:uid="{00000000-0005-0000-0000-000069500000}"/>
    <cellStyle name="Normal 2 2 22 2 5 2" xfId="37326" xr:uid="{00000000-0005-0000-0000-00006A500000}"/>
    <cellStyle name="Normal 2 2 22 2 6" xfId="25021" xr:uid="{00000000-0005-0000-0000-00006B500000}"/>
    <cellStyle name="Normal 2 2 22 3" xfId="5792" xr:uid="{00000000-0005-0000-0000-00006C500000}"/>
    <cellStyle name="Normal 2 2 22 3 2" xfId="8892" xr:uid="{00000000-0005-0000-0000-00006D500000}"/>
    <cellStyle name="Normal 2 2 22 3 2 2" xfId="15085" xr:uid="{00000000-0005-0000-0000-00006E500000}"/>
    <cellStyle name="Normal 2 2 22 3 2 2 2" xfId="35005" xr:uid="{00000000-0005-0000-0000-00006F500000}"/>
    <cellStyle name="Normal 2 2 22 3 2 3" xfId="21237" xr:uid="{00000000-0005-0000-0000-000070500000}"/>
    <cellStyle name="Normal 2 2 22 3 2 3 2" xfId="41157" xr:uid="{00000000-0005-0000-0000-000071500000}"/>
    <cellStyle name="Normal 2 2 22 3 2 4" xfId="28852" xr:uid="{00000000-0005-0000-0000-000072500000}"/>
    <cellStyle name="Normal 2 2 22 3 3" xfId="12019" xr:uid="{00000000-0005-0000-0000-000073500000}"/>
    <cellStyle name="Normal 2 2 22 3 3 2" xfId="31939" xr:uid="{00000000-0005-0000-0000-000074500000}"/>
    <cellStyle name="Normal 2 2 22 3 4" xfId="18171" xr:uid="{00000000-0005-0000-0000-000075500000}"/>
    <cellStyle name="Normal 2 2 22 3 4 2" xfId="38091" xr:uid="{00000000-0005-0000-0000-000076500000}"/>
    <cellStyle name="Normal 2 2 22 3 5" xfId="25786" xr:uid="{00000000-0005-0000-0000-000077500000}"/>
    <cellStyle name="Normal 2 2 22 4" xfId="7357" xr:uid="{00000000-0005-0000-0000-000078500000}"/>
    <cellStyle name="Normal 2 2 22 4 2" xfId="13551" xr:uid="{00000000-0005-0000-0000-000079500000}"/>
    <cellStyle name="Normal 2 2 22 4 2 2" xfId="33471" xr:uid="{00000000-0005-0000-0000-00007A500000}"/>
    <cellStyle name="Normal 2 2 22 4 3" xfId="19703" xr:uid="{00000000-0005-0000-0000-00007B500000}"/>
    <cellStyle name="Normal 2 2 22 4 3 2" xfId="39623" xr:uid="{00000000-0005-0000-0000-00007C500000}"/>
    <cellStyle name="Normal 2 2 22 4 4" xfId="27318" xr:uid="{00000000-0005-0000-0000-00007D500000}"/>
    <cellStyle name="Normal 2 2 22 5" xfId="10485" xr:uid="{00000000-0005-0000-0000-00007E500000}"/>
    <cellStyle name="Normal 2 2 22 5 2" xfId="30405" xr:uid="{00000000-0005-0000-0000-00007F500000}"/>
    <cellStyle name="Normal 2 2 22 6" xfId="16637" xr:uid="{00000000-0005-0000-0000-000080500000}"/>
    <cellStyle name="Normal 2 2 22 6 2" xfId="36557" xr:uid="{00000000-0005-0000-0000-000081500000}"/>
    <cellStyle name="Normal 2 2 22 7" xfId="3442" xr:uid="{00000000-0005-0000-0000-000082500000}"/>
    <cellStyle name="Normal 2 2 22 7 2" xfId="24252" xr:uid="{00000000-0005-0000-0000-000083500000}"/>
    <cellStyle name="Normal 2 2 23" xfId="502" xr:uid="{00000000-0005-0000-0000-000084500000}"/>
    <cellStyle name="Normal 2 2 23 2" xfId="3444" xr:uid="{00000000-0005-0000-0000-000085500000}"/>
    <cellStyle name="Normal 2 2 23 3" xfId="3443" xr:uid="{00000000-0005-0000-0000-000086500000}"/>
    <cellStyle name="Normal 2 2 24" xfId="543" xr:uid="{00000000-0005-0000-0000-000087500000}"/>
    <cellStyle name="Normal 2 2 24 2" xfId="3446" xr:uid="{00000000-0005-0000-0000-000088500000}"/>
    <cellStyle name="Normal 2 2 24 3" xfId="3445" xr:uid="{00000000-0005-0000-0000-000089500000}"/>
    <cellStyle name="Normal 2 2 25" xfId="571" xr:uid="{00000000-0005-0000-0000-00008A500000}"/>
    <cellStyle name="Normal 2 2 25 2" xfId="10124" xr:uid="{00000000-0005-0000-0000-00008B500000}"/>
    <cellStyle name="Normal 2 2 26" xfId="603" xr:uid="{00000000-0005-0000-0000-00008C500000}"/>
    <cellStyle name="Normal 2 2 27" xfId="630" xr:uid="{00000000-0005-0000-0000-00008D500000}"/>
    <cellStyle name="Normal 2 2 28" xfId="656" xr:uid="{00000000-0005-0000-0000-00008E500000}"/>
    <cellStyle name="Normal 2 2 29" xfId="680" xr:uid="{00000000-0005-0000-0000-00008F500000}"/>
    <cellStyle name="Normal 2 2 3" xfId="126" xr:uid="{00000000-0005-0000-0000-000090500000}"/>
    <cellStyle name="Normal 2 2 3 10" xfId="5793" xr:uid="{00000000-0005-0000-0000-000091500000}"/>
    <cellStyle name="Normal 2 2 3 10 2" xfId="8893" xr:uid="{00000000-0005-0000-0000-000092500000}"/>
    <cellStyle name="Normal 2 2 3 10 2 2" xfId="15086" xr:uid="{00000000-0005-0000-0000-000093500000}"/>
    <cellStyle name="Normal 2 2 3 10 2 2 2" xfId="35006" xr:uid="{00000000-0005-0000-0000-000094500000}"/>
    <cellStyle name="Normal 2 2 3 10 2 3" xfId="21238" xr:uid="{00000000-0005-0000-0000-000095500000}"/>
    <cellStyle name="Normal 2 2 3 10 2 3 2" xfId="41158" xr:uid="{00000000-0005-0000-0000-000096500000}"/>
    <cellStyle name="Normal 2 2 3 10 2 4" xfId="28853" xr:uid="{00000000-0005-0000-0000-000097500000}"/>
    <cellStyle name="Normal 2 2 3 10 3" xfId="12020" xr:uid="{00000000-0005-0000-0000-000098500000}"/>
    <cellStyle name="Normal 2 2 3 10 3 2" xfId="31940" xr:uid="{00000000-0005-0000-0000-000099500000}"/>
    <cellStyle name="Normal 2 2 3 10 4" xfId="18172" xr:uid="{00000000-0005-0000-0000-00009A500000}"/>
    <cellStyle name="Normal 2 2 3 10 4 2" xfId="38092" xr:uid="{00000000-0005-0000-0000-00009B500000}"/>
    <cellStyle name="Normal 2 2 3 10 5" xfId="25787" xr:uid="{00000000-0005-0000-0000-00009C500000}"/>
    <cellStyle name="Normal 2 2 3 11" xfId="7358" xr:uid="{00000000-0005-0000-0000-00009D500000}"/>
    <cellStyle name="Normal 2 2 3 11 2" xfId="13552" xr:uid="{00000000-0005-0000-0000-00009E500000}"/>
    <cellStyle name="Normal 2 2 3 11 2 2" xfId="33472" xr:uid="{00000000-0005-0000-0000-00009F500000}"/>
    <cellStyle name="Normal 2 2 3 11 3" xfId="19704" xr:uid="{00000000-0005-0000-0000-0000A0500000}"/>
    <cellStyle name="Normal 2 2 3 11 3 2" xfId="39624" xr:uid="{00000000-0005-0000-0000-0000A1500000}"/>
    <cellStyle name="Normal 2 2 3 11 4" xfId="27319" xr:uid="{00000000-0005-0000-0000-0000A2500000}"/>
    <cellStyle name="Normal 2 2 3 12" xfId="10486" xr:uid="{00000000-0005-0000-0000-0000A3500000}"/>
    <cellStyle name="Normal 2 2 3 12 2" xfId="30406" xr:uid="{00000000-0005-0000-0000-0000A4500000}"/>
    <cellStyle name="Normal 2 2 3 13" xfId="16638" xr:uid="{00000000-0005-0000-0000-0000A5500000}"/>
    <cellStyle name="Normal 2 2 3 13 2" xfId="36558" xr:uid="{00000000-0005-0000-0000-0000A6500000}"/>
    <cellStyle name="Normal 2 2 3 14" xfId="3447" xr:uid="{00000000-0005-0000-0000-0000A7500000}"/>
    <cellStyle name="Normal 2 2 3 14 2" xfId="24253" xr:uid="{00000000-0005-0000-0000-0000A8500000}"/>
    <cellStyle name="Normal 2 2 3 2" xfId="3448" xr:uid="{00000000-0005-0000-0000-0000A9500000}"/>
    <cellStyle name="Normal 2 2 3 2 2" xfId="4952" xr:uid="{00000000-0005-0000-0000-0000AA500000}"/>
    <cellStyle name="Normal 2 2 3 2 2 2" xfId="6577" xr:uid="{00000000-0005-0000-0000-0000AB500000}"/>
    <cellStyle name="Normal 2 2 3 2 2 2 2" xfId="9663" xr:uid="{00000000-0005-0000-0000-0000AC500000}"/>
    <cellStyle name="Normal 2 2 3 2 2 2 2 2" xfId="15856" xr:uid="{00000000-0005-0000-0000-0000AD500000}"/>
    <cellStyle name="Normal 2 2 3 2 2 2 2 2 2" xfId="35776" xr:uid="{00000000-0005-0000-0000-0000AE500000}"/>
    <cellStyle name="Normal 2 2 3 2 2 2 2 3" xfId="22008" xr:uid="{00000000-0005-0000-0000-0000AF500000}"/>
    <cellStyle name="Normal 2 2 3 2 2 2 2 3 2" xfId="41928" xr:uid="{00000000-0005-0000-0000-0000B0500000}"/>
    <cellStyle name="Normal 2 2 3 2 2 2 2 4" xfId="29623" xr:uid="{00000000-0005-0000-0000-0000B1500000}"/>
    <cellStyle name="Normal 2 2 3 2 2 2 3" xfId="12790" xr:uid="{00000000-0005-0000-0000-0000B2500000}"/>
    <cellStyle name="Normal 2 2 3 2 2 2 3 2" xfId="32710" xr:uid="{00000000-0005-0000-0000-0000B3500000}"/>
    <cellStyle name="Normal 2 2 3 2 2 2 4" xfId="18942" xr:uid="{00000000-0005-0000-0000-0000B4500000}"/>
    <cellStyle name="Normal 2 2 3 2 2 2 4 2" xfId="38862" xr:uid="{00000000-0005-0000-0000-0000B5500000}"/>
    <cellStyle name="Normal 2 2 3 2 2 2 5" xfId="26557" xr:uid="{00000000-0005-0000-0000-0000B6500000}"/>
    <cellStyle name="Normal 2 2 3 2 2 3" xfId="8128" xr:uid="{00000000-0005-0000-0000-0000B7500000}"/>
    <cellStyle name="Normal 2 2 3 2 2 3 2" xfId="14322" xr:uid="{00000000-0005-0000-0000-0000B8500000}"/>
    <cellStyle name="Normal 2 2 3 2 2 3 2 2" xfId="34242" xr:uid="{00000000-0005-0000-0000-0000B9500000}"/>
    <cellStyle name="Normal 2 2 3 2 2 3 3" xfId="20474" xr:uid="{00000000-0005-0000-0000-0000BA500000}"/>
    <cellStyle name="Normal 2 2 3 2 2 3 3 2" xfId="40394" xr:uid="{00000000-0005-0000-0000-0000BB500000}"/>
    <cellStyle name="Normal 2 2 3 2 2 3 4" xfId="28089" xr:uid="{00000000-0005-0000-0000-0000BC500000}"/>
    <cellStyle name="Normal 2 2 3 2 2 4" xfId="11256" xr:uid="{00000000-0005-0000-0000-0000BD500000}"/>
    <cellStyle name="Normal 2 2 3 2 2 4 2" xfId="31176" xr:uid="{00000000-0005-0000-0000-0000BE500000}"/>
    <cellStyle name="Normal 2 2 3 2 2 5" xfId="17408" xr:uid="{00000000-0005-0000-0000-0000BF500000}"/>
    <cellStyle name="Normal 2 2 3 2 2 5 2" xfId="37328" xr:uid="{00000000-0005-0000-0000-0000C0500000}"/>
    <cellStyle name="Normal 2 2 3 2 2 6" xfId="25023" xr:uid="{00000000-0005-0000-0000-0000C1500000}"/>
    <cellStyle name="Normal 2 2 3 2 3" xfId="5794" xr:uid="{00000000-0005-0000-0000-0000C2500000}"/>
    <cellStyle name="Normal 2 2 3 2 3 2" xfId="8894" xr:uid="{00000000-0005-0000-0000-0000C3500000}"/>
    <cellStyle name="Normal 2 2 3 2 3 2 2" xfId="15087" xr:uid="{00000000-0005-0000-0000-0000C4500000}"/>
    <cellStyle name="Normal 2 2 3 2 3 2 2 2" xfId="35007" xr:uid="{00000000-0005-0000-0000-0000C5500000}"/>
    <cellStyle name="Normal 2 2 3 2 3 2 3" xfId="21239" xr:uid="{00000000-0005-0000-0000-0000C6500000}"/>
    <cellStyle name="Normal 2 2 3 2 3 2 3 2" xfId="41159" xr:uid="{00000000-0005-0000-0000-0000C7500000}"/>
    <cellStyle name="Normal 2 2 3 2 3 2 4" xfId="28854" xr:uid="{00000000-0005-0000-0000-0000C8500000}"/>
    <cellStyle name="Normal 2 2 3 2 3 3" xfId="12021" xr:uid="{00000000-0005-0000-0000-0000C9500000}"/>
    <cellStyle name="Normal 2 2 3 2 3 3 2" xfId="31941" xr:uid="{00000000-0005-0000-0000-0000CA500000}"/>
    <cellStyle name="Normal 2 2 3 2 3 4" xfId="18173" xr:uid="{00000000-0005-0000-0000-0000CB500000}"/>
    <cellStyle name="Normal 2 2 3 2 3 4 2" xfId="38093" xr:uid="{00000000-0005-0000-0000-0000CC500000}"/>
    <cellStyle name="Normal 2 2 3 2 3 5" xfId="25788" xr:uid="{00000000-0005-0000-0000-0000CD500000}"/>
    <cellStyle name="Normal 2 2 3 2 4" xfId="7359" xr:uid="{00000000-0005-0000-0000-0000CE500000}"/>
    <cellStyle name="Normal 2 2 3 2 4 2" xfId="13553" xr:uid="{00000000-0005-0000-0000-0000CF500000}"/>
    <cellStyle name="Normal 2 2 3 2 4 2 2" xfId="33473" xr:uid="{00000000-0005-0000-0000-0000D0500000}"/>
    <cellStyle name="Normal 2 2 3 2 4 3" xfId="19705" xr:uid="{00000000-0005-0000-0000-0000D1500000}"/>
    <cellStyle name="Normal 2 2 3 2 4 3 2" xfId="39625" xr:uid="{00000000-0005-0000-0000-0000D2500000}"/>
    <cellStyle name="Normal 2 2 3 2 4 4" xfId="27320" xr:uid="{00000000-0005-0000-0000-0000D3500000}"/>
    <cellStyle name="Normal 2 2 3 2 5" xfId="10487" xr:uid="{00000000-0005-0000-0000-0000D4500000}"/>
    <cellStyle name="Normal 2 2 3 2 5 2" xfId="30407" xr:uid="{00000000-0005-0000-0000-0000D5500000}"/>
    <cellStyle name="Normal 2 2 3 2 6" xfId="16639" xr:uid="{00000000-0005-0000-0000-0000D6500000}"/>
    <cellStyle name="Normal 2 2 3 2 6 2" xfId="36559" xr:uid="{00000000-0005-0000-0000-0000D7500000}"/>
    <cellStyle name="Normal 2 2 3 2 7" xfId="24254" xr:uid="{00000000-0005-0000-0000-0000D8500000}"/>
    <cellStyle name="Normal 2 2 3 3" xfId="3449" xr:uid="{00000000-0005-0000-0000-0000D9500000}"/>
    <cellStyle name="Normal 2 2 3 3 2" xfId="4953" xr:uid="{00000000-0005-0000-0000-0000DA500000}"/>
    <cellStyle name="Normal 2 2 3 3 2 2" xfId="6578" xr:uid="{00000000-0005-0000-0000-0000DB500000}"/>
    <cellStyle name="Normal 2 2 3 3 2 2 2" xfId="9664" xr:uid="{00000000-0005-0000-0000-0000DC500000}"/>
    <cellStyle name="Normal 2 2 3 3 2 2 2 2" xfId="15857" xr:uid="{00000000-0005-0000-0000-0000DD500000}"/>
    <cellStyle name="Normal 2 2 3 3 2 2 2 2 2" xfId="35777" xr:uid="{00000000-0005-0000-0000-0000DE500000}"/>
    <cellStyle name="Normal 2 2 3 3 2 2 2 3" xfId="22009" xr:uid="{00000000-0005-0000-0000-0000DF500000}"/>
    <cellStyle name="Normal 2 2 3 3 2 2 2 3 2" xfId="41929" xr:uid="{00000000-0005-0000-0000-0000E0500000}"/>
    <cellStyle name="Normal 2 2 3 3 2 2 2 4" xfId="29624" xr:uid="{00000000-0005-0000-0000-0000E1500000}"/>
    <cellStyle name="Normal 2 2 3 3 2 2 3" xfId="12791" xr:uid="{00000000-0005-0000-0000-0000E2500000}"/>
    <cellStyle name="Normal 2 2 3 3 2 2 3 2" xfId="32711" xr:uid="{00000000-0005-0000-0000-0000E3500000}"/>
    <cellStyle name="Normal 2 2 3 3 2 2 4" xfId="18943" xr:uid="{00000000-0005-0000-0000-0000E4500000}"/>
    <cellStyle name="Normal 2 2 3 3 2 2 4 2" xfId="38863" xr:uid="{00000000-0005-0000-0000-0000E5500000}"/>
    <cellStyle name="Normal 2 2 3 3 2 2 5" xfId="26558" xr:uid="{00000000-0005-0000-0000-0000E6500000}"/>
    <cellStyle name="Normal 2 2 3 3 2 3" xfId="8129" xr:uid="{00000000-0005-0000-0000-0000E7500000}"/>
    <cellStyle name="Normal 2 2 3 3 2 3 2" xfId="14323" xr:uid="{00000000-0005-0000-0000-0000E8500000}"/>
    <cellStyle name="Normal 2 2 3 3 2 3 2 2" xfId="34243" xr:uid="{00000000-0005-0000-0000-0000E9500000}"/>
    <cellStyle name="Normal 2 2 3 3 2 3 3" xfId="20475" xr:uid="{00000000-0005-0000-0000-0000EA500000}"/>
    <cellStyle name="Normal 2 2 3 3 2 3 3 2" xfId="40395" xr:uid="{00000000-0005-0000-0000-0000EB500000}"/>
    <cellStyle name="Normal 2 2 3 3 2 3 4" xfId="28090" xr:uid="{00000000-0005-0000-0000-0000EC500000}"/>
    <cellStyle name="Normal 2 2 3 3 2 4" xfId="11257" xr:uid="{00000000-0005-0000-0000-0000ED500000}"/>
    <cellStyle name="Normal 2 2 3 3 2 4 2" xfId="31177" xr:uid="{00000000-0005-0000-0000-0000EE500000}"/>
    <cellStyle name="Normal 2 2 3 3 2 5" xfId="17409" xr:uid="{00000000-0005-0000-0000-0000EF500000}"/>
    <cellStyle name="Normal 2 2 3 3 2 5 2" xfId="37329" xr:uid="{00000000-0005-0000-0000-0000F0500000}"/>
    <cellStyle name="Normal 2 2 3 3 2 6" xfId="25024" xr:uid="{00000000-0005-0000-0000-0000F1500000}"/>
    <cellStyle name="Normal 2 2 3 3 3" xfId="5795" xr:uid="{00000000-0005-0000-0000-0000F2500000}"/>
    <cellStyle name="Normal 2 2 3 3 3 2" xfId="8895" xr:uid="{00000000-0005-0000-0000-0000F3500000}"/>
    <cellStyle name="Normal 2 2 3 3 3 2 2" xfId="15088" xr:uid="{00000000-0005-0000-0000-0000F4500000}"/>
    <cellStyle name="Normal 2 2 3 3 3 2 2 2" xfId="35008" xr:uid="{00000000-0005-0000-0000-0000F5500000}"/>
    <cellStyle name="Normal 2 2 3 3 3 2 3" xfId="21240" xr:uid="{00000000-0005-0000-0000-0000F6500000}"/>
    <cellStyle name="Normal 2 2 3 3 3 2 3 2" xfId="41160" xr:uid="{00000000-0005-0000-0000-0000F7500000}"/>
    <cellStyle name="Normal 2 2 3 3 3 2 4" xfId="28855" xr:uid="{00000000-0005-0000-0000-0000F8500000}"/>
    <cellStyle name="Normal 2 2 3 3 3 3" xfId="12022" xr:uid="{00000000-0005-0000-0000-0000F9500000}"/>
    <cellStyle name="Normal 2 2 3 3 3 3 2" xfId="31942" xr:uid="{00000000-0005-0000-0000-0000FA500000}"/>
    <cellStyle name="Normal 2 2 3 3 3 4" xfId="18174" xr:uid="{00000000-0005-0000-0000-0000FB500000}"/>
    <cellStyle name="Normal 2 2 3 3 3 4 2" xfId="38094" xr:uid="{00000000-0005-0000-0000-0000FC500000}"/>
    <cellStyle name="Normal 2 2 3 3 3 5" xfId="25789" xr:uid="{00000000-0005-0000-0000-0000FD500000}"/>
    <cellStyle name="Normal 2 2 3 3 4" xfId="7360" xr:uid="{00000000-0005-0000-0000-0000FE500000}"/>
    <cellStyle name="Normal 2 2 3 3 4 2" xfId="13554" xr:uid="{00000000-0005-0000-0000-0000FF500000}"/>
    <cellStyle name="Normal 2 2 3 3 4 2 2" xfId="33474" xr:uid="{00000000-0005-0000-0000-000000510000}"/>
    <cellStyle name="Normal 2 2 3 3 4 3" xfId="19706" xr:uid="{00000000-0005-0000-0000-000001510000}"/>
    <cellStyle name="Normal 2 2 3 3 4 3 2" xfId="39626" xr:uid="{00000000-0005-0000-0000-000002510000}"/>
    <cellStyle name="Normal 2 2 3 3 4 4" xfId="27321" xr:uid="{00000000-0005-0000-0000-000003510000}"/>
    <cellStyle name="Normal 2 2 3 3 5" xfId="10488" xr:uid="{00000000-0005-0000-0000-000004510000}"/>
    <cellStyle name="Normal 2 2 3 3 5 2" xfId="30408" xr:uid="{00000000-0005-0000-0000-000005510000}"/>
    <cellStyle name="Normal 2 2 3 3 6" xfId="16640" xr:uid="{00000000-0005-0000-0000-000006510000}"/>
    <cellStyle name="Normal 2 2 3 3 6 2" xfId="36560" xr:uid="{00000000-0005-0000-0000-000007510000}"/>
    <cellStyle name="Normal 2 2 3 3 7" xfId="24255" xr:uid="{00000000-0005-0000-0000-000008510000}"/>
    <cellStyle name="Normal 2 2 3 4" xfId="3450" xr:uid="{00000000-0005-0000-0000-000009510000}"/>
    <cellStyle name="Normal 2 2 3 4 2" xfId="4954" xr:uid="{00000000-0005-0000-0000-00000A510000}"/>
    <cellStyle name="Normal 2 2 3 4 2 2" xfId="6579" xr:uid="{00000000-0005-0000-0000-00000B510000}"/>
    <cellStyle name="Normal 2 2 3 4 2 2 2" xfId="9665" xr:uid="{00000000-0005-0000-0000-00000C510000}"/>
    <cellStyle name="Normal 2 2 3 4 2 2 2 2" xfId="15858" xr:uid="{00000000-0005-0000-0000-00000D510000}"/>
    <cellStyle name="Normal 2 2 3 4 2 2 2 2 2" xfId="35778" xr:uid="{00000000-0005-0000-0000-00000E510000}"/>
    <cellStyle name="Normal 2 2 3 4 2 2 2 3" xfId="22010" xr:uid="{00000000-0005-0000-0000-00000F510000}"/>
    <cellStyle name="Normal 2 2 3 4 2 2 2 3 2" xfId="41930" xr:uid="{00000000-0005-0000-0000-000010510000}"/>
    <cellStyle name="Normal 2 2 3 4 2 2 2 4" xfId="29625" xr:uid="{00000000-0005-0000-0000-000011510000}"/>
    <cellStyle name="Normal 2 2 3 4 2 2 3" xfId="12792" xr:uid="{00000000-0005-0000-0000-000012510000}"/>
    <cellStyle name="Normal 2 2 3 4 2 2 3 2" xfId="32712" xr:uid="{00000000-0005-0000-0000-000013510000}"/>
    <cellStyle name="Normal 2 2 3 4 2 2 4" xfId="18944" xr:uid="{00000000-0005-0000-0000-000014510000}"/>
    <cellStyle name="Normal 2 2 3 4 2 2 4 2" xfId="38864" xr:uid="{00000000-0005-0000-0000-000015510000}"/>
    <cellStyle name="Normal 2 2 3 4 2 2 5" xfId="26559" xr:uid="{00000000-0005-0000-0000-000016510000}"/>
    <cellStyle name="Normal 2 2 3 4 2 3" xfId="8130" xr:uid="{00000000-0005-0000-0000-000017510000}"/>
    <cellStyle name="Normal 2 2 3 4 2 3 2" xfId="14324" xr:uid="{00000000-0005-0000-0000-000018510000}"/>
    <cellStyle name="Normal 2 2 3 4 2 3 2 2" xfId="34244" xr:uid="{00000000-0005-0000-0000-000019510000}"/>
    <cellStyle name="Normal 2 2 3 4 2 3 3" xfId="20476" xr:uid="{00000000-0005-0000-0000-00001A510000}"/>
    <cellStyle name="Normal 2 2 3 4 2 3 3 2" xfId="40396" xr:uid="{00000000-0005-0000-0000-00001B510000}"/>
    <cellStyle name="Normal 2 2 3 4 2 3 4" xfId="28091" xr:uid="{00000000-0005-0000-0000-00001C510000}"/>
    <cellStyle name="Normal 2 2 3 4 2 4" xfId="11258" xr:uid="{00000000-0005-0000-0000-00001D510000}"/>
    <cellStyle name="Normal 2 2 3 4 2 4 2" xfId="31178" xr:uid="{00000000-0005-0000-0000-00001E510000}"/>
    <cellStyle name="Normal 2 2 3 4 2 5" xfId="17410" xr:uid="{00000000-0005-0000-0000-00001F510000}"/>
    <cellStyle name="Normal 2 2 3 4 2 5 2" xfId="37330" xr:uid="{00000000-0005-0000-0000-000020510000}"/>
    <cellStyle name="Normal 2 2 3 4 2 6" xfId="25025" xr:uid="{00000000-0005-0000-0000-000021510000}"/>
    <cellStyle name="Normal 2 2 3 4 3" xfId="5796" xr:uid="{00000000-0005-0000-0000-000022510000}"/>
    <cellStyle name="Normal 2 2 3 4 3 2" xfId="8896" xr:uid="{00000000-0005-0000-0000-000023510000}"/>
    <cellStyle name="Normal 2 2 3 4 3 2 2" xfId="15089" xr:uid="{00000000-0005-0000-0000-000024510000}"/>
    <cellStyle name="Normal 2 2 3 4 3 2 2 2" xfId="35009" xr:uid="{00000000-0005-0000-0000-000025510000}"/>
    <cellStyle name="Normal 2 2 3 4 3 2 3" xfId="21241" xr:uid="{00000000-0005-0000-0000-000026510000}"/>
    <cellStyle name="Normal 2 2 3 4 3 2 3 2" xfId="41161" xr:uid="{00000000-0005-0000-0000-000027510000}"/>
    <cellStyle name="Normal 2 2 3 4 3 2 4" xfId="28856" xr:uid="{00000000-0005-0000-0000-000028510000}"/>
    <cellStyle name="Normal 2 2 3 4 3 3" xfId="12023" xr:uid="{00000000-0005-0000-0000-000029510000}"/>
    <cellStyle name="Normal 2 2 3 4 3 3 2" xfId="31943" xr:uid="{00000000-0005-0000-0000-00002A510000}"/>
    <cellStyle name="Normal 2 2 3 4 3 4" xfId="18175" xr:uid="{00000000-0005-0000-0000-00002B510000}"/>
    <cellStyle name="Normal 2 2 3 4 3 4 2" xfId="38095" xr:uid="{00000000-0005-0000-0000-00002C510000}"/>
    <cellStyle name="Normal 2 2 3 4 3 5" xfId="25790" xr:uid="{00000000-0005-0000-0000-00002D510000}"/>
    <cellStyle name="Normal 2 2 3 4 4" xfId="7361" xr:uid="{00000000-0005-0000-0000-00002E510000}"/>
    <cellStyle name="Normal 2 2 3 4 4 2" xfId="13555" xr:uid="{00000000-0005-0000-0000-00002F510000}"/>
    <cellStyle name="Normal 2 2 3 4 4 2 2" xfId="33475" xr:uid="{00000000-0005-0000-0000-000030510000}"/>
    <cellStyle name="Normal 2 2 3 4 4 3" xfId="19707" xr:uid="{00000000-0005-0000-0000-000031510000}"/>
    <cellStyle name="Normal 2 2 3 4 4 3 2" xfId="39627" xr:uid="{00000000-0005-0000-0000-000032510000}"/>
    <cellStyle name="Normal 2 2 3 4 4 4" xfId="27322" xr:uid="{00000000-0005-0000-0000-000033510000}"/>
    <cellStyle name="Normal 2 2 3 4 5" xfId="10489" xr:uid="{00000000-0005-0000-0000-000034510000}"/>
    <cellStyle name="Normal 2 2 3 4 5 2" xfId="30409" xr:uid="{00000000-0005-0000-0000-000035510000}"/>
    <cellStyle name="Normal 2 2 3 4 6" xfId="16641" xr:uid="{00000000-0005-0000-0000-000036510000}"/>
    <cellStyle name="Normal 2 2 3 4 6 2" xfId="36561" xr:uid="{00000000-0005-0000-0000-000037510000}"/>
    <cellStyle name="Normal 2 2 3 4 7" xfId="24256" xr:uid="{00000000-0005-0000-0000-000038510000}"/>
    <cellStyle name="Normal 2 2 3 5" xfId="3451" xr:uid="{00000000-0005-0000-0000-000039510000}"/>
    <cellStyle name="Normal 2 2 3 5 2" xfId="4955" xr:uid="{00000000-0005-0000-0000-00003A510000}"/>
    <cellStyle name="Normal 2 2 3 5 2 2" xfId="6580" xr:uid="{00000000-0005-0000-0000-00003B510000}"/>
    <cellStyle name="Normal 2 2 3 5 2 2 2" xfId="9666" xr:uid="{00000000-0005-0000-0000-00003C510000}"/>
    <cellStyle name="Normal 2 2 3 5 2 2 2 2" xfId="15859" xr:uid="{00000000-0005-0000-0000-00003D510000}"/>
    <cellStyle name="Normal 2 2 3 5 2 2 2 2 2" xfId="35779" xr:uid="{00000000-0005-0000-0000-00003E510000}"/>
    <cellStyle name="Normal 2 2 3 5 2 2 2 3" xfId="22011" xr:uid="{00000000-0005-0000-0000-00003F510000}"/>
    <cellStyle name="Normal 2 2 3 5 2 2 2 3 2" xfId="41931" xr:uid="{00000000-0005-0000-0000-000040510000}"/>
    <cellStyle name="Normal 2 2 3 5 2 2 2 4" xfId="29626" xr:uid="{00000000-0005-0000-0000-000041510000}"/>
    <cellStyle name="Normal 2 2 3 5 2 2 3" xfId="12793" xr:uid="{00000000-0005-0000-0000-000042510000}"/>
    <cellStyle name="Normal 2 2 3 5 2 2 3 2" xfId="32713" xr:uid="{00000000-0005-0000-0000-000043510000}"/>
    <cellStyle name="Normal 2 2 3 5 2 2 4" xfId="18945" xr:uid="{00000000-0005-0000-0000-000044510000}"/>
    <cellStyle name="Normal 2 2 3 5 2 2 4 2" xfId="38865" xr:uid="{00000000-0005-0000-0000-000045510000}"/>
    <cellStyle name="Normal 2 2 3 5 2 2 5" xfId="26560" xr:uid="{00000000-0005-0000-0000-000046510000}"/>
    <cellStyle name="Normal 2 2 3 5 2 3" xfId="8131" xr:uid="{00000000-0005-0000-0000-000047510000}"/>
    <cellStyle name="Normal 2 2 3 5 2 3 2" xfId="14325" xr:uid="{00000000-0005-0000-0000-000048510000}"/>
    <cellStyle name="Normal 2 2 3 5 2 3 2 2" xfId="34245" xr:uid="{00000000-0005-0000-0000-000049510000}"/>
    <cellStyle name="Normal 2 2 3 5 2 3 3" xfId="20477" xr:uid="{00000000-0005-0000-0000-00004A510000}"/>
    <cellStyle name="Normal 2 2 3 5 2 3 3 2" xfId="40397" xr:uid="{00000000-0005-0000-0000-00004B510000}"/>
    <cellStyle name="Normal 2 2 3 5 2 3 4" xfId="28092" xr:uid="{00000000-0005-0000-0000-00004C510000}"/>
    <cellStyle name="Normal 2 2 3 5 2 4" xfId="11259" xr:uid="{00000000-0005-0000-0000-00004D510000}"/>
    <cellStyle name="Normal 2 2 3 5 2 4 2" xfId="31179" xr:uid="{00000000-0005-0000-0000-00004E510000}"/>
    <cellStyle name="Normal 2 2 3 5 2 5" xfId="17411" xr:uid="{00000000-0005-0000-0000-00004F510000}"/>
    <cellStyle name="Normal 2 2 3 5 2 5 2" xfId="37331" xr:uid="{00000000-0005-0000-0000-000050510000}"/>
    <cellStyle name="Normal 2 2 3 5 2 6" xfId="25026" xr:uid="{00000000-0005-0000-0000-000051510000}"/>
    <cellStyle name="Normal 2 2 3 5 3" xfId="5797" xr:uid="{00000000-0005-0000-0000-000052510000}"/>
    <cellStyle name="Normal 2 2 3 5 3 2" xfId="8897" xr:uid="{00000000-0005-0000-0000-000053510000}"/>
    <cellStyle name="Normal 2 2 3 5 3 2 2" xfId="15090" xr:uid="{00000000-0005-0000-0000-000054510000}"/>
    <cellStyle name="Normal 2 2 3 5 3 2 2 2" xfId="35010" xr:uid="{00000000-0005-0000-0000-000055510000}"/>
    <cellStyle name="Normal 2 2 3 5 3 2 3" xfId="21242" xr:uid="{00000000-0005-0000-0000-000056510000}"/>
    <cellStyle name="Normal 2 2 3 5 3 2 3 2" xfId="41162" xr:uid="{00000000-0005-0000-0000-000057510000}"/>
    <cellStyle name="Normal 2 2 3 5 3 2 4" xfId="28857" xr:uid="{00000000-0005-0000-0000-000058510000}"/>
    <cellStyle name="Normal 2 2 3 5 3 3" xfId="12024" xr:uid="{00000000-0005-0000-0000-000059510000}"/>
    <cellStyle name="Normal 2 2 3 5 3 3 2" xfId="31944" xr:uid="{00000000-0005-0000-0000-00005A510000}"/>
    <cellStyle name="Normal 2 2 3 5 3 4" xfId="18176" xr:uid="{00000000-0005-0000-0000-00005B510000}"/>
    <cellStyle name="Normal 2 2 3 5 3 4 2" xfId="38096" xr:uid="{00000000-0005-0000-0000-00005C510000}"/>
    <cellStyle name="Normal 2 2 3 5 3 5" xfId="25791" xr:uid="{00000000-0005-0000-0000-00005D510000}"/>
    <cellStyle name="Normal 2 2 3 5 4" xfId="7362" xr:uid="{00000000-0005-0000-0000-00005E510000}"/>
    <cellStyle name="Normal 2 2 3 5 4 2" xfId="13556" xr:uid="{00000000-0005-0000-0000-00005F510000}"/>
    <cellStyle name="Normal 2 2 3 5 4 2 2" xfId="33476" xr:uid="{00000000-0005-0000-0000-000060510000}"/>
    <cellStyle name="Normal 2 2 3 5 4 3" xfId="19708" xr:uid="{00000000-0005-0000-0000-000061510000}"/>
    <cellStyle name="Normal 2 2 3 5 4 3 2" xfId="39628" xr:uid="{00000000-0005-0000-0000-000062510000}"/>
    <cellStyle name="Normal 2 2 3 5 4 4" xfId="27323" xr:uid="{00000000-0005-0000-0000-000063510000}"/>
    <cellStyle name="Normal 2 2 3 5 5" xfId="10490" xr:uid="{00000000-0005-0000-0000-000064510000}"/>
    <cellStyle name="Normal 2 2 3 5 5 2" xfId="30410" xr:uid="{00000000-0005-0000-0000-000065510000}"/>
    <cellStyle name="Normal 2 2 3 5 6" xfId="16642" xr:uid="{00000000-0005-0000-0000-000066510000}"/>
    <cellStyle name="Normal 2 2 3 5 6 2" xfId="36562" xr:uid="{00000000-0005-0000-0000-000067510000}"/>
    <cellStyle name="Normal 2 2 3 5 7" xfId="24257" xr:uid="{00000000-0005-0000-0000-000068510000}"/>
    <cellStyle name="Normal 2 2 3 6" xfId="3452" xr:uid="{00000000-0005-0000-0000-000069510000}"/>
    <cellStyle name="Normal 2 2 3 6 2" xfId="4956" xr:uid="{00000000-0005-0000-0000-00006A510000}"/>
    <cellStyle name="Normal 2 2 3 6 2 2" xfId="6581" xr:uid="{00000000-0005-0000-0000-00006B510000}"/>
    <cellStyle name="Normal 2 2 3 6 2 2 2" xfId="9667" xr:uid="{00000000-0005-0000-0000-00006C510000}"/>
    <cellStyle name="Normal 2 2 3 6 2 2 2 2" xfId="15860" xr:uid="{00000000-0005-0000-0000-00006D510000}"/>
    <cellStyle name="Normal 2 2 3 6 2 2 2 2 2" xfId="35780" xr:uid="{00000000-0005-0000-0000-00006E510000}"/>
    <cellStyle name="Normal 2 2 3 6 2 2 2 3" xfId="22012" xr:uid="{00000000-0005-0000-0000-00006F510000}"/>
    <cellStyle name="Normal 2 2 3 6 2 2 2 3 2" xfId="41932" xr:uid="{00000000-0005-0000-0000-000070510000}"/>
    <cellStyle name="Normal 2 2 3 6 2 2 2 4" xfId="29627" xr:uid="{00000000-0005-0000-0000-000071510000}"/>
    <cellStyle name="Normal 2 2 3 6 2 2 3" xfId="12794" xr:uid="{00000000-0005-0000-0000-000072510000}"/>
    <cellStyle name="Normal 2 2 3 6 2 2 3 2" xfId="32714" xr:uid="{00000000-0005-0000-0000-000073510000}"/>
    <cellStyle name="Normal 2 2 3 6 2 2 4" xfId="18946" xr:uid="{00000000-0005-0000-0000-000074510000}"/>
    <cellStyle name="Normal 2 2 3 6 2 2 4 2" xfId="38866" xr:uid="{00000000-0005-0000-0000-000075510000}"/>
    <cellStyle name="Normal 2 2 3 6 2 2 5" xfId="26561" xr:uid="{00000000-0005-0000-0000-000076510000}"/>
    <cellStyle name="Normal 2 2 3 6 2 3" xfId="8132" xr:uid="{00000000-0005-0000-0000-000077510000}"/>
    <cellStyle name="Normal 2 2 3 6 2 3 2" xfId="14326" xr:uid="{00000000-0005-0000-0000-000078510000}"/>
    <cellStyle name="Normal 2 2 3 6 2 3 2 2" xfId="34246" xr:uid="{00000000-0005-0000-0000-000079510000}"/>
    <cellStyle name="Normal 2 2 3 6 2 3 3" xfId="20478" xr:uid="{00000000-0005-0000-0000-00007A510000}"/>
    <cellStyle name="Normal 2 2 3 6 2 3 3 2" xfId="40398" xr:uid="{00000000-0005-0000-0000-00007B510000}"/>
    <cellStyle name="Normal 2 2 3 6 2 3 4" xfId="28093" xr:uid="{00000000-0005-0000-0000-00007C510000}"/>
    <cellStyle name="Normal 2 2 3 6 2 4" xfId="11260" xr:uid="{00000000-0005-0000-0000-00007D510000}"/>
    <cellStyle name="Normal 2 2 3 6 2 4 2" xfId="31180" xr:uid="{00000000-0005-0000-0000-00007E510000}"/>
    <cellStyle name="Normal 2 2 3 6 2 5" xfId="17412" xr:uid="{00000000-0005-0000-0000-00007F510000}"/>
    <cellStyle name="Normal 2 2 3 6 2 5 2" xfId="37332" xr:uid="{00000000-0005-0000-0000-000080510000}"/>
    <cellStyle name="Normal 2 2 3 6 2 6" xfId="25027" xr:uid="{00000000-0005-0000-0000-000081510000}"/>
    <cellStyle name="Normal 2 2 3 6 3" xfId="5798" xr:uid="{00000000-0005-0000-0000-000082510000}"/>
    <cellStyle name="Normal 2 2 3 6 3 2" xfId="8898" xr:uid="{00000000-0005-0000-0000-000083510000}"/>
    <cellStyle name="Normal 2 2 3 6 3 2 2" xfId="15091" xr:uid="{00000000-0005-0000-0000-000084510000}"/>
    <cellStyle name="Normal 2 2 3 6 3 2 2 2" xfId="35011" xr:uid="{00000000-0005-0000-0000-000085510000}"/>
    <cellStyle name="Normal 2 2 3 6 3 2 3" xfId="21243" xr:uid="{00000000-0005-0000-0000-000086510000}"/>
    <cellStyle name="Normal 2 2 3 6 3 2 3 2" xfId="41163" xr:uid="{00000000-0005-0000-0000-000087510000}"/>
    <cellStyle name="Normal 2 2 3 6 3 2 4" xfId="28858" xr:uid="{00000000-0005-0000-0000-000088510000}"/>
    <cellStyle name="Normal 2 2 3 6 3 3" xfId="12025" xr:uid="{00000000-0005-0000-0000-000089510000}"/>
    <cellStyle name="Normal 2 2 3 6 3 3 2" xfId="31945" xr:uid="{00000000-0005-0000-0000-00008A510000}"/>
    <cellStyle name="Normal 2 2 3 6 3 4" xfId="18177" xr:uid="{00000000-0005-0000-0000-00008B510000}"/>
    <cellStyle name="Normal 2 2 3 6 3 4 2" xfId="38097" xr:uid="{00000000-0005-0000-0000-00008C510000}"/>
    <cellStyle name="Normal 2 2 3 6 3 5" xfId="25792" xr:uid="{00000000-0005-0000-0000-00008D510000}"/>
    <cellStyle name="Normal 2 2 3 6 4" xfId="7363" xr:uid="{00000000-0005-0000-0000-00008E510000}"/>
    <cellStyle name="Normal 2 2 3 6 4 2" xfId="13557" xr:uid="{00000000-0005-0000-0000-00008F510000}"/>
    <cellStyle name="Normal 2 2 3 6 4 2 2" xfId="33477" xr:uid="{00000000-0005-0000-0000-000090510000}"/>
    <cellStyle name="Normal 2 2 3 6 4 3" xfId="19709" xr:uid="{00000000-0005-0000-0000-000091510000}"/>
    <cellStyle name="Normal 2 2 3 6 4 3 2" xfId="39629" xr:uid="{00000000-0005-0000-0000-000092510000}"/>
    <cellStyle name="Normal 2 2 3 6 4 4" xfId="27324" xr:uid="{00000000-0005-0000-0000-000093510000}"/>
    <cellStyle name="Normal 2 2 3 6 5" xfId="10491" xr:uid="{00000000-0005-0000-0000-000094510000}"/>
    <cellStyle name="Normal 2 2 3 6 5 2" xfId="30411" xr:uid="{00000000-0005-0000-0000-000095510000}"/>
    <cellStyle name="Normal 2 2 3 6 6" xfId="16643" xr:uid="{00000000-0005-0000-0000-000096510000}"/>
    <cellStyle name="Normal 2 2 3 6 6 2" xfId="36563" xr:uid="{00000000-0005-0000-0000-000097510000}"/>
    <cellStyle name="Normal 2 2 3 6 7" xfId="24258" xr:uid="{00000000-0005-0000-0000-000098510000}"/>
    <cellStyle name="Normal 2 2 3 7" xfId="3453" xr:uid="{00000000-0005-0000-0000-000099510000}"/>
    <cellStyle name="Normal 2 2 3 7 2" xfId="3454" xr:uid="{00000000-0005-0000-0000-00009A510000}"/>
    <cellStyle name="Normal 2 2 3 8" xfId="3455" xr:uid="{00000000-0005-0000-0000-00009B510000}"/>
    <cellStyle name="Normal 2 2 3 8 2" xfId="3456" xr:uid="{00000000-0005-0000-0000-00009C510000}"/>
    <cellStyle name="Normal 2 2 3 9" xfId="4951" xr:uid="{00000000-0005-0000-0000-00009D510000}"/>
    <cellStyle name="Normal 2 2 3 9 2" xfId="6576" xr:uid="{00000000-0005-0000-0000-00009E510000}"/>
    <cellStyle name="Normal 2 2 3 9 2 2" xfId="9662" xr:uid="{00000000-0005-0000-0000-00009F510000}"/>
    <cellStyle name="Normal 2 2 3 9 2 2 2" xfId="15855" xr:uid="{00000000-0005-0000-0000-0000A0510000}"/>
    <cellStyle name="Normal 2 2 3 9 2 2 2 2" xfId="35775" xr:uid="{00000000-0005-0000-0000-0000A1510000}"/>
    <cellStyle name="Normal 2 2 3 9 2 2 3" xfId="22007" xr:uid="{00000000-0005-0000-0000-0000A2510000}"/>
    <cellStyle name="Normal 2 2 3 9 2 2 3 2" xfId="41927" xr:uid="{00000000-0005-0000-0000-0000A3510000}"/>
    <cellStyle name="Normal 2 2 3 9 2 2 4" xfId="29622" xr:uid="{00000000-0005-0000-0000-0000A4510000}"/>
    <cellStyle name="Normal 2 2 3 9 2 3" xfId="12789" xr:uid="{00000000-0005-0000-0000-0000A5510000}"/>
    <cellStyle name="Normal 2 2 3 9 2 3 2" xfId="32709" xr:uid="{00000000-0005-0000-0000-0000A6510000}"/>
    <cellStyle name="Normal 2 2 3 9 2 4" xfId="18941" xr:uid="{00000000-0005-0000-0000-0000A7510000}"/>
    <cellStyle name="Normal 2 2 3 9 2 4 2" xfId="38861" xr:uid="{00000000-0005-0000-0000-0000A8510000}"/>
    <cellStyle name="Normal 2 2 3 9 2 5" xfId="26556" xr:uid="{00000000-0005-0000-0000-0000A9510000}"/>
    <cellStyle name="Normal 2 2 3 9 3" xfId="8127" xr:uid="{00000000-0005-0000-0000-0000AA510000}"/>
    <cellStyle name="Normal 2 2 3 9 3 2" xfId="14321" xr:uid="{00000000-0005-0000-0000-0000AB510000}"/>
    <cellStyle name="Normal 2 2 3 9 3 2 2" xfId="34241" xr:uid="{00000000-0005-0000-0000-0000AC510000}"/>
    <cellStyle name="Normal 2 2 3 9 3 3" xfId="20473" xr:uid="{00000000-0005-0000-0000-0000AD510000}"/>
    <cellStyle name="Normal 2 2 3 9 3 3 2" xfId="40393" xr:uid="{00000000-0005-0000-0000-0000AE510000}"/>
    <cellStyle name="Normal 2 2 3 9 3 4" xfId="28088" xr:uid="{00000000-0005-0000-0000-0000AF510000}"/>
    <cellStyle name="Normal 2 2 3 9 4" xfId="11255" xr:uid="{00000000-0005-0000-0000-0000B0510000}"/>
    <cellStyle name="Normal 2 2 3 9 4 2" xfId="31175" xr:uid="{00000000-0005-0000-0000-0000B1510000}"/>
    <cellStyle name="Normal 2 2 3 9 5" xfId="17407" xr:uid="{00000000-0005-0000-0000-0000B2510000}"/>
    <cellStyle name="Normal 2 2 3 9 5 2" xfId="37327" xr:uid="{00000000-0005-0000-0000-0000B3510000}"/>
    <cellStyle name="Normal 2 2 3 9 6" xfId="25022" xr:uid="{00000000-0005-0000-0000-0000B4510000}"/>
    <cellStyle name="Normal 2 2 30" xfId="1039" xr:uid="{00000000-0005-0000-0000-0000B5510000}"/>
    <cellStyle name="Normal 2 2 30 2" xfId="23920" xr:uid="{00000000-0005-0000-0000-0000B6510000}"/>
    <cellStyle name="Normal 2 2 4" xfId="145" xr:uid="{00000000-0005-0000-0000-0000B7510000}"/>
    <cellStyle name="Normal 2 2 4 10" xfId="3457" xr:uid="{00000000-0005-0000-0000-0000B8510000}"/>
    <cellStyle name="Normal 2 2 4 10 2" xfId="24259" xr:uid="{00000000-0005-0000-0000-0000B9510000}"/>
    <cellStyle name="Normal 2 2 4 2" xfId="3458" xr:uid="{00000000-0005-0000-0000-0000BA510000}"/>
    <cellStyle name="Normal 2 2 4 2 2" xfId="4958" xr:uid="{00000000-0005-0000-0000-0000BB510000}"/>
    <cellStyle name="Normal 2 2 4 2 2 2" xfId="6583" xr:uid="{00000000-0005-0000-0000-0000BC510000}"/>
    <cellStyle name="Normal 2 2 4 2 2 2 2" xfId="9669" xr:uid="{00000000-0005-0000-0000-0000BD510000}"/>
    <cellStyle name="Normal 2 2 4 2 2 2 2 2" xfId="15862" xr:uid="{00000000-0005-0000-0000-0000BE510000}"/>
    <cellStyle name="Normal 2 2 4 2 2 2 2 2 2" xfId="35782" xr:uid="{00000000-0005-0000-0000-0000BF510000}"/>
    <cellStyle name="Normal 2 2 4 2 2 2 2 3" xfId="22014" xr:uid="{00000000-0005-0000-0000-0000C0510000}"/>
    <cellStyle name="Normal 2 2 4 2 2 2 2 3 2" xfId="41934" xr:uid="{00000000-0005-0000-0000-0000C1510000}"/>
    <cellStyle name="Normal 2 2 4 2 2 2 2 4" xfId="29629" xr:uid="{00000000-0005-0000-0000-0000C2510000}"/>
    <cellStyle name="Normal 2 2 4 2 2 2 3" xfId="12796" xr:uid="{00000000-0005-0000-0000-0000C3510000}"/>
    <cellStyle name="Normal 2 2 4 2 2 2 3 2" xfId="32716" xr:uid="{00000000-0005-0000-0000-0000C4510000}"/>
    <cellStyle name="Normal 2 2 4 2 2 2 4" xfId="18948" xr:uid="{00000000-0005-0000-0000-0000C5510000}"/>
    <cellStyle name="Normal 2 2 4 2 2 2 4 2" xfId="38868" xr:uid="{00000000-0005-0000-0000-0000C6510000}"/>
    <cellStyle name="Normal 2 2 4 2 2 2 5" xfId="26563" xr:uid="{00000000-0005-0000-0000-0000C7510000}"/>
    <cellStyle name="Normal 2 2 4 2 2 3" xfId="8134" xr:uid="{00000000-0005-0000-0000-0000C8510000}"/>
    <cellStyle name="Normal 2 2 4 2 2 3 2" xfId="14328" xr:uid="{00000000-0005-0000-0000-0000C9510000}"/>
    <cellStyle name="Normal 2 2 4 2 2 3 2 2" xfId="34248" xr:uid="{00000000-0005-0000-0000-0000CA510000}"/>
    <cellStyle name="Normal 2 2 4 2 2 3 3" xfId="20480" xr:uid="{00000000-0005-0000-0000-0000CB510000}"/>
    <cellStyle name="Normal 2 2 4 2 2 3 3 2" xfId="40400" xr:uid="{00000000-0005-0000-0000-0000CC510000}"/>
    <cellStyle name="Normal 2 2 4 2 2 3 4" xfId="28095" xr:uid="{00000000-0005-0000-0000-0000CD510000}"/>
    <cellStyle name="Normal 2 2 4 2 2 4" xfId="11262" xr:uid="{00000000-0005-0000-0000-0000CE510000}"/>
    <cellStyle name="Normal 2 2 4 2 2 4 2" xfId="31182" xr:uid="{00000000-0005-0000-0000-0000CF510000}"/>
    <cellStyle name="Normal 2 2 4 2 2 5" xfId="17414" xr:uid="{00000000-0005-0000-0000-0000D0510000}"/>
    <cellStyle name="Normal 2 2 4 2 2 5 2" xfId="37334" xr:uid="{00000000-0005-0000-0000-0000D1510000}"/>
    <cellStyle name="Normal 2 2 4 2 2 6" xfId="25029" xr:uid="{00000000-0005-0000-0000-0000D2510000}"/>
    <cellStyle name="Normal 2 2 4 2 3" xfId="5800" xr:uid="{00000000-0005-0000-0000-0000D3510000}"/>
    <cellStyle name="Normal 2 2 4 2 3 2" xfId="8900" xr:uid="{00000000-0005-0000-0000-0000D4510000}"/>
    <cellStyle name="Normal 2 2 4 2 3 2 2" xfId="15093" xr:uid="{00000000-0005-0000-0000-0000D5510000}"/>
    <cellStyle name="Normal 2 2 4 2 3 2 2 2" xfId="35013" xr:uid="{00000000-0005-0000-0000-0000D6510000}"/>
    <cellStyle name="Normal 2 2 4 2 3 2 3" xfId="21245" xr:uid="{00000000-0005-0000-0000-0000D7510000}"/>
    <cellStyle name="Normal 2 2 4 2 3 2 3 2" xfId="41165" xr:uid="{00000000-0005-0000-0000-0000D8510000}"/>
    <cellStyle name="Normal 2 2 4 2 3 2 4" xfId="28860" xr:uid="{00000000-0005-0000-0000-0000D9510000}"/>
    <cellStyle name="Normal 2 2 4 2 3 3" xfId="12027" xr:uid="{00000000-0005-0000-0000-0000DA510000}"/>
    <cellStyle name="Normal 2 2 4 2 3 3 2" xfId="31947" xr:uid="{00000000-0005-0000-0000-0000DB510000}"/>
    <cellStyle name="Normal 2 2 4 2 3 4" xfId="18179" xr:uid="{00000000-0005-0000-0000-0000DC510000}"/>
    <cellStyle name="Normal 2 2 4 2 3 4 2" xfId="38099" xr:uid="{00000000-0005-0000-0000-0000DD510000}"/>
    <cellStyle name="Normal 2 2 4 2 3 5" xfId="25794" xr:uid="{00000000-0005-0000-0000-0000DE510000}"/>
    <cellStyle name="Normal 2 2 4 2 4" xfId="7365" xr:uid="{00000000-0005-0000-0000-0000DF510000}"/>
    <cellStyle name="Normal 2 2 4 2 4 2" xfId="13559" xr:uid="{00000000-0005-0000-0000-0000E0510000}"/>
    <cellStyle name="Normal 2 2 4 2 4 2 2" xfId="33479" xr:uid="{00000000-0005-0000-0000-0000E1510000}"/>
    <cellStyle name="Normal 2 2 4 2 4 3" xfId="19711" xr:uid="{00000000-0005-0000-0000-0000E2510000}"/>
    <cellStyle name="Normal 2 2 4 2 4 3 2" xfId="39631" xr:uid="{00000000-0005-0000-0000-0000E3510000}"/>
    <cellStyle name="Normal 2 2 4 2 4 4" xfId="27326" xr:uid="{00000000-0005-0000-0000-0000E4510000}"/>
    <cellStyle name="Normal 2 2 4 2 5" xfId="10493" xr:uid="{00000000-0005-0000-0000-0000E5510000}"/>
    <cellStyle name="Normal 2 2 4 2 5 2" xfId="30413" xr:uid="{00000000-0005-0000-0000-0000E6510000}"/>
    <cellStyle name="Normal 2 2 4 2 6" xfId="16645" xr:uid="{00000000-0005-0000-0000-0000E7510000}"/>
    <cellStyle name="Normal 2 2 4 2 6 2" xfId="36565" xr:uid="{00000000-0005-0000-0000-0000E8510000}"/>
    <cellStyle name="Normal 2 2 4 2 7" xfId="24260" xr:uid="{00000000-0005-0000-0000-0000E9510000}"/>
    <cellStyle name="Normal 2 2 4 3" xfId="3459" xr:uid="{00000000-0005-0000-0000-0000EA510000}"/>
    <cellStyle name="Normal 2 2 4 3 2" xfId="3460" xr:uid="{00000000-0005-0000-0000-0000EB510000}"/>
    <cellStyle name="Normal 2 2 4 4" xfId="3461" xr:uid="{00000000-0005-0000-0000-0000EC510000}"/>
    <cellStyle name="Normal 2 2 4 4 2" xfId="3462" xr:uid="{00000000-0005-0000-0000-0000ED510000}"/>
    <cellStyle name="Normal 2 2 4 5" xfId="4957" xr:uid="{00000000-0005-0000-0000-0000EE510000}"/>
    <cellStyle name="Normal 2 2 4 5 2" xfId="6582" xr:uid="{00000000-0005-0000-0000-0000EF510000}"/>
    <cellStyle name="Normal 2 2 4 5 2 2" xfId="9668" xr:uid="{00000000-0005-0000-0000-0000F0510000}"/>
    <cellStyle name="Normal 2 2 4 5 2 2 2" xfId="15861" xr:uid="{00000000-0005-0000-0000-0000F1510000}"/>
    <cellStyle name="Normal 2 2 4 5 2 2 2 2" xfId="35781" xr:uid="{00000000-0005-0000-0000-0000F2510000}"/>
    <cellStyle name="Normal 2 2 4 5 2 2 3" xfId="22013" xr:uid="{00000000-0005-0000-0000-0000F3510000}"/>
    <cellStyle name="Normal 2 2 4 5 2 2 3 2" xfId="41933" xr:uid="{00000000-0005-0000-0000-0000F4510000}"/>
    <cellStyle name="Normal 2 2 4 5 2 2 4" xfId="29628" xr:uid="{00000000-0005-0000-0000-0000F5510000}"/>
    <cellStyle name="Normal 2 2 4 5 2 3" xfId="12795" xr:uid="{00000000-0005-0000-0000-0000F6510000}"/>
    <cellStyle name="Normal 2 2 4 5 2 3 2" xfId="32715" xr:uid="{00000000-0005-0000-0000-0000F7510000}"/>
    <cellStyle name="Normal 2 2 4 5 2 4" xfId="18947" xr:uid="{00000000-0005-0000-0000-0000F8510000}"/>
    <cellStyle name="Normal 2 2 4 5 2 4 2" xfId="38867" xr:uid="{00000000-0005-0000-0000-0000F9510000}"/>
    <cellStyle name="Normal 2 2 4 5 2 5" xfId="26562" xr:uid="{00000000-0005-0000-0000-0000FA510000}"/>
    <cellStyle name="Normal 2 2 4 5 3" xfId="8133" xr:uid="{00000000-0005-0000-0000-0000FB510000}"/>
    <cellStyle name="Normal 2 2 4 5 3 2" xfId="14327" xr:uid="{00000000-0005-0000-0000-0000FC510000}"/>
    <cellStyle name="Normal 2 2 4 5 3 2 2" xfId="34247" xr:uid="{00000000-0005-0000-0000-0000FD510000}"/>
    <cellStyle name="Normal 2 2 4 5 3 3" xfId="20479" xr:uid="{00000000-0005-0000-0000-0000FE510000}"/>
    <cellStyle name="Normal 2 2 4 5 3 3 2" xfId="40399" xr:uid="{00000000-0005-0000-0000-0000FF510000}"/>
    <cellStyle name="Normal 2 2 4 5 3 4" xfId="28094" xr:uid="{00000000-0005-0000-0000-000000520000}"/>
    <cellStyle name="Normal 2 2 4 5 4" xfId="11261" xr:uid="{00000000-0005-0000-0000-000001520000}"/>
    <cellStyle name="Normal 2 2 4 5 4 2" xfId="31181" xr:uid="{00000000-0005-0000-0000-000002520000}"/>
    <cellStyle name="Normal 2 2 4 5 5" xfId="17413" xr:uid="{00000000-0005-0000-0000-000003520000}"/>
    <cellStyle name="Normal 2 2 4 5 5 2" xfId="37333" xr:uid="{00000000-0005-0000-0000-000004520000}"/>
    <cellStyle name="Normal 2 2 4 5 6" xfId="25028" xr:uid="{00000000-0005-0000-0000-000005520000}"/>
    <cellStyle name="Normal 2 2 4 6" xfId="5799" xr:uid="{00000000-0005-0000-0000-000006520000}"/>
    <cellStyle name="Normal 2 2 4 6 2" xfId="8899" xr:uid="{00000000-0005-0000-0000-000007520000}"/>
    <cellStyle name="Normal 2 2 4 6 2 2" xfId="15092" xr:uid="{00000000-0005-0000-0000-000008520000}"/>
    <cellStyle name="Normal 2 2 4 6 2 2 2" xfId="35012" xr:uid="{00000000-0005-0000-0000-000009520000}"/>
    <cellStyle name="Normal 2 2 4 6 2 3" xfId="21244" xr:uid="{00000000-0005-0000-0000-00000A520000}"/>
    <cellStyle name="Normal 2 2 4 6 2 3 2" xfId="41164" xr:uid="{00000000-0005-0000-0000-00000B520000}"/>
    <cellStyle name="Normal 2 2 4 6 2 4" xfId="28859" xr:uid="{00000000-0005-0000-0000-00000C520000}"/>
    <cellStyle name="Normal 2 2 4 6 3" xfId="12026" xr:uid="{00000000-0005-0000-0000-00000D520000}"/>
    <cellStyle name="Normal 2 2 4 6 3 2" xfId="31946" xr:uid="{00000000-0005-0000-0000-00000E520000}"/>
    <cellStyle name="Normal 2 2 4 6 4" xfId="18178" xr:uid="{00000000-0005-0000-0000-00000F520000}"/>
    <cellStyle name="Normal 2 2 4 6 4 2" xfId="38098" xr:uid="{00000000-0005-0000-0000-000010520000}"/>
    <cellStyle name="Normal 2 2 4 6 5" xfId="25793" xr:uid="{00000000-0005-0000-0000-000011520000}"/>
    <cellStyle name="Normal 2 2 4 7" xfId="7364" xr:uid="{00000000-0005-0000-0000-000012520000}"/>
    <cellStyle name="Normal 2 2 4 7 2" xfId="13558" xr:uid="{00000000-0005-0000-0000-000013520000}"/>
    <cellStyle name="Normal 2 2 4 7 2 2" xfId="33478" xr:uid="{00000000-0005-0000-0000-000014520000}"/>
    <cellStyle name="Normal 2 2 4 7 3" xfId="19710" xr:uid="{00000000-0005-0000-0000-000015520000}"/>
    <cellStyle name="Normal 2 2 4 7 3 2" xfId="39630" xr:uid="{00000000-0005-0000-0000-000016520000}"/>
    <cellStyle name="Normal 2 2 4 7 4" xfId="27325" xr:uid="{00000000-0005-0000-0000-000017520000}"/>
    <cellStyle name="Normal 2 2 4 8" xfId="10492" xr:uid="{00000000-0005-0000-0000-000018520000}"/>
    <cellStyle name="Normal 2 2 4 8 2" xfId="30412" xr:uid="{00000000-0005-0000-0000-000019520000}"/>
    <cellStyle name="Normal 2 2 4 9" xfId="16644" xr:uid="{00000000-0005-0000-0000-00001A520000}"/>
    <cellStyle name="Normal 2 2 4 9 2" xfId="36564" xr:uid="{00000000-0005-0000-0000-00001B520000}"/>
    <cellStyle name="Normal 2 2 5" xfId="170" xr:uid="{00000000-0005-0000-0000-00001C520000}"/>
    <cellStyle name="Normal 2 2 5 2" xfId="3464" xr:uid="{00000000-0005-0000-0000-00001D520000}"/>
    <cellStyle name="Normal 2 2 5 2 2" xfId="4960" xr:uid="{00000000-0005-0000-0000-00001E520000}"/>
    <cellStyle name="Normal 2 2 5 2 2 2" xfId="6585" xr:uid="{00000000-0005-0000-0000-00001F520000}"/>
    <cellStyle name="Normal 2 2 5 2 2 2 2" xfId="9671" xr:uid="{00000000-0005-0000-0000-000020520000}"/>
    <cellStyle name="Normal 2 2 5 2 2 2 2 2" xfId="15864" xr:uid="{00000000-0005-0000-0000-000021520000}"/>
    <cellStyle name="Normal 2 2 5 2 2 2 2 2 2" xfId="35784" xr:uid="{00000000-0005-0000-0000-000022520000}"/>
    <cellStyle name="Normal 2 2 5 2 2 2 2 3" xfId="22016" xr:uid="{00000000-0005-0000-0000-000023520000}"/>
    <cellStyle name="Normal 2 2 5 2 2 2 2 3 2" xfId="41936" xr:uid="{00000000-0005-0000-0000-000024520000}"/>
    <cellStyle name="Normal 2 2 5 2 2 2 2 4" xfId="29631" xr:uid="{00000000-0005-0000-0000-000025520000}"/>
    <cellStyle name="Normal 2 2 5 2 2 2 3" xfId="12798" xr:uid="{00000000-0005-0000-0000-000026520000}"/>
    <cellStyle name="Normal 2 2 5 2 2 2 3 2" xfId="32718" xr:uid="{00000000-0005-0000-0000-000027520000}"/>
    <cellStyle name="Normal 2 2 5 2 2 2 4" xfId="18950" xr:uid="{00000000-0005-0000-0000-000028520000}"/>
    <cellStyle name="Normal 2 2 5 2 2 2 4 2" xfId="38870" xr:uid="{00000000-0005-0000-0000-000029520000}"/>
    <cellStyle name="Normal 2 2 5 2 2 2 5" xfId="26565" xr:uid="{00000000-0005-0000-0000-00002A520000}"/>
    <cellStyle name="Normal 2 2 5 2 2 3" xfId="8136" xr:uid="{00000000-0005-0000-0000-00002B520000}"/>
    <cellStyle name="Normal 2 2 5 2 2 3 2" xfId="14330" xr:uid="{00000000-0005-0000-0000-00002C520000}"/>
    <cellStyle name="Normal 2 2 5 2 2 3 2 2" xfId="34250" xr:uid="{00000000-0005-0000-0000-00002D520000}"/>
    <cellStyle name="Normal 2 2 5 2 2 3 3" xfId="20482" xr:uid="{00000000-0005-0000-0000-00002E520000}"/>
    <cellStyle name="Normal 2 2 5 2 2 3 3 2" xfId="40402" xr:uid="{00000000-0005-0000-0000-00002F520000}"/>
    <cellStyle name="Normal 2 2 5 2 2 3 4" xfId="28097" xr:uid="{00000000-0005-0000-0000-000030520000}"/>
    <cellStyle name="Normal 2 2 5 2 2 4" xfId="11264" xr:uid="{00000000-0005-0000-0000-000031520000}"/>
    <cellStyle name="Normal 2 2 5 2 2 4 2" xfId="31184" xr:uid="{00000000-0005-0000-0000-000032520000}"/>
    <cellStyle name="Normal 2 2 5 2 2 5" xfId="17416" xr:uid="{00000000-0005-0000-0000-000033520000}"/>
    <cellStyle name="Normal 2 2 5 2 2 5 2" xfId="37336" xr:uid="{00000000-0005-0000-0000-000034520000}"/>
    <cellStyle name="Normal 2 2 5 2 2 6" xfId="25031" xr:uid="{00000000-0005-0000-0000-000035520000}"/>
    <cellStyle name="Normal 2 2 5 2 3" xfId="5802" xr:uid="{00000000-0005-0000-0000-000036520000}"/>
    <cellStyle name="Normal 2 2 5 2 3 2" xfId="8902" xr:uid="{00000000-0005-0000-0000-000037520000}"/>
    <cellStyle name="Normal 2 2 5 2 3 2 2" xfId="15095" xr:uid="{00000000-0005-0000-0000-000038520000}"/>
    <cellStyle name="Normal 2 2 5 2 3 2 2 2" xfId="35015" xr:uid="{00000000-0005-0000-0000-000039520000}"/>
    <cellStyle name="Normal 2 2 5 2 3 2 3" xfId="21247" xr:uid="{00000000-0005-0000-0000-00003A520000}"/>
    <cellStyle name="Normal 2 2 5 2 3 2 3 2" xfId="41167" xr:uid="{00000000-0005-0000-0000-00003B520000}"/>
    <cellStyle name="Normal 2 2 5 2 3 2 4" xfId="28862" xr:uid="{00000000-0005-0000-0000-00003C520000}"/>
    <cellStyle name="Normal 2 2 5 2 3 3" xfId="12029" xr:uid="{00000000-0005-0000-0000-00003D520000}"/>
    <cellStyle name="Normal 2 2 5 2 3 3 2" xfId="31949" xr:uid="{00000000-0005-0000-0000-00003E520000}"/>
    <cellStyle name="Normal 2 2 5 2 3 4" xfId="18181" xr:uid="{00000000-0005-0000-0000-00003F520000}"/>
    <cellStyle name="Normal 2 2 5 2 3 4 2" xfId="38101" xr:uid="{00000000-0005-0000-0000-000040520000}"/>
    <cellStyle name="Normal 2 2 5 2 3 5" xfId="25796" xr:uid="{00000000-0005-0000-0000-000041520000}"/>
    <cellStyle name="Normal 2 2 5 2 4" xfId="7367" xr:uid="{00000000-0005-0000-0000-000042520000}"/>
    <cellStyle name="Normal 2 2 5 2 4 2" xfId="13561" xr:uid="{00000000-0005-0000-0000-000043520000}"/>
    <cellStyle name="Normal 2 2 5 2 4 2 2" xfId="33481" xr:uid="{00000000-0005-0000-0000-000044520000}"/>
    <cellStyle name="Normal 2 2 5 2 4 3" xfId="19713" xr:uid="{00000000-0005-0000-0000-000045520000}"/>
    <cellStyle name="Normal 2 2 5 2 4 3 2" xfId="39633" xr:uid="{00000000-0005-0000-0000-000046520000}"/>
    <cellStyle name="Normal 2 2 5 2 4 4" xfId="27328" xr:uid="{00000000-0005-0000-0000-000047520000}"/>
    <cellStyle name="Normal 2 2 5 2 5" xfId="10495" xr:uid="{00000000-0005-0000-0000-000048520000}"/>
    <cellStyle name="Normal 2 2 5 2 5 2" xfId="30415" xr:uid="{00000000-0005-0000-0000-000049520000}"/>
    <cellStyle name="Normal 2 2 5 2 6" xfId="16647" xr:uid="{00000000-0005-0000-0000-00004A520000}"/>
    <cellStyle name="Normal 2 2 5 2 6 2" xfId="36567" xr:uid="{00000000-0005-0000-0000-00004B520000}"/>
    <cellStyle name="Normal 2 2 5 2 7" xfId="24262" xr:uid="{00000000-0005-0000-0000-00004C520000}"/>
    <cellStyle name="Normal 2 2 5 3" xfId="3465" xr:uid="{00000000-0005-0000-0000-00004D520000}"/>
    <cellStyle name="Normal 2 2 5 4" xfId="4959" xr:uid="{00000000-0005-0000-0000-00004E520000}"/>
    <cellStyle name="Normal 2 2 5 4 2" xfId="6584" xr:uid="{00000000-0005-0000-0000-00004F520000}"/>
    <cellStyle name="Normal 2 2 5 4 2 2" xfId="9670" xr:uid="{00000000-0005-0000-0000-000050520000}"/>
    <cellStyle name="Normal 2 2 5 4 2 2 2" xfId="15863" xr:uid="{00000000-0005-0000-0000-000051520000}"/>
    <cellStyle name="Normal 2 2 5 4 2 2 2 2" xfId="35783" xr:uid="{00000000-0005-0000-0000-000052520000}"/>
    <cellStyle name="Normal 2 2 5 4 2 2 3" xfId="22015" xr:uid="{00000000-0005-0000-0000-000053520000}"/>
    <cellStyle name="Normal 2 2 5 4 2 2 3 2" xfId="41935" xr:uid="{00000000-0005-0000-0000-000054520000}"/>
    <cellStyle name="Normal 2 2 5 4 2 2 4" xfId="29630" xr:uid="{00000000-0005-0000-0000-000055520000}"/>
    <cellStyle name="Normal 2 2 5 4 2 3" xfId="12797" xr:uid="{00000000-0005-0000-0000-000056520000}"/>
    <cellStyle name="Normal 2 2 5 4 2 3 2" xfId="32717" xr:uid="{00000000-0005-0000-0000-000057520000}"/>
    <cellStyle name="Normal 2 2 5 4 2 4" xfId="18949" xr:uid="{00000000-0005-0000-0000-000058520000}"/>
    <cellStyle name="Normal 2 2 5 4 2 4 2" xfId="38869" xr:uid="{00000000-0005-0000-0000-000059520000}"/>
    <cellStyle name="Normal 2 2 5 4 2 5" xfId="26564" xr:uid="{00000000-0005-0000-0000-00005A520000}"/>
    <cellStyle name="Normal 2 2 5 4 3" xfId="8135" xr:uid="{00000000-0005-0000-0000-00005B520000}"/>
    <cellStyle name="Normal 2 2 5 4 3 2" xfId="14329" xr:uid="{00000000-0005-0000-0000-00005C520000}"/>
    <cellStyle name="Normal 2 2 5 4 3 2 2" xfId="34249" xr:uid="{00000000-0005-0000-0000-00005D520000}"/>
    <cellStyle name="Normal 2 2 5 4 3 3" xfId="20481" xr:uid="{00000000-0005-0000-0000-00005E520000}"/>
    <cellStyle name="Normal 2 2 5 4 3 3 2" xfId="40401" xr:uid="{00000000-0005-0000-0000-00005F520000}"/>
    <cellStyle name="Normal 2 2 5 4 3 4" xfId="28096" xr:uid="{00000000-0005-0000-0000-000060520000}"/>
    <cellStyle name="Normal 2 2 5 4 4" xfId="11263" xr:uid="{00000000-0005-0000-0000-000061520000}"/>
    <cellStyle name="Normal 2 2 5 4 4 2" xfId="31183" xr:uid="{00000000-0005-0000-0000-000062520000}"/>
    <cellStyle name="Normal 2 2 5 4 5" xfId="17415" xr:uid="{00000000-0005-0000-0000-000063520000}"/>
    <cellStyle name="Normal 2 2 5 4 5 2" xfId="37335" xr:uid="{00000000-0005-0000-0000-000064520000}"/>
    <cellStyle name="Normal 2 2 5 4 6" xfId="25030" xr:uid="{00000000-0005-0000-0000-000065520000}"/>
    <cellStyle name="Normal 2 2 5 5" xfId="5801" xr:uid="{00000000-0005-0000-0000-000066520000}"/>
    <cellStyle name="Normal 2 2 5 5 2" xfId="8901" xr:uid="{00000000-0005-0000-0000-000067520000}"/>
    <cellStyle name="Normal 2 2 5 5 2 2" xfId="15094" xr:uid="{00000000-0005-0000-0000-000068520000}"/>
    <cellStyle name="Normal 2 2 5 5 2 2 2" xfId="35014" xr:uid="{00000000-0005-0000-0000-000069520000}"/>
    <cellStyle name="Normal 2 2 5 5 2 3" xfId="21246" xr:uid="{00000000-0005-0000-0000-00006A520000}"/>
    <cellStyle name="Normal 2 2 5 5 2 3 2" xfId="41166" xr:uid="{00000000-0005-0000-0000-00006B520000}"/>
    <cellStyle name="Normal 2 2 5 5 2 4" xfId="28861" xr:uid="{00000000-0005-0000-0000-00006C520000}"/>
    <cellStyle name="Normal 2 2 5 5 3" xfId="12028" xr:uid="{00000000-0005-0000-0000-00006D520000}"/>
    <cellStyle name="Normal 2 2 5 5 3 2" xfId="31948" xr:uid="{00000000-0005-0000-0000-00006E520000}"/>
    <cellStyle name="Normal 2 2 5 5 4" xfId="18180" xr:uid="{00000000-0005-0000-0000-00006F520000}"/>
    <cellStyle name="Normal 2 2 5 5 4 2" xfId="38100" xr:uid="{00000000-0005-0000-0000-000070520000}"/>
    <cellStyle name="Normal 2 2 5 5 5" xfId="25795" xr:uid="{00000000-0005-0000-0000-000071520000}"/>
    <cellStyle name="Normal 2 2 5 6" xfId="7366" xr:uid="{00000000-0005-0000-0000-000072520000}"/>
    <cellStyle name="Normal 2 2 5 6 2" xfId="13560" xr:uid="{00000000-0005-0000-0000-000073520000}"/>
    <cellStyle name="Normal 2 2 5 6 2 2" xfId="33480" xr:uid="{00000000-0005-0000-0000-000074520000}"/>
    <cellStyle name="Normal 2 2 5 6 3" xfId="19712" xr:uid="{00000000-0005-0000-0000-000075520000}"/>
    <cellStyle name="Normal 2 2 5 6 3 2" xfId="39632" xr:uid="{00000000-0005-0000-0000-000076520000}"/>
    <cellStyle name="Normal 2 2 5 6 4" xfId="27327" xr:uid="{00000000-0005-0000-0000-000077520000}"/>
    <cellStyle name="Normal 2 2 5 7" xfId="10494" xr:uid="{00000000-0005-0000-0000-000078520000}"/>
    <cellStyle name="Normal 2 2 5 7 2" xfId="30414" xr:uid="{00000000-0005-0000-0000-000079520000}"/>
    <cellStyle name="Normal 2 2 5 8" xfId="16646" xr:uid="{00000000-0005-0000-0000-00007A520000}"/>
    <cellStyle name="Normal 2 2 5 8 2" xfId="36566" xr:uid="{00000000-0005-0000-0000-00007B520000}"/>
    <cellStyle name="Normal 2 2 5 9" xfId="3463" xr:uid="{00000000-0005-0000-0000-00007C520000}"/>
    <cellStyle name="Normal 2 2 5 9 2" xfId="24261" xr:uid="{00000000-0005-0000-0000-00007D520000}"/>
    <cellStyle name="Normal 2 2 6" xfId="150" xr:uid="{00000000-0005-0000-0000-00007E520000}"/>
    <cellStyle name="Normal 2 2 6 2" xfId="4961" xr:uid="{00000000-0005-0000-0000-00007F520000}"/>
    <cellStyle name="Normal 2 2 6 2 2" xfId="6586" xr:uid="{00000000-0005-0000-0000-000080520000}"/>
    <cellStyle name="Normal 2 2 6 2 2 2" xfId="9672" xr:uid="{00000000-0005-0000-0000-000081520000}"/>
    <cellStyle name="Normal 2 2 6 2 2 2 2" xfId="15865" xr:uid="{00000000-0005-0000-0000-000082520000}"/>
    <cellStyle name="Normal 2 2 6 2 2 2 2 2" xfId="35785" xr:uid="{00000000-0005-0000-0000-000083520000}"/>
    <cellStyle name="Normal 2 2 6 2 2 2 3" xfId="22017" xr:uid="{00000000-0005-0000-0000-000084520000}"/>
    <cellStyle name="Normal 2 2 6 2 2 2 3 2" xfId="41937" xr:uid="{00000000-0005-0000-0000-000085520000}"/>
    <cellStyle name="Normal 2 2 6 2 2 2 4" xfId="29632" xr:uid="{00000000-0005-0000-0000-000086520000}"/>
    <cellStyle name="Normal 2 2 6 2 2 3" xfId="12799" xr:uid="{00000000-0005-0000-0000-000087520000}"/>
    <cellStyle name="Normal 2 2 6 2 2 3 2" xfId="32719" xr:uid="{00000000-0005-0000-0000-000088520000}"/>
    <cellStyle name="Normal 2 2 6 2 2 4" xfId="18951" xr:uid="{00000000-0005-0000-0000-000089520000}"/>
    <cellStyle name="Normal 2 2 6 2 2 4 2" xfId="38871" xr:uid="{00000000-0005-0000-0000-00008A520000}"/>
    <cellStyle name="Normal 2 2 6 2 2 5" xfId="26566" xr:uid="{00000000-0005-0000-0000-00008B520000}"/>
    <cellStyle name="Normal 2 2 6 2 3" xfId="8137" xr:uid="{00000000-0005-0000-0000-00008C520000}"/>
    <cellStyle name="Normal 2 2 6 2 3 2" xfId="14331" xr:uid="{00000000-0005-0000-0000-00008D520000}"/>
    <cellStyle name="Normal 2 2 6 2 3 2 2" xfId="34251" xr:uid="{00000000-0005-0000-0000-00008E520000}"/>
    <cellStyle name="Normal 2 2 6 2 3 3" xfId="20483" xr:uid="{00000000-0005-0000-0000-00008F520000}"/>
    <cellStyle name="Normal 2 2 6 2 3 3 2" xfId="40403" xr:uid="{00000000-0005-0000-0000-000090520000}"/>
    <cellStyle name="Normal 2 2 6 2 3 4" xfId="28098" xr:uid="{00000000-0005-0000-0000-000091520000}"/>
    <cellStyle name="Normal 2 2 6 2 4" xfId="11265" xr:uid="{00000000-0005-0000-0000-000092520000}"/>
    <cellStyle name="Normal 2 2 6 2 4 2" xfId="31185" xr:uid="{00000000-0005-0000-0000-000093520000}"/>
    <cellStyle name="Normal 2 2 6 2 5" xfId="17417" xr:uid="{00000000-0005-0000-0000-000094520000}"/>
    <cellStyle name="Normal 2 2 6 2 5 2" xfId="37337" xr:uid="{00000000-0005-0000-0000-000095520000}"/>
    <cellStyle name="Normal 2 2 6 2 6" xfId="25032" xr:uid="{00000000-0005-0000-0000-000096520000}"/>
    <cellStyle name="Normal 2 2 6 3" xfId="5803" xr:uid="{00000000-0005-0000-0000-000097520000}"/>
    <cellStyle name="Normal 2 2 6 3 2" xfId="8903" xr:uid="{00000000-0005-0000-0000-000098520000}"/>
    <cellStyle name="Normal 2 2 6 3 2 2" xfId="15096" xr:uid="{00000000-0005-0000-0000-000099520000}"/>
    <cellStyle name="Normal 2 2 6 3 2 2 2" xfId="35016" xr:uid="{00000000-0005-0000-0000-00009A520000}"/>
    <cellStyle name="Normal 2 2 6 3 2 3" xfId="21248" xr:uid="{00000000-0005-0000-0000-00009B520000}"/>
    <cellStyle name="Normal 2 2 6 3 2 3 2" xfId="41168" xr:uid="{00000000-0005-0000-0000-00009C520000}"/>
    <cellStyle name="Normal 2 2 6 3 2 4" xfId="28863" xr:uid="{00000000-0005-0000-0000-00009D520000}"/>
    <cellStyle name="Normal 2 2 6 3 3" xfId="12030" xr:uid="{00000000-0005-0000-0000-00009E520000}"/>
    <cellStyle name="Normal 2 2 6 3 3 2" xfId="31950" xr:uid="{00000000-0005-0000-0000-00009F520000}"/>
    <cellStyle name="Normal 2 2 6 3 4" xfId="18182" xr:uid="{00000000-0005-0000-0000-0000A0520000}"/>
    <cellStyle name="Normal 2 2 6 3 4 2" xfId="38102" xr:uid="{00000000-0005-0000-0000-0000A1520000}"/>
    <cellStyle name="Normal 2 2 6 3 5" xfId="25797" xr:uid="{00000000-0005-0000-0000-0000A2520000}"/>
    <cellStyle name="Normal 2 2 6 4" xfId="7368" xr:uid="{00000000-0005-0000-0000-0000A3520000}"/>
    <cellStyle name="Normal 2 2 6 4 2" xfId="13562" xr:uid="{00000000-0005-0000-0000-0000A4520000}"/>
    <cellStyle name="Normal 2 2 6 4 2 2" xfId="33482" xr:uid="{00000000-0005-0000-0000-0000A5520000}"/>
    <cellStyle name="Normal 2 2 6 4 3" xfId="19714" xr:uid="{00000000-0005-0000-0000-0000A6520000}"/>
    <cellStyle name="Normal 2 2 6 4 3 2" xfId="39634" xr:uid="{00000000-0005-0000-0000-0000A7520000}"/>
    <cellStyle name="Normal 2 2 6 4 4" xfId="27329" xr:uid="{00000000-0005-0000-0000-0000A8520000}"/>
    <cellStyle name="Normal 2 2 6 5" xfId="10496" xr:uid="{00000000-0005-0000-0000-0000A9520000}"/>
    <cellStyle name="Normal 2 2 6 5 2" xfId="30416" xr:uid="{00000000-0005-0000-0000-0000AA520000}"/>
    <cellStyle name="Normal 2 2 6 6" xfId="16648" xr:uid="{00000000-0005-0000-0000-0000AB520000}"/>
    <cellStyle name="Normal 2 2 6 6 2" xfId="36568" xr:uid="{00000000-0005-0000-0000-0000AC520000}"/>
    <cellStyle name="Normal 2 2 6 7" xfId="3466" xr:uid="{00000000-0005-0000-0000-0000AD520000}"/>
    <cellStyle name="Normal 2 2 6 7 2" xfId="24263" xr:uid="{00000000-0005-0000-0000-0000AE520000}"/>
    <cellStyle name="Normal 2 2 7" xfId="208" xr:uid="{00000000-0005-0000-0000-0000AF520000}"/>
    <cellStyle name="Normal 2 2 7 2" xfId="4962" xr:uid="{00000000-0005-0000-0000-0000B0520000}"/>
    <cellStyle name="Normal 2 2 7 2 2" xfId="6587" xr:uid="{00000000-0005-0000-0000-0000B1520000}"/>
    <cellStyle name="Normal 2 2 7 2 2 2" xfId="9673" xr:uid="{00000000-0005-0000-0000-0000B2520000}"/>
    <cellStyle name="Normal 2 2 7 2 2 2 2" xfId="15866" xr:uid="{00000000-0005-0000-0000-0000B3520000}"/>
    <cellStyle name="Normal 2 2 7 2 2 2 2 2" xfId="35786" xr:uid="{00000000-0005-0000-0000-0000B4520000}"/>
    <cellStyle name="Normal 2 2 7 2 2 2 3" xfId="22018" xr:uid="{00000000-0005-0000-0000-0000B5520000}"/>
    <cellStyle name="Normal 2 2 7 2 2 2 3 2" xfId="41938" xr:uid="{00000000-0005-0000-0000-0000B6520000}"/>
    <cellStyle name="Normal 2 2 7 2 2 2 4" xfId="29633" xr:uid="{00000000-0005-0000-0000-0000B7520000}"/>
    <cellStyle name="Normal 2 2 7 2 2 3" xfId="12800" xr:uid="{00000000-0005-0000-0000-0000B8520000}"/>
    <cellStyle name="Normal 2 2 7 2 2 3 2" xfId="32720" xr:uid="{00000000-0005-0000-0000-0000B9520000}"/>
    <cellStyle name="Normal 2 2 7 2 2 4" xfId="18952" xr:uid="{00000000-0005-0000-0000-0000BA520000}"/>
    <cellStyle name="Normal 2 2 7 2 2 4 2" xfId="38872" xr:uid="{00000000-0005-0000-0000-0000BB520000}"/>
    <cellStyle name="Normal 2 2 7 2 2 5" xfId="26567" xr:uid="{00000000-0005-0000-0000-0000BC520000}"/>
    <cellStyle name="Normal 2 2 7 2 3" xfId="8138" xr:uid="{00000000-0005-0000-0000-0000BD520000}"/>
    <cellStyle name="Normal 2 2 7 2 3 2" xfId="14332" xr:uid="{00000000-0005-0000-0000-0000BE520000}"/>
    <cellStyle name="Normal 2 2 7 2 3 2 2" xfId="34252" xr:uid="{00000000-0005-0000-0000-0000BF520000}"/>
    <cellStyle name="Normal 2 2 7 2 3 3" xfId="20484" xr:uid="{00000000-0005-0000-0000-0000C0520000}"/>
    <cellStyle name="Normal 2 2 7 2 3 3 2" xfId="40404" xr:uid="{00000000-0005-0000-0000-0000C1520000}"/>
    <cellStyle name="Normal 2 2 7 2 3 4" xfId="28099" xr:uid="{00000000-0005-0000-0000-0000C2520000}"/>
    <cellStyle name="Normal 2 2 7 2 4" xfId="11266" xr:uid="{00000000-0005-0000-0000-0000C3520000}"/>
    <cellStyle name="Normal 2 2 7 2 4 2" xfId="31186" xr:uid="{00000000-0005-0000-0000-0000C4520000}"/>
    <cellStyle name="Normal 2 2 7 2 5" xfId="17418" xr:uid="{00000000-0005-0000-0000-0000C5520000}"/>
    <cellStyle name="Normal 2 2 7 2 5 2" xfId="37338" xr:uid="{00000000-0005-0000-0000-0000C6520000}"/>
    <cellStyle name="Normal 2 2 7 2 6" xfId="25033" xr:uid="{00000000-0005-0000-0000-0000C7520000}"/>
    <cellStyle name="Normal 2 2 7 3" xfId="5804" xr:uid="{00000000-0005-0000-0000-0000C8520000}"/>
    <cellStyle name="Normal 2 2 7 3 2" xfId="8904" xr:uid="{00000000-0005-0000-0000-0000C9520000}"/>
    <cellStyle name="Normal 2 2 7 3 2 2" xfId="15097" xr:uid="{00000000-0005-0000-0000-0000CA520000}"/>
    <cellStyle name="Normal 2 2 7 3 2 2 2" xfId="35017" xr:uid="{00000000-0005-0000-0000-0000CB520000}"/>
    <cellStyle name="Normal 2 2 7 3 2 3" xfId="21249" xr:uid="{00000000-0005-0000-0000-0000CC520000}"/>
    <cellStyle name="Normal 2 2 7 3 2 3 2" xfId="41169" xr:uid="{00000000-0005-0000-0000-0000CD520000}"/>
    <cellStyle name="Normal 2 2 7 3 2 4" xfId="28864" xr:uid="{00000000-0005-0000-0000-0000CE520000}"/>
    <cellStyle name="Normal 2 2 7 3 3" xfId="12031" xr:uid="{00000000-0005-0000-0000-0000CF520000}"/>
    <cellStyle name="Normal 2 2 7 3 3 2" xfId="31951" xr:uid="{00000000-0005-0000-0000-0000D0520000}"/>
    <cellStyle name="Normal 2 2 7 3 4" xfId="18183" xr:uid="{00000000-0005-0000-0000-0000D1520000}"/>
    <cellStyle name="Normal 2 2 7 3 4 2" xfId="38103" xr:uid="{00000000-0005-0000-0000-0000D2520000}"/>
    <cellStyle name="Normal 2 2 7 3 5" xfId="25798" xr:uid="{00000000-0005-0000-0000-0000D3520000}"/>
    <cellStyle name="Normal 2 2 7 4" xfId="7369" xr:uid="{00000000-0005-0000-0000-0000D4520000}"/>
    <cellStyle name="Normal 2 2 7 4 2" xfId="13563" xr:uid="{00000000-0005-0000-0000-0000D5520000}"/>
    <cellStyle name="Normal 2 2 7 4 2 2" xfId="33483" xr:uid="{00000000-0005-0000-0000-0000D6520000}"/>
    <cellStyle name="Normal 2 2 7 4 3" xfId="19715" xr:uid="{00000000-0005-0000-0000-0000D7520000}"/>
    <cellStyle name="Normal 2 2 7 4 3 2" xfId="39635" xr:uid="{00000000-0005-0000-0000-0000D8520000}"/>
    <cellStyle name="Normal 2 2 7 4 4" xfId="27330" xr:uid="{00000000-0005-0000-0000-0000D9520000}"/>
    <cellStyle name="Normal 2 2 7 5" xfId="10497" xr:uid="{00000000-0005-0000-0000-0000DA520000}"/>
    <cellStyle name="Normal 2 2 7 5 2" xfId="30417" xr:uid="{00000000-0005-0000-0000-0000DB520000}"/>
    <cellStyle name="Normal 2 2 7 6" xfId="16649" xr:uid="{00000000-0005-0000-0000-0000DC520000}"/>
    <cellStyle name="Normal 2 2 7 6 2" xfId="36569" xr:uid="{00000000-0005-0000-0000-0000DD520000}"/>
    <cellStyle name="Normal 2 2 7 7" xfId="3467" xr:uid="{00000000-0005-0000-0000-0000DE520000}"/>
    <cellStyle name="Normal 2 2 7 7 2" xfId="24264" xr:uid="{00000000-0005-0000-0000-0000DF520000}"/>
    <cellStyle name="Normal 2 2 8" xfId="211" xr:uid="{00000000-0005-0000-0000-0000E0520000}"/>
    <cellStyle name="Normal 2 2 8 2" xfId="4963" xr:uid="{00000000-0005-0000-0000-0000E1520000}"/>
    <cellStyle name="Normal 2 2 8 2 2" xfId="6588" xr:uid="{00000000-0005-0000-0000-0000E2520000}"/>
    <cellStyle name="Normal 2 2 8 2 2 2" xfId="9674" xr:uid="{00000000-0005-0000-0000-0000E3520000}"/>
    <cellStyle name="Normal 2 2 8 2 2 2 2" xfId="15867" xr:uid="{00000000-0005-0000-0000-0000E4520000}"/>
    <cellStyle name="Normal 2 2 8 2 2 2 2 2" xfId="35787" xr:uid="{00000000-0005-0000-0000-0000E5520000}"/>
    <cellStyle name="Normal 2 2 8 2 2 2 3" xfId="22019" xr:uid="{00000000-0005-0000-0000-0000E6520000}"/>
    <cellStyle name="Normal 2 2 8 2 2 2 3 2" xfId="41939" xr:uid="{00000000-0005-0000-0000-0000E7520000}"/>
    <cellStyle name="Normal 2 2 8 2 2 2 4" xfId="29634" xr:uid="{00000000-0005-0000-0000-0000E8520000}"/>
    <cellStyle name="Normal 2 2 8 2 2 3" xfId="12801" xr:uid="{00000000-0005-0000-0000-0000E9520000}"/>
    <cellStyle name="Normal 2 2 8 2 2 3 2" xfId="32721" xr:uid="{00000000-0005-0000-0000-0000EA520000}"/>
    <cellStyle name="Normal 2 2 8 2 2 4" xfId="18953" xr:uid="{00000000-0005-0000-0000-0000EB520000}"/>
    <cellStyle name="Normal 2 2 8 2 2 4 2" xfId="38873" xr:uid="{00000000-0005-0000-0000-0000EC520000}"/>
    <cellStyle name="Normal 2 2 8 2 2 5" xfId="26568" xr:uid="{00000000-0005-0000-0000-0000ED520000}"/>
    <cellStyle name="Normal 2 2 8 2 3" xfId="8139" xr:uid="{00000000-0005-0000-0000-0000EE520000}"/>
    <cellStyle name="Normal 2 2 8 2 3 2" xfId="14333" xr:uid="{00000000-0005-0000-0000-0000EF520000}"/>
    <cellStyle name="Normal 2 2 8 2 3 2 2" xfId="34253" xr:uid="{00000000-0005-0000-0000-0000F0520000}"/>
    <cellStyle name="Normal 2 2 8 2 3 3" xfId="20485" xr:uid="{00000000-0005-0000-0000-0000F1520000}"/>
    <cellStyle name="Normal 2 2 8 2 3 3 2" xfId="40405" xr:uid="{00000000-0005-0000-0000-0000F2520000}"/>
    <cellStyle name="Normal 2 2 8 2 3 4" xfId="28100" xr:uid="{00000000-0005-0000-0000-0000F3520000}"/>
    <cellStyle name="Normal 2 2 8 2 4" xfId="11267" xr:uid="{00000000-0005-0000-0000-0000F4520000}"/>
    <cellStyle name="Normal 2 2 8 2 4 2" xfId="31187" xr:uid="{00000000-0005-0000-0000-0000F5520000}"/>
    <cellStyle name="Normal 2 2 8 2 5" xfId="17419" xr:uid="{00000000-0005-0000-0000-0000F6520000}"/>
    <cellStyle name="Normal 2 2 8 2 5 2" xfId="37339" xr:uid="{00000000-0005-0000-0000-0000F7520000}"/>
    <cellStyle name="Normal 2 2 8 2 6" xfId="25034" xr:uid="{00000000-0005-0000-0000-0000F8520000}"/>
    <cellStyle name="Normal 2 2 8 3" xfId="5805" xr:uid="{00000000-0005-0000-0000-0000F9520000}"/>
    <cellStyle name="Normal 2 2 8 3 2" xfId="8905" xr:uid="{00000000-0005-0000-0000-0000FA520000}"/>
    <cellStyle name="Normal 2 2 8 3 2 2" xfId="15098" xr:uid="{00000000-0005-0000-0000-0000FB520000}"/>
    <cellStyle name="Normal 2 2 8 3 2 2 2" xfId="35018" xr:uid="{00000000-0005-0000-0000-0000FC520000}"/>
    <cellStyle name="Normal 2 2 8 3 2 3" xfId="21250" xr:uid="{00000000-0005-0000-0000-0000FD520000}"/>
    <cellStyle name="Normal 2 2 8 3 2 3 2" xfId="41170" xr:uid="{00000000-0005-0000-0000-0000FE520000}"/>
    <cellStyle name="Normal 2 2 8 3 2 4" xfId="28865" xr:uid="{00000000-0005-0000-0000-0000FF520000}"/>
    <cellStyle name="Normal 2 2 8 3 3" xfId="12032" xr:uid="{00000000-0005-0000-0000-000000530000}"/>
    <cellStyle name="Normal 2 2 8 3 3 2" xfId="31952" xr:uid="{00000000-0005-0000-0000-000001530000}"/>
    <cellStyle name="Normal 2 2 8 3 4" xfId="18184" xr:uid="{00000000-0005-0000-0000-000002530000}"/>
    <cellStyle name="Normal 2 2 8 3 4 2" xfId="38104" xr:uid="{00000000-0005-0000-0000-000003530000}"/>
    <cellStyle name="Normal 2 2 8 3 5" xfId="25799" xr:uid="{00000000-0005-0000-0000-000004530000}"/>
    <cellStyle name="Normal 2 2 8 4" xfId="7370" xr:uid="{00000000-0005-0000-0000-000005530000}"/>
    <cellStyle name="Normal 2 2 8 4 2" xfId="13564" xr:uid="{00000000-0005-0000-0000-000006530000}"/>
    <cellStyle name="Normal 2 2 8 4 2 2" xfId="33484" xr:uid="{00000000-0005-0000-0000-000007530000}"/>
    <cellStyle name="Normal 2 2 8 4 3" xfId="19716" xr:uid="{00000000-0005-0000-0000-000008530000}"/>
    <cellStyle name="Normal 2 2 8 4 3 2" xfId="39636" xr:uid="{00000000-0005-0000-0000-000009530000}"/>
    <cellStyle name="Normal 2 2 8 4 4" xfId="27331" xr:uid="{00000000-0005-0000-0000-00000A530000}"/>
    <cellStyle name="Normal 2 2 8 5" xfId="10498" xr:uid="{00000000-0005-0000-0000-00000B530000}"/>
    <cellStyle name="Normal 2 2 8 5 2" xfId="30418" xr:uid="{00000000-0005-0000-0000-00000C530000}"/>
    <cellStyle name="Normal 2 2 8 6" xfId="16650" xr:uid="{00000000-0005-0000-0000-00000D530000}"/>
    <cellStyle name="Normal 2 2 8 6 2" xfId="36570" xr:uid="{00000000-0005-0000-0000-00000E530000}"/>
    <cellStyle name="Normal 2 2 8 7" xfId="3468" xr:uid="{00000000-0005-0000-0000-00000F530000}"/>
    <cellStyle name="Normal 2 2 8 7 2" xfId="24265" xr:uid="{00000000-0005-0000-0000-000010530000}"/>
    <cellStyle name="Normal 2 2 9" xfId="224" xr:uid="{00000000-0005-0000-0000-000011530000}"/>
    <cellStyle name="Normal 2 2 9 2" xfId="4964" xr:uid="{00000000-0005-0000-0000-000012530000}"/>
    <cellStyle name="Normal 2 2 9 2 2" xfId="6589" xr:uid="{00000000-0005-0000-0000-000013530000}"/>
    <cellStyle name="Normal 2 2 9 2 2 2" xfId="9675" xr:uid="{00000000-0005-0000-0000-000014530000}"/>
    <cellStyle name="Normal 2 2 9 2 2 2 2" xfId="15868" xr:uid="{00000000-0005-0000-0000-000015530000}"/>
    <cellStyle name="Normal 2 2 9 2 2 2 2 2" xfId="35788" xr:uid="{00000000-0005-0000-0000-000016530000}"/>
    <cellStyle name="Normal 2 2 9 2 2 2 3" xfId="22020" xr:uid="{00000000-0005-0000-0000-000017530000}"/>
    <cellStyle name="Normal 2 2 9 2 2 2 3 2" xfId="41940" xr:uid="{00000000-0005-0000-0000-000018530000}"/>
    <cellStyle name="Normal 2 2 9 2 2 2 4" xfId="29635" xr:uid="{00000000-0005-0000-0000-000019530000}"/>
    <cellStyle name="Normal 2 2 9 2 2 3" xfId="12802" xr:uid="{00000000-0005-0000-0000-00001A530000}"/>
    <cellStyle name="Normal 2 2 9 2 2 3 2" xfId="32722" xr:uid="{00000000-0005-0000-0000-00001B530000}"/>
    <cellStyle name="Normal 2 2 9 2 2 4" xfId="18954" xr:uid="{00000000-0005-0000-0000-00001C530000}"/>
    <cellStyle name="Normal 2 2 9 2 2 4 2" xfId="38874" xr:uid="{00000000-0005-0000-0000-00001D530000}"/>
    <cellStyle name="Normal 2 2 9 2 2 5" xfId="26569" xr:uid="{00000000-0005-0000-0000-00001E530000}"/>
    <cellStyle name="Normal 2 2 9 2 3" xfId="8140" xr:uid="{00000000-0005-0000-0000-00001F530000}"/>
    <cellStyle name="Normal 2 2 9 2 3 2" xfId="14334" xr:uid="{00000000-0005-0000-0000-000020530000}"/>
    <cellStyle name="Normal 2 2 9 2 3 2 2" xfId="34254" xr:uid="{00000000-0005-0000-0000-000021530000}"/>
    <cellStyle name="Normal 2 2 9 2 3 3" xfId="20486" xr:uid="{00000000-0005-0000-0000-000022530000}"/>
    <cellStyle name="Normal 2 2 9 2 3 3 2" xfId="40406" xr:uid="{00000000-0005-0000-0000-000023530000}"/>
    <cellStyle name="Normal 2 2 9 2 3 4" xfId="28101" xr:uid="{00000000-0005-0000-0000-000024530000}"/>
    <cellStyle name="Normal 2 2 9 2 4" xfId="11268" xr:uid="{00000000-0005-0000-0000-000025530000}"/>
    <cellStyle name="Normal 2 2 9 2 4 2" xfId="31188" xr:uid="{00000000-0005-0000-0000-000026530000}"/>
    <cellStyle name="Normal 2 2 9 2 5" xfId="17420" xr:uid="{00000000-0005-0000-0000-000027530000}"/>
    <cellStyle name="Normal 2 2 9 2 5 2" xfId="37340" xr:uid="{00000000-0005-0000-0000-000028530000}"/>
    <cellStyle name="Normal 2 2 9 2 6" xfId="25035" xr:uid="{00000000-0005-0000-0000-000029530000}"/>
    <cellStyle name="Normal 2 2 9 3" xfId="5806" xr:uid="{00000000-0005-0000-0000-00002A530000}"/>
    <cellStyle name="Normal 2 2 9 3 2" xfId="8906" xr:uid="{00000000-0005-0000-0000-00002B530000}"/>
    <cellStyle name="Normal 2 2 9 3 2 2" xfId="15099" xr:uid="{00000000-0005-0000-0000-00002C530000}"/>
    <cellStyle name="Normal 2 2 9 3 2 2 2" xfId="35019" xr:uid="{00000000-0005-0000-0000-00002D530000}"/>
    <cellStyle name="Normal 2 2 9 3 2 3" xfId="21251" xr:uid="{00000000-0005-0000-0000-00002E530000}"/>
    <cellStyle name="Normal 2 2 9 3 2 3 2" xfId="41171" xr:uid="{00000000-0005-0000-0000-00002F530000}"/>
    <cellStyle name="Normal 2 2 9 3 2 4" xfId="28866" xr:uid="{00000000-0005-0000-0000-000030530000}"/>
    <cellStyle name="Normal 2 2 9 3 3" xfId="12033" xr:uid="{00000000-0005-0000-0000-000031530000}"/>
    <cellStyle name="Normal 2 2 9 3 3 2" xfId="31953" xr:uid="{00000000-0005-0000-0000-000032530000}"/>
    <cellStyle name="Normal 2 2 9 3 4" xfId="18185" xr:uid="{00000000-0005-0000-0000-000033530000}"/>
    <cellStyle name="Normal 2 2 9 3 4 2" xfId="38105" xr:uid="{00000000-0005-0000-0000-000034530000}"/>
    <cellStyle name="Normal 2 2 9 3 5" xfId="25800" xr:uid="{00000000-0005-0000-0000-000035530000}"/>
    <cellStyle name="Normal 2 2 9 4" xfId="7371" xr:uid="{00000000-0005-0000-0000-000036530000}"/>
    <cellStyle name="Normal 2 2 9 4 2" xfId="13565" xr:uid="{00000000-0005-0000-0000-000037530000}"/>
    <cellStyle name="Normal 2 2 9 4 2 2" xfId="33485" xr:uid="{00000000-0005-0000-0000-000038530000}"/>
    <cellStyle name="Normal 2 2 9 4 3" xfId="19717" xr:uid="{00000000-0005-0000-0000-000039530000}"/>
    <cellStyle name="Normal 2 2 9 4 3 2" xfId="39637" xr:uid="{00000000-0005-0000-0000-00003A530000}"/>
    <cellStyle name="Normal 2 2 9 4 4" xfId="27332" xr:uid="{00000000-0005-0000-0000-00003B530000}"/>
    <cellStyle name="Normal 2 2 9 5" xfId="10499" xr:uid="{00000000-0005-0000-0000-00003C530000}"/>
    <cellStyle name="Normal 2 2 9 5 2" xfId="30419" xr:uid="{00000000-0005-0000-0000-00003D530000}"/>
    <cellStyle name="Normal 2 2 9 6" xfId="16651" xr:uid="{00000000-0005-0000-0000-00003E530000}"/>
    <cellStyle name="Normal 2 2 9 6 2" xfId="36571" xr:uid="{00000000-0005-0000-0000-00003F530000}"/>
    <cellStyle name="Normal 2 2 9 7" xfId="3469" xr:uid="{00000000-0005-0000-0000-000040530000}"/>
    <cellStyle name="Normal 2 2 9 7 2" xfId="24266" xr:uid="{00000000-0005-0000-0000-000041530000}"/>
    <cellStyle name="Normal 2 20" xfId="3470" xr:uid="{00000000-0005-0000-0000-000042530000}"/>
    <cellStyle name="Normal 2 20 2" xfId="4965" xr:uid="{00000000-0005-0000-0000-000043530000}"/>
    <cellStyle name="Normal 2 20 2 2" xfId="6590" xr:uid="{00000000-0005-0000-0000-000044530000}"/>
    <cellStyle name="Normal 2 20 2 2 2" xfId="9676" xr:uid="{00000000-0005-0000-0000-000045530000}"/>
    <cellStyle name="Normal 2 20 2 2 2 2" xfId="15869" xr:uid="{00000000-0005-0000-0000-000046530000}"/>
    <cellStyle name="Normal 2 20 2 2 2 2 2" xfId="35789" xr:uid="{00000000-0005-0000-0000-000047530000}"/>
    <cellStyle name="Normal 2 20 2 2 2 3" xfId="22021" xr:uid="{00000000-0005-0000-0000-000048530000}"/>
    <cellStyle name="Normal 2 20 2 2 2 3 2" xfId="41941" xr:uid="{00000000-0005-0000-0000-000049530000}"/>
    <cellStyle name="Normal 2 20 2 2 2 4" xfId="29636" xr:uid="{00000000-0005-0000-0000-00004A530000}"/>
    <cellStyle name="Normal 2 20 2 2 3" xfId="12803" xr:uid="{00000000-0005-0000-0000-00004B530000}"/>
    <cellStyle name="Normal 2 20 2 2 3 2" xfId="32723" xr:uid="{00000000-0005-0000-0000-00004C530000}"/>
    <cellStyle name="Normal 2 20 2 2 4" xfId="18955" xr:uid="{00000000-0005-0000-0000-00004D530000}"/>
    <cellStyle name="Normal 2 20 2 2 4 2" xfId="38875" xr:uid="{00000000-0005-0000-0000-00004E530000}"/>
    <cellStyle name="Normal 2 20 2 2 5" xfId="26570" xr:uid="{00000000-0005-0000-0000-00004F530000}"/>
    <cellStyle name="Normal 2 20 2 3" xfId="8141" xr:uid="{00000000-0005-0000-0000-000050530000}"/>
    <cellStyle name="Normal 2 20 2 3 2" xfId="14335" xr:uid="{00000000-0005-0000-0000-000051530000}"/>
    <cellStyle name="Normal 2 20 2 3 2 2" xfId="34255" xr:uid="{00000000-0005-0000-0000-000052530000}"/>
    <cellStyle name="Normal 2 20 2 3 3" xfId="20487" xr:uid="{00000000-0005-0000-0000-000053530000}"/>
    <cellStyle name="Normal 2 20 2 3 3 2" xfId="40407" xr:uid="{00000000-0005-0000-0000-000054530000}"/>
    <cellStyle name="Normal 2 20 2 3 4" xfId="28102" xr:uid="{00000000-0005-0000-0000-000055530000}"/>
    <cellStyle name="Normal 2 20 2 4" xfId="11269" xr:uid="{00000000-0005-0000-0000-000056530000}"/>
    <cellStyle name="Normal 2 20 2 4 2" xfId="31189" xr:uid="{00000000-0005-0000-0000-000057530000}"/>
    <cellStyle name="Normal 2 20 2 5" xfId="17421" xr:uid="{00000000-0005-0000-0000-000058530000}"/>
    <cellStyle name="Normal 2 20 2 5 2" xfId="37341" xr:uid="{00000000-0005-0000-0000-000059530000}"/>
    <cellStyle name="Normal 2 20 2 6" xfId="25036" xr:uid="{00000000-0005-0000-0000-00005A530000}"/>
    <cellStyle name="Normal 2 20 3" xfId="5807" xr:uid="{00000000-0005-0000-0000-00005B530000}"/>
    <cellStyle name="Normal 2 20 3 2" xfId="8907" xr:uid="{00000000-0005-0000-0000-00005C530000}"/>
    <cellStyle name="Normal 2 20 3 2 2" xfId="15100" xr:uid="{00000000-0005-0000-0000-00005D530000}"/>
    <cellStyle name="Normal 2 20 3 2 2 2" xfId="35020" xr:uid="{00000000-0005-0000-0000-00005E530000}"/>
    <cellStyle name="Normal 2 20 3 2 3" xfId="21252" xr:uid="{00000000-0005-0000-0000-00005F530000}"/>
    <cellStyle name="Normal 2 20 3 2 3 2" xfId="41172" xr:uid="{00000000-0005-0000-0000-000060530000}"/>
    <cellStyle name="Normal 2 20 3 2 4" xfId="28867" xr:uid="{00000000-0005-0000-0000-000061530000}"/>
    <cellStyle name="Normal 2 20 3 3" xfId="12034" xr:uid="{00000000-0005-0000-0000-000062530000}"/>
    <cellStyle name="Normal 2 20 3 3 2" xfId="31954" xr:uid="{00000000-0005-0000-0000-000063530000}"/>
    <cellStyle name="Normal 2 20 3 4" xfId="18186" xr:uid="{00000000-0005-0000-0000-000064530000}"/>
    <cellStyle name="Normal 2 20 3 4 2" xfId="38106" xr:uid="{00000000-0005-0000-0000-000065530000}"/>
    <cellStyle name="Normal 2 20 3 5" xfId="25801" xr:uid="{00000000-0005-0000-0000-000066530000}"/>
    <cellStyle name="Normal 2 20 4" xfId="7372" xr:uid="{00000000-0005-0000-0000-000067530000}"/>
    <cellStyle name="Normal 2 20 4 2" xfId="13566" xr:uid="{00000000-0005-0000-0000-000068530000}"/>
    <cellStyle name="Normal 2 20 4 2 2" xfId="33486" xr:uid="{00000000-0005-0000-0000-000069530000}"/>
    <cellStyle name="Normal 2 20 4 3" xfId="19718" xr:uid="{00000000-0005-0000-0000-00006A530000}"/>
    <cellStyle name="Normal 2 20 4 3 2" xfId="39638" xr:uid="{00000000-0005-0000-0000-00006B530000}"/>
    <cellStyle name="Normal 2 20 4 4" xfId="27333" xr:uid="{00000000-0005-0000-0000-00006C530000}"/>
    <cellStyle name="Normal 2 20 5" xfId="10500" xr:uid="{00000000-0005-0000-0000-00006D530000}"/>
    <cellStyle name="Normal 2 20 5 2" xfId="30420" xr:uid="{00000000-0005-0000-0000-00006E530000}"/>
    <cellStyle name="Normal 2 20 6" xfId="16652" xr:uid="{00000000-0005-0000-0000-00006F530000}"/>
    <cellStyle name="Normal 2 20 6 2" xfId="36572" xr:uid="{00000000-0005-0000-0000-000070530000}"/>
    <cellStyle name="Normal 2 20 7" xfId="24267" xr:uid="{00000000-0005-0000-0000-000071530000}"/>
    <cellStyle name="Normal 2 21" xfId="3471" xr:uid="{00000000-0005-0000-0000-000072530000}"/>
    <cellStyle name="Normal 2 22" xfId="1158" xr:uid="{00000000-0005-0000-0000-000073530000}"/>
    <cellStyle name="Normal 2 22 2" xfId="4580" xr:uid="{00000000-0005-0000-0000-000074530000}"/>
    <cellStyle name="Normal 2 22 3" xfId="3472" xr:uid="{00000000-0005-0000-0000-000075530000}"/>
    <cellStyle name="Normal 2 23" xfId="4497" xr:uid="{00000000-0005-0000-0000-000076530000}"/>
    <cellStyle name="Normal 2 24" xfId="1206" xr:uid="{00000000-0005-0000-0000-000077530000}"/>
    <cellStyle name="Normal 2 24 2" xfId="4648" xr:uid="{00000000-0005-0000-0000-000078530000}"/>
    <cellStyle name="Normal 2 24 2 2" xfId="6273" xr:uid="{00000000-0005-0000-0000-000079530000}"/>
    <cellStyle name="Normal 2 24 2 2 2" xfId="9359" xr:uid="{00000000-0005-0000-0000-00007A530000}"/>
    <cellStyle name="Normal 2 24 2 2 2 2" xfId="15552" xr:uid="{00000000-0005-0000-0000-00007B530000}"/>
    <cellStyle name="Normal 2 24 2 2 2 2 2" xfId="35472" xr:uid="{00000000-0005-0000-0000-00007C530000}"/>
    <cellStyle name="Normal 2 24 2 2 2 3" xfId="21704" xr:uid="{00000000-0005-0000-0000-00007D530000}"/>
    <cellStyle name="Normal 2 24 2 2 2 3 2" xfId="41624" xr:uid="{00000000-0005-0000-0000-00007E530000}"/>
    <cellStyle name="Normal 2 24 2 2 2 4" xfId="29319" xr:uid="{00000000-0005-0000-0000-00007F530000}"/>
    <cellStyle name="Normal 2 24 2 2 3" xfId="12486" xr:uid="{00000000-0005-0000-0000-000080530000}"/>
    <cellStyle name="Normal 2 24 2 2 3 2" xfId="32406" xr:uid="{00000000-0005-0000-0000-000081530000}"/>
    <cellStyle name="Normal 2 24 2 2 4" xfId="18638" xr:uid="{00000000-0005-0000-0000-000082530000}"/>
    <cellStyle name="Normal 2 24 2 2 4 2" xfId="38558" xr:uid="{00000000-0005-0000-0000-000083530000}"/>
    <cellStyle name="Normal 2 24 2 2 5" xfId="26253" xr:uid="{00000000-0005-0000-0000-000084530000}"/>
    <cellStyle name="Normal 2 24 2 3" xfId="7824" xr:uid="{00000000-0005-0000-0000-000085530000}"/>
    <cellStyle name="Normal 2 24 2 3 2" xfId="14018" xr:uid="{00000000-0005-0000-0000-000086530000}"/>
    <cellStyle name="Normal 2 24 2 3 2 2" xfId="33938" xr:uid="{00000000-0005-0000-0000-000087530000}"/>
    <cellStyle name="Normal 2 24 2 3 3" xfId="20170" xr:uid="{00000000-0005-0000-0000-000088530000}"/>
    <cellStyle name="Normal 2 24 2 3 3 2" xfId="40090" xr:uid="{00000000-0005-0000-0000-000089530000}"/>
    <cellStyle name="Normal 2 24 2 3 4" xfId="27785" xr:uid="{00000000-0005-0000-0000-00008A530000}"/>
    <cellStyle name="Normal 2 24 2 4" xfId="10952" xr:uid="{00000000-0005-0000-0000-00008B530000}"/>
    <cellStyle name="Normal 2 24 2 4 2" xfId="30872" xr:uid="{00000000-0005-0000-0000-00008C530000}"/>
    <cellStyle name="Normal 2 24 2 5" xfId="17104" xr:uid="{00000000-0005-0000-0000-00008D530000}"/>
    <cellStyle name="Normal 2 24 2 5 2" xfId="37024" xr:uid="{00000000-0005-0000-0000-00008E530000}"/>
    <cellStyle name="Normal 2 24 2 6" xfId="24719" xr:uid="{00000000-0005-0000-0000-00008F530000}"/>
    <cellStyle name="Normal 2 24 3" xfId="5487" xr:uid="{00000000-0005-0000-0000-000090530000}"/>
    <cellStyle name="Normal 2 24 3 2" xfId="8590" xr:uid="{00000000-0005-0000-0000-000091530000}"/>
    <cellStyle name="Normal 2 24 3 2 2" xfId="14783" xr:uid="{00000000-0005-0000-0000-000092530000}"/>
    <cellStyle name="Normal 2 24 3 2 2 2" xfId="34703" xr:uid="{00000000-0005-0000-0000-000093530000}"/>
    <cellStyle name="Normal 2 24 3 2 3" xfId="20935" xr:uid="{00000000-0005-0000-0000-000094530000}"/>
    <cellStyle name="Normal 2 24 3 2 3 2" xfId="40855" xr:uid="{00000000-0005-0000-0000-000095530000}"/>
    <cellStyle name="Normal 2 24 3 2 4" xfId="28550" xr:uid="{00000000-0005-0000-0000-000096530000}"/>
    <cellStyle name="Normal 2 24 3 3" xfId="11717" xr:uid="{00000000-0005-0000-0000-000097530000}"/>
    <cellStyle name="Normal 2 24 3 3 2" xfId="31637" xr:uid="{00000000-0005-0000-0000-000098530000}"/>
    <cellStyle name="Normal 2 24 3 4" xfId="17869" xr:uid="{00000000-0005-0000-0000-000099530000}"/>
    <cellStyle name="Normal 2 24 3 4 2" xfId="37789" xr:uid="{00000000-0005-0000-0000-00009A530000}"/>
    <cellStyle name="Normal 2 24 3 5" xfId="25484" xr:uid="{00000000-0005-0000-0000-00009B530000}"/>
    <cellStyle name="Normal 2 24 4" xfId="7055" xr:uid="{00000000-0005-0000-0000-00009C530000}"/>
    <cellStyle name="Normal 2 24 4 2" xfId="13249" xr:uid="{00000000-0005-0000-0000-00009D530000}"/>
    <cellStyle name="Normal 2 24 4 2 2" xfId="33169" xr:uid="{00000000-0005-0000-0000-00009E530000}"/>
    <cellStyle name="Normal 2 24 4 3" xfId="19401" xr:uid="{00000000-0005-0000-0000-00009F530000}"/>
    <cellStyle name="Normal 2 24 4 3 2" xfId="39321" xr:uid="{00000000-0005-0000-0000-0000A0530000}"/>
    <cellStyle name="Normal 2 24 4 4" xfId="27016" xr:uid="{00000000-0005-0000-0000-0000A1530000}"/>
    <cellStyle name="Normal 2 24 5" xfId="10183" xr:uid="{00000000-0005-0000-0000-0000A2530000}"/>
    <cellStyle name="Normal 2 24 5 2" xfId="30103" xr:uid="{00000000-0005-0000-0000-0000A3530000}"/>
    <cellStyle name="Normal 2 24 6" xfId="16335" xr:uid="{00000000-0005-0000-0000-0000A4530000}"/>
    <cellStyle name="Normal 2 24 6 2" xfId="36255" xr:uid="{00000000-0005-0000-0000-0000A5530000}"/>
    <cellStyle name="Normal 2 24 7" xfId="23950" xr:uid="{00000000-0005-0000-0000-0000A6530000}"/>
    <cellStyle name="Normal 2 25" xfId="5459" xr:uid="{00000000-0005-0000-0000-0000A7530000}"/>
    <cellStyle name="Normal 2 25 2" xfId="8563" xr:uid="{00000000-0005-0000-0000-0000A8530000}"/>
    <cellStyle name="Normal 2 26" xfId="10103" xr:uid="{00000000-0005-0000-0000-0000A9530000}"/>
    <cellStyle name="Normal 2 27" xfId="1056" xr:uid="{00000000-0005-0000-0000-0000AA530000}"/>
    <cellStyle name="Normal 2 3" xfId="98" xr:uid="{00000000-0005-0000-0000-0000AB530000}"/>
    <cellStyle name="Normal 2 3 10" xfId="10139" xr:uid="{00000000-0005-0000-0000-0000AC530000}"/>
    <cellStyle name="Normal 2 3 2" xfId="3474" xr:uid="{00000000-0005-0000-0000-0000AD530000}"/>
    <cellStyle name="Normal 2 3 2 2" xfId="3475" xr:uid="{00000000-0005-0000-0000-0000AE530000}"/>
    <cellStyle name="Normal 2 3 2 3" xfId="4966" xr:uid="{00000000-0005-0000-0000-0000AF530000}"/>
    <cellStyle name="Normal 2 3 2 3 2" xfId="6591" xr:uid="{00000000-0005-0000-0000-0000B0530000}"/>
    <cellStyle name="Normal 2 3 2 3 2 2" xfId="9677" xr:uid="{00000000-0005-0000-0000-0000B1530000}"/>
    <cellStyle name="Normal 2 3 2 3 2 2 2" xfId="15870" xr:uid="{00000000-0005-0000-0000-0000B2530000}"/>
    <cellStyle name="Normal 2 3 2 3 2 2 2 2" xfId="35790" xr:uid="{00000000-0005-0000-0000-0000B3530000}"/>
    <cellStyle name="Normal 2 3 2 3 2 2 3" xfId="22022" xr:uid="{00000000-0005-0000-0000-0000B4530000}"/>
    <cellStyle name="Normal 2 3 2 3 2 2 3 2" xfId="41942" xr:uid="{00000000-0005-0000-0000-0000B5530000}"/>
    <cellStyle name="Normal 2 3 2 3 2 2 4" xfId="29637" xr:uid="{00000000-0005-0000-0000-0000B6530000}"/>
    <cellStyle name="Normal 2 3 2 3 2 3" xfId="12804" xr:uid="{00000000-0005-0000-0000-0000B7530000}"/>
    <cellStyle name="Normal 2 3 2 3 2 3 2" xfId="32724" xr:uid="{00000000-0005-0000-0000-0000B8530000}"/>
    <cellStyle name="Normal 2 3 2 3 2 4" xfId="18956" xr:uid="{00000000-0005-0000-0000-0000B9530000}"/>
    <cellStyle name="Normal 2 3 2 3 2 4 2" xfId="38876" xr:uid="{00000000-0005-0000-0000-0000BA530000}"/>
    <cellStyle name="Normal 2 3 2 3 2 5" xfId="26571" xr:uid="{00000000-0005-0000-0000-0000BB530000}"/>
    <cellStyle name="Normal 2 3 2 3 3" xfId="8142" xr:uid="{00000000-0005-0000-0000-0000BC530000}"/>
    <cellStyle name="Normal 2 3 2 3 3 2" xfId="14336" xr:uid="{00000000-0005-0000-0000-0000BD530000}"/>
    <cellStyle name="Normal 2 3 2 3 3 2 2" xfId="34256" xr:uid="{00000000-0005-0000-0000-0000BE530000}"/>
    <cellStyle name="Normal 2 3 2 3 3 3" xfId="20488" xr:uid="{00000000-0005-0000-0000-0000BF530000}"/>
    <cellStyle name="Normal 2 3 2 3 3 3 2" xfId="40408" xr:uid="{00000000-0005-0000-0000-0000C0530000}"/>
    <cellStyle name="Normal 2 3 2 3 3 4" xfId="28103" xr:uid="{00000000-0005-0000-0000-0000C1530000}"/>
    <cellStyle name="Normal 2 3 2 3 4" xfId="11270" xr:uid="{00000000-0005-0000-0000-0000C2530000}"/>
    <cellStyle name="Normal 2 3 2 3 4 2" xfId="31190" xr:uid="{00000000-0005-0000-0000-0000C3530000}"/>
    <cellStyle name="Normal 2 3 2 3 5" xfId="17422" xr:uid="{00000000-0005-0000-0000-0000C4530000}"/>
    <cellStyle name="Normal 2 3 2 3 5 2" xfId="37342" xr:uid="{00000000-0005-0000-0000-0000C5530000}"/>
    <cellStyle name="Normal 2 3 2 3 6" xfId="25037" xr:uid="{00000000-0005-0000-0000-0000C6530000}"/>
    <cellStyle name="Normal 2 3 2 4" xfId="5808" xr:uid="{00000000-0005-0000-0000-0000C7530000}"/>
    <cellStyle name="Normal 2 3 2 4 2" xfId="8908" xr:uid="{00000000-0005-0000-0000-0000C8530000}"/>
    <cellStyle name="Normal 2 3 2 4 2 2" xfId="15101" xr:uid="{00000000-0005-0000-0000-0000C9530000}"/>
    <cellStyle name="Normal 2 3 2 4 2 2 2" xfId="35021" xr:uid="{00000000-0005-0000-0000-0000CA530000}"/>
    <cellStyle name="Normal 2 3 2 4 2 3" xfId="21253" xr:uid="{00000000-0005-0000-0000-0000CB530000}"/>
    <cellStyle name="Normal 2 3 2 4 2 3 2" xfId="41173" xr:uid="{00000000-0005-0000-0000-0000CC530000}"/>
    <cellStyle name="Normal 2 3 2 4 2 4" xfId="28868" xr:uid="{00000000-0005-0000-0000-0000CD530000}"/>
    <cellStyle name="Normal 2 3 2 4 3" xfId="12035" xr:uid="{00000000-0005-0000-0000-0000CE530000}"/>
    <cellStyle name="Normal 2 3 2 4 3 2" xfId="31955" xr:uid="{00000000-0005-0000-0000-0000CF530000}"/>
    <cellStyle name="Normal 2 3 2 4 4" xfId="18187" xr:uid="{00000000-0005-0000-0000-0000D0530000}"/>
    <cellStyle name="Normal 2 3 2 4 4 2" xfId="38107" xr:uid="{00000000-0005-0000-0000-0000D1530000}"/>
    <cellStyle name="Normal 2 3 2 4 5" xfId="25802" xr:uid="{00000000-0005-0000-0000-0000D2530000}"/>
    <cellStyle name="Normal 2 3 2 5" xfId="7373" xr:uid="{00000000-0005-0000-0000-0000D3530000}"/>
    <cellStyle name="Normal 2 3 2 5 2" xfId="13567" xr:uid="{00000000-0005-0000-0000-0000D4530000}"/>
    <cellStyle name="Normal 2 3 2 5 2 2" xfId="33487" xr:uid="{00000000-0005-0000-0000-0000D5530000}"/>
    <cellStyle name="Normal 2 3 2 5 3" xfId="19719" xr:uid="{00000000-0005-0000-0000-0000D6530000}"/>
    <cellStyle name="Normal 2 3 2 5 3 2" xfId="39639" xr:uid="{00000000-0005-0000-0000-0000D7530000}"/>
    <cellStyle name="Normal 2 3 2 5 4" xfId="27334" xr:uid="{00000000-0005-0000-0000-0000D8530000}"/>
    <cellStyle name="Normal 2 3 2 6" xfId="10501" xr:uid="{00000000-0005-0000-0000-0000D9530000}"/>
    <cellStyle name="Normal 2 3 2 6 2" xfId="30421" xr:uid="{00000000-0005-0000-0000-0000DA530000}"/>
    <cellStyle name="Normal 2 3 2 7" xfId="16653" xr:uid="{00000000-0005-0000-0000-0000DB530000}"/>
    <cellStyle name="Normal 2 3 2 7 2" xfId="36573" xr:uid="{00000000-0005-0000-0000-0000DC530000}"/>
    <cellStyle name="Normal 2 3 2 8" xfId="24268" xr:uid="{00000000-0005-0000-0000-0000DD530000}"/>
    <cellStyle name="Normal 2 3 3" xfId="3476" xr:uid="{00000000-0005-0000-0000-0000DE530000}"/>
    <cellStyle name="Normal 2 3 3 2" xfId="4967" xr:uid="{00000000-0005-0000-0000-0000DF530000}"/>
    <cellStyle name="Normal 2 3 3 2 2" xfId="6592" xr:uid="{00000000-0005-0000-0000-0000E0530000}"/>
    <cellStyle name="Normal 2 3 3 2 2 2" xfId="9678" xr:uid="{00000000-0005-0000-0000-0000E1530000}"/>
    <cellStyle name="Normal 2 3 3 2 2 2 2" xfId="15871" xr:uid="{00000000-0005-0000-0000-0000E2530000}"/>
    <cellStyle name="Normal 2 3 3 2 2 2 2 2" xfId="35791" xr:uid="{00000000-0005-0000-0000-0000E3530000}"/>
    <cellStyle name="Normal 2 3 3 2 2 2 3" xfId="22023" xr:uid="{00000000-0005-0000-0000-0000E4530000}"/>
    <cellStyle name="Normal 2 3 3 2 2 2 3 2" xfId="41943" xr:uid="{00000000-0005-0000-0000-0000E5530000}"/>
    <cellStyle name="Normal 2 3 3 2 2 2 4" xfId="29638" xr:uid="{00000000-0005-0000-0000-0000E6530000}"/>
    <cellStyle name="Normal 2 3 3 2 2 3" xfId="12805" xr:uid="{00000000-0005-0000-0000-0000E7530000}"/>
    <cellStyle name="Normal 2 3 3 2 2 3 2" xfId="32725" xr:uid="{00000000-0005-0000-0000-0000E8530000}"/>
    <cellStyle name="Normal 2 3 3 2 2 4" xfId="18957" xr:uid="{00000000-0005-0000-0000-0000E9530000}"/>
    <cellStyle name="Normal 2 3 3 2 2 4 2" xfId="38877" xr:uid="{00000000-0005-0000-0000-0000EA530000}"/>
    <cellStyle name="Normal 2 3 3 2 2 5" xfId="26572" xr:uid="{00000000-0005-0000-0000-0000EB530000}"/>
    <cellStyle name="Normal 2 3 3 2 3" xfId="8143" xr:uid="{00000000-0005-0000-0000-0000EC530000}"/>
    <cellStyle name="Normal 2 3 3 2 3 2" xfId="14337" xr:uid="{00000000-0005-0000-0000-0000ED530000}"/>
    <cellStyle name="Normal 2 3 3 2 3 2 2" xfId="34257" xr:uid="{00000000-0005-0000-0000-0000EE530000}"/>
    <cellStyle name="Normal 2 3 3 2 3 3" xfId="20489" xr:uid="{00000000-0005-0000-0000-0000EF530000}"/>
    <cellStyle name="Normal 2 3 3 2 3 3 2" xfId="40409" xr:uid="{00000000-0005-0000-0000-0000F0530000}"/>
    <cellStyle name="Normal 2 3 3 2 3 4" xfId="28104" xr:uid="{00000000-0005-0000-0000-0000F1530000}"/>
    <cellStyle name="Normal 2 3 3 2 4" xfId="11271" xr:uid="{00000000-0005-0000-0000-0000F2530000}"/>
    <cellStyle name="Normal 2 3 3 2 4 2" xfId="31191" xr:uid="{00000000-0005-0000-0000-0000F3530000}"/>
    <cellStyle name="Normal 2 3 3 2 5" xfId="17423" xr:uid="{00000000-0005-0000-0000-0000F4530000}"/>
    <cellStyle name="Normal 2 3 3 2 5 2" xfId="37343" xr:uid="{00000000-0005-0000-0000-0000F5530000}"/>
    <cellStyle name="Normal 2 3 3 2 6" xfId="25038" xr:uid="{00000000-0005-0000-0000-0000F6530000}"/>
    <cellStyle name="Normal 2 3 3 3" xfId="5809" xr:uid="{00000000-0005-0000-0000-0000F7530000}"/>
    <cellStyle name="Normal 2 3 3 3 2" xfId="8909" xr:uid="{00000000-0005-0000-0000-0000F8530000}"/>
    <cellStyle name="Normal 2 3 3 3 2 2" xfId="15102" xr:uid="{00000000-0005-0000-0000-0000F9530000}"/>
    <cellStyle name="Normal 2 3 3 3 2 2 2" xfId="35022" xr:uid="{00000000-0005-0000-0000-0000FA530000}"/>
    <cellStyle name="Normal 2 3 3 3 2 3" xfId="21254" xr:uid="{00000000-0005-0000-0000-0000FB530000}"/>
    <cellStyle name="Normal 2 3 3 3 2 3 2" xfId="41174" xr:uid="{00000000-0005-0000-0000-0000FC530000}"/>
    <cellStyle name="Normal 2 3 3 3 2 4" xfId="28869" xr:uid="{00000000-0005-0000-0000-0000FD530000}"/>
    <cellStyle name="Normal 2 3 3 3 3" xfId="12036" xr:uid="{00000000-0005-0000-0000-0000FE530000}"/>
    <cellStyle name="Normal 2 3 3 3 3 2" xfId="31956" xr:uid="{00000000-0005-0000-0000-0000FF530000}"/>
    <cellStyle name="Normal 2 3 3 3 4" xfId="18188" xr:uid="{00000000-0005-0000-0000-000000540000}"/>
    <cellStyle name="Normal 2 3 3 3 4 2" xfId="38108" xr:uid="{00000000-0005-0000-0000-000001540000}"/>
    <cellStyle name="Normal 2 3 3 3 5" xfId="25803" xr:uid="{00000000-0005-0000-0000-000002540000}"/>
    <cellStyle name="Normal 2 3 3 4" xfId="7374" xr:uid="{00000000-0005-0000-0000-000003540000}"/>
    <cellStyle name="Normal 2 3 3 4 2" xfId="13568" xr:uid="{00000000-0005-0000-0000-000004540000}"/>
    <cellStyle name="Normal 2 3 3 4 2 2" xfId="33488" xr:uid="{00000000-0005-0000-0000-000005540000}"/>
    <cellStyle name="Normal 2 3 3 4 3" xfId="19720" xr:uid="{00000000-0005-0000-0000-000006540000}"/>
    <cellStyle name="Normal 2 3 3 4 3 2" xfId="39640" xr:uid="{00000000-0005-0000-0000-000007540000}"/>
    <cellStyle name="Normal 2 3 3 4 4" xfId="27335" xr:uid="{00000000-0005-0000-0000-000008540000}"/>
    <cellStyle name="Normal 2 3 3 5" xfId="10502" xr:uid="{00000000-0005-0000-0000-000009540000}"/>
    <cellStyle name="Normal 2 3 3 5 2" xfId="30422" xr:uid="{00000000-0005-0000-0000-00000A540000}"/>
    <cellStyle name="Normal 2 3 3 6" xfId="16654" xr:uid="{00000000-0005-0000-0000-00000B540000}"/>
    <cellStyle name="Normal 2 3 3 6 2" xfId="36574" xr:uid="{00000000-0005-0000-0000-00000C540000}"/>
    <cellStyle name="Normal 2 3 3 7" xfId="24269" xr:uid="{00000000-0005-0000-0000-00000D540000}"/>
    <cellStyle name="Normal 2 3 4" xfId="3477" xr:uid="{00000000-0005-0000-0000-00000E540000}"/>
    <cellStyle name="Normal 2 3 4 2" xfId="4968" xr:uid="{00000000-0005-0000-0000-00000F540000}"/>
    <cellStyle name="Normal 2 3 4 2 2" xfId="6593" xr:uid="{00000000-0005-0000-0000-000010540000}"/>
    <cellStyle name="Normal 2 3 4 2 2 2" xfId="9679" xr:uid="{00000000-0005-0000-0000-000011540000}"/>
    <cellStyle name="Normal 2 3 4 2 2 2 2" xfId="15872" xr:uid="{00000000-0005-0000-0000-000012540000}"/>
    <cellStyle name="Normal 2 3 4 2 2 2 2 2" xfId="35792" xr:uid="{00000000-0005-0000-0000-000013540000}"/>
    <cellStyle name="Normal 2 3 4 2 2 2 3" xfId="22024" xr:uid="{00000000-0005-0000-0000-000014540000}"/>
    <cellStyle name="Normal 2 3 4 2 2 2 3 2" xfId="41944" xr:uid="{00000000-0005-0000-0000-000015540000}"/>
    <cellStyle name="Normal 2 3 4 2 2 2 4" xfId="29639" xr:uid="{00000000-0005-0000-0000-000016540000}"/>
    <cellStyle name="Normal 2 3 4 2 2 3" xfId="12806" xr:uid="{00000000-0005-0000-0000-000017540000}"/>
    <cellStyle name="Normal 2 3 4 2 2 3 2" xfId="32726" xr:uid="{00000000-0005-0000-0000-000018540000}"/>
    <cellStyle name="Normal 2 3 4 2 2 4" xfId="18958" xr:uid="{00000000-0005-0000-0000-000019540000}"/>
    <cellStyle name="Normal 2 3 4 2 2 4 2" xfId="38878" xr:uid="{00000000-0005-0000-0000-00001A540000}"/>
    <cellStyle name="Normal 2 3 4 2 2 5" xfId="26573" xr:uid="{00000000-0005-0000-0000-00001B540000}"/>
    <cellStyle name="Normal 2 3 4 2 3" xfId="8144" xr:uid="{00000000-0005-0000-0000-00001C540000}"/>
    <cellStyle name="Normal 2 3 4 2 3 2" xfId="14338" xr:uid="{00000000-0005-0000-0000-00001D540000}"/>
    <cellStyle name="Normal 2 3 4 2 3 2 2" xfId="34258" xr:uid="{00000000-0005-0000-0000-00001E540000}"/>
    <cellStyle name="Normal 2 3 4 2 3 3" xfId="20490" xr:uid="{00000000-0005-0000-0000-00001F540000}"/>
    <cellStyle name="Normal 2 3 4 2 3 3 2" xfId="40410" xr:uid="{00000000-0005-0000-0000-000020540000}"/>
    <cellStyle name="Normal 2 3 4 2 3 4" xfId="28105" xr:uid="{00000000-0005-0000-0000-000021540000}"/>
    <cellStyle name="Normal 2 3 4 2 4" xfId="11272" xr:uid="{00000000-0005-0000-0000-000022540000}"/>
    <cellStyle name="Normal 2 3 4 2 4 2" xfId="31192" xr:uid="{00000000-0005-0000-0000-000023540000}"/>
    <cellStyle name="Normal 2 3 4 2 5" xfId="17424" xr:uid="{00000000-0005-0000-0000-000024540000}"/>
    <cellStyle name="Normal 2 3 4 2 5 2" xfId="37344" xr:uid="{00000000-0005-0000-0000-000025540000}"/>
    <cellStyle name="Normal 2 3 4 2 6" xfId="25039" xr:uid="{00000000-0005-0000-0000-000026540000}"/>
    <cellStyle name="Normal 2 3 4 3" xfId="5810" xr:uid="{00000000-0005-0000-0000-000027540000}"/>
    <cellStyle name="Normal 2 3 4 3 2" xfId="8910" xr:uid="{00000000-0005-0000-0000-000028540000}"/>
    <cellStyle name="Normal 2 3 4 3 2 2" xfId="15103" xr:uid="{00000000-0005-0000-0000-000029540000}"/>
    <cellStyle name="Normal 2 3 4 3 2 2 2" xfId="35023" xr:uid="{00000000-0005-0000-0000-00002A540000}"/>
    <cellStyle name="Normal 2 3 4 3 2 3" xfId="21255" xr:uid="{00000000-0005-0000-0000-00002B540000}"/>
    <cellStyle name="Normal 2 3 4 3 2 3 2" xfId="41175" xr:uid="{00000000-0005-0000-0000-00002C540000}"/>
    <cellStyle name="Normal 2 3 4 3 2 4" xfId="28870" xr:uid="{00000000-0005-0000-0000-00002D540000}"/>
    <cellStyle name="Normal 2 3 4 3 3" xfId="12037" xr:uid="{00000000-0005-0000-0000-00002E540000}"/>
    <cellStyle name="Normal 2 3 4 3 3 2" xfId="31957" xr:uid="{00000000-0005-0000-0000-00002F540000}"/>
    <cellStyle name="Normal 2 3 4 3 4" xfId="18189" xr:uid="{00000000-0005-0000-0000-000030540000}"/>
    <cellStyle name="Normal 2 3 4 3 4 2" xfId="38109" xr:uid="{00000000-0005-0000-0000-000031540000}"/>
    <cellStyle name="Normal 2 3 4 3 5" xfId="25804" xr:uid="{00000000-0005-0000-0000-000032540000}"/>
    <cellStyle name="Normal 2 3 4 4" xfId="7375" xr:uid="{00000000-0005-0000-0000-000033540000}"/>
    <cellStyle name="Normal 2 3 4 4 2" xfId="13569" xr:uid="{00000000-0005-0000-0000-000034540000}"/>
    <cellStyle name="Normal 2 3 4 4 2 2" xfId="33489" xr:uid="{00000000-0005-0000-0000-000035540000}"/>
    <cellStyle name="Normal 2 3 4 4 3" xfId="19721" xr:uid="{00000000-0005-0000-0000-000036540000}"/>
    <cellStyle name="Normal 2 3 4 4 3 2" xfId="39641" xr:uid="{00000000-0005-0000-0000-000037540000}"/>
    <cellStyle name="Normal 2 3 4 4 4" xfId="27336" xr:uid="{00000000-0005-0000-0000-000038540000}"/>
    <cellStyle name="Normal 2 3 4 5" xfId="10503" xr:uid="{00000000-0005-0000-0000-000039540000}"/>
    <cellStyle name="Normal 2 3 4 5 2" xfId="30423" xr:uid="{00000000-0005-0000-0000-00003A540000}"/>
    <cellStyle name="Normal 2 3 4 6" xfId="16655" xr:uid="{00000000-0005-0000-0000-00003B540000}"/>
    <cellStyle name="Normal 2 3 4 6 2" xfId="36575" xr:uid="{00000000-0005-0000-0000-00003C540000}"/>
    <cellStyle name="Normal 2 3 4 7" xfId="24270" xr:uid="{00000000-0005-0000-0000-00003D540000}"/>
    <cellStyle name="Normal 2 3 5" xfId="3478" xr:uid="{00000000-0005-0000-0000-00003E540000}"/>
    <cellStyle name="Normal 2 3 5 2" xfId="4969" xr:uid="{00000000-0005-0000-0000-00003F540000}"/>
    <cellStyle name="Normal 2 3 5 2 2" xfId="6594" xr:uid="{00000000-0005-0000-0000-000040540000}"/>
    <cellStyle name="Normal 2 3 5 2 2 2" xfId="9680" xr:uid="{00000000-0005-0000-0000-000041540000}"/>
    <cellStyle name="Normal 2 3 5 2 2 2 2" xfId="15873" xr:uid="{00000000-0005-0000-0000-000042540000}"/>
    <cellStyle name="Normal 2 3 5 2 2 2 2 2" xfId="35793" xr:uid="{00000000-0005-0000-0000-000043540000}"/>
    <cellStyle name="Normal 2 3 5 2 2 2 3" xfId="22025" xr:uid="{00000000-0005-0000-0000-000044540000}"/>
    <cellStyle name="Normal 2 3 5 2 2 2 3 2" xfId="41945" xr:uid="{00000000-0005-0000-0000-000045540000}"/>
    <cellStyle name="Normal 2 3 5 2 2 2 4" xfId="29640" xr:uid="{00000000-0005-0000-0000-000046540000}"/>
    <cellStyle name="Normal 2 3 5 2 2 3" xfId="12807" xr:uid="{00000000-0005-0000-0000-000047540000}"/>
    <cellStyle name="Normal 2 3 5 2 2 3 2" xfId="32727" xr:uid="{00000000-0005-0000-0000-000048540000}"/>
    <cellStyle name="Normal 2 3 5 2 2 4" xfId="18959" xr:uid="{00000000-0005-0000-0000-000049540000}"/>
    <cellStyle name="Normal 2 3 5 2 2 4 2" xfId="38879" xr:uid="{00000000-0005-0000-0000-00004A540000}"/>
    <cellStyle name="Normal 2 3 5 2 2 5" xfId="26574" xr:uid="{00000000-0005-0000-0000-00004B540000}"/>
    <cellStyle name="Normal 2 3 5 2 3" xfId="8145" xr:uid="{00000000-0005-0000-0000-00004C540000}"/>
    <cellStyle name="Normal 2 3 5 2 3 2" xfId="14339" xr:uid="{00000000-0005-0000-0000-00004D540000}"/>
    <cellStyle name="Normal 2 3 5 2 3 2 2" xfId="34259" xr:uid="{00000000-0005-0000-0000-00004E540000}"/>
    <cellStyle name="Normal 2 3 5 2 3 3" xfId="20491" xr:uid="{00000000-0005-0000-0000-00004F540000}"/>
    <cellStyle name="Normal 2 3 5 2 3 3 2" xfId="40411" xr:uid="{00000000-0005-0000-0000-000050540000}"/>
    <cellStyle name="Normal 2 3 5 2 3 4" xfId="28106" xr:uid="{00000000-0005-0000-0000-000051540000}"/>
    <cellStyle name="Normal 2 3 5 2 4" xfId="11273" xr:uid="{00000000-0005-0000-0000-000052540000}"/>
    <cellStyle name="Normal 2 3 5 2 4 2" xfId="31193" xr:uid="{00000000-0005-0000-0000-000053540000}"/>
    <cellStyle name="Normal 2 3 5 2 5" xfId="17425" xr:uid="{00000000-0005-0000-0000-000054540000}"/>
    <cellStyle name="Normal 2 3 5 2 5 2" xfId="37345" xr:uid="{00000000-0005-0000-0000-000055540000}"/>
    <cellStyle name="Normal 2 3 5 2 6" xfId="25040" xr:uid="{00000000-0005-0000-0000-000056540000}"/>
    <cellStyle name="Normal 2 3 5 3" xfId="5811" xr:uid="{00000000-0005-0000-0000-000057540000}"/>
    <cellStyle name="Normal 2 3 5 3 2" xfId="8911" xr:uid="{00000000-0005-0000-0000-000058540000}"/>
    <cellStyle name="Normal 2 3 5 3 2 2" xfId="15104" xr:uid="{00000000-0005-0000-0000-000059540000}"/>
    <cellStyle name="Normal 2 3 5 3 2 2 2" xfId="35024" xr:uid="{00000000-0005-0000-0000-00005A540000}"/>
    <cellStyle name="Normal 2 3 5 3 2 3" xfId="21256" xr:uid="{00000000-0005-0000-0000-00005B540000}"/>
    <cellStyle name="Normal 2 3 5 3 2 3 2" xfId="41176" xr:uid="{00000000-0005-0000-0000-00005C540000}"/>
    <cellStyle name="Normal 2 3 5 3 2 4" xfId="28871" xr:uid="{00000000-0005-0000-0000-00005D540000}"/>
    <cellStyle name="Normal 2 3 5 3 3" xfId="12038" xr:uid="{00000000-0005-0000-0000-00005E540000}"/>
    <cellStyle name="Normal 2 3 5 3 3 2" xfId="31958" xr:uid="{00000000-0005-0000-0000-00005F540000}"/>
    <cellStyle name="Normal 2 3 5 3 4" xfId="18190" xr:uid="{00000000-0005-0000-0000-000060540000}"/>
    <cellStyle name="Normal 2 3 5 3 4 2" xfId="38110" xr:uid="{00000000-0005-0000-0000-000061540000}"/>
    <cellStyle name="Normal 2 3 5 3 5" xfId="25805" xr:uid="{00000000-0005-0000-0000-000062540000}"/>
    <cellStyle name="Normal 2 3 5 4" xfId="7376" xr:uid="{00000000-0005-0000-0000-000063540000}"/>
    <cellStyle name="Normal 2 3 5 4 2" xfId="13570" xr:uid="{00000000-0005-0000-0000-000064540000}"/>
    <cellStyle name="Normal 2 3 5 4 2 2" xfId="33490" xr:uid="{00000000-0005-0000-0000-000065540000}"/>
    <cellStyle name="Normal 2 3 5 4 3" xfId="19722" xr:uid="{00000000-0005-0000-0000-000066540000}"/>
    <cellStyle name="Normal 2 3 5 4 3 2" xfId="39642" xr:uid="{00000000-0005-0000-0000-000067540000}"/>
    <cellStyle name="Normal 2 3 5 4 4" xfId="27337" xr:uid="{00000000-0005-0000-0000-000068540000}"/>
    <cellStyle name="Normal 2 3 5 5" xfId="10504" xr:uid="{00000000-0005-0000-0000-000069540000}"/>
    <cellStyle name="Normal 2 3 5 5 2" xfId="30424" xr:uid="{00000000-0005-0000-0000-00006A540000}"/>
    <cellStyle name="Normal 2 3 5 6" xfId="16656" xr:uid="{00000000-0005-0000-0000-00006B540000}"/>
    <cellStyle name="Normal 2 3 5 6 2" xfId="36576" xr:uid="{00000000-0005-0000-0000-00006C540000}"/>
    <cellStyle name="Normal 2 3 5 7" xfId="24271" xr:uid="{00000000-0005-0000-0000-00006D540000}"/>
    <cellStyle name="Normal 2 3 6" xfId="3479" xr:uid="{00000000-0005-0000-0000-00006E540000}"/>
    <cellStyle name="Normal 2 3 6 2" xfId="4970" xr:uid="{00000000-0005-0000-0000-00006F540000}"/>
    <cellStyle name="Normal 2 3 6 2 2" xfId="6595" xr:uid="{00000000-0005-0000-0000-000070540000}"/>
    <cellStyle name="Normal 2 3 6 2 2 2" xfId="9681" xr:uid="{00000000-0005-0000-0000-000071540000}"/>
    <cellStyle name="Normal 2 3 6 2 2 2 2" xfId="15874" xr:uid="{00000000-0005-0000-0000-000072540000}"/>
    <cellStyle name="Normal 2 3 6 2 2 2 2 2" xfId="35794" xr:uid="{00000000-0005-0000-0000-000073540000}"/>
    <cellStyle name="Normal 2 3 6 2 2 2 3" xfId="22026" xr:uid="{00000000-0005-0000-0000-000074540000}"/>
    <cellStyle name="Normal 2 3 6 2 2 2 3 2" xfId="41946" xr:uid="{00000000-0005-0000-0000-000075540000}"/>
    <cellStyle name="Normal 2 3 6 2 2 2 4" xfId="29641" xr:uid="{00000000-0005-0000-0000-000076540000}"/>
    <cellStyle name="Normal 2 3 6 2 2 3" xfId="12808" xr:uid="{00000000-0005-0000-0000-000077540000}"/>
    <cellStyle name="Normal 2 3 6 2 2 3 2" xfId="32728" xr:uid="{00000000-0005-0000-0000-000078540000}"/>
    <cellStyle name="Normal 2 3 6 2 2 4" xfId="18960" xr:uid="{00000000-0005-0000-0000-000079540000}"/>
    <cellStyle name="Normal 2 3 6 2 2 4 2" xfId="38880" xr:uid="{00000000-0005-0000-0000-00007A540000}"/>
    <cellStyle name="Normal 2 3 6 2 2 5" xfId="26575" xr:uid="{00000000-0005-0000-0000-00007B540000}"/>
    <cellStyle name="Normal 2 3 6 2 3" xfId="8146" xr:uid="{00000000-0005-0000-0000-00007C540000}"/>
    <cellStyle name="Normal 2 3 6 2 3 2" xfId="14340" xr:uid="{00000000-0005-0000-0000-00007D540000}"/>
    <cellStyle name="Normal 2 3 6 2 3 2 2" xfId="34260" xr:uid="{00000000-0005-0000-0000-00007E540000}"/>
    <cellStyle name="Normal 2 3 6 2 3 3" xfId="20492" xr:uid="{00000000-0005-0000-0000-00007F540000}"/>
    <cellStyle name="Normal 2 3 6 2 3 3 2" xfId="40412" xr:uid="{00000000-0005-0000-0000-000080540000}"/>
    <cellStyle name="Normal 2 3 6 2 3 4" xfId="28107" xr:uid="{00000000-0005-0000-0000-000081540000}"/>
    <cellStyle name="Normal 2 3 6 2 4" xfId="11274" xr:uid="{00000000-0005-0000-0000-000082540000}"/>
    <cellStyle name="Normal 2 3 6 2 4 2" xfId="31194" xr:uid="{00000000-0005-0000-0000-000083540000}"/>
    <cellStyle name="Normal 2 3 6 2 5" xfId="17426" xr:uid="{00000000-0005-0000-0000-000084540000}"/>
    <cellStyle name="Normal 2 3 6 2 5 2" xfId="37346" xr:uid="{00000000-0005-0000-0000-000085540000}"/>
    <cellStyle name="Normal 2 3 6 2 6" xfId="25041" xr:uid="{00000000-0005-0000-0000-000086540000}"/>
    <cellStyle name="Normal 2 3 6 3" xfId="5812" xr:uid="{00000000-0005-0000-0000-000087540000}"/>
    <cellStyle name="Normal 2 3 6 3 2" xfId="8912" xr:uid="{00000000-0005-0000-0000-000088540000}"/>
    <cellStyle name="Normal 2 3 6 3 2 2" xfId="15105" xr:uid="{00000000-0005-0000-0000-000089540000}"/>
    <cellStyle name="Normal 2 3 6 3 2 2 2" xfId="35025" xr:uid="{00000000-0005-0000-0000-00008A540000}"/>
    <cellStyle name="Normal 2 3 6 3 2 3" xfId="21257" xr:uid="{00000000-0005-0000-0000-00008B540000}"/>
    <cellStyle name="Normal 2 3 6 3 2 3 2" xfId="41177" xr:uid="{00000000-0005-0000-0000-00008C540000}"/>
    <cellStyle name="Normal 2 3 6 3 2 4" xfId="28872" xr:uid="{00000000-0005-0000-0000-00008D540000}"/>
    <cellStyle name="Normal 2 3 6 3 3" xfId="12039" xr:uid="{00000000-0005-0000-0000-00008E540000}"/>
    <cellStyle name="Normal 2 3 6 3 3 2" xfId="31959" xr:uid="{00000000-0005-0000-0000-00008F540000}"/>
    <cellStyle name="Normal 2 3 6 3 4" xfId="18191" xr:uid="{00000000-0005-0000-0000-000090540000}"/>
    <cellStyle name="Normal 2 3 6 3 4 2" xfId="38111" xr:uid="{00000000-0005-0000-0000-000091540000}"/>
    <cellStyle name="Normal 2 3 6 3 5" xfId="25806" xr:uid="{00000000-0005-0000-0000-000092540000}"/>
    <cellStyle name="Normal 2 3 6 4" xfId="7377" xr:uid="{00000000-0005-0000-0000-000093540000}"/>
    <cellStyle name="Normal 2 3 6 4 2" xfId="13571" xr:uid="{00000000-0005-0000-0000-000094540000}"/>
    <cellStyle name="Normal 2 3 6 4 2 2" xfId="33491" xr:uid="{00000000-0005-0000-0000-000095540000}"/>
    <cellStyle name="Normal 2 3 6 4 3" xfId="19723" xr:uid="{00000000-0005-0000-0000-000096540000}"/>
    <cellStyle name="Normal 2 3 6 4 3 2" xfId="39643" xr:uid="{00000000-0005-0000-0000-000097540000}"/>
    <cellStyle name="Normal 2 3 6 4 4" xfId="27338" xr:uid="{00000000-0005-0000-0000-000098540000}"/>
    <cellStyle name="Normal 2 3 6 5" xfId="10505" xr:uid="{00000000-0005-0000-0000-000099540000}"/>
    <cellStyle name="Normal 2 3 6 5 2" xfId="30425" xr:uid="{00000000-0005-0000-0000-00009A540000}"/>
    <cellStyle name="Normal 2 3 6 6" xfId="16657" xr:uid="{00000000-0005-0000-0000-00009B540000}"/>
    <cellStyle name="Normal 2 3 6 6 2" xfId="36577" xr:uid="{00000000-0005-0000-0000-00009C540000}"/>
    <cellStyle name="Normal 2 3 6 7" xfId="24272" xr:uid="{00000000-0005-0000-0000-00009D540000}"/>
    <cellStyle name="Normal 2 3 7" xfId="3480" xr:uid="{00000000-0005-0000-0000-00009E540000}"/>
    <cellStyle name="Normal 2 3 8" xfId="3481" xr:uid="{00000000-0005-0000-0000-00009F540000}"/>
    <cellStyle name="Normal 2 3 9" xfId="3473" xr:uid="{00000000-0005-0000-0000-0000A0540000}"/>
    <cellStyle name="Normal 2 4" xfId="1118" xr:uid="{00000000-0005-0000-0000-0000A1540000}"/>
    <cellStyle name="Normal 2 4 2" xfId="3483" xr:uid="{00000000-0005-0000-0000-0000A2540000}"/>
    <cellStyle name="Normal 2 4 2 2" xfId="4972" xr:uid="{00000000-0005-0000-0000-0000A3540000}"/>
    <cellStyle name="Normal 2 4 2 2 2" xfId="6597" xr:uid="{00000000-0005-0000-0000-0000A4540000}"/>
    <cellStyle name="Normal 2 4 2 2 2 2" xfId="9683" xr:uid="{00000000-0005-0000-0000-0000A5540000}"/>
    <cellStyle name="Normal 2 4 2 2 2 2 2" xfId="15876" xr:uid="{00000000-0005-0000-0000-0000A6540000}"/>
    <cellStyle name="Normal 2 4 2 2 2 2 2 2" xfId="35796" xr:uid="{00000000-0005-0000-0000-0000A7540000}"/>
    <cellStyle name="Normal 2 4 2 2 2 2 3" xfId="22028" xr:uid="{00000000-0005-0000-0000-0000A8540000}"/>
    <cellStyle name="Normal 2 4 2 2 2 2 3 2" xfId="41948" xr:uid="{00000000-0005-0000-0000-0000A9540000}"/>
    <cellStyle name="Normal 2 4 2 2 2 2 4" xfId="29643" xr:uid="{00000000-0005-0000-0000-0000AA540000}"/>
    <cellStyle name="Normal 2 4 2 2 2 3" xfId="12810" xr:uid="{00000000-0005-0000-0000-0000AB540000}"/>
    <cellStyle name="Normal 2 4 2 2 2 3 2" xfId="32730" xr:uid="{00000000-0005-0000-0000-0000AC540000}"/>
    <cellStyle name="Normal 2 4 2 2 2 4" xfId="18962" xr:uid="{00000000-0005-0000-0000-0000AD540000}"/>
    <cellStyle name="Normal 2 4 2 2 2 4 2" xfId="38882" xr:uid="{00000000-0005-0000-0000-0000AE540000}"/>
    <cellStyle name="Normal 2 4 2 2 2 5" xfId="26577" xr:uid="{00000000-0005-0000-0000-0000AF540000}"/>
    <cellStyle name="Normal 2 4 2 2 3" xfId="8148" xr:uid="{00000000-0005-0000-0000-0000B0540000}"/>
    <cellStyle name="Normal 2 4 2 2 3 2" xfId="14342" xr:uid="{00000000-0005-0000-0000-0000B1540000}"/>
    <cellStyle name="Normal 2 4 2 2 3 2 2" xfId="34262" xr:uid="{00000000-0005-0000-0000-0000B2540000}"/>
    <cellStyle name="Normal 2 4 2 2 3 3" xfId="20494" xr:uid="{00000000-0005-0000-0000-0000B3540000}"/>
    <cellStyle name="Normal 2 4 2 2 3 3 2" xfId="40414" xr:uid="{00000000-0005-0000-0000-0000B4540000}"/>
    <cellStyle name="Normal 2 4 2 2 3 4" xfId="28109" xr:uid="{00000000-0005-0000-0000-0000B5540000}"/>
    <cellStyle name="Normal 2 4 2 2 4" xfId="11276" xr:uid="{00000000-0005-0000-0000-0000B6540000}"/>
    <cellStyle name="Normal 2 4 2 2 4 2" xfId="31196" xr:uid="{00000000-0005-0000-0000-0000B7540000}"/>
    <cellStyle name="Normal 2 4 2 2 5" xfId="17428" xr:uid="{00000000-0005-0000-0000-0000B8540000}"/>
    <cellStyle name="Normal 2 4 2 2 5 2" xfId="37348" xr:uid="{00000000-0005-0000-0000-0000B9540000}"/>
    <cellStyle name="Normal 2 4 2 2 6" xfId="25043" xr:uid="{00000000-0005-0000-0000-0000BA540000}"/>
    <cellStyle name="Normal 2 4 2 3" xfId="5814" xr:uid="{00000000-0005-0000-0000-0000BB540000}"/>
    <cellStyle name="Normal 2 4 2 3 2" xfId="8914" xr:uid="{00000000-0005-0000-0000-0000BC540000}"/>
    <cellStyle name="Normal 2 4 2 3 2 2" xfId="15107" xr:uid="{00000000-0005-0000-0000-0000BD540000}"/>
    <cellStyle name="Normal 2 4 2 3 2 2 2" xfId="35027" xr:uid="{00000000-0005-0000-0000-0000BE540000}"/>
    <cellStyle name="Normal 2 4 2 3 2 3" xfId="21259" xr:uid="{00000000-0005-0000-0000-0000BF540000}"/>
    <cellStyle name="Normal 2 4 2 3 2 3 2" xfId="41179" xr:uid="{00000000-0005-0000-0000-0000C0540000}"/>
    <cellStyle name="Normal 2 4 2 3 2 4" xfId="28874" xr:uid="{00000000-0005-0000-0000-0000C1540000}"/>
    <cellStyle name="Normal 2 4 2 3 3" xfId="12041" xr:uid="{00000000-0005-0000-0000-0000C2540000}"/>
    <cellStyle name="Normal 2 4 2 3 3 2" xfId="31961" xr:uid="{00000000-0005-0000-0000-0000C3540000}"/>
    <cellStyle name="Normal 2 4 2 3 4" xfId="18193" xr:uid="{00000000-0005-0000-0000-0000C4540000}"/>
    <cellStyle name="Normal 2 4 2 3 4 2" xfId="38113" xr:uid="{00000000-0005-0000-0000-0000C5540000}"/>
    <cellStyle name="Normal 2 4 2 3 5" xfId="25808" xr:uid="{00000000-0005-0000-0000-0000C6540000}"/>
    <cellStyle name="Normal 2 4 2 4" xfId="7379" xr:uid="{00000000-0005-0000-0000-0000C7540000}"/>
    <cellStyle name="Normal 2 4 2 4 2" xfId="13573" xr:uid="{00000000-0005-0000-0000-0000C8540000}"/>
    <cellStyle name="Normal 2 4 2 4 2 2" xfId="33493" xr:uid="{00000000-0005-0000-0000-0000C9540000}"/>
    <cellStyle name="Normal 2 4 2 4 3" xfId="19725" xr:uid="{00000000-0005-0000-0000-0000CA540000}"/>
    <cellStyle name="Normal 2 4 2 4 3 2" xfId="39645" xr:uid="{00000000-0005-0000-0000-0000CB540000}"/>
    <cellStyle name="Normal 2 4 2 4 4" xfId="27340" xr:uid="{00000000-0005-0000-0000-0000CC540000}"/>
    <cellStyle name="Normal 2 4 2 5" xfId="10507" xr:uid="{00000000-0005-0000-0000-0000CD540000}"/>
    <cellStyle name="Normal 2 4 2 5 2" xfId="30427" xr:uid="{00000000-0005-0000-0000-0000CE540000}"/>
    <cellStyle name="Normal 2 4 2 6" xfId="16659" xr:uid="{00000000-0005-0000-0000-0000CF540000}"/>
    <cellStyle name="Normal 2 4 2 6 2" xfId="36579" xr:uid="{00000000-0005-0000-0000-0000D0540000}"/>
    <cellStyle name="Normal 2 4 2 7" xfId="24274" xr:uid="{00000000-0005-0000-0000-0000D1540000}"/>
    <cellStyle name="Normal 2 4 3" xfId="3484" xr:uid="{00000000-0005-0000-0000-0000D2540000}"/>
    <cellStyle name="Normal 2 4 4" xfId="4556" xr:uid="{00000000-0005-0000-0000-0000D3540000}"/>
    <cellStyle name="Normal 2 4 5" xfId="3482" xr:uid="{00000000-0005-0000-0000-0000D4540000}"/>
    <cellStyle name="Normal 2 4 5 2" xfId="4971" xr:uid="{00000000-0005-0000-0000-0000D5540000}"/>
    <cellStyle name="Normal 2 4 5 2 2" xfId="6596" xr:uid="{00000000-0005-0000-0000-0000D6540000}"/>
    <cellStyle name="Normal 2 4 5 2 2 2" xfId="9682" xr:uid="{00000000-0005-0000-0000-0000D7540000}"/>
    <cellStyle name="Normal 2 4 5 2 2 2 2" xfId="15875" xr:uid="{00000000-0005-0000-0000-0000D8540000}"/>
    <cellStyle name="Normal 2 4 5 2 2 2 2 2" xfId="35795" xr:uid="{00000000-0005-0000-0000-0000D9540000}"/>
    <cellStyle name="Normal 2 4 5 2 2 2 3" xfId="22027" xr:uid="{00000000-0005-0000-0000-0000DA540000}"/>
    <cellStyle name="Normal 2 4 5 2 2 2 3 2" xfId="41947" xr:uid="{00000000-0005-0000-0000-0000DB540000}"/>
    <cellStyle name="Normal 2 4 5 2 2 2 4" xfId="29642" xr:uid="{00000000-0005-0000-0000-0000DC540000}"/>
    <cellStyle name="Normal 2 4 5 2 2 3" xfId="12809" xr:uid="{00000000-0005-0000-0000-0000DD540000}"/>
    <cellStyle name="Normal 2 4 5 2 2 3 2" xfId="32729" xr:uid="{00000000-0005-0000-0000-0000DE540000}"/>
    <cellStyle name="Normal 2 4 5 2 2 4" xfId="18961" xr:uid="{00000000-0005-0000-0000-0000DF540000}"/>
    <cellStyle name="Normal 2 4 5 2 2 4 2" xfId="38881" xr:uid="{00000000-0005-0000-0000-0000E0540000}"/>
    <cellStyle name="Normal 2 4 5 2 2 5" xfId="26576" xr:uid="{00000000-0005-0000-0000-0000E1540000}"/>
    <cellStyle name="Normal 2 4 5 2 3" xfId="8147" xr:uid="{00000000-0005-0000-0000-0000E2540000}"/>
    <cellStyle name="Normal 2 4 5 2 3 2" xfId="14341" xr:uid="{00000000-0005-0000-0000-0000E3540000}"/>
    <cellStyle name="Normal 2 4 5 2 3 2 2" xfId="34261" xr:uid="{00000000-0005-0000-0000-0000E4540000}"/>
    <cellStyle name="Normal 2 4 5 2 3 3" xfId="20493" xr:uid="{00000000-0005-0000-0000-0000E5540000}"/>
    <cellStyle name="Normal 2 4 5 2 3 3 2" xfId="40413" xr:uid="{00000000-0005-0000-0000-0000E6540000}"/>
    <cellStyle name="Normal 2 4 5 2 3 4" xfId="28108" xr:uid="{00000000-0005-0000-0000-0000E7540000}"/>
    <cellStyle name="Normal 2 4 5 2 4" xfId="11275" xr:uid="{00000000-0005-0000-0000-0000E8540000}"/>
    <cellStyle name="Normal 2 4 5 2 4 2" xfId="31195" xr:uid="{00000000-0005-0000-0000-0000E9540000}"/>
    <cellStyle name="Normal 2 4 5 2 5" xfId="17427" xr:uid="{00000000-0005-0000-0000-0000EA540000}"/>
    <cellStyle name="Normal 2 4 5 2 5 2" xfId="37347" xr:uid="{00000000-0005-0000-0000-0000EB540000}"/>
    <cellStyle name="Normal 2 4 5 2 6" xfId="25042" xr:uid="{00000000-0005-0000-0000-0000EC540000}"/>
    <cellStyle name="Normal 2 4 5 3" xfId="5813" xr:uid="{00000000-0005-0000-0000-0000ED540000}"/>
    <cellStyle name="Normal 2 4 5 3 2" xfId="8913" xr:uid="{00000000-0005-0000-0000-0000EE540000}"/>
    <cellStyle name="Normal 2 4 5 3 2 2" xfId="15106" xr:uid="{00000000-0005-0000-0000-0000EF540000}"/>
    <cellStyle name="Normal 2 4 5 3 2 2 2" xfId="35026" xr:uid="{00000000-0005-0000-0000-0000F0540000}"/>
    <cellStyle name="Normal 2 4 5 3 2 3" xfId="21258" xr:uid="{00000000-0005-0000-0000-0000F1540000}"/>
    <cellStyle name="Normal 2 4 5 3 2 3 2" xfId="41178" xr:uid="{00000000-0005-0000-0000-0000F2540000}"/>
    <cellStyle name="Normal 2 4 5 3 2 4" xfId="28873" xr:uid="{00000000-0005-0000-0000-0000F3540000}"/>
    <cellStyle name="Normal 2 4 5 3 3" xfId="12040" xr:uid="{00000000-0005-0000-0000-0000F4540000}"/>
    <cellStyle name="Normal 2 4 5 3 3 2" xfId="31960" xr:uid="{00000000-0005-0000-0000-0000F5540000}"/>
    <cellStyle name="Normal 2 4 5 3 4" xfId="18192" xr:uid="{00000000-0005-0000-0000-0000F6540000}"/>
    <cellStyle name="Normal 2 4 5 3 4 2" xfId="38112" xr:uid="{00000000-0005-0000-0000-0000F7540000}"/>
    <cellStyle name="Normal 2 4 5 3 5" xfId="25807" xr:uid="{00000000-0005-0000-0000-0000F8540000}"/>
    <cellStyle name="Normal 2 4 5 4" xfId="7378" xr:uid="{00000000-0005-0000-0000-0000F9540000}"/>
    <cellStyle name="Normal 2 4 5 4 2" xfId="13572" xr:uid="{00000000-0005-0000-0000-0000FA540000}"/>
    <cellStyle name="Normal 2 4 5 4 2 2" xfId="33492" xr:uid="{00000000-0005-0000-0000-0000FB540000}"/>
    <cellStyle name="Normal 2 4 5 4 3" xfId="19724" xr:uid="{00000000-0005-0000-0000-0000FC540000}"/>
    <cellStyle name="Normal 2 4 5 4 3 2" xfId="39644" xr:uid="{00000000-0005-0000-0000-0000FD540000}"/>
    <cellStyle name="Normal 2 4 5 4 4" xfId="27339" xr:uid="{00000000-0005-0000-0000-0000FE540000}"/>
    <cellStyle name="Normal 2 4 5 5" xfId="10506" xr:uid="{00000000-0005-0000-0000-0000FF540000}"/>
    <cellStyle name="Normal 2 4 5 5 2" xfId="30426" xr:uid="{00000000-0005-0000-0000-000000550000}"/>
    <cellStyle name="Normal 2 4 5 6" xfId="16658" xr:uid="{00000000-0005-0000-0000-000001550000}"/>
    <cellStyle name="Normal 2 4 5 6 2" xfId="36578" xr:uid="{00000000-0005-0000-0000-000002550000}"/>
    <cellStyle name="Normal 2 4 5 7" xfId="24273" xr:uid="{00000000-0005-0000-0000-000003550000}"/>
    <cellStyle name="Normal 2 5" xfId="1119" xr:uid="{00000000-0005-0000-0000-000004550000}"/>
    <cellStyle name="Normal 2 5 2" xfId="4557" xr:uid="{00000000-0005-0000-0000-000005550000}"/>
    <cellStyle name="Normal 2 5 3" xfId="3485" xr:uid="{00000000-0005-0000-0000-000006550000}"/>
    <cellStyle name="Normal 2 5 3 2" xfId="4973" xr:uid="{00000000-0005-0000-0000-000007550000}"/>
    <cellStyle name="Normal 2 5 3 2 2" xfId="6598" xr:uid="{00000000-0005-0000-0000-000008550000}"/>
    <cellStyle name="Normal 2 5 3 2 2 2" xfId="9684" xr:uid="{00000000-0005-0000-0000-000009550000}"/>
    <cellStyle name="Normal 2 5 3 2 2 2 2" xfId="15877" xr:uid="{00000000-0005-0000-0000-00000A550000}"/>
    <cellStyle name="Normal 2 5 3 2 2 2 2 2" xfId="35797" xr:uid="{00000000-0005-0000-0000-00000B550000}"/>
    <cellStyle name="Normal 2 5 3 2 2 2 3" xfId="22029" xr:uid="{00000000-0005-0000-0000-00000C550000}"/>
    <cellStyle name="Normal 2 5 3 2 2 2 3 2" xfId="41949" xr:uid="{00000000-0005-0000-0000-00000D550000}"/>
    <cellStyle name="Normal 2 5 3 2 2 2 4" xfId="29644" xr:uid="{00000000-0005-0000-0000-00000E550000}"/>
    <cellStyle name="Normal 2 5 3 2 2 3" xfId="12811" xr:uid="{00000000-0005-0000-0000-00000F550000}"/>
    <cellStyle name="Normal 2 5 3 2 2 3 2" xfId="32731" xr:uid="{00000000-0005-0000-0000-000010550000}"/>
    <cellStyle name="Normal 2 5 3 2 2 4" xfId="18963" xr:uid="{00000000-0005-0000-0000-000011550000}"/>
    <cellStyle name="Normal 2 5 3 2 2 4 2" xfId="38883" xr:uid="{00000000-0005-0000-0000-000012550000}"/>
    <cellStyle name="Normal 2 5 3 2 2 5" xfId="26578" xr:uid="{00000000-0005-0000-0000-000013550000}"/>
    <cellStyle name="Normal 2 5 3 2 3" xfId="8149" xr:uid="{00000000-0005-0000-0000-000014550000}"/>
    <cellStyle name="Normal 2 5 3 2 3 2" xfId="14343" xr:uid="{00000000-0005-0000-0000-000015550000}"/>
    <cellStyle name="Normal 2 5 3 2 3 2 2" xfId="34263" xr:uid="{00000000-0005-0000-0000-000016550000}"/>
    <cellStyle name="Normal 2 5 3 2 3 3" xfId="20495" xr:uid="{00000000-0005-0000-0000-000017550000}"/>
    <cellStyle name="Normal 2 5 3 2 3 3 2" xfId="40415" xr:uid="{00000000-0005-0000-0000-000018550000}"/>
    <cellStyle name="Normal 2 5 3 2 3 4" xfId="28110" xr:uid="{00000000-0005-0000-0000-000019550000}"/>
    <cellStyle name="Normal 2 5 3 2 4" xfId="11277" xr:uid="{00000000-0005-0000-0000-00001A550000}"/>
    <cellStyle name="Normal 2 5 3 2 4 2" xfId="31197" xr:uid="{00000000-0005-0000-0000-00001B550000}"/>
    <cellStyle name="Normal 2 5 3 2 5" xfId="17429" xr:uid="{00000000-0005-0000-0000-00001C550000}"/>
    <cellStyle name="Normal 2 5 3 2 5 2" xfId="37349" xr:uid="{00000000-0005-0000-0000-00001D550000}"/>
    <cellStyle name="Normal 2 5 3 2 6" xfId="25044" xr:uid="{00000000-0005-0000-0000-00001E550000}"/>
    <cellStyle name="Normal 2 5 3 3" xfId="5815" xr:uid="{00000000-0005-0000-0000-00001F550000}"/>
    <cellStyle name="Normal 2 5 3 3 2" xfId="8915" xr:uid="{00000000-0005-0000-0000-000020550000}"/>
    <cellStyle name="Normal 2 5 3 3 2 2" xfId="15108" xr:uid="{00000000-0005-0000-0000-000021550000}"/>
    <cellStyle name="Normal 2 5 3 3 2 2 2" xfId="35028" xr:uid="{00000000-0005-0000-0000-000022550000}"/>
    <cellStyle name="Normal 2 5 3 3 2 3" xfId="21260" xr:uid="{00000000-0005-0000-0000-000023550000}"/>
    <cellStyle name="Normal 2 5 3 3 2 3 2" xfId="41180" xr:uid="{00000000-0005-0000-0000-000024550000}"/>
    <cellStyle name="Normal 2 5 3 3 2 4" xfId="28875" xr:uid="{00000000-0005-0000-0000-000025550000}"/>
    <cellStyle name="Normal 2 5 3 3 3" xfId="12042" xr:uid="{00000000-0005-0000-0000-000026550000}"/>
    <cellStyle name="Normal 2 5 3 3 3 2" xfId="31962" xr:uid="{00000000-0005-0000-0000-000027550000}"/>
    <cellStyle name="Normal 2 5 3 3 4" xfId="18194" xr:uid="{00000000-0005-0000-0000-000028550000}"/>
    <cellStyle name="Normal 2 5 3 3 4 2" xfId="38114" xr:uid="{00000000-0005-0000-0000-000029550000}"/>
    <cellStyle name="Normal 2 5 3 3 5" xfId="25809" xr:uid="{00000000-0005-0000-0000-00002A550000}"/>
    <cellStyle name="Normal 2 5 3 4" xfId="7380" xr:uid="{00000000-0005-0000-0000-00002B550000}"/>
    <cellStyle name="Normal 2 5 3 4 2" xfId="13574" xr:uid="{00000000-0005-0000-0000-00002C550000}"/>
    <cellStyle name="Normal 2 5 3 4 2 2" xfId="33494" xr:uid="{00000000-0005-0000-0000-00002D550000}"/>
    <cellStyle name="Normal 2 5 3 4 3" xfId="19726" xr:uid="{00000000-0005-0000-0000-00002E550000}"/>
    <cellStyle name="Normal 2 5 3 4 3 2" xfId="39646" xr:uid="{00000000-0005-0000-0000-00002F550000}"/>
    <cellStyle name="Normal 2 5 3 4 4" xfId="27341" xr:uid="{00000000-0005-0000-0000-000030550000}"/>
    <cellStyle name="Normal 2 5 3 5" xfId="10508" xr:uid="{00000000-0005-0000-0000-000031550000}"/>
    <cellStyle name="Normal 2 5 3 5 2" xfId="30428" xr:uid="{00000000-0005-0000-0000-000032550000}"/>
    <cellStyle name="Normal 2 5 3 6" xfId="16660" xr:uid="{00000000-0005-0000-0000-000033550000}"/>
    <cellStyle name="Normal 2 5 3 6 2" xfId="36580" xr:uid="{00000000-0005-0000-0000-000034550000}"/>
    <cellStyle name="Normal 2 5 3 7" xfId="24275" xr:uid="{00000000-0005-0000-0000-000035550000}"/>
    <cellStyle name="Normal 2 6" xfId="1120" xr:uid="{00000000-0005-0000-0000-000036550000}"/>
    <cellStyle name="Normal 2 6 2" xfId="4558" xr:uid="{00000000-0005-0000-0000-000037550000}"/>
    <cellStyle name="Normal 2 6 3" xfId="3486" xr:uid="{00000000-0005-0000-0000-000038550000}"/>
    <cellStyle name="Normal 2 6 3 2" xfId="4974" xr:uid="{00000000-0005-0000-0000-000039550000}"/>
    <cellStyle name="Normal 2 6 3 2 2" xfId="6599" xr:uid="{00000000-0005-0000-0000-00003A550000}"/>
    <cellStyle name="Normal 2 6 3 2 2 2" xfId="9685" xr:uid="{00000000-0005-0000-0000-00003B550000}"/>
    <cellStyle name="Normal 2 6 3 2 2 2 2" xfId="15878" xr:uid="{00000000-0005-0000-0000-00003C550000}"/>
    <cellStyle name="Normal 2 6 3 2 2 2 2 2" xfId="35798" xr:uid="{00000000-0005-0000-0000-00003D550000}"/>
    <cellStyle name="Normal 2 6 3 2 2 2 3" xfId="22030" xr:uid="{00000000-0005-0000-0000-00003E550000}"/>
    <cellStyle name="Normal 2 6 3 2 2 2 3 2" xfId="41950" xr:uid="{00000000-0005-0000-0000-00003F550000}"/>
    <cellStyle name="Normal 2 6 3 2 2 2 4" xfId="29645" xr:uid="{00000000-0005-0000-0000-000040550000}"/>
    <cellStyle name="Normal 2 6 3 2 2 3" xfId="12812" xr:uid="{00000000-0005-0000-0000-000041550000}"/>
    <cellStyle name="Normal 2 6 3 2 2 3 2" xfId="32732" xr:uid="{00000000-0005-0000-0000-000042550000}"/>
    <cellStyle name="Normal 2 6 3 2 2 4" xfId="18964" xr:uid="{00000000-0005-0000-0000-000043550000}"/>
    <cellStyle name="Normal 2 6 3 2 2 4 2" xfId="38884" xr:uid="{00000000-0005-0000-0000-000044550000}"/>
    <cellStyle name="Normal 2 6 3 2 2 5" xfId="26579" xr:uid="{00000000-0005-0000-0000-000045550000}"/>
    <cellStyle name="Normal 2 6 3 2 3" xfId="8150" xr:uid="{00000000-0005-0000-0000-000046550000}"/>
    <cellStyle name="Normal 2 6 3 2 3 2" xfId="14344" xr:uid="{00000000-0005-0000-0000-000047550000}"/>
    <cellStyle name="Normal 2 6 3 2 3 2 2" xfId="34264" xr:uid="{00000000-0005-0000-0000-000048550000}"/>
    <cellStyle name="Normal 2 6 3 2 3 3" xfId="20496" xr:uid="{00000000-0005-0000-0000-000049550000}"/>
    <cellStyle name="Normal 2 6 3 2 3 3 2" xfId="40416" xr:uid="{00000000-0005-0000-0000-00004A550000}"/>
    <cellStyle name="Normal 2 6 3 2 3 4" xfId="28111" xr:uid="{00000000-0005-0000-0000-00004B550000}"/>
    <cellStyle name="Normal 2 6 3 2 4" xfId="11278" xr:uid="{00000000-0005-0000-0000-00004C550000}"/>
    <cellStyle name="Normal 2 6 3 2 4 2" xfId="31198" xr:uid="{00000000-0005-0000-0000-00004D550000}"/>
    <cellStyle name="Normal 2 6 3 2 5" xfId="17430" xr:uid="{00000000-0005-0000-0000-00004E550000}"/>
    <cellStyle name="Normal 2 6 3 2 5 2" xfId="37350" xr:uid="{00000000-0005-0000-0000-00004F550000}"/>
    <cellStyle name="Normal 2 6 3 2 6" xfId="25045" xr:uid="{00000000-0005-0000-0000-000050550000}"/>
    <cellStyle name="Normal 2 6 3 3" xfId="5816" xr:uid="{00000000-0005-0000-0000-000051550000}"/>
    <cellStyle name="Normal 2 6 3 3 2" xfId="8916" xr:uid="{00000000-0005-0000-0000-000052550000}"/>
    <cellStyle name="Normal 2 6 3 3 2 2" xfId="15109" xr:uid="{00000000-0005-0000-0000-000053550000}"/>
    <cellStyle name="Normal 2 6 3 3 2 2 2" xfId="35029" xr:uid="{00000000-0005-0000-0000-000054550000}"/>
    <cellStyle name="Normal 2 6 3 3 2 3" xfId="21261" xr:uid="{00000000-0005-0000-0000-000055550000}"/>
    <cellStyle name="Normal 2 6 3 3 2 3 2" xfId="41181" xr:uid="{00000000-0005-0000-0000-000056550000}"/>
    <cellStyle name="Normal 2 6 3 3 2 4" xfId="28876" xr:uid="{00000000-0005-0000-0000-000057550000}"/>
    <cellStyle name="Normal 2 6 3 3 3" xfId="12043" xr:uid="{00000000-0005-0000-0000-000058550000}"/>
    <cellStyle name="Normal 2 6 3 3 3 2" xfId="31963" xr:uid="{00000000-0005-0000-0000-000059550000}"/>
    <cellStyle name="Normal 2 6 3 3 4" xfId="18195" xr:uid="{00000000-0005-0000-0000-00005A550000}"/>
    <cellStyle name="Normal 2 6 3 3 4 2" xfId="38115" xr:uid="{00000000-0005-0000-0000-00005B550000}"/>
    <cellStyle name="Normal 2 6 3 3 5" xfId="25810" xr:uid="{00000000-0005-0000-0000-00005C550000}"/>
    <cellStyle name="Normal 2 6 3 4" xfId="7381" xr:uid="{00000000-0005-0000-0000-00005D550000}"/>
    <cellStyle name="Normal 2 6 3 4 2" xfId="13575" xr:uid="{00000000-0005-0000-0000-00005E550000}"/>
    <cellStyle name="Normal 2 6 3 4 2 2" xfId="33495" xr:uid="{00000000-0005-0000-0000-00005F550000}"/>
    <cellStyle name="Normal 2 6 3 4 3" xfId="19727" xr:uid="{00000000-0005-0000-0000-000060550000}"/>
    <cellStyle name="Normal 2 6 3 4 3 2" xfId="39647" xr:uid="{00000000-0005-0000-0000-000061550000}"/>
    <cellStyle name="Normal 2 6 3 4 4" xfId="27342" xr:uid="{00000000-0005-0000-0000-000062550000}"/>
    <cellStyle name="Normal 2 6 3 5" xfId="10509" xr:uid="{00000000-0005-0000-0000-000063550000}"/>
    <cellStyle name="Normal 2 6 3 5 2" xfId="30429" xr:uid="{00000000-0005-0000-0000-000064550000}"/>
    <cellStyle name="Normal 2 6 3 6" xfId="16661" xr:uid="{00000000-0005-0000-0000-000065550000}"/>
    <cellStyle name="Normal 2 6 3 6 2" xfId="36581" xr:uid="{00000000-0005-0000-0000-000066550000}"/>
    <cellStyle name="Normal 2 6 3 7" xfId="24276" xr:uid="{00000000-0005-0000-0000-000067550000}"/>
    <cellStyle name="Normal 2 7" xfId="1121" xr:uid="{00000000-0005-0000-0000-000068550000}"/>
    <cellStyle name="Normal 2 7 2" xfId="4559" xr:uid="{00000000-0005-0000-0000-000069550000}"/>
    <cellStyle name="Normal 2 7 3" xfId="3487" xr:uid="{00000000-0005-0000-0000-00006A550000}"/>
    <cellStyle name="Normal 2 7 3 2" xfId="4975" xr:uid="{00000000-0005-0000-0000-00006B550000}"/>
    <cellStyle name="Normal 2 7 3 2 2" xfId="6600" xr:uid="{00000000-0005-0000-0000-00006C550000}"/>
    <cellStyle name="Normal 2 7 3 2 2 2" xfId="9686" xr:uid="{00000000-0005-0000-0000-00006D550000}"/>
    <cellStyle name="Normal 2 7 3 2 2 2 2" xfId="15879" xr:uid="{00000000-0005-0000-0000-00006E550000}"/>
    <cellStyle name="Normal 2 7 3 2 2 2 2 2" xfId="35799" xr:uid="{00000000-0005-0000-0000-00006F550000}"/>
    <cellStyle name="Normal 2 7 3 2 2 2 3" xfId="22031" xr:uid="{00000000-0005-0000-0000-000070550000}"/>
    <cellStyle name="Normal 2 7 3 2 2 2 3 2" xfId="41951" xr:uid="{00000000-0005-0000-0000-000071550000}"/>
    <cellStyle name="Normal 2 7 3 2 2 2 4" xfId="29646" xr:uid="{00000000-0005-0000-0000-000072550000}"/>
    <cellStyle name="Normal 2 7 3 2 2 3" xfId="12813" xr:uid="{00000000-0005-0000-0000-000073550000}"/>
    <cellStyle name="Normal 2 7 3 2 2 3 2" xfId="32733" xr:uid="{00000000-0005-0000-0000-000074550000}"/>
    <cellStyle name="Normal 2 7 3 2 2 4" xfId="18965" xr:uid="{00000000-0005-0000-0000-000075550000}"/>
    <cellStyle name="Normal 2 7 3 2 2 4 2" xfId="38885" xr:uid="{00000000-0005-0000-0000-000076550000}"/>
    <cellStyle name="Normal 2 7 3 2 2 5" xfId="26580" xr:uid="{00000000-0005-0000-0000-000077550000}"/>
    <cellStyle name="Normal 2 7 3 2 3" xfId="8151" xr:uid="{00000000-0005-0000-0000-000078550000}"/>
    <cellStyle name="Normal 2 7 3 2 3 2" xfId="14345" xr:uid="{00000000-0005-0000-0000-000079550000}"/>
    <cellStyle name="Normal 2 7 3 2 3 2 2" xfId="34265" xr:uid="{00000000-0005-0000-0000-00007A550000}"/>
    <cellStyle name="Normal 2 7 3 2 3 3" xfId="20497" xr:uid="{00000000-0005-0000-0000-00007B550000}"/>
    <cellStyle name="Normal 2 7 3 2 3 3 2" xfId="40417" xr:uid="{00000000-0005-0000-0000-00007C550000}"/>
    <cellStyle name="Normal 2 7 3 2 3 4" xfId="28112" xr:uid="{00000000-0005-0000-0000-00007D550000}"/>
    <cellStyle name="Normal 2 7 3 2 4" xfId="11279" xr:uid="{00000000-0005-0000-0000-00007E550000}"/>
    <cellStyle name="Normal 2 7 3 2 4 2" xfId="31199" xr:uid="{00000000-0005-0000-0000-00007F550000}"/>
    <cellStyle name="Normal 2 7 3 2 5" xfId="17431" xr:uid="{00000000-0005-0000-0000-000080550000}"/>
    <cellStyle name="Normal 2 7 3 2 5 2" xfId="37351" xr:uid="{00000000-0005-0000-0000-000081550000}"/>
    <cellStyle name="Normal 2 7 3 2 6" xfId="25046" xr:uid="{00000000-0005-0000-0000-000082550000}"/>
    <cellStyle name="Normal 2 7 3 3" xfId="5817" xr:uid="{00000000-0005-0000-0000-000083550000}"/>
    <cellStyle name="Normal 2 7 3 3 2" xfId="8917" xr:uid="{00000000-0005-0000-0000-000084550000}"/>
    <cellStyle name="Normal 2 7 3 3 2 2" xfId="15110" xr:uid="{00000000-0005-0000-0000-000085550000}"/>
    <cellStyle name="Normal 2 7 3 3 2 2 2" xfId="35030" xr:uid="{00000000-0005-0000-0000-000086550000}"/>
    <cellStyle name="Normal 2 7 3 3 2 3" xfId="21262" xr:uid="{00000000-0005-0000-0000-000087550000}"/>
    <cellStyle name="Normal 2 7 3 3 2 3 2" xfId="41182" xr:uid="{00000000-0005-0000-0000-000088550000}"/>
    <cellStyle name="Normal 2 7 3 3 2 4" xfId="28877" xr:uid="{00000000-0005-0000-0000-000089550000}"/>
    <cellStyle name="Normal 2 7 3 3 3" xfId="12044" xr:uid="{00000000-0005-0000-0000-00008A550000}"/>
    <cellStyle name="Normal 2 7 3 3 3 2" xfId="31964" xr:uid="{00000000-0005-0000-0000-00008B550000}"/>
    <cellStyle name="Normal 2 7 3 3 4" xfId="18196" xr:uid="{00000000-0005-0000-0000-00008C550000}"/>
    <cellStyle name="Normal 2 7 3 3 4 2" xfId="38116" xr:uid="{00000000-0005-0000-0000-00008D550000}"/>
    <cellStyle name="Normal 2 7 3 3 5" xfId="25811" xr:uid="{00000000-0005-0000-0000-00008E550000}"/>
    <cellStyle name="Normal 2 7 3 4" xfId="7382" xr:uid="{00000000-0005-0000-0000-00008F550000}"/>
    <cellStyle name="Normal 2 7 3 4 2" xfId="13576" xr:uid="{00000000-0005-0000-0000-000090550000}"/>
    <cellStyle name="Normal 2 7 3 4 2 2" xfId="33496" xr:uid="{00000000-0005-0000-0000-000091550000}"/>
    <cellStyle name="Normal 2 7 3 4 3" xfId="19728" xr:uid="{00000000-0005-0000-0000-000092550000}"/>
    <cellStyle name="Normal 2 7 3 4 3 2" xfId="39648" xr:uid="{00000000-0005-0000-0000-000093550000}"/>
    <cellStyle name="Normal 2 7 3 4 4" xfId="27343" xr:uid="{00000000-0005-0000-0000-000094550000}"/>
    <cellStyle name="Normal 2 7 3 5" xfId="10510" xr:uid="{00000000-0005-0000-0000-000095550000}"/>
    <cellStyle name="Normal 2 7 3 5 2" xfId="30430" xr:uid="{00000000-0005-0000-0000-000096550000}"/>
    <cellStyle name="Normal 2 7 3 6" xfId="16662" xr:uid="{00000000-0005-0000-0000-000097550000}"/>
    <cellStyle name="Normal 2 7 3 6 2" xfId="36582" xr:uid="{00000000-0005-0000-0000-000098550000}"/>
    <cellStyle name="Normal 2 7 3 7" xfId="24277" xr:uid="{00000000-0005-0000-0000-000099550000}"/>
    <cellStyle name="Normal 2 8" xfId="1122" xr:uid="{00000000-0005-0000-0000-00009A550000}"/>
    <cellStyle name="Normal 2 8 2" xfId="4560" xr:uid="{00000000-0005-0000-0000-00009B550000}"/>
    <cellStyle name="Normal 2 8 3" xfId="3488" xr:uid="{00000000-0005-0000-0000-00009C550000}"/>
    <cellStyle name="Normal 2 8 3 2" xfId="4976" xr:uid="{00000000-0005-0000-0000-00009D550000}"/>
    <cellStyle name="Normal 2 8 3 2 2" xfId="6601" xr:uid="{00000000-0005-0000-0000-00009E550000}"/>
    <cellStyle name="Normal 2 8 3 2 2 2" xfId="9687" xr:uid="{00000000-0005-0000-0000-00009F550000}"/>
    <cellStyle name="Normal 2 8 3 2 2 2 2" xfId="15880" xr:uid="{00000000-0005-0000-0000-0000A0550000}"/>
    <cellStyle name="Normal 2 8 3 2 2 2 2 2" xfId="35800" xr:uid="{00000000-0005-0000-0000-0000A1550000}"/>
    <cellStyle name="Normal 2 8 3 2 2 2 3" xfId="22032" xr:uid="{00000000-0005-0000-0000-0000A2550000}"/>
    <cellStyle name="Normal 2 8 3 2 2 2 3 2" xfId="41952" xr:uid="{00000000-0005-0000-0000-0000A3550000}"/>
    <cellStyle name="Normal 2 8 3 2 2 2 4" xfId="29647" xr:uid="{00000000-0005-0000-0000-0000A4550000}"/>
    <cellStyle name="Normal 2 8 3 2 2 3" xfId="12814" xr:uid="{00000000-0005-0000-0000-0000A5550000}"/>
    <cellStyle name="Normal 2 8 3 2 2 3 2" xfId="32734" xr:uid="{00000000-0005-0000-0000-0000A6550000}"/>
    <cellStyle name="Normal 2 8 3 2 2 4" xfId="18966" xr:uid="{00000000-0005-0000-0000-0000A7550000}"/>
    <cellStyle name="Normal 2 8 3 2 2 4 2" xfId="38886" xr:uid="{00000000-0005-0000-0000-0000A8550000}"/>
    <cellStyle name="Normal 2 8 3 2 2 5" xfId="26581" xr:uid="{00000000-0005-0000-0000-0000A9550000}"/>
    <cellStyle name="Normal 2 8 3 2 3" xfId="8152" xr:uid="{00000000-0005-0000-0000-0000AA550000}"/>
    <cellStyle name="Normal 2 8 3 2 3 2" xfId="14346" xr:uid="{00000000-0005-0000-0000-0000AB550000}"/>
    <cellStyle name="Normal 2 8 3 2 3 2 2" xfId="34266" xr:uid="{00000000-0005-0000-0000-0000AC550000}"/>
    <cellStyle name="Normal 2 8 3 2 3 3" xfId="20498" xr:uid="{00000000-0005-0000-0000-0000AD550000}"/>
    <cellStyle name="Normal 2 8 3 2 3 3 2" xfId="40418" xr:uid="{00000000-0005-0000-0000-0000AE550000}"/>
    <cellStyle name="Normal 2 8 3 2 3 4" xfId="28113" xr:uid="{00000000-0005-0000-0000-0000AF550000}"/>
    <cellStyle name="Normal 2 8 3 2 4" xfId="11280" xr:uid="{00000000-0005-0000-0000-0000B0550000}"/>
    <cellStyle name="Normal 2 8 3 2 4 2" xfId="31200" xr:uid="{00000000-0005-0000-0000-0000B1550000}"/>
    <cellStyle name="Normal 2 8 3 2 5" xfId="17432" xr:uid="{00000000-0005-0000-0000-0000B2550000}"/>
    <cellStyle name="Normal 2 8 3 2 5 2" xfId="37352" xr:uid="{00000000-0005-0000-0000-0000B3550000}"/>
    <cellStyle name="Normal 2 8 3 2 6" xfId="25047" xr:uid="{00000000-0005-0000-0000-0000B4550000}"/>
    <cellStyle name="Normal 2 8 3 3" xfId="5818" xr:uid="{00000000-0005-0000-0000-0000B5550000}"/>
    <cellStyle name="Normal 2 8 3 3 2" xfId="8918" xr:uid="{00000000-0005-0000-0000-0000B6550000}"/>
    <cellStyle name="Normal 2 8 3 3 2 2" xfId="15111" xr:uid="{00000000-0005-0000-0000-0000B7550000}"/>
    <cellStyle name="Normal 2 8 3 3 2 2 2" xfId="35031" xr:uid="{00000000-0005-0000-0000-0000B8550000}"/>
    <cellStyle name="Normal 2 8 3 3 2 3" xfId="21263" xr:uid="{00000000-0005-0000-0000-0000B9550000}"/>
    <cellStyle name="Normal 2 8 3 3 2 3 2" xfId="41183" xr:uid="{00000000-0005-0000-0000-0000BA550000}"/>
    <cellStyle name="Normal 2 8 3 3 2 4" xfId="28878" xr:uid="{00000000-0005-0000-0000-0000BB550000}"/>
    <cellStyle name="Normal 2 8 3 3 3" xfId="12045" xr:uid="{00000000-0005-0000-0000-0000BC550000}"/>
    <cellStyle name="Normal 2 8 3 3 3 2" xfId="31965" xr:uid="{00000000-0005-0000-0000-0000BD550000}"/>
    <cellStyle name="Normal 2 8 3 3 4" xfId="18197" xr:uid="{00000000-0005-0000-0000-0000BE550000}"/>
    <cellStyle name="Normal 2 8 3 3 4 2" xfId="38117" xr:uid="{00000000-0005-0000-0000-0000BF550000}"/>
    <cellStyle name="Normal 2 8 3 3 5" xfId="25812" xr:uid="{00000000-0005-0000-0000-0000C0550000}"/>
    <cellStyle name="Normal 2 8 3 4" xfId="7383" xr:uid="{00000000-0005-0000-0000-0000C1550000}"/>
    <cellStyle name="Normal 2 8 3 4 2" xfId="13577" xr:uid="{00000000-0005-0000-0000-0000C2550000}"/>
    <cellStyle name="Normal 2 8 3 4 2 2" xfId="33497" xr:uid="{00000000-0005-0000-0000-0000C3550000}"/>
    <cellStyle name="Normal 2 8 3 4 3" xfId="19729" xr:uid="{00000000-0005-0000-0000-0000C4550000}"/>
    <cellStyle name="Normal 2 8 3 4 3 2" xfId="39649" xr:uid="{00000000-0005-0000-0000-0000C5550000}"/>
    <cellStyle name="Normal 2 8 3 4 4" xfId="27344" xr:uid="{00000000-0005-0000-0000-0000C6550000}"/>
    <cellStyle name="Normal 2 8 3 5" xfId="10511" xr:uid="{00000000-0005-0000-0000-0000C7550000}"/>
    <cellStyle name="Normal 2 8 3 5 2" xfId="30431" xr:uid="{00000000-0005-0000-0000-0000C8550000}"/>
    <cellStyle name="Normal 2 8 3 6" xfId="16663" xr:uid="{00000000-0005-0000-0000-0000C9550000}"/>
    <cellStyle name="Normal 2 8 3 6 2" xfId="36583" xr:uid="{00000000-0005-0000-0000-0000CA550000}"/>
    <cellStyle name="Normal 2 8 3 7" xfId="24278" xr:uid="{00000000-0005-0000-0000-0000CB550000}"/>
    <cellStyle name="Normal 2 9" xfId="1123" xr:uid="{00000000-0005-0000-0000-0000CC550000}"/>
    <cellStyle name="Normal 2 9 2" xfId="4561" xr:uid="{00000000-0005-0000-0000-0000CD550000}"/>
    <cellStyle name="Normal 2 9 3" xfId="3489" xr:uid="{00000000-0005-0000-0000-0000CE550000}"/>
    <cellStyle name="Normal 2 9 3 2" xfId="4977" xr:uid="{00000000-0005-0000-0000-0000CF550000}"/>
    <cellStyle name="Normal 2 9 3 2 2" xfId="6602" xr:uid="{00000000-0005-0000-0000-0000D0550000}"/>
    <cellStyle name="Normal 2 9 3 2 2 2" xfId="9688" xr:uid="{00000000-0005-0000-0000-0000D1550000}"/>
    <cellStyle name="Normal 2 9 3 2 2 2 2" xfId="15881" xr:uid="{00000000-0005-0000-0000-0000D2550000}"/>
    <cellStyle name="Normal 2 9 3 2 2 2 2 2" xfId="35801" xr:uid="{00000000-0005-0000-0000-0000D3550000}"/>
    <cellStyle name="Normal 2 9 3 2 2 2 3" xfId="22033" xr:uid="{00000000-0005-0000-0000-0000D4550000}"/>
    <cellStyle name="Normal 2 9 3 2 2 2 3 2" xfId="41953" xr:uid="{00000000-0005-0000-0000-0000D5550000}"/>
    <cellStyle name="Normal 2 9 3 2 2 2 4" xfId="29648" xr:uid="{00000000-0005-0000-0000-0000D6550000}"/>
    <cellStyle name="Normal 2 9 3 2 2 3" xfId="12815" xr:uid="{00000000-0005-0000-0000-0000D7550000}"/>
    <cellStyle name="Normal 2 9 3 2 2 3 2" xfId="32735" xr:uid="{00000000-0005-0000-0000-0000D8550000}"/>
    <cellStyle name="Normal 2 9 3 2 2 4" xfId="18967" xr:uid="{00000000-0005-0000-0000-0000D9550000}"/>
    <cellStyle name="Normal 2 9 3 2 2 4 2" xfId="38887" xr:uid="{00000000-0005-0000-0000-0000DA550000}"/>
    <cellStyle name="Normal 2 9 3 2 2 5" xfId="26582" xr:uid="{00000000-0005-0000-0000-0000DB550000}"/>
    <cellStyle name="Normal 2 9 3 2 3" xfId="8153" xr:uid="{00000000-0005-0000-0000-0000DC550000}"/>
    <cellStyle name="Normal 2 9 3 2 3 2" xfId="14347" xr:uid="{00000000-0005-0000-0000-0000DD550000}"/>
    <cellStyle name="Normal 2 9 3 2 3 2 2" xfId="34267" xr:uid="{00000000-0005-0000-0000-0000DE550000}"/>
    <cellStyle name="Normal 2 9 3 2 3 3" xfId="20499" xr:uid="{00000000-0005-0000-0000-0000DF550000}"/>
    <cellStyle name="Normal 2 9 3 2 3 3 2" xfId="40419" xr:uid="{00000000-0005-0000-0000-0000E0550000}"/>
    <cellStyle name="Normal 2 9 3 2 3 4" xfId="28114" xr:uid="{00000000-0005-0000-0000-0000E1550000}"/>
    <cellStyle name="Normal 2 9 3 2 4" xfId="11281" xr:uid="{00000000-0005-0000-0000-0000E2550000}"/>
    <cellStyle name="Normal 2 9 3 2 4 2" xfId="31201" xr:uid="{00000000-0005-0000-0000-0000E3550000}"/>
    <cellStyle name="Normal 2 9 3 2 5" xfId="17433" xr:uid="{00000000-0005-0000-0000-0000E4550000}"/>
    <cellStyle name="Normal 2 9 3 2 5 2" xfId="37353" xr:uid="{00000000-0005-0000-0000-0000E5550000}"/>
    <cellStyle name="Normal 2 9 3 2 6" xfId="25048" xr:uid="{00000000-0005-0000-0000-0000E6550000}"/>
    <cellStyle name="Normal 2 9 3 3" xfId="5819" xr:uid="{00000000-0005-0000-0000-0000E7550000}"/>
    <cellStyle name="Normal 2 9 3 3 2" xfId="8919" xr:uid="{00000000-0005-0000-0000-0000E8550000}"/>
    <cellStyle name="Normal 2 9 3 3 2 2" xfId="15112" xr:uid="{00000000-0005-0000-0000-0000E9550000}"/>
    <cellStyle name="Normal 2 9 3 3 2 2 2" xfId="35032" xr:uid="{00000000-0005-0000-0000-0000EA550000}"/>
    <cellStyle name="Normal 2 9 3 3 2 3" xfId="21264" xr:uid="{00000000-0005-0000-0000-0000EB550000}"/>
    <cellStyle name="Normal 2 9 3 3 2 3 2" xfId="41184" xr:uid="{00000000-0005-0000-0000-0000EC550000}"/>
    <cellStyle name="Normal 2 9 3 3 2 4" xfId="28879" xr:uid="{00000000-0005-0000-0000-0000ED550000}"/>
    <cellStyle name="Normal 2 9 3 3 3" xfId="12046" xr:uid="{00000000-0005-0000-0000-0000EE550000}"/>
    <cellStyle name="Normal 2 9 3 3 3 2" xfId="31966" xr:uid="{00000000-0005-0000-0000-0000EF550000}"/>
    <cellStyle name="Normal 2 9 3 3 4" xfId="18198" xr:uid="{00000000-0005-0000-0000-0000F0550000}"/>
    <cellStyle name="Normal 2 9 3 3 4 2" xfId="38118" xr:uid="{00000000-0005-0000-0000-0000F1550000}"/>
    <cellStyle name="Normal 2 9 3 3 5" xfId="25813" xr:uid="{00000000-0005-0000-0000-0000F2550000}"/>
    <cellStyle name="Normal 2 9 3 4" xfId="7384" xr:uid="{00000000-0005-0000-0000-0000F3550000}"/>
    <cellStyle name="Normal 2 9 3 4 2" xfId="13578" xr:uid="{00000000-0005-0000-0000-0000F4550000}"/>
    <cellStyle name="Normal 2 9 3 4 2 2" xfId="33498" xr:uid="{00000000-0005-0000-0000-0000F5550000}"/>
    <cellStyle name="Normal 2 9 3 4 3" xfId="19730" xr:uid="{00000000-0005-0000-0000-0000F6550000}"/>
    <cellStyle name="Normal 2 9 3 4 3 2" xfId="39650" xr:uid="{00000000-0005-0000-0000-0000F7550000}"/>
    <cellStyle name="Normal 2 9 3 4 4" xfId="27345" xr:uid="{00000000-0005-0000-0000-0000F8550000}"/>
    <cellStyle name="Normal 2 9 3 5" xfId="10512" xr:uid="{00000000-0005-0000-0000-0000F9550000}"/>
    <cellStyle name="Normal 2 9 3 5 2" xfId="30432" xr:uid="{00000000-0005-0000-0000-0000FA550000}"/>
    <cellStyle name="Normal 2 9 3 6" xfId="16664" xr:uid="{00000000-0005-0000-0000-0000FB550000}"/>
    <cellStyle name="Normal 2 9 3 6 2" xfId="36584" xr:uid="{00000000-0005-0000-0000-0000FC550000}"/>
    <cellStyle name="Normal 2 9 3 7" xfId="24279" xr:uid="{00000000-0005-0000-0000-0000FD550000}"/>
    <cellStyle name="Normal 20" xfId="285" xr:uid="{00000000-0005-0000-0000-0000FE550000}"/>
    <cellStyle name="Normal 20 10" xfId="3491" xr:uid="{00000000-0005-0000-0000-0000FF550000}"/>
    <cellStyle name="Normal 20 11" xfId="3492" xr:uid="{00000000-0005-0000-0000-000000560000}"/>
    <cellStyle name="Normal 20 12" xfId="3493" xr:uid="{00000000-0005-0000-0000-000001560000}"/>
    <cellStyle name="Normal 20 13" xfId="3494" xr:uid="{00000000-0005-0000-0000-000002560000}"/>
    <cellStyle name="Normal 20 14" xfId="3495" xr:uid="{00000000-0005-0000-0000-000003560000}"/>
    <cellStyle name="Normal 20 15" xfId="3496" xr:uid="{00000000-0005-0000-0000-000004560000}"/>
    <cellStyle name="Normal 20 16" xfId="3497" xr:uid="{00000000-0005-0000-0000-000005560000}"/>
    <cellStyle name="Normal 20 17" xfId="3498" xr:uid="{00000000-0005-0000-0000-000006560000}"/>
    <cellStyle name="Normal 20 18" xfId="3499" xr:uid="{00000000-0005-0000-0000-000007560000}"/>
    <cellStyle name="Normal 20 19" xfId="3500" xr:uid="{00000000-0005-0000-0000-000008560000}"/>
    <cellStyle name="Normal 20 2" xfId="3501" xr:uid="{00000000-0005-0000-0000-000009560000}"/>
    <cellStyle name="Normal 20 20" xfId="3502" xr:uid="{00000000-0005-0000-0000-00000A560000}"/>
    <cellStyle name="Normal 20 21" xfId="3503" xr:uid="{00000000-0005-0000-0000-00000B560000}"/>
    <cellStyle name="Normal 20 22" xfId="3504" xr:uid="{00000000-0005-0000-0000-00000C560000}"/>
    <cellStyle name="Normal 20 23" xfId="3505" xr:uid="{00000000-0005-0000-0000-00000D560000}"/>
    <cellStyle name="Normal 20 24" xfId="3506" xr:uid="{00000000-0005-0000-0000-00000E560000}"/>
    <cellStyle name="Normal 20 25" xfId="3490" xr:uid="{00000000-0005-0000-0000-00000F560000}"/>
    <cellStyle name="Normal 20 3" xfId="3507" xr:uid="{00000000-0005-0000-0000-000010560000}"/>
    <cellStyle name="Normal 20 4" xfId="3508" xr:uid="{00000000-0005-0000-0000-000011560000}"/>
    <cellStyle name="Normal 20 5" xfId="3509" xr:uid="{00000000-0005-0000-0000-000012560000}"/>
    <cellStyle name="Normal 20 6" xfId="3510" xr:uid="{00000000-0005-0000-0000-000013560000}"/>
    <cellStyle name="Normal 20 7" xfId="3511" xr:uid="{00000000-0005-0000-0000-000014560000}"/>
    <cellStyle name="Normal 20 8" xfId="3512" xr:uid="{00000000-0005-0000-0000-000015560000}"/>
    <cellStyle name="Normal 20 9" xfId="3513" xr:uid="{00000000-0005-0000-0000-000016560000}"/>
    <cellStyle name="Normal 21" xfId="297" xr:uid="{00000000-0005-0000-0000-000017560000}"/>
    <cellStyle name="Normal 21 10" xfId="5820" xr:uid="{00000000-0005-0000-0000-000018560000}"/>
    <cellStyle name="Normal 21 10 2" xfId="8920" xr:uid="{00000000-0005-0000-0000-000019560000}"/>
    <cellStyle name="Normal 21 10 2 2" xfId="15113" xr:uid="{00000000-0005-0000-0000-00001A560000}"/>
    <cellStyle name="Normal 21 10 2 2 2" xfId="35033" xr:uid="{00000000-0005-0000-0000-00001B560000}"/>
    <cellStyle name="Normal 21 10 2 3" xfId="21265" xr:uid="{00000000-0005-0000-0000-00001C560000}"/>
    <cellStyle name="Normal 21 10 2 3 2" xfId="41185" xr:uid="{00000000-0005-0000-0000-00001D560000}"/>
    <cellStyle name="Normal 21 10 2 4" xfId="28880" xr:uid="{00000000-0005-0000-0000-00001E560000}"/>
    <cellStyle name="Normal 21 10 3" xfId="12047" xr:uid="{00000000-0005-0000-0000-00001F560000}"/>
    <cellStyle name="Normal 21 10 3 2" xfId="31967" xr:uid="{00000000-0005-0000-0000-000020560000}"/>
    <cellStyle name="Normal 21 10 4" xfId="18199" xr:uid="{00000000-0005-0000-0000-000021560000}"/>
    <cellStyle name="Normal 21 10 4 2" xfId="38119" xr:uid="{00000000-0005-0000-0000-000022560000}"/>
    <cellStyle name="Normal 21 10 5" xfId="25814" xr:uid="{00000000-0005-0000-0000-000023560000}"/>
    <cellStyle name="Normal 21 11" xfId="7385" xr:uid="{00000000-0005-0000-0000-000024560000}"/>
    <cellStyle name="Normal 21 11 2" xfId="13579" xr:uid="{00000000-0005-0000-0000-000025560000}"/>
    <cellStyle name="Normal 21 11 2 2" xfId="33499" xr:uid="{00000000-0005-0000-0000-000026560000}"/>
    <cellStyle name="Normal 21 11 3" xfId="19731" xr:uid="{00000000-0005-0000-0000-000027560000}"/>
    <cellStyle name="Normal 21 11 3 2" xfId="39651" xr:uid="{00000000-0005-0000-0000-000028560000}"/>
    <cellStyle name="Normal 21 11 4" xfId="27346" xr:uid="{00000000-0005-0000-0000-000029560000}"/>
    <cellStyle name="Normal 21 12" xfId="10513" xr:uid="{00000000-0005-0000-0000-00002A560000}"/>
    <cellStyle name="Normal 21 12 2" xfId="30433" xr:uid="{00000000-0005-0000-0000-00002B560000}"/>
    <cellStyle name="Normal 21 13" xfId="16665" xr:uid="{00000000-0005-0000-0000-00002C560000}"/>
    <cellStyle name="Normal 21 13 2" xfId="36585" xr:uid="{00000000-0005-0000-0000-00002D560000}"/>
    <cellStyle name="Normal 21 14" xfId="3514" xr:uid="{00000000-0005-0000-0000-00002E560000}"/>
    <cellStyle name="Normal 21 14 2" xfId="24280" xr:uid="{00000000-0005-0000-0000-00002F560000}"/>
    <cellStyle name="Normal 21 2" xfId="3515" xr:uid="{00000000-0005-0000-0000-000030560000}"/>
    <cellStyle name="Normal 21 2 10" xfId="10514" xr:uid="{00000000-0005-0000-0000-000031560000}"/>
    <cellStyle name="Normal 21 2 10 2" xfId="30434" xr:uid="{00000000-0005-0000-0000-000032560000}"/>
    <cellStyle name="Normal 21 2 11" xfId="16666" xr:uid="{00000000-0005-0000-0000-000033560000}"/>
    <cellStyle name="Normal 21 2 11 2" xfId="36586" xr:uid="{00000000-0005-0000-0000-000034560000}"/>
    <cellStyle name="Normal 21 2 12" xfId="24281" xr:uid="{00000000-0005-0000-0000-000035560000}"/>
    <cellStyle name="Normal 21 2 2" xfId="3516" xr:uid="{00000000-0005-0000-0000-000036560000}"/>
    <cellStyle name="Normal 21 2 2 2" xfId="4980" xr:uid="{00000000-0005-0000-0000-000037560000}"/>
    <cellStyle name="Normal 21 2 2 2 2" xfId="6605" xr:uid="{00000000-0005-0000-0000-000038560000}"/>
    <cellStyle name="Normal 21 2 2 2 2 2" xfId="9691" xr:uid="{00000000-0005-0000-0000-000039560000}"/>
    <cellStyle name="Normal 21 2 2 2 2 2 2" xfId="15884" xr:uid="{00000000-0005-0000-0000-00003A560000}"/>
    <cellStyle name="Normal 21 2 2 2 2 2 2 2" xfId="35804" xr:uid="{00000000-0005-0000-0000-00003B560000}"/>
    <cellStyle name="Normal 21 2 2 2 2 2 3" xfId="22036" xr:uid="{00000000-0005-0000-0000-00003C560000}"/>
    <cellStyle name="Normal 21 2 2 2 2 2 3 2" xfId="41956" xr:uid="{00000000-0005-0000-0000-00003D560000}"/>
    <cellStyle name="Normal 21 2 2 2 2 2 4" xfId="29651" xr:uid="{00000000-0005-0000-0000-00003E560000}"/>
    <cellStyle name="Normal 21 2 2 2 2 3" xfId="12818" xr:uid="{00000000-0005-0000-0000-00003F560000}"/>
    <cellStyle name="Normal 21 2 2 2 2 3 2" xfId="32738" xr:uid="{00000000-0005-0000-0000-000040560000}"/>
    <cellStyle name="Normal 21 2 2 2 2 4" xfId="18970" xr:uid="{00000000-0005-0000-0000-000041560000}"/>
    <cellStyle name="Normal 21 2 2 2 2 4 2" xfId="38890" xr:uid="{00000000-0005-0000-0000-000042560000}"/>
    <cellStyle name="Normal 21 2 2 2 2 5" xfId="26585" xr:uid="{00000000-0005-0000-0000-000043560000}"/>
    <cellStyle name="Normal 21 2 2 2 3" xfId="8156" xr:uid="{00000000-0005-0000-0000-000044560000}"/>
    <cellStyle name="Normal 21 2 2 2 3 2" xfId="14350" xr:uid="{00000000-0005-0000-0000-000045560000}"/>
    <cellStyle name="Normal 21 2 2 2 3 2 2" xfId="34270" xr:uid="{00000000-0005-0000-0000-000046560000}"/>
    <cellStyle name="Normal 21 2 2 2 3 3" xfId="20502" xr:uid="{00000000-0005-0000-0000-000047560000}"/>
    <cellStyle name="Normal 21 2 2 2 3 3 2" xfId="40422" xr:uid="{00000000-0005-0000-0000-000048560000}"/>
    <cellStyle name="Normal 21 2 2 2 3 4" xfId="28117" xr:uid="{00000000-0005-0000-0000-000049560000}"/>
    <cellStyle name="Normal 21 2 2 2 4" xfId="11284" xr:uid="{00000000-0005-0000-0000-00004A560000}"/>
    <cellStyle name="Normal 21 2 2 2 4 2" xfId="31204" xr:uid="{00000000-0005-0000-0000-00004B560000}"/>
    <cellStyle name="Normal 21 2 2 2 5" xfId="17436" xr:uid="{00000000-0005-0000-0000-00004C560000}"/>
    <cellStyle name="Normal 21 2 2 2 5 2" xfId="37356" xr:uid="{00000000-0005-0000-0000-00004D560000}"/>
    <cellStyle name="Normal 21 2 2 2 6" xfId="25051" xr:uid="{00000000-0005-0000-0000-00004E560000}"/>
    <cellStyle name="Normal 21 2 2 3" xfId="5822" xr:uid="{00000000-0005-0000-0000-00004F560000}"/>
    <cellStyle name="Normal 21 2 2 3 2" xfId="8922" xr:uid="{00000000-0005-0000-0000-000050560000}"/>
    <cellStyle name="Normal 21 2 2 3 2 2" xfId="15115" xr:uid="{00000000-0005-0000-0000-000051560000}"/>
    <cellStyle name="Normal 21 2 2 3 2 2 2" xfId="35035" xr:uid="{00000000-0005-0000-0000-000052560000}"/>
    <cellStyle name="Normal 21 2 2 3 2 3" xfId="21267" xr:uid="{00000000-0005-0000-0000-000053560000}"/>
    <cellStyle name="Normal 21 2 2 3 2 3 2" xfId="41187" xr:uid="{00000000-0005-0000-0000-000054560000}"/>
    <cellStyle name="Normal 21 2 2 3 2 4" xfId="28882" xr:uid="{00000000-0005-0000-0000-000055560000}"/>
    <cellStyle name="Normal 21 2 2 3 3" xfId="12049" xr:uid="{00000000-0005-0000-0000-000056560000}"/>
    <cellStyle name="Normal 21 2 2 3 3 2" xfId="31969" xr:uid="{00000000-0005-0000-0000-000057560000}"/>
    <cellStyle name="Normal 21 2 2 3 4" xfId="18201" xr:uid="{00000000-0005-0000-0000-000058560000}"/>
    <cellStyle name="Normal 21 2 2 3 4 2" xfId="38121" xr:uid="{00000000-0005-0000-0000-000059560000}"/>
    <cellStyle name="Normal 21 2 2 3 5" xfId="25816" xr:uid="{00000000-0005-0000-0000-00005A560000}"/>
    <cellStyle name="Normal 21 2 2 4" xfId="7387" xr:uid="{00000000-0005-0000-0000-00005B560000}"/>
    <cellStyle name="Normal 21 2 2 4 2" xfId="13581" xr:uid="{00000000-0005-0000-0000-00005C560000}"/>
    <cellStyle name="Normal 21 2 2 4 2 2" xfId="33501" xr:uid="{00000000-0005-0000-0000-00005D560000}"/>
    <cellStyle name="Normal 21 2 2 4 3" xfId="19733" xr:uid="{00000000-0005-0000-0000-00005E560000}"/>
    <cellStyle name="Normal 21 2 2 4 3 2" xfId="39653" xr:uid="{00000000-0005-0000-0000-00005F560000}"/>
    <cellStyle name="Normal 21 2 2 4 4" xfId="27348" xr:uid="{00000000-0005-0000-0000-000060560000}"/>
    <cellStyle name="Normal 21 2 2 5" xfId="10515" xr:uid="{00000000-0005-0000-0000-000061560000}"/>
    <cellStyle name="Normal 21 2 2 5 2" xfId="30435" xr:uid="{00000000-0005-0000-0000-000062560000}"/>
    <cellStyle name="Normal 21 2 2 6" xfId="16667" xr:uid="{00000000-0005-0000-0000-000063560000}"/>
    <cellStyle name="Normal 21 2 2 6 2" xfId="36587" xr:uid="{00000000-0005-0000-0000-000064560000}"/>
    <cellStyle name="Normal 21 2 2 7" xfId="24282" xr:uid="{00000000-0005-0000-0000-000065560000}"/>
    <cellStyle name="Normal 21 2 3" xfId="3517" xr:uid="{00000000-0005-0000-0000-000066560000}"/>
    <cellStyle name="Normal 21 2 3 2" xfId="4981" xr:uid="{00000000-0005-0000-0000-000067560000}"/>
    <cellStyle name="Normal 21 2 3 2 2" xfId="6606" xr:uid="{00000000-0005-0000-0000-000068560000}"/>
    <cellStyle name="Normal 21 2 3 2 2 2" xfId="9692" xr:uid="{00000000-0005-0000-0000-000069560000}"/>
    <cellStyle name="Normal 21 2 3 2 2 2 2" xfId="15885" xr:uid="{00000000-0005-0000-0000-00006A560000}"/>
    <cellStyle name="Normal 21 2 3 2 2 2 2 2" xfId="35805" xr:uid="{00000000-0005-0000-0000-00006B560000}"/>
    <cellStyle name="Normal 21 2 3 2 2 2 3" xfId="22037" xr:uid="{00000000-0005-0000-0000-00006C560000}"/>
    <cellStyle name="Normal 21 2 3 2 2 2 3 2" xfId="41957" xr:uid="{00000000-0005-0000-0000-00006D560000}"/>
    <cellStyle name="Normal 21 2 3 2 2 2 4" xfId="29652" xr:uid="{00000000-0005-0000-0000-00006E560000}"/>
    <cellStyle name="Normal 21 2 3 2 2 3" xfId="12819" xr:uid="{00000000-0005-0000-0000-00006F560000}"/>
    <cellStyle name="Normal 21 2 3 2 2 3 2" xfId="32739" xr:uid="{00000000-0005-0000-0000-000070560000}"/>
    <cellStyle name="Normal 21 2 3 2 2 4" xfId="18971" xr:uid="{00000000-0005-0000-0000-000071560000}"/>
    <cellStyle name="Normal 21 2 3 2 2 4 2" xfId="38891" xr:uid="{00000000-0005-0000-0000-000072560000}"/>
    <cellStyle name="Normal 21 2 3 2 2 5" xfId="26586" xr:uid="{00000000-0005-0000-0000-000073560000}"/>
    <cellStyle name="Normal 21 2 3 2 3" xfId="8157" xr:uid="{00000000-0005-0000-0000-000074560000}"/>
    <cellStyle name="Normal 21 2 3 2 3 2" xfId="14351" xr:uid="{00000000-0005-0000-0000-000075560000}"/>
    <cellStyle name="Normal 21 2 3 2 3 2 2" xfId="34271" xr:uid="{00000000-0005-0000-0000-000076560000}"/>
    <cellStyle name="Normal 21 2 3 2 3 3" xfId="20503" xr:uid="{00000000-0005-0000-0000-000077560000}"/>
    <cellStyle name="Normal 21 2 3 2 3 3 2" xfId="40423" xr:uid="{00000000-0005-0000-0000-000078560000}"/>
    <cellStyle name="Normal 21 2 3 2 3 4" xfId="28118" xr:uid="{00000000-0005-0000-0000-000079560000}"/>
    <cellStyle name="Normal 21 2 3 2 4" xfId="11285" xr:uid="{00000000-0005-0000-0000-00007A560000}"/>
    <cellStyle name="Normal 21 2 3 2 4 2" xfId="31205" xr:uid="{00000000-0005-0000-0000-00007B560000}"/>
    <cellStyle name="Normal 21 2 3 2 5" xfId="17437" xr:uid="{00000000-0005-0000-0000-00007C560000}"/>
    <cellStyle name="Normal 21 2 3 2 5 2" xfId="37357" xr:uid="{00000000-0005-0000-0000-00007D560000}"/>
    <cellStyle name="Normal 21 2 3 2 6" xfId="25052" xr:uid="{00000000-0005-0000-0000-00007E560000}"/>
    <cellStyle name="Normal 21 2 3 3" xfId="5823" xr:uid="{00000000-0005-0000-0000-00007F560000}"/>
    <cellStyle name="Normal 21 2 3 3 2" xfId="8923" xr:uid="{00000000-0005-0000-0000-000080560000}"/>
    <cellStyle name="Normal 21 2 3 3 2 2" xfId="15116" xr:uid="{00000000-0005-0000-0000-000081560000}"/>
    <cellStyle name="Normal 21 2 3 3 2 2 2" xfId="35036" xr:uid="{00000000-0005-0000-0000-000082560000}"/>
    <cellStyle name="Normal 21 2 3 3 2 3" xfId="21268" xr:uid="{00000000-0005-0000-0000-000083560000}"/>
    <cellStyle name="Normal 21 2 3 3 2 3 2" xfId="41188" xr:uid="{00000000-0005-0000-0000-000084560000}"/>
    <cellStyle name="Normal 21 2 3 3 2 4" xfId="28883" xr:uid="{00000000-0005-0000-0000-000085560000}"/>
    <cellStyle name="Normal 21 2 3 3 3" xfId="12050" xr:uid="{00000000-0005-0000-0000-000086560000}"/>
    <cellStyle name="Normal 21 2 3 3 3 2" xfId="31970" xr:uid="{00000000-0005-0000-0000-000087560000}"/>
    <cellStyle name="Normal 21 2 3 3 4" xfId="18202" xr:uid="{00000000-0005-0000-0000-000088560000}"/>
    <cellStyle name="Normal 21 2 3 3 4 2" xfId="38122" xr:uid="{00000000-0005-0000-0000-000089560000}"/>
    <cellStyle name="Normal 21 2 3 3 5" xfId="25817" xr:uid="{00000000-0005-0000-0000-00008A560000}"/>
    <cellStyle name="Normal 21 2 3 4" xfId="7388" xr:uid="{00000000-0005-0000-0000-00008B560000}"/>
    <cellStyle name="Normal 21 2 3 4 2" xfId="13582" xr:uid="{00000000-0005-0000-0000-00008C560000}"/>
    <cellStyle name="Normal 21 2 3 4 2 2" xfId="33502" xr:uid="{00000000-0005-0000-0000-00008D560000}"/>
    <cellStyle name="Normal 21 2 3 4 3" xfId="19734" xr:uid="{00000000-0005-0000-0000-00008E560000}"/>
    <cellStyle name="Normal 21 2 3 4 3 2" xfId="39654" xr:uid="{00000000-0005-0000-0000-00008F560000}"/>
    <cellStyle name="Normal 21 2 3 4 4" xfId="27349" xr:uid="{00000000-0005-0000-0000-000090560000}"/>
    <cellStyle name="Normal 21 2 3 5" xfId="10516" xr:uid="{00000000-0005-0000-0000-000091560000}"/>
    <cellStyle name="Normal 21 2 3 5 2" xfId="30436" xr:uid="{00000000-0005-0000-0000-000092560000}"/>
    <cellStyle name="Normal 21 2 3 6" xfId="16668" xr:uid="{00000000-0005-0000-0000-000093560000}"/>
    <cellStyle name="Normal 21 2 3 6 2" xfId="36588" xr:uid="{00000000-0005-0000-0000-000094560000}"/>
    <cellStyle name="Normal 21 2 3 7" xfId="24283" xr:uid="{00000000-0005-0000-0000-000095560000}"/>
    <cellStyle name="Normal 21 2 4" xfId="3518" xr:uid="{00000000-0005-0000-0000-000096560000}"/>
    <cellStyle name="Normal 21 2 4 2" xfId="4982" xr:uid="{00000000-0005-0000-0000-000097560000}"/>
    <cellStyle name="Normal 21 2 4 2 2" xfId="6607" xr:uid="{00000000-0005-0000-0000-000098560000}"/>
    <cellStyle name="Normal 21 2 4 2 2 2" xfId="9693" xr:uid="{00000000-0005-0000-0000-000099560000}"/>
    <cellStyle name="Normal 21 2 4 2 2 2 2" xfId="15886" xr:uid="{00000000-0005-0000-0000-00009A560000}"/>
    <cellStyle name="Normal 21 2 4 2 2 2 2 2" xfId="35806" xr:uid="{00000000-0005-0000-0000-00009B560000}"/>
    <cellStyle name="Normal 21 2 4 2 2 2 3" xfId="22038" xr:uid="{00000000-0005-0000-0000-00009C560000}"/>
    <cellStyle name="Normal 21 2 4 2 2 2 3 2" xfId="41958" xr:uid="{00000000-0005-0000-0000-00009D560000}"/>
    <cellStyle name="Normal 21 2 4 2 2 2 4" xfId="29653" xr:uid="{00000000-0005-0000-0000-00009E560000}"/>
    <cellStyle name="Normal 21 2 4 2 2 3" xfId="12820" xr:uid="{00000000-0005-0000-0000-00009F560000}"/>
    <cellStyle name="Normal 21 2 4 2 2 3 2" xfId="32740" xr:uid="{00000000-0005-0000-0000-0000A0560000}"/>
    <cellStyle name="Normal 21 2 4 2 2 4" xfId="18972" xr:uid="{00000000-0005-0000-0000-0000A1560000}"/>
    <cellStyle name="Normal 21 2 4 2 2 4 2" xfId="38892" xr:uid="{00000000-0005-0000-0000-0000A2560000}"/>
    <cellStyle name="Normal 21 2 4 2 2 5" xfId="26587" xr:uid="{00000000-0005-0000-0000-0000A3560000}"/>
    <cellStyle name="Normal 21 2 4 2 3" xfId="8158" xr:uid="{00000000-0005-0000-0000-0000A4560000}"/>
    <cellStyle name="Normal 21 2 4 2 3 2" xfId="14352" xr:uid="{00000000-0005-0000-0000-0000A5560000}"/>
    <cellStyle name="Normal 21 2 4 2 3 2 2" xfId="34272" xr:uid="{00000000-0005-0000-0000-0000A6560000}"/>
    <cellStyle name="Normal 21 2 4 2 3 3" xfId="20504" xr:uid="{00000000-0005-0000-0000-0000A7560000}"/>
    <cellStyle name="Normal 21 2 4 2 3 3 2" xfId="40424" xr:uid="{00000000-0005-0000-0000-0000A8560000}"/>
    <cellStyle name="Normal 21 2 4 2 3 4" xfId="28119" xr:uid="{00000000-0005-0000-0000-0000A9560000}"/>
    <cellStyle name="Normal 21 2 4 2 4" xfId="11286" xr:uid="{00000000-0005-0000-0000-0000AA560000}"/>
    <cellStyle name="Normal 21 2 4 2 4 2" xfId="31206" xr:uid="{00000000-0005-0000-0000-0000AB560000}"/>
    <cellStyle name="Normal 21 2 4 2 5" xfId="17438" xr:uid="{00000000-0005-0000-0000-0000AC560000}"/>
    <cellStyle name="Normal 21 2 4 2 5 2" xfId="37358" xr:uid="{00000000-0005-0000-0000-0000AD560000}"/>
    <cellStyle name="Normal 21 2 4 2 6" xfId="25053" xr:uid="{00000000-0005-0000-0000-0000AE560000}"/>
    <cellStyle name="Normal 21 2 4 3" xfId="5824" xr:uid="{00000000-0005-0000-0000-0000AF560000}"/>
    <cellStyle name="Normal 21 2 4 3 2" xfId="8924" xr:uid="{00000000-0005-0000-0000-0000B0560000}"/>
    <cellStyle name="Normal 21 2 4 3 2 2" xfId="15117" xr:uid="{00000000-0005-0000-0000-0000B1560000}"/>
    <cellStyle name="Normal 21 2 4 3 2 2 2" xfId="35037" xr:uid="{00000000-0005-0000-0000-0000B2560000}"/>
    <cellStyle name="Normal 21 2 4 3 2 3" xfId="21269" xr:uid="{00000000-0005-0000-0000-0000B3560000}"/>
    <cellStyle name="Normal 21 2 4 3 2 3 2" xfId="41189" xr:uid="{00000000-0005-0000-0000-0000B4560000}"/>
    <cellStyle name="Normal 21 2 4 3 2 4" xfId="28884" xr:uid="{00000000-0005-0000-0000-0000B5560000}"/>
    <cellStyle name="Normal 21 2 4 3 3" xfId="12051" xr:uid="{00000000-0005-0000-0000-0000B6560000}"/>
    <cellStyle name="Normal 21 2 4 3 3 2" xfId="31971" xr:uid="{00000000-0005-0000-0000-0000B7560000}"/>
    <cellStyle name="Normal 21 2 4 3 4" xfId="18203" xr:uid="{00000000-0005-0000-0000-0000B8560000}"/>
    <cellStyle name="Normal 21 2 4 3 4 2" xfId="38123" xr:uid="{00000000-0005-0000-0000-0000B9560000}"/>
    <cellStyle name="Normal 21 2 4 3 5" xfId="25818" xr:uid="{00000000-0005-0000-0000-0000BA560000}"/>
    <cellStyle name="Normal 21 2 4 4" xfId="7389" xr:uid="{00000000-0005-0000-0000-0000BB560000}"/>
    <cellStyle name="Normal 21 2 4 4 2" xfId="13583" xr:uid="{00000000-0005-0000-0000-0000BC560000}"/>
    <cellStyle name="Normal 21 2 4 4 2 2" xfId="33503" xr:uid="{00000000-0005-0000-0000-0000BD560000}"/>
    <cellStyle name="Normal 21 2 4 4 3" xfId="19735" xr:uid="{00000000-0005-0000-0000-0000BE560000}"/>
    <cellStyle name="Normal 21 2 4 4 3 2" xfId="39655" xr:uid="{00000000-0005-0000-0000-0000BF560000}"/>
    <cellStyle name="Normal 21 2 4 4 4" xfId="27350" xr:uid="{00000000-0005-0000-0000-0000C0560000}"/>
    <cellStyle name="Normal 21 2 4 5" xfId="10517" xr:uid="{00000000-0005-0000-0000-0000C1560000}"/>
    <cellStyle name="Normal 21 2 4 5 2" xfId="30437" xr:uid="{00000000-0005-0000-0000-0000C2560000}"/>
    <cellStyle name="Normal 21 2 4 6" xfId="16669" xr:uid="{00000000-0005-0000-0000-0000C3560000}"/>
    <cellStyle name="Normal 21 2 4 6 2" xfId="36589" xr:uid="{00000000-0005-0000-0000-0000C4560000}"/>
    <cellStyle name="Normal 21 2 4 7" xfId="24284" xr:uid="{00000000-0005-0000-0000-0000C5560000}"/>
    <cellStyle name="Normal 21 2 5" xfId="3519" xr:uid="{00000000-0005-0000-0000-0000C6560000}"/>
    <cellStyle name="Normal 21 2 5 2" xfId="4983" xr:uid="{00000000-0005-0000-0000-0000C7560000}"/>
    <cellStyle name="Normal 21 2 5 2 2" xfId="6608" xr:uid="{00000000-0005-0000-0000-0000C8560000}"/>
    <cellStyle name="Normal 21 2 5 2 2 2" xfId="9694" xr:uid="{00000000-0005-0000-0000-0000C9560000}"/>
    <cellStyle name="Normal 21 2 5 2 2 2 2" xfId="15887" xr:uid="{00000000-0005-0000-0000-0000CA560000}"/>
    <cellStyle name="Normal 21 2 5 2 2 2 2 2" xfId="35807" xr:uid="{00000000-0005-0000-0000-0000CB560000}"/>
    <cellStyle name="Normal 21 2 5 2 2 2 3" xfId="22039" xr:uid="{00000000-0005-0000-0000-0000CC560000}"/>
    <cellStyle name="Normal 21 2 5 2 2 2 3 2" xfId="41959" xr:uid="{00000000-0005-0000-0000-0000CD560000}"/>
    <cellStyle name="Normal 21 2 5 2 2 2 4" xfId="29654" xr:uid="{00000000-0005-0000-0000-0000CE560000}"/>
    <cellStyle name="Normal 21 2 5 2 2 3" xfId="12821" xr:uid="{00000000-0005-0000-0000-0000CF560000}"/>
    <cellStyle name="Normal 21 2 5 2 2 3 2" xfId="32741" xr:uid="{00000000-0005-0000-0000-0000D0560000}"/>
    <cellStyle name="Normal 21 2 5 2 2 4" xfId="18973" xr:uid="{00000000-0005-0000-0000-0000D1560000}"/>
    <cellStyle name="Normal 21 2 5 2 2 4 2" xfId="38893" xr:uid="{00000000-0005-0000-0000-0000D2560000}"/>
    <cellStyle name="Normal 21 2 5 2 2 5" xfId="26588" xr:uid="{00000000-0005-0000-0000-0000D3560000}"/>
    <cellStyle name="Normal 21 2 5 2 3" xfId="8159" xr:uid="{00000000-0005-0000-0000-0000D4560000}"/>
    <cellStyle name="Normal 21 2 5 2 3 2" xfId="14353" xr:uid="{00000000-0005-0000-0000-0000D5560000}"/>
    <cellStyle name="Normal 21 2 5 2 3 2 2" xfId="34273" xr:uid="{00000000-0005-0000-0000-0000D6560000}"/>
    <cellStyle name="Normal 21 2 5 2 3 3" xfId="20505" xr:uid="{00000000-0005-0000-0000-0000D7560000}"/>
    <cellStyle name="Normal 21 2 5 2 3 3 2" xfId="40425" xr:uid="{00000000-0005-0000-0000-0000D8560000}"/>
    <cellStyle name="Normal 21 2 5 2 3 4" xfId="28120" xr:uid="{00000000-0005-0000-0000-0000D9560000}"/>
    <cellStyle name="Normal 21 2 5 2 4" xfId="11287" xr:uid="{00000000-0005-0000-0000-0000DA560000}"/>
    <cellStyle name="Normal 21 2 5 2 4 2" xfId="31207" xr:uid="{00000000-0005-0000-0000-0000DB560000}"/>
    <cellStyle name="Normal 21 2 5 2 5" xfId="17439" xr:uid="{00000000-0005-0000-0000-0000DC560000}"/>
    <cellStyle name="Normal 21 2 5 2 5 2" xfId="37359" xr:uid="{00000000-0005-0000-0000-0000DD560000}"/>
    <cellStyle name="Normal 21 2 5 2 6" xfId="25054" xr:uid="{00000000-0005-0000-0000-0000DE560000}"/>
    <cellStyle name="Normal 21 2 5 3" xfId="5825" xr:uid="{00000000-0005-0000-0000-0000DF560000}"/>
    <cellStyle name="Normal 21 2 5 3 2" xfId="8925" xr:uid="{00000000-0005-0000-0000-0000E0560000}"/>
    <cellStyle name="Normal 21 2 5 3 2 2" xfId="15118" xr:uid="{00000000-0005-0000-0000-0000E1560000}"/>
    <cellStyle name="Normal 21 2 5 3 2 2 2" xfId="35038" xr:uid="{00000000-0005-0000-0000-0000E2560000}"/>
    <cellStyle name="Normal 21 2 5 3 2 3" xfId="21270" xr:uid="{00000000-0005-0000-0000-0000E3560000}"/>
    <cellStyle name="Normal 21 2 5 3 2 3 2" xfId="41190" xr:uid="{00000000-0005-0000-0000-0000E4560000}"/>
    <cellStyle name="Normal 21 2 5 3 2 4" xfId="28885" xr:uid="{00000000-0005-0000-0000-0000E5560000}"/>
    <cellStyle name="Normal 21 2 5 3 3" xfId="12052" xr:uid="{00000000-0005-0000-0000-0000E6560000}"/>
    <cellStyle name="Normal 21 2 5 3 3 2" xfId="31972" xr:uid="{00000000-0005-0000-0000-0000E7560000}"/>
    <cellStyle name="Normal 21 2 5 3 4" xfId="18204" xr:uid="{00000000-0005-0000-0000-0000E8560000}"/>
    <cellStyle name="Normal 21 2 5 3 4 2" xfId="38124" xr:uid="{00000000-0005-0000-0000-0000E9560000}"/>
    <cellStyle name="Normal 21 2 5 3 5" xfId="25819" xr:uid="{00000000-0005-0000-0000-0000EA560000}"/>
    <cellStyle name="Normal 21 2 5 4" xfId="7390" xr:uid="{00000000-0005-0000-0000-0000EB560000}"/>
    <cellStyle name="Normal 21 2 5 4 2" xfId="13584" xr:uid="{00000000-0005-0000-0000-0000EC560000}"/>
    <cellStyle name="Normal 21 2 5 4 2 2" xfId="33504" xr:uid="{00000000-0005-0000-0000-0000ED560000}"/>
    <cellStyle name="Normal 21 2 5 4 3" xfId="19736" xr:uid="{00000000-0005-0000-0000-0000EE560000}"/>
    <cellStyle name="Normal 21 2 5 4 3 2" xfId="39656" xr:uid="{00000000-0005-0000-0000-0000EF560000}"/>
    <cellStyle name="Normal 21 2 5 4 4" xfId="27351" xr:uid="{00000000-0005-0000-0000-0000F0560000}"/>
    <cellStyle name="Normal 21 2 5 5" xfId="10518" xr:uid="{00000000-0005-0000-0000-0000F1560000}"/>
    <cellStyle name="Normal 21 2 5 5 2" xfId="30438" xr:uid="{00000000-0005-0000-0000-0000F2560000}"/>
    <cellStyle name="Normal 21 2 5 6" xfId="16670" xr:uid="{00000000-0005-0000-0000-0000F3560000}"/>
    <cellStyle name="Normal 21 2 5 6 2" xfId="36590" xr:uid="{00000000-0005-0000-0000-0000F4560000}"/>
    <cellStyle name="Normal 21 2 5 7" xfId="24285" xr:uid="{00000000-0005-0000-0000-0000F5560000}"/>
    <cellStyle name="Normal 21 2 6" xfId="3520" xr:uid="{00000000-0005-0000-0000-0000F6560000}"/>
    <cellStyle name="Normal 21 2 6 2" xfId="4984" xr:uid="{00000000-0005-0000-0000-0000F7560000}"/>
    <cellStyle name="Normal 21 2 6 2 2" xfId="6609" xr:uid="{00000000-0005-0000-0000-0000F8560000}"/>
    <cellStyle name="Normal 21 2 6 2 2 2" xfId="9695" xr:uid="{00000000-0005-0000-0000-0000F9560000}"/>
    <cellStyle name="Normal 21 2 6 2 2 2 2" xfId="15888" xr:uid="{00000000-0005-0000-0000-0000FA560000}"/>
    <cellStyle name="Normal 21 2 6 2 2 2 2 2" xfId="35808" xr:uid="{00000000-0005-0000-0000-0000FB560000}"/>
    <cellStyle name="Normal 21 2 6 2 2 2 3" xfId="22040" xr:uid="{00000000-0005-0000-0000-0000FC560000}"/>
    <cellStyle name="Normal 21 2 6 2 2 2 3 2" xfId="41960" xr:uid="{00000000-0005-0000-0000-0000FD560000}"/>
    <cellStyle name="Normal 21 2 6 2 2 2 4" xfId="29655" xr:uid="{00000000-0005-0000-0000-0000FE560000}"/>
    <cellStyle name="Normal 21 2 6 2 2 3" xfId="12822" xr:uid="{00000000-0005-0000-0000-0000FF560000}"/>
    <cellStyle name="Normal 21 2 6 2 2 3 2" xfId="32742" xr:uid="{00000000-0005-0000-0000-000000570000}"/>
    <cellStyle name="Normal 21 2 6 2 2 4" xfId="18974" xr:uid="{00000000-0005-0000-0000-000001570000}"/>
    <cellStyle name="Normal 21 2 6 2 2 4 2" xfId="38894" xr:uid="{00000000-0005-0000-0000-000002570000}"/>
    <cellStyle name="Normal 21 2 6 2 2 5" xfId="26589" xr:uid="{00000000-0005-0000-0000-000003570000}"/>
    <cellStyle name="Normal 21 2 6 2 3" xfId="8160" xr:uid="{00000000-0005-0000-0000-000004570000}"/>
    <cellStyle name="Normal 21 2 6 2 3 2" xfId="14354" xr:uid="{00000000-0005-0000-0000-000005570000}"/>
    <cellStyle name="Normal 21 2 6 2 3 2 2" xfId="34274" xr:uid="{00000000-0005-0000-0000-000006570000}"/>
    <cellStyle name="Normal 21 2 6 2 3 3" xfId="20506" xr:uid="{00000000-0005-0000-0000-000007570000}"/>
    <cellStyle name="Normal 21 2 6 2 3 3 2" xfId="40426" xr:uid="{00000000-0005-0000-0000-000008570000}"/>
    <cellStyle name="Normal 21 2 6 2 3 4" xfId="28121" xr:uid="{00000000-0005-0000-0000-000009570000}"/>
    <cellStyle name="Normal 21 2 6 2 4" xfId="11288" xr:uid="{00000000-0005-0000-0000-00000A570000}"/>
    <cellStyle name="Normal 21 2 6 2 4 2" xfId="31208" xr:uid="{00000000-0005-0000-0000-00000B570000}"/>
    <cellStyle name="Normal 21 2 6 2 5" xfId="17440" xr:uid="{00000000-0005-0000-0000-00000C570000}"/>
    <cellStyle name="Normal 21 2 6 2 5 2" xfId="37360" xr:uid="{00000000-0005-0000-0000-00000D570000}"/>
    <cellStyle name="Normal 21 2 6 2 6" xfId="25055" xr:uid="{00000000-0005-0000-0000-00000E570000}"/>
    <cellStyle name="Normal 21 2 6 3" xfId="5826" xr:uid="{00000000-0005-0000-0000-00000F570000}"/>
    <cellStyle name="Normal 21 2 6 3 2" xfId="8926" xr:uid="{00000000-0005-0000-0000-000010570000}"/>
    <cellStyle name="Normal 21 2 6 3 2 2" xfId="15119" xr:uid="{00000000-0005-0000-0000-000011570000}"/>
    <cellStyle name="Normal 21 2 6 3 2 2 2" xfId="35039" xr:uid="{00000000-0005-0000-0000-000012570000}"/>
    <cellStyle name="Normal 21 2 6 3 2 3" xfId="21271" xr:uid="{00000000-0005-0000-0000-000013570000}"/>
    <cellStyle name="Normal 21 2 6 3 2 3 2" xfId="41191" xr:uid="{00000000-0005-0000-0000-000014570000}"/>
    <cellStyle name="Normal 21 2 6 3 2 4" xfId="28886" xr:uid="{00000000-0005-0000-0000-000015570000}"/>
    <cellStyle name="Normal 21 2 6 3 3" xfId="12053" xr:uid="{00000000-0005-0000-0000-000016570000}"/>
    <cellStyle name="Normal 21 2 6 3 3 2" xfId="31973" xr:uid="{00000000-0005-0000-0000-000017570000}"/>
    <cellStyle name="Normal 21 2 6 3 4" xfId="18205" xr:uid="{00000000-0005-0000-0000-000018570000}"/>
    <cellStyle name="Normal 21 2 6 3 4 2" xfId="38125" xr:uid="{00000000-0005-0000-0000-000019570000}"/>
    <cellStyle name="Normal 21 2 6 3 5" xfId="25820" xr:uid="{00000000-0005-0000-0000-00001A570000}"/>
    <cellStyle name="Normal 21 2 6 4" xfId="7391" xr:uid="{00000000-0005-0000-0000-00001B570000}"/>
    <cellStyle name="Normal 21 2 6 4 2" xfId="13585" xr:uid="{00000000-0005-0000-0000-00001C570000}"/>
    <cellStyle name="Normal 21 2 6 4 2 2" xfId="33505" xr:uid="{00000000-0005-0000-0000-00001D570000}"/>
    <cellStyle name="Normal 21 2 6 4 3" xfId="19737" xr:uid="{00000000-0005-0000-0000-00001E570000}"/>
    <cellStyle name="Normal 21 2 6 4 3 2" xfId="39657" xr:uid="{00000000-0005-0000-0000-00001F570000}"/>
    <cellStyle name="Normal 21 2 6 4 4" xfId="27352" xr:uid="{00000000-0005-0000-0000-000020570000}"/>
    <cellStyle name="Normal 21 2 6 5" xfId="10519" xr:uid="{00000000-0005-0000-0000-000021570000}"/>
    <cellStyle name="Normal 21 2 6 5 2" xfId="30439" xr:uid="{00000000-0005-0000-0000-000022570000}"/>
    <cellStyle name="Normal 21 2 6 6" xfId="16671" xr:uid="{00000000-0005-0000-0000-000023570000}"/>
    <cellStyle name="Normal 21 2 6 6 2" xfId="36591" xr:uid="{00000000-0005-0000-0000-000024570000}"/>
    <cellStyle name="Normal 21 2 6 7" xfId="24286" xr:uid="{00000000-0005-0000-0000-000025570000}"/>
    <cellStyle name="Normal 21 2 7" xfId="4979" xr:uid="{00000000-0005-0000-0000-000026570000}"/>
    <cellStyle name="Normal 21 2 7 2" xfId="6604" xr:uid="{00000000-0005-0000-0000-000027570000}"/>
    <cellStyle name="Normal 21 2 7 2 2" xfId="9690" xr:uid="{00000000-0005-0000-0000-000028570000}"/>
    <cellStyle name="Normal 21 2 7 2 2 2" xfId="15883" xr:uid="{00000000-0005-0000-0000-000029570000}"/>
    <cellStyle name="Normal 21 2 7 2 2 2 2" xfId="35803" xr:uid="{00000000-0005-0000-0000-00002A570000}"/>
    <cellStyle name="Normal 21 2 7 2 2 3" xfId="22035" xr:uid="{00000000-0005-0000-0000-00002B570000}"/>
    <cellStyle name="Normal 21 2 7 2 2 3 2" xfId="41955" xr:uid="{00000000-0005-0000-0000-00002C570000}"/>
    <cellStyle name="Normal 21 2 7 2 2 4" xfId="29650" xr:uid="{00000000-0005-0000-0000-00002D570000}"/>
    <cellStyle name="Normal 21 2 7 2 3" xfId="12817" xr:uid="{00000000-0005-0000-0000-00002E570000}"/>
    <cellStyle name="Normal 21 2 7 2 3 2" xfId="32737" xr:uid="{00000000-0005-0000-0000-00002F570000}"/>
    <cellStyle name="Normal 21 2 7 2 4" xfId="18969" xr:uid="{00000000-0005-0000-0000-000030570000}"/>
    <cellStyle name="Normal 21 2 7 2 4 2" xfId="38889" xr:uid="{00000000-0005-0000-0000-000031570000}"/>
    <cellStyle name="Normal 21 2 7 2 5" xfId="26584" xr:uid="{00000000-0005-0000-0000-000032570000}"/>
    <cellStyle name="Normal 21 2 7 3" xfId="8155" xr:uid="{00000000-0005-0000-0000-000033570000}"/>
    <cellStyle name="Normal 21 2 7 3 2" xfId="14349" xr:uid="{00000000-0005-0000-0000-000034570000}"/>
    <cellStyle name="Normal 21 2 7 3 2 2" xfId="34269" xr:uid="{00000000-0005-0000-0000-000035570000}"/>
    <cellStyle name="Normal 21 2 7 3 3" xfId="20501" xr:uid="{00000000-0005-0000-0000-000036570000}"/>
    <cellStyle name="Normal 21 2 7 3 3 2" xfId="40421" xr:uid="{00000000-0005-0000-0000-000037570000}"/>
    <cellStyle name="Normal 21 2 7 3 4" xfId="28116" xr:uid="{00000000-0005-0000-0000-000038570000}"/>
    <cellStyle name="Normal 21 2 7 4" xfId="11283" xr:uid="{00000000-0005-0000-0000-000039570000}"/>
    <cellStyle name="Normal 21 2 7 4 2" xfId="31203" xr:uid="{00000000-0005-0000-0000-00003A570000}"/>
    <cellStyle name="Normal 21 2 7 5" xfId="17435" xr:uid="{00000000-0005-0000-0000-00003B570000}"/>
    <cellStyle name="Normal 21 2 7 5 2" xfId="37355" xr:uid="{00000000-0005-0000-0000-00003C570000}"/>
    <cellStyle name="Normal 21 2 7 6" xfId="25050" xr:uid="{00000000-0005-0000-0000-00003D570000}"/>
    <cellStyle name="Normal 21 2 8" xfId="5821" xr:uid="{00000000-0005-0000-0000-00003E570000}"/>
    <cellStyle name="Normal 21 2 8 2" xfId="8921" xr:uid="{00000000-0005-0000-0000-00003F570000}"/>
    <cellStyle name="Normal 21 2 8 2 2" xfId="15114" xr:uid="{00000000-0005-0000-0000-000040570000}"/>
    <cellStyle name="Normal 21 2 8 2 2 2" xfId="35034" xr:uid="{00000000-0005-0000-0000-000041570000}"/>
    <cellStyle name="Normal 21 2 8 2 3" xfId="21266" xr:uid="{00000000-0005-0000-0000-000042570000}"/>
    <cellStyle name="Normal 21 2 8 2 3 2" xfId="41186" xr:uid="{00000000-0005-0000-0000-000043570000}"/>
    <cellStyle name="Normal 21 2 8 2 4" xfId="28881" xr:uid="{00000000-0005-0000-0000-000044570000}"/>
    <cellStyle name="Normal 21 2 8 3" xfId="12048" xr:uid="{00000000-0005-0000-0000-000045570000}"/>
    <cellStyle name="Normal 21 2 8 3 2" xfId="31968" xr:uid="{00000000-0005-0000-0000-000046570000}"/>
    <cellStyle name="Normal 21 2 8 4" xfId="18200" xr:uid="{00000000-0005-0000-0000-000047570000}"/>
    <cellStyle name="Normal 21 2 8 4 2" xfId="38120" xr:uid="{00000000-0005-0000-0000-000048570000}"/>
    <cellStyle name="Normal 21 2 8 5" xfId="25815" xr:uid="{00000000-0005-0000-0000-000049570000}"/>
    <cellStyle name="Normal 21 2 9" xfId="7386" xr:uid="{00000000-0005-0000-0000-00004A570000}"/>
    <cellStyle name="Normal 21 2 9 2" xfId="13580" xr:uid="{00000000-0005-0000-0000-00004B570000}"/>
    <cellStyle name="Normal 21 2 9 2 2" xfId="33500" xr:uid="{00000000-0005-0000-0000-00004C570000}"/>
    <cellStyle name="Normal 21 2 9 3" xfId="19732" xr:uid="{00000000-0005-0000-0000-00004D570000}"/>
    <cellStyle name="Normal 21 2 9 3 2" xfId="39652" xr:uid="{00000000-0005-0000-0000-00004E570000}"/>
    <cellStyle name="Normal 21 2 9 4" xfId="27347" xr:uid="{00000000-0005-0000-0000-00004F570000}"/>
    <cellStyle name="Normal 21 3" xfId="3521" xr:uid="{00000000-0005-0000-0000-000050570000}"/>
    <cellStyle name="Normal 21 3 2" xfId="3522" xr:uid="{00000000-0005-0000-0000-000051570000}"/>
    <cellStyle name="Normal 21 3 2 2" xfId="4986" xr:uid="{00000000-0005-0000-0000-000052570000}"/>
    <cellStyle name="Normal 21 3 2 2 2" xfId="6611" xr:uid="{00000000-0005-0000-0000-000053570000}"/>
    <cellStyle name="Normal 21 3 2 2 2 2" xfId="9697" xr:uid="{00000000-0005-0000-0000-000054570000}"/>
    <cellStyle name="Normal 21 3 2 2 2 2 2" xfId="15890" xr:uid="{00000000-0005-0000-0000-000055570000}"/>
    <cellStyle name="Normal 21 3 2 2 2 2 2 2" xfId="35810" xr:uid="{00000000-0005-0000-0000-000056570000}"/>
    <cellStyle name="Normal 21 3 2 2 2 2 3" xfId="22042" xr:uid="{00000000-0005-0000-0000-000057570000}"/>
    <cellStyle name="Normal 21 3 2 2 2 2 3 2" xfId="41962" xr:uid="{00000000-0005-0000-0000-000058570000}"/>
    <cellStyle name="Normal 21 3 2 2 2 2 4" xfId="29657" xr:uid="{00000000-0005-0000-0000-000059570000}"/>
    <cellStyle name="Normal 21 3 2 2 2 3" xfId="12824" xr:uid="{00000000-0005-0000-0000-00005A570000}"/>
    <cellStyle name="Normal 21 3 2 2 2 3 2" xfId="32744" xr:uid="{00000000-0005-0000-0000-00005B570000}"/>
    <cellStyle name="Normal 21 3 2 2 2 4" xfId="18976" xr:uid="{00000000-0005-0000-0000-00005C570000}"/>
    <cellStyle name="Normal 21 3 2 2 2 4 2" xfId="38896" xr:uid="{00000000-0005-0000-0000-00005D570000}"/>
    <cellStyle name="Normal 21 3 2 2 2 5" xfId="26591" xr:uid="{00000000-0005-0000-0000-00005E570000}"/>
    <cellStyle name="Normal 21 3 2 2 3" xfId="8162" xr:uid="{00000000-0005-0000-0000-00005F570000}"/>
    <cellStyle name="Normal 21 3 2 2 3 2" xfId="14356" xr:uid="{00000000-0005-0000-0000-000060570000}"/>
    <cellStyle name="Normal 21 3 2 2 3 2 2" xfId="34276" xr:uid="{00000000-0005-0000-0000-000061570000}"/>
    <cellStyle name="Normal 21 3 2 2 3 3" xfId="20508" xr:uid="{00000000-0005-0000-0000-000062570000}"/>
    <cellStyle name="Normal 21 3 2 2 3 3 2" xfId="40428" xr:uid="{00000000-0005-0000-0000-000063570000}"/>
    <cellStyle name="Normal 21 3 2 2 3 4" xfId="28123" xr:uid="{00000000-0005-0000-0000-000064570000}"/>
    <cellStyle name="Normal 21 3 2 2 4" xfId="11290" xr:uid="{00000000-0005-0000-0000-000065570000}"/>
    <cellStyle name="Normal 21 3 2 2 4 2" xfId="31210" xr:uid="{00000000-0005-0000-0000-000066570000}"/>
    <cellStyle name="Normal 21 3 2 2 5" xfId="17442" xr:uid="{00000000-0005-0000-0000-000067570000}"/>
    <cellStyle name="Normal 21 3 2 2 5 2" xfId="37362" xr:uid="{00000000-0005-0000-0000-000068570000}"/>
    <cellStyle name="Normal 21 3 2 2 6" xfId="25057" xr:uid="{00000000-0005-0000-0000-000069570000}"/>
    <cellStyle name="Normal 21 3 2 3" xfId="5828" xr:uid="{00000000-0005-0000-0000-00006A570000}"/>
    <cellStyle name="Normal 21 3 2 3 2" xfId="8928" xr:uid="{00000000-0005-0000-0000-00006B570000}"/>
    <cellStyle name="Normal 21 3 2 3 2 2" xfId="15121" xr:uid="{00000000-0005-0000-0000-00006C570000}"/>
    <cellStyle name="Normal 21 3 2 3 2 2 2" xfId="35041" xr:uid="{00000000-0005-0000-0000-00006D570000}"/>
    <cellStyle name="Normal 21 3 2 3 2 3" xfId="21273" xr:uid="{00000000-0005-0000-0000-00006E570000}"/>
    <cellStyle name="Normal 21 3 2 3 2 3 2" xfId="41193" xr:uid="{00000000-0005-0000-0000-00006F570000}"/>
    <cellStyle name="Normal 21 3 2 3 2 4" xfId="28888" xr:uid="{00000000-0005-0000-0000-000070570000}"/>
    <cellStyle name="Normal 21 3 2 3 3" xfId="12055" xr:uid="{00000000-0005-0000-0000-000071570000}"/>
    <cellStyle name="Normal 21 3 2 3 3 2" xfId="31975" xr:uid="{00000000-0005-0000-0000-000072570000}"/>
    <cellStyle name="Normal 21 3 2 3 4" xfId="18207" xr:uid="{00000000-0005-0000-0000-000073570000}"/>
    <cellStyle name="Normal 21 3 2 3 4 2" xfId="38127" xr:uid="{00000000-0005-0000-0000-000074570000}"/>
    <cellStyle name="Normal 21 3 2 3 5" xfId="25822" xr:uid="{00000000-0005-0000-0000-000075570000}"/>
    <cellStyle name="Normal 21 3 2 4" xfId="7393" xr:uid="{00000000-0005-0000-0000-000076570000}"/>
    <cellStyle name="Normal 21 3 2 4 2" xfId="13587" xr:uid="{00000000-0005-0000-0000-000077570000}"/>
    <cellStyle name="Normal 21 3 2 4 2 2" xfId="33507" xr:uid="{00000000-0005-0000-0000-000078570000}"/>
    <cellStyle name="Normal 21 3 2 4 3" xfId="19739" xr:uid="{00000000-0005-0000-0000-000079570000}"/>
    <cellStyle name="Normal 21 3 2 4 3 2" xfId="39659" xr:uid="{00000000-0005-0000-0000-00007A570000}"/>
    <cellStyle name="Normal 21 3 2 4 4" xfId="27354" xr:uid="{00000000-0005-0000-0000-00007B570000}"/>
    <cellStyle name="Normal 21 3 2 5" xfId="10521" xr:uid="{00000000-0005-0000-0000-00007C570000}"/>
    <cellStyle name="Normal 21 3 2 5 2" xfId="30441" xr:uid="{00000000-0005-0000-0000-00007D570000}"/>
    <cellStyle name="Normal 21 3 2 6" xfId="16673" xr:uid="{00000000-0005-0000-0000-00007E570000}"/>
    <cellStyle name="Normal 21 3 2 6 2" xfId="36593" xr:uid="{00000000-0005-0000-0000-00007F570000}"/>
    <cellStyle name="Normal 21 3 2 7" xfId="24288" xr:uid="{00000000-0005-0000-0000-000080570000}"/>
    <cellStyle name="Normal 21 3 3" xfId="4985" xr:uid="{00000000-0005-0000-0000-000081570000}"/>
    <cellStyle name="Normal 21 3 3 2" xfId="6610" xr:uid="{00000000-0005-0000-0000-000082570000}"/>
    <cellStyle name="Normal 21 3 3 2 2" xfId="9696" xr:uid="{00000000-0005-0000-0000-000083570000}"/>
    <cellStyle name="Normal 21 3 3 2 2 2" xfId="15889" xr:uid="{00000000-0005-0000-0000-000084570000}"/>
    <cellStyle name="Normal 21 3 3 2 2 2 2" xfId="35809" xr:uid="{00000000-0005-0000-0000-000085570000}"/>
    <cellStyle name="Normal 21 3 3 2 2 3" xfId="22041" xr:uid="{00000000-0005-0000-0000-000086570000}"/>
    <cellStyle name="Normal 21 3 3 2 2 3 2" xfId="41961" xr:uid="{00000000-0005-0000-0000-000087570000}"/>
    <cellStyle name="Normal 21 3 3 2 2 4" xfId="29656" xr:uid="{00000000-0005-0000-0000-000088570000}"/>
    <cellStyle name="Normal 21 3 3 2 3" xfId="12823" xr:uid="{00000000-0005-0000-0000-000089570000}"/>
    <cellStyle name="Normal 21 3 3 2 3 2" xfId="32743" xr:uid="{00000000-0005-0000-0000-00008A570000}"/>
    <cellStyle name="Normal 21 3 3 2 4" xfId="18975" xr:uid="{00000000-0005-0000-0000-00008B570000}"/>
    <cellStyle name="Normal 21 3 3 2 4 2" xfId="38895" xr:uid="{00000000-0005-0000-0000-00008C570000}"/>
    <cellStyle name="Normal 21 3 3 2 5" xfId="26590" xr:uid="{00000000-0005-0000-0000-00008D570000}"/>
    <cellStyle name="Normal 21 3 3 3" xfId="8161" xr:uid="{00000000-0005-0000-0000-00008E570000}"/>
    <cellStyle name="Normal 21 3 3 3 2" xfId="14355" xr:uid="{00000000-0005-0000-0000-00008F570000}"/>
    <cellStyle name="Normal 21 3 3 3 2 2" xfId="34275" xr:uid="{00000000-0005-0000-0000-000090570000}"/>
    <cellStyle name="Normal 21 3 3 3 3" xfId="20507" xr:uid="{00000000-0005-0000-0000-000091570000}"/>
    <cellStyle name="Normal 21 3 3 3 3 2" xfId="40427" xr:uid="{00000000-0005-0000-0000-000092570000}"/>
    <cellStyle name="Normal 21 3 3 3 4" xfId="28122" xr:uid="{00000000-0005-0000-0000-000093570000}"/>
    <cellStyle name="Normal 21 3 3 4" xfId="11289" xr:uid="{00000000-0005-0000-0000-000094570000}"/>
    <cellStyle name="Normal 21 3 3 4 2" xfId="31209" xr:uid="{00000000-0005-0000-0000-000095570000}"/>
    <cellStyle name="Normal 21 3 3 5" xfId="17441" xr:uid="{00000000-0005-0000-0000-000096570000}"/>
    <cellStyle name="Normal 21 3 3 5 2" xfId="37361" xr:uid="{00000000-0005-0000-0000-000097570000}"/>
    <cellStyle name="Normal 21 3 3 6" xfId="25056" xr:uid="{00000000-0005-0000-0000-000098570000}"/>
    <cellStyle name="Normal 21 3 4" xfId="5827" xr:uid="{00000000-0005-0000-0000-000099570000}"/>
    <cellStyle name="Normal 21 3 4 2" xfId="8927" xr:uid="{00000000-0005-0000-0000-00009A570000}"/>
    <cellStyle name="Normal 21 3 4 2 2" xfId="15120" xr:uid="{00000000-0005-0000-0000-00009B570000}"/>
    <cellStyle name="Normal 21 3 4 2 2 2" xfId="35040" xr:uid="{00000000-0005-0000-0000-00009C570000}"/>
    <cellStyle name="Normal 21 3 4 2 3" xfId="21272" xr:uid="{00000000-0005-0000-0000-00009D570000}"/>
    <cellStyle name="Normal 21 3 4 2 3 2" xfId="41192" xr:uid="{00000000-0005-0000-0000-00009E570000}"/>
    <cellStyle name="Normal 21 3 4 2 4" xfId="28887" xr:uid="{00000000-0005-0000-0000-00009F570000}"/>
    <cellStyle name="Normal 21 3 4 3" xfId="12054" xr:uid="{00000000-0005-0000-0000-0000A0570000}"/>
    <cellStyle name="Normal 21 3 4 3 2" xfId="31974" xr:uid="{00000000-0005-0000-0000-0000A1570000}"/>
    <cellStyle name="Normal 21 3 4 4" xfId="18206" xr:uid="{00000000-0005-0000-0000-0000A2570000}"/>
    <cellStyle name="Normal 21 3 4 4 2" xfId="38126" xr:uid="{00000000-0005-0000-0000-0000A3570000}"/>
    <cellStyle name="Normal 21 3 4 5" xfId="25821" xr:uid="{00000000-0005-0000-0000-0000A4570000}"/>
    <cellStyle name="Normal 21 3 5" xfId="7392" xr:uid="{00000000-0005-0000-0000-0000A5570000}"/>
    <cellStyle name="Normal 21 3 5 2" xfId="13586" xr:uid="{00000000-0005-0000-0000-0000A6570000}"/>
    <cellStyle name="Normal 21 3 5 2 2" xfId="33506" xr:uid="{00000000-0005-0000-0000-0000A7570000}"/>
    <cellStyle name="Normal 21 3 5 3" xfId="19738" xr:uid="{00000000-0005-0000-0000-0000A8570000}"/>
    <cellStyle name="Normal 21 3 5 3 2" xfId="39658" xr:uid="{00000000-0005-0000-0000-0000A9570000}"/>
    <cellStyle name="Normal 21 3 5 4" xfId="27353" xr:uid="{00000000-0005-0000-0000-0000AA570000}"/>
    <cellStyle name="Normal 21 3 6" xfId="10520" xr:uid="{00000000-0005-0000-0000-0000AB570000}"/>
    <cellStyle name="Normal 21 3 6 2" xfId="30440" xr:uid="{00000000-0005-0000-0000-0000AC570000}"/>
    <cellStyle name="Normal 21 3 7" xfId="16672" xr:uid="{00000000-0005-0000-0000-0000AD570000}"/>
    <cellStyle name="Normal 21 3 7 2" xfId="36592" xr:uid="{00000000-0005-0000-0000-0000AE570000}"/>
    <cellStyle name="Normal 21 3 8" xfId="24287" xr:uid="{00000000-0005-0000-0000-0000AF570000}"/>
    <cellStyle name="Normal 21 4" xfId="3523" xr:uid="{00000000-0005-0000-0000-0000B0570000}"/>
    <cellStyle name="Normal 21 4 2" xfId="4987" xr:uid="{00000000-0005-0000-0000-0000B1570000}"/>
    <cellStyle name="Normal 21 4 2 2" xfId="6612" xr:uid="{00000000-0005-0000-0000-0000B2570000}"/>
    <cellStyle name="Normal 21 4 2 2 2" xfId="9698" xr:uid="{00000000-0005-0000-0000-0000B3570000}"/>
    <cellStyle name="Normal 21 4 2 2 2 2" xfId="15891" xr:uid="{00000000-0005-0000-0000-0000B4570000}"/>
    <cellStyle name="Normal 21 4 2 2 2 2 2" xfId="35811" xr:uid="{00000000-0005-0000-0000-0000B5570000}"/>
    <cellStyle name="Normal 21 4 2 2 2 3" xfId="22043" xr:uid="{00000000-0005-0000-0000-0000B6570000}"/>
    <cellStyle name="Normal 21 4 2 2 2 3 2" xfId="41963" xr:uid="{00000000-0005-0000-0000-0000B7570000}"/>
    <cellStyle name="Normal 21 4 2 2 2 4" xfId="29658" xr:uid="{00000000-0005-0000-0000-0000B8570000}"/>
    <cellStyle name="Normal 21 4 2 2 3" xfId="12825" xr:uid="{00000000-0005-0000-0000-0000B9570000}"/>
    <cellStyle name="Normal 21 4 2 2 3 2" xfId="32745" xr:uid="{00000000-0005-0000-0000-0000BA570000}"/>
    <cellStyle name="Normal 21 4 2 2 4" xfId="18977" xr:uid="{00000000-0005-0000-0000-0000BB570000}"/>
    <cellStyle name="Normal 21 4 2 2 4 2" xfId="38897" xr:uid="{00000000-0005-0000-0000-0000BC570000}"/>
    <cellStyle name="Normal 21 4 2 2 5" xfId="26592" xr:uid="{00000000-0005-0000-0000-0000BD570000}"/>
    <cellStyle name="Normal 21 4 2 3" xfId="8163" xr:uid="{00000000-0005-0000-0000-0000BE570000}"/>
    <cellStyle name="Normal 21 4 2 3 2" xfId="14357" xr:uid="{00000000-0005-0000-0000-0000BF570000}"/>
    <cellStyle name="Normal 21 4 2 3 2 2" xfId="34277" xr:uid="{00000000-0005-0000-0000-0000C0570000}"/>
    <cellStyle name="Normal 21 4 2 3 3" xfId="20509" xr:uid="{00000000-0005-0000-0000-0000C1570000}"/>
    <cellStyle name="Normal 21 4 2 3 3 2" xfId="40429" xr:uid="{00000000-0005-0000-0000-0000C2570000}"/>
    <cellStyle name="Normal 21 4 2 3 4" xfId="28124" xr:uid="{00000000-0005-0000-0000-0000C3570000}"/>
    <cellStyle name="Normal 21 4 2 4" xfId="11291" xr:uid="{00000000-0005-0000-0000-0000C4570000}"/>
    <cellStyle name="Normal 21 4 2 4 2" xfId="31211" xr:uid="{00000000-0005-0000-0000-0000C5570000}"/>
    <cellStyle name="Normal 21 4 2 5" xfId="17443" xr:uid="{00000000-0005-0000-0000-0000C6570000}"/>
    <cellStyle name="Normal 21 4 2 5 2" xfId="37363" xr:uid="{00000000-0005-0000-0000-0000C7570000}"/>
    <cellStyle name="Normal 21 4 2 6" xfId="25058" xr:uid="{00000000-0005-0000-0000-0000C8570000}"/>
    <cellStyle name="Normal 21 4 3" xfId="5829" xr:uid="{00000000-0005-0000-0000-0000C9570000}"/>
    <cellStyle name="Normal 21 4 3 2" xfId="8929" xr:uid="{00000000-0005-0000-0000-0000CA570000}"/>
    <cellStyle name="Normal 21 4 3 2 2" xfId="15122" xr:uid="{00000000-0005-0000-0000-0000CB570000}"/>
    <cellStyle name="Normal 21 4 3 2 2 2" xfId="35042" xr:uid="{00000000-0005-0000-0000-0000CC570000}"/>
    <cellStyle name="Normal 21 4 3 2 3" xfId="21274" xr:uid="{00000000-0005-0000-0000-0000CD570000}"/>
    <cellStyle name="Normal 21 4 3 2 3 2" xfId="41194" xr:uid="{00000000-0005-0000-0000-0000CE570000}"/>
    <cellStyle name="Normal 21 4 3 2 4" xfId="28889" xr:uid="{00000000-0005-0000-0000-0000CF570000}"/>
    <cellStyle name="Normal 21 4 3 3" xfId="12056" xr:uid="{00000000-0005-0000-0000-0000D0570000}"/>
    <cellStyle name="Normal 21 4 3 3 2" xfId="31976" xr:uid="{00000000-0005-0000-0000-0000D1570000}"/>
    <cellStyle name="Normal 21 4 3 4" xfId="18208" xr:uid="{00000000-0005-0000-0000-0000D2570000}"/>
    <cellStyle name="Normal 21 4 3 4 2" xfId="38128" xr:uid="{00000000-0005-0000-0000-0000D3570000}"/>
    <cellStyle name="Normal 21 4 3 5" xfId="25823" xr:uid="{00000000-0005-0000-0000-0000D4570000}"/>
    <cellStyle name="Normal 21 4 4" xfId="7394" xr:uid="{00000000-0005-0000-0000-0000D5570000}"/>
    <cellStyle name="Normal 21 4 4 2" xfId="13588" xr:uid="{00000000-0005-0000-0000-0000D6570000}"/>
    <cellStyle name="Normal 21 4 4 2 2" xfId="33508" xr:uid="{00000000-0005-0000-0000-0000D7570000}"/>
    <cellStyle name="Normal 21 4 4 3" xfId="19740" xr:uid="{00000000-0005-0000-0000-0000D8570000}"/>
    <cellStyle name="Normal 21 4 4 3 2" xfId="39660" xr:uid="{00000000-0005-0000-0000-0000D9570000}"/>
    <cellStyle name="Normal 21 4 4 4" xfId="27355" xr:uid="{00000000-0005-0000-0000-0000DA570000}"/>
    <cellStyle name="Normal 21 4 5" xfId="10522" xr:uid="{00000000-0005-0000-0000-0000DB570000}"/>
    <cellStyle name="Normal 21 4 5 2" xfId="30442" xr:uid="{00000000-0005-0000-0000-0000DC570000}"/>
    <cellStyle name="Normal 21 4 6" xfId="16674" xr:uid="{00000000-0005-0000-0000-0000DD570000}"/>
    <cellStyle name="Normal 21 4 6 2" xfId="36594" xr:uid="{00000000-0005-0000-0000-0000DE570000}"/>
    <cellStyle name="Normal 21 4 7" xfId="24289" xr:uid="{00000000-0005-0000-0000-0000DF570000}"/>
    <cellStyle name="Normal 21 5" xfId="3524" xr:uid="{00000000-0005-0000-0000-0000E0570000}"/>
    <cellStyle name="Normal 21 5 2" xfId="4988" xr:uid="{00000000-0005-0000-0000-0000E1570000}"/>
    <cellStyle name="Normal 21 5 2 2" xfId="6613" xr:uid="{00000000-0005-0000-0000-0000E2570000}"/>
    <cellStyle name="Normal 21 5 2 2 2" xfId="9699" xr:uid="{00000000-0005-0000-0000-0000E3570000}"/>
    <cellStyle name="Normal 21 5 2 2 2 2" xfId="15892" xr:uid="{00000000-0005-0000-0000-0000E4570000}"/>
    <cellStyle name="Normal 21 5 2 2 2 2 2" xfId="35812" xr:uid="{00000000-0005-0000-0000-0000E5570000}"/>
    <cellStyle name="Normal 21 5 2 2 2 3" xfId="22044" xr:uid="{00000000-0005-0000-0000-0000E6570000}"/>
    <cellStyle name="Normal 21 5 2 2 2 3 2" xfId="41964" xr:uid="{00000000-0005-0000-0000-0000E7570000}"/>
    <cellStyle name="Normal 21 5 2 2 2 4" xfId="29659" xr:uid="{00000000-0005-0000-0000-0000E8570000}"/>
    <cellStyle name="Normal 21 5 2 2 3" xfId="12826" xr:uid="{00000000-0005-0000-0000-0000E9570000}"/>
    <cellStyle name="Normal 21 5 2 2 3 2" xfId="32746" xr:uid="{00000000-0005-0000-0000-0000EA570000}"/>
    <cellStyle name="Normal 21 5 2 2 4" xfId="18978" xr:uid="{00000000-0005-0000-0000-0000EB570000}"/>
    <cellStyle name="Normal 21 5 2 2 4 2" xfId="38898" xr:uid="{00000000-0005-0000-0000-0000EC570000}"/>
    <cellStyle name="Normal 21 5 2 2 5" xfId="26593" xr:uid="{00000000-0005-0000-0000-0000ED570000}"/>
    <cellStyle name="Normal 21 5 2 3" xfId="8164" xr:uid="{00000000-0005-0000-0000-0000EE570000}"/>
    <cellStyle name="Normal 21 5 2 3 2" xfId="14358" xr:uid="{00000000-0005-0000-0000-0000EF570000}"/>
    <cellStyle name="Normal 21 5 2 3 2 2" xfId="34278" xr:uid="{00000000-0005-0000-0000-0000F0570000}"/>
    <cellStyle name="Normal 21 5 2 3 3" xfId="20510" xr:uid="{00000000-0005-0000-0000-0000F1570000}"/>
    <cellStyle name="Normal 21 5 2 3 3 2" xfId="40430" xr:uid="{00000000-0005-0000-0000-0000F2570000}"/>
    <cellStyle name="Normal 21 5 2 3 4" xfId="28125" xr:uid="{00000000-0005-0000-0000-0000F3570000}"/>
    <cellStyle name="Normal 21 5 2 4" xfId="11292" xr:uid="{00000000-0005-0000-0000-0000F4570000}"/>
    <cellStyle name="Normal 21 5 2 4 2" xfId="31212" xr:uid="{00000000-0005-0000-0000-0000F5570000}"/>
    <cellStyle name="Normal 21 5 2 5" xfId="17444" xr:uid="{00000000-0005-0000-0000-0000F6570000}"/>
    <cellStyle name="Normal 21 5 2 5 2" xfId="37364" xr:uid="{00000000-0005-0000-0000-0000F7570000}"/>
    <cellStyle name="Normal 21 5 2 6" xfId="25059" xr:uid="{00000000-0005-0000-0000-0000F8570000}"/>
    <cellStyle name="Normal 21 5 3" xfId="5830" xr:uid="{00000000-0005-0000-0000-0000F9570000}"/>
    <cellStyle name="Normal 21 5 3 2" xfId="8930" xr:uid="{00000000-0005-0000-0000-0000FA570000}"/>
    <cellStyle name="Normal 21 5 3 2 2" xfId="15123" xr:uid="{00000000-0005-0000-0000-0000FB570000}"/>
    <cellStyle name="Normal 21 5 3 2 2 2" xfId="35043" xr:uid="{00000000-0005-0000-0000-0000FC570000}"/>
    <cellStyle name="Normal 21 5 3 2 3" xfId="21275" xr:uid="{00000000-0005-0000-0000-0000FD570000}"/>
    <cellStyle name="Normal 21 5 3 2 3 2" xfId="41195" xr:uid="{00000000-0005-0000-0000-0000FE570000}"/>
    <cellStyle name="Normal 21 5 3 2 4" xfId="28890" xr:uid="{00000000-0005-0000-0000-0000FF570000}"/>
    <cellStyle name="Normal 21 5 3 3" xfId="12057" xr:uid="{00000000-0005-0000-0000-000000580000}"/>
    <cellStyle name="Normal 21 5 3 3 2" xfId="31977" xr:uid="{00000000-0005-0000-0000-000001580000}"/>
    <cellStyle name="Normal 21 5 3 4" xfId="18209" xr:uid="{00000000-0005-0000-0000-000002580000}"/>
    <cellStyle name="Normal 21 5 3 4 2" xfId="38129" xr:uid="{00000000-0005-0000-0000-000003580000}"/>
    <cellStyle name="Normal 21 5 3 5" xfId="25824" xr:uid="{00000000-0005-0000-0000-000004580000}"/>
    <cellStyle name="Normal 21 5 4" xfId="7395" xr:uid="{00000000-0005-0000-0000-000005580000}"/>
    <cellStyle name="Normal 21 5 4 2" xfId="13589" xr:uid="{00000000-0005-0000-0000-000006580000}"/>
    <cellStyle name="Normal 21 5 4 2 2" xfId="33509" xr:uid="{00000000-0005-0000-0000-000007580000}"/>
    <cellStyle name="Normal 21 5 4 3" xfId="19741" xr:uid="{00000000-0005-0000-0000-000008580000}"/>
    <cellStyle name="Normal 21 5 4 3 2" xfId="39661" xr:uid="{00000000-0005-0000-0000-000009580000}"/>
    <cellStyle name="Normal 21 5 4 4" xfId="27356" xr:uid="{00000000-0005-0000-0000-00000A580000}"/>
    <cellStyle name="Normal 21 5 5" xfId="10523" xr:uid="{00000000-0005-0000-0000-00000B580000}"/>
    <cellStyle name="Normal 21 5 5 2" xfId="30443" xr:uid="{00000000-0005-0000-0000-00000C580000}"/>
    <cellStyle name="Normal 21 5 6" xfId="16675" xr:uid="{00000000-0005-0000-0000-00000D580000}"/>
    <cellStyle name="Normal 21 5 6 2" xfId="36595" xr:uid="{00000000-0005-0000-0000-00000E580000}"/>
    <cellStyle name="Normal 21 5 7" xfId="24290" xr:uid="{00000000-0005-0000-0000-00000F580000}"/>
    <cellStyle name="Normal 21 6" xfId="3525" xr:uid="{00000000-0005-0000-0000-000010580000}"/>
    <cellStyle name="Normal 21 6 2" xfId="4989" xr:uid="{00000000-0005-0000-0000-000011580000}"/>
    <cellStyle name="Normal 21 6 2 2" xfId="6614" xr:uid="{00000000-0005-0000-0000-000012580000}"/>
    <cellStyle name="Normal 21 6 2 2 2" xfId="9700" xr:uid="{00000000-0005-0000-0000-000013580000}"/>
    <cellStyle name="Normal 21 6 2 2 2 2" xfId="15893" xr:uid="{00000000-0005-0000-0000-000014580000}"/>
    <cellStyle name="Normal 21 6 2 2 2 2 2" xfId="35813" xr:uid="{00000000-0005-0000-0000-000015580000}"/>
    <cellStyle name="Normal 21 6 2 2 2 3" xfId="22045" xr:uid="{00000000-0005-0000-0000-000016580000}"/>
    <cellStyle name="Normal 21 6 2 2 2 3 2" xfId="41965" xr:uid="{00000000-0005-0000-0000-000017580000}"/>
    <cellStyle name="Normal 21 6 2 2 2 4" xfId="29660" xr:uid="{00000000-0005-0000-0000-000018580000}"/>
    <cellStyle name="Normal 21 6 2 2 3" xfId="12827" xr:uid="{00000000-0005-0000-0000-000019580000}"/>
    <cellStyle name="Normal 21 6 2 2 3 2" xfId="32747" xr:uid="{00000000-0005-0000-0000-00001A580000}"/>
    <cellStyle name="Normal 21 6 2 2 4" xfId="18979" xr:uid="{00000000-0005-0000-0000-00001B580000}"/>
    <cellStyle name="Normal 21 6 2 2 4 2" xfId="38899" xr:uid="{00000000-0005-0000-0000-00001C580000}"/>
    <cellStyle name="Normal 21 6 2 2 5" xfId="26594" xr:uid="{00000000-0005-0000-0000-00001D580000}"/>
    <cellStyle name="Normal 21 6 2 3" xfId="8165" xr:uid="{00000000-0005-0000-0000-00001E580000}"/>
    <cellStyle name="Normal 21 6 2 3 2" xfId="14359" xr:uid="{00000000-0005-0000-0000-00001F580000}"/>
    <cellStyle name="Normal 21 6 2 3 2 2" xfId="34279" xr:uid="{00000000-0005-0000-0000-000020580000}"/>
    <cellStyle name="Normal 21 6 2 3 3" xfId="20511" xr:uid="{00000000-0005-0000-0000-000021580000}"/>
    <cellStyle name="Normal 21 6 2 3 3 2" xfId="40431" xr:uid="{00000000-0005-0000-0000-000022580000}"/>
    <cellStyle name="Normal 21 6 2 3 4" xfId="28126" xr:uid="{00000000-0005-0000-0000-000023580000}"/>
    <cellStyle name="Normal 21 6 2 4" xfId="11293" xr:uid="{00000000-0005-0000-0000-000024580000}"/>
    <cellStyle name="Normal 21 6 2 4 2" xfId="31213" xr:uid="{00000000-0005-0000-0000-000025580000}"/>
    <cellStyle name="Normal 21 6 2 5" xfId="17445" xr:uid="{00000000-0005-0000-0000-000026580000}"/>
    <cellStyle name="Normal 21 6 2 5 2" xfId="37365" xr:uid="{00000000-0005-0000-0000-000027580000}"/>
    <cellStyle name="Normal 21 6 2 6" xfId="25060" xr:uid="{00000000-0005-0000-0000-000028580000}"/>
    <cellStyle name="Normal 21 6 3" xfId="5831" xr:uid="{00000000-0005-0000-0000-000029580000}"/>
    <cellStyle name="Normal 21 6 3 2" xfId="8931" xr:uid="{00000000-0005-0000-0000-00002A580000}"/>
    <cellStyle name="Normal 21 6 3 2 2" xfId="15124" xr:uid="{00000000-0005-0000-0000-00002B580000}"/>
    <cellStyle name="Normal 21 6 3 2 2 2" xfId="35044" xr:uid="{00000000-0005-0000-0000-00002C580000}"/>
    <cellStyle name="Normal 21 6 3 2 3" xfId="21276" xr:uid="{00000000-0005-0000-0000-00002D580000}"/>
    <cellStyle name="Normal 21 6 3 2 3 2" xfId="41196" xr:uid="{00000000-0005-0000-0000-00002E580000}"/>
    <cellStyle name="Normal 21 6 3 2 4" xfId="28891" xr:uid="{00000000-0005-0000-0000-00002F580000}"/>
    <cellStyle name="Normal 21 6 3 3" xfId="12058" xr:uid="{00000000-0005-0000-0000-000030580000}"/>
    <cellStyle name="Normal 21 6 3 3 2" xfId="31978" xr:uid="{00000000-0005-0000-0000-000031580000}"/>
    <cellStyle name="Normal 21 6 3 4" xfId="18210" xr:uid="{00000000-0005-0000-0000-000032580000}"/>
    <cellStyle name="Normal 21 6 3 4 2" xfId="38130" xr:uid="{00000000-0005-0000-0000-000033580000}"/>
    <cellStyle name="Normal 21 6 3 5" xfId="25825" xr:uid="{00000000-0005-0000-0000-000034580000}"/>
    <cellStyle name="Normal 21 6 4" xfId="7396" xr:uid="{00000000-0005-0000-0000-000035580000}"/>
    <cellStyle name="Normal 21 6 4 2" xfId="13590" xr:uid="{00000000-0005-0000-0000-000036580000}"/>
    <cellStyle name="Normal 21 6 4 2 2" xfId="33510" xr:uid="{00000000-0005-0000-0000-000037580000}"/>
    <cellStyle name="Normal 21 6 4 3" xfId="19742" xr:uid="{00000000-0005-0000-0000-000038580000}"/>
    <cellStyle name="Normal 21 6 4 3 2" xfId="39662" xr:uid="{00000000-0005-0000-0000-000039580000}"/>
    <cellStyle name="Normal 21 6 4 4" xfId="27357" xr:uid="{00000000-0005-0000-0000-00003A580000}"/>
    <cellStyle name="Normal 21 6 5" xfId="10524" xr:uid="{00000000-0005-0000-0000-00003B580000}"/>
    <cellStyle name="Normal 21 6 5 2" xfId="30444" xr:uid="{00000000-0005-0000-0000-00003C580000}"/>
    <cellStyle name="Normal 21 6 6" xfId="16676" xr:uid="{00000000-0005-0000-0000-00003D580000}"/>
    <cellStyle name="Normal 21 6 6 2" xfId="36596" xr:uid="{00000000-0005-0000-0000-00003E580000}"/>
    <cellStyle name="Normal 21 6 7" xfId="24291" xr:uid="{00000000-0005-0000-0000-00003F580000}"/>
    <cellStyle name="Normal 21 7" xfId="3526" xr:uid="{00000000-0005-0000-0000-000040580000}"/>
    <cellStyle name="Normal 21 8" xfId="3527" xr:uid="{00000000-0005-0000-0000-000041580000}"/>
    <cellStyle name="Normal 21 8 2" xfId="4990" xr:uid="{00000000-0005-0000-0000-000042580000}"/>
    <cellStyle name="Normal 21 8 2 2" xfId="6615" xr:uid="{00000000-0005-0000-0000-000043580000}"/>
    <cellStyle name="Normal 21 8 2 2 2" xfId="9701" xr:uid="{00000000-0005-0000-0000-000044580000}"/>
    <cellStyle name="Normal 21 8 2 2 2 2" xfId="15894" xr:uid="{00000000-0005-0000-0000-000045580000}"/>
    <cellStyle name="Normal 21 8 2 2 2 2 2" xfId="35814" xr:uid="{00000000-0005-0000-0000-000046580000}"/>
    <cellStyle name="Normal 21 8 2 2 2 3" xfId="22046" xr:uid="{00000000-0005-0000-0000-000047580000}"/>
    <cellStyle name="Normal 21 8 2 2 2 3 2" xfId="41966" xr:uid="{00000000-0005-0000-0000-000048580000}"/>
    <cellStyle name="Normal 21 8 2 2 2 4" xfId="29661" xr:uid="{00000000-0005-0000-0000-000049580000}"/>
    <cellStyle name="Normal 21 8 2 2 3" xfId="12828" xr:uid="{00000000-0005-0000-0000-00004A580000}"/>
    <cellStyle name="Normal 21 8 2 2 3 2" xfId="32748" xr:uid="{00000000-0005-0000-0000-00004B580000}"/>
    <cellStyle name="Normal 21 8 2 2 4" xfId="18980" xr:uid="{00000000-0005-0000-0000-00004C580000}"/>
    <cellStyle name="Normal 21 8 2 2 4 2" xfId="38900" xr:uid="{00000000-0005-0000-0000-00004D580000}"/>
    <cellStyle name="Normal 21 8 2 2 5" xfId="26595" xr:uid="{00000000-0005-0000-0000-00004E580000}"/>
    <cellStyle name="Normal 21 8 2 3" xfId="8166" xr:uid="{00000000-0005-0000-0000-00004F580000}"/>
    <cellStyle name="Normal 21 8 2 3 2" xfId="14360" xr:uid="{00000000-0005-0000-0000-000050580000}"/>
    <cellStyle name="Normal 21 8 2 3 2 2" xfId="34280" xr:uid="{00000000-0005-0000-0000-000051580000}"/>
    <cellStyle name="Normal 21 8 2 3 3" xfId="20512" xr:uid="{00000000-0005-0000-0000-000052580000}"/>
    <cellStyle name="Normal 21 8 2 3 3 2" xfId="40432" xr:uid="{00000000-0005-0000-0000-000053580000}"/>
    <cellStyle name="Normal 21 8 2 3 4" xfId="28127" xr:uid="{00000000-0005-0000-0000-000054580000}"/>
    <cellStyle name="Normal 21 8 2 4" xfId="11294" xr:uid="{00000000-0005-0000-0000-000055580000}"/>
    <cellStyle name="Normal 21 8 2 4 2" xfId="31214" xr:uid="{00000000-0005-0000-0000-000056580000}"/>
    <cellStyle name="Normal 21 8 2 5" xfId="17446" xr:uid="{00000000-0005-0000-0000-000057580000}"/>
    <cellStyle name="Normal 21 8 2 5 2" xfId="37366" xr:uid="{00000000-0005-0000-0000-000058580000}"/>
    <cellStyle name="Normal 21 8 2 6" xfId="25061" xr:uid="{00000000-0005-0000-0000-000059580000}"/>
    <cellStyle name="Normal 21 8 3" xfId="5832" xr:uid="{00000000-0005-0000-0000-00005A580000}"/>
    <cellStyle name="Normal 21 8 3 2" xfId="8932" xr:uid="{00000000-0005-0000-0000-00005B580000}"/>
    <cellStyle name="Normal 21 8 3 2 2" xfId="15125" xr:uid="{00000000-0005-0000-0000-00005C580000}"/>
    <cellStyle name="Normal 21 8 3 2 2 2" xfId="35045" xr:uid="{00000000-0005-0000-0000-00005D580000}"/>
    <cellStyle name="Normal 21 8 3 2 3" xfId="21277" xr:uid="{00000000-0005-0000-0000-00005E580000}"/>
    <cellStyle name="Normal 21 8 3 2 3 2" xfId="41197" xr:uid="{00000000-0005-0000-0000-00005F580000}"/>
    <cellStyle name="Normal 21 8 3 2 4" xfId="28892" xr:uid="{00000000-0005-0000-0000-000060580000}"/>
    <cellStyle name="Normal 21 8 3 3" xfId="12059" xr:uid="{00000000-0005-0000-0000-000061580000}"/>
    <cellStyle name="Normal 21 8 3 3 2" xfId="31979" xr:uid="{00000000-0005-0000-0000-000062580000}"/>
    <cellStyle name="Normal 21 8 3 4" xfId="18211" xr:uid="{00000000-0005-0000-0000-000063580000}"/>
    <cellStyle name="Normal 21 8 3 4 2" xfId="38131" xr:uid="{00000000-0005-0000-0000-000064580000}"/>
    <cellStyle name="Normal 21 8 3 5" xfId="25826" xr:uid="{00000000-0005-0000-0000-000065580000}"/>
    <cellStyle name="Normal 21 8 4" xfId="7397" xr:uid="{00000000-0005-0000-0000-000066580000}"/>
    <cellStyle name="Normal 21 8 4 2" xfId="13591" xr:uid="{00000000-0005-0000-0000-000067580000}"/>
    <cellStyle name="Normal 21 8 4 2 2" xfId="33511" xr:uid="{00000000-0005-0000-0000-000068580000}"/>
    <cellStyle name="Normal 21 8 4 3" xfId="19743" xr:uid="{00000000-0005-0000-0000-000069580000}"/>
    <cellStyle name="Normal 21 8 4 3 2" xfId="39663" xr:uid="{00000000-0005-0000-0000-00006A580000}"/>
    <cellStyle name="Normal 21 8 4 4" xfId="27358" xr:uid="{00000000-0005-0000-0000-00006B580000}"/>
    <cellStyle name="Normal 21 8 5" xfId="10525" xr:uid="{00000000-0005-0000-0000-00006C580000}"/>
    <cellStyle name="Normal 21 8 5 2" xfId="30445" xr:uid="{00000000-0005-0000-0000-00006D580000}"/>
    <cellStyle name="Normal 21 8 6" xfId="16677" xr:uid="{00000000-0005-0000-0000-00006E580000}"/>
    <cellStyle name="Normal 21 8 6 2" xfId="36597" xr:uid="{00000000-0005-0000-0000-00006F580000}"/>
    <cellStyle name="Normal 21 8 7" xfId="24292" xr:uid="{00000000-0005-0000-0000-000070580000}"/>
    <cellStyle name="Normal 21 9" xfId="4978" xr:uid="{00000000-0005-0000-0000-000071580000}"/>
    <cellStyle name="Normal 21 9 2" xfId="6603" xr:uid="{00000000-0005-0000-0000-000072580000}"/>
    <cellStyle name="Normal 21 9 2 2" xfId="9689" xr:uid="{00000000-0005-0000-0000-000073580000}"/>
    <cellStyle name="Normal 21 9 2 2 2" xfId="15882" xr:uid="{00000000-0005-0000-0000-000074580000}"/>
    <cellStyle name="Normal 21 9 2 2 2 2" xfId="35802" xr:uid="{00000000-0005-0000-0000-000075580000}"/>
    <cellStyle name="Normal 21 9 2 2 3" xfId="22034" xr:uid="{00000000-0005-0000-0000-000076580000}"/>
    <cellStyle name="Normal 21 9 2 2 3 2" xfId="41954" xr:uid="{00000000-0005-0000-0000-000077580000}"/>
    <cellStyle name="Normal 21 9 2 2 4" xfId="29649" xr:uid="{00000000-0005-0000-0000-000078580000}"/>
    <cellStyle name="Normal 21 9 2 3" xfId="12816" xr:uid="{00000000-0005-0000-0000-000079580000}"/>
    <cellStyle name="Normal 21 9 2 3 2" xfId="32736" xr:uid="{00000000-0005-0000-0000-00007A580000}"/>
    <cellStyle name="Normal 21 9 2 4" xfId="18968" xr:uid="{00000000-0005-0000-0000-00007B580000}"/>
    <cellStyle name="Normal 21 9 2 4 2" xfId="38888" xr:uid="{00000000-0005-0000-0000-00007C580000}"/>
    <cellStyle name="Normal 21 9 2 5" xfId="26583" xr:uid="{00000000-0005-0000-0000-00007D580000}"/>
    <cellStyle name="Normal 21 9 3" xfId="8154" xr:uid="{00000000-0005-0000-0000-00007E580000}"/>
    <cellStyle name="Normal 21 9 3 2" xfId="14348" xr:uid="{00000000-0005-0000-0000-00007F580000}"/>
    <cellStyle name="Normal 21 9 3 2 2" xfId="34268" xr:uid="{00000000-0005-0000-0000-000080580000}"/>
    <cellStyle name="Normal 21 9 3 3" xfId="20500" xr:uid="{00000000-0005-0000-0000-000081580000}"/>
    <cellStyle name="Normal 21 9 3 3 2" xfId="40420" xr:uid="{00000000-0005-0000-0000-000082580000}"/>
    <cellStyle name="Normal 21 9 3 4" xfId="28115" xr:uid="{00000000-0005-0000-0000-000083580000}"/>
    <cellStyle name="Normal 21 9 4" xfId="11282" xr:uid="{00000000-0005-0000-0000-000084580000}"/>
    <cellStyle name="Normal 21 9 4 2" xfId="31202" xr:uid="{00000000-0005-0000-0000-000085580000}"/>
    <cellStyle name="Normal 21 9 5" xfId="17434" xr:uid="{00000000-0005-0000-0000-000086580000}"/>
    <cellStyle name="Normal 21 9 5 2" xfId="37354" xr:uid="{00000000-0005-0000-0000-000087580000}"/>
    <cellStyle name="Normal 21 9 6" xfId="25049" xr:uid="{00000000-0005-0000-0000-000088580000}"/>
    <cellStyle name="Normal 22" xfId="309" xr:uid="{00000000-0005-0000-0000-000089580000}"/>
    <cellStyle name="Normal 22 10" xfId="7398" xr:uid="{00000000-0005-0000-0000-00008A580000}"/>
    <cellStyle name="Normal 22 10 2" xfId="13592" xr:uid="{00000000-0005-0000-0000-00008B580000}"/>
    <cellStyle name="Normal 22 10 2 2" xfId="33512" xr:uid="{00000000-0005-0000-0000-00008C580000}"/>
    <cellStyle name="Normal 22 10 3" xfId="19744" xr:uid="{00000000-0005-0000-0000-00008D580000}"/>
    <cellStyle name="Normal 22 10 3 2" xfId="39664" xr:uid="{00000000-0005-0000-0000-00008E580000}"/>
    <cellStyle name="Normal 22 10 4" xfId="27359" xr:uid="{00000000-0005-0000-0000-00008F580000}"/>
    <cellStyle name="Normal 22 11" xfId="10526" xr:uid="{00000000-0005-0000-0000-000090580000}"/>
    <cellStyle name="Normal 22 11 2" xfId="30446" xr:uid="{00000000-0005-0000-0000-000091580000}"/>
    <cellStyle name="Normal 22 12" xfId="16678" xr:uid="{00000000-0005-0000-0000-000092580000}"/>
    <cellStyle name="Normal 22 12 2" xfId="36598" xr:uid="{00000000-0005-0000-0000-000093580000}"/>
    <cellStyle name="Normal 22 13" xfId="3528" xr:uid="{00000000-0005-0000-0000-000094580000}"/>
    <cellStyle name="Normal 22 13 2" xfId="24293" xr:uid="{00000000-0005-0000-0000-000095580000}"/>
    <cellStyle name="Normal 22 2" xfId="3529" xr:uid="{00000000-0005-0000-0000-000096580000}"/>
    <cellStyle name="Normal 22 2 10" xfId="10527" xr:uid="{00000000-0005-0000-0000-000097580000}"/>
    <cellStyle name="Normal 22 2 10 2" xfId="30447" xr:uid="{00000000-0005-0000-0000-000098580000}"/>
    <cellStyle name="Normal 22 2 11" xfId="16679" xr:uid="{00000000-0005-0000-0000-000099580000}"/>
    <cellStyle name="Normal 22 2 11 2" xfId="36599" xr:uid="{00000000-0005-0000-0000-00009A580000}"/>
    <cellStyle name="Normal 22 2 12" xfId="24294" xr:uid="{00000000-0005-0000-0000-00009B580000}"/>
    <cellStyle name="Normal 22 2 2" xfId="3530" xr:uid="{00000000-0005-0000-0000-00009C580000}"/>
    <cellStyle name="Normal 22 2 2 2" xfId="4993" xr:uid="{00000000-0005-0000-0000-00009D580000}"/>
    <cellStyle name="Normal 22 2 2 2 2" xfId="6618" xr:uid="{00000000-0005-0000-0000-00009E580000}"/>
    <cellStyle name="Normal 22 2 2 2 2 2" xfId="9704" xr:uid="{00000000-0005-0000-0000-00009F580000}"/>
    <cellStyle name="Normal 22 2 2 2 2 2 2" xfId="15897" xr:uid="{00000000-0005-0000-0000-0000A0580000}"/>
    <cellStyle name="Normal 22 2 2 2 2 2 2 2" xfId="35817" xr:uid="{00000000-0005-0000-0000-0000A1580000}"/>
    <cellStyle name="Normal 22 2 2 2 2 2 3" xfId="22049" xr:uid="{00000000-0005-0000-0000-0000A2580000}"/>
    <cellStyle name="Normal 22 2 2 2 2 2 3 2" xfId="41969" xr:uid="{00000000-0005-0000-0000-0000A3580000}"/>
    <cellStyle name="Normal 22 2 2 2 2 2 4" xfId="29664" xr:uid="{00000000-0005-0000-0000-0000A4580000}"/>
    <cellStyle name="Normal 22 2 2 2 2 3" xfId="12831" xr:uid="{00000000-0005-0000-0000-0000A5580000}"/>
    <cellStyle name="Normal 22 2 2 2 2 3 2" xfId="32751" xr:uid="{00000000-0005-0000-0000-0000A6580000}"/>
    <cellStyle name="Normal 22 2 2 2 2 4" xfId="18983" xr:uid="{00000000-0005-0000-0000-0000A7580000}"/>
    <cellStyle name="Normal 22 2 2 2 2 4 2" xfId="38903" xr:uid="{00000000-0005-0000-0000-0000A8580000}"/>
    <cellStyle name="Normal 22 2 2 2 2 5" xfId="26598" xr:uid="{00000000-0005-0000-0000-0000A9580000}"/>
    <cellStyle name="Normal 22 2 2 2 3" xfId="8169" xr:uid="{00000000-0005-0000-0000-0000AA580000}"/>
    <cellStyle name="Normal 22 2 2 2 3 2" xfId="14363" xr:uid="{00000000-0005-0000-0000-0000AB580000}"/>
    <cellStyle name="Normal 22 2 2 2 3 2 2" xfId="34283" xr:uid="{00000000-0005-0000-0000-0000AC580000}"/>
    <cellStyle name="Normal 22 2 2 2 3 3" xfId="20515" xr:uid="{00000000-0005-0000-0000-0000AD580000}"/>
    <cellStyle name="Normal 22 2 2 2 3 3 2" xfId="40435" xr:uid="{00000000-0005-0000-0000-0000AE580000}"/>
    <cellStyle name="Normal 22 2 2 2 3 4" xfId="28130" xr:uid="{00000000-0005-0000-0000-0000AF580000}"/>
    <cellStyle name="Normal 22 2 2 2 4" xfId="11297" xr:uid="{00000000-0005-0000-0000-0000B0580000}"/>
    <cellStyle name="Normal 22 2 2 2 4 2" xfId="31217" xr:uid="{00000000-0005-0000-0000-0000B1580000}"/>
    <cellStyle name="Normal 22 2 2 2 5" xfId="17449" xr:uid="{00000000-0005-0000-0000-0000B2580000}"/>
    <cellStyle name="Normal 22 2 2 2 5 2" xfId="37369" xr:uid="{00000000-0005-0000-0000-0000B3580000}"/>
    <cellStyle name="Normal 22 2 2 2 6" xfId="25064" xr:uid="{00000000-0005-0000-0000-0000B4580000}"/>
    <cellStyle name="Normal 22 2 2 3" xfId="5835" xr:uid="{00000000-0005-0000-0000-0000B5580000}"/>
    <cellStyle name="Normal 22 2 2 3 2" xfId="8935" xr:uid="{00000000-0005-0000-0000-0000B6580000}"/>
    <cellStyle name="Normal 22 2 2 3 2 2" xfId="15128" xr:uid="{00000000-0005-0000-0000-0000B7580000}"/>
    <cellStyle name="Normal 22 2 2 3 2 2 2" xfId="35048" xr:uid="{00000000-0005-0000-0000-0000B8580000}"/>
    <cellStyle name="Normal 22 2 2 3 2 3" xfId="21280" xr:uid="{00000000-0005-0000-0000-0000B9580000}"/>
    <cellStyle name="Normal 22 2 2 3 2 3 2" xfId="41200" xr:uid="{00000000-0005-0000-0000-0000BA580000}"/>
    <cellStyle name="Normal 22 2 2 3 2 4" xfId="28895" xr:uid="{00000000-0005-0000-0000-0000BB580000}"/>
    <cellStyle name="Normal 22 2 2 3 3" xfId="12062" xr:uid="{00000000-0005-0000-0000-0000BC580000}"/>
    <cellStyle name="Normal 22 2 2 3 3 2" xfId="31982" xr:uid="{00000000-0005-0000-0000-0000BD580000}"/>
    <cellStyle name="Normal 22 2 2 3 4" xfId="18214" xr:uid="{00000000-0005-0000-0000-0000BE580000}"/>
    <cellStyle name="Normal 22 2 2 3 4 2" xfId="38134" xr:uid="{00000000-0005-0000-0000-0000BF580000}"/>
    <cellStyle name="Normal 22 2 2 3 5" xfId="25829" xr:uid="{00000000-0005-0000-0000-0000C0580000}"/>
    <cellStyle name="Normal 22 2 2 4" xfId="7400" xr:uid="{00000000-0005-0000-0000-0000C1580000}"/>
    <cellStyle name="Normal 22 2 2 4 2" xfId="13594" xr:uid="{00000000-0005-0000-0000-0000C2580000}"/>
    <cellStyle name="Normal 22 2 2 4 2 2" xfId="33514" xr:uid="{00000000-0005-0000-0000-0000C3580000}"/>
    <cellStyle name="Normal 22 2 2 4 3" xfId="19746" xr:uid="{00000000-0005-0000-0000-0000C4580000}"/>
    <cellStyle name="Normal 22 2 2 4 3 2" xfId="39666" xr:uid="{00000000-0005-0000-0000-0000C5580000}"/>
    <cellStyle name="Normal 22 2 2 4 4" xfId="27361" xr:uid="{00000000-0005-0000-0000-0000C6580000}"/>
    <cellStyle name="Normal 22 2 2 5" xfId="10528" xr:uid="{00000000-0005-0000-0000-0000C7580000}"/>
    <cellStyle name="Normal 22 2 2 5 2" xfId="30448" xr:uid="{00000000-0005-0000-0000-0000C8580000}"/>
    <cellStyle name="Normal 22 2 2 6" xfId="16680" xr:uid="{00000000-0005-0000-0000-0000C9580000}"/>
    <cellStyle name="Normal 22 2 2 6 2" xfId="36600" xr:uid="{00000000-0005-0000-0000-0000CA580000}"/>
    <cellStyle name="Normal 22 2 2 7" xfId="24295" xr:uid="{00000000-0005-0000-0000-0000CB580000}"/>
    <cellStyle name="Normal 22 2 3" xfId="3531" xr:uid="{00000000-0005-0000-0000-0000CC580000}"/>
    <cellStyle name="Normal 22 2 3 2" xfId="4994" xr:uid="{00000000-0005-0000-0000-0000CD580000}"/>
    <cellStyle name="Normal 22 2 3 2 2" xfId="6619" xr:uid="{00000000-0005-0000-0000-0000CE580000}"/>
    <cellStyle name="Normal 22 2 3 2 2 2" xfId="9705" xr:uid="{00000000-0005-0000-0000-0000CF580000}"/>
    <cellStyle name="Normal 22 2 3 2 2 2 2" xfId="15898" xr:uid="{00000000-0005-0000-0000-0000D0580000}"/>
    <cellStyle name="Normal 22 2 3 2 2 2 2 2" xfId="35818" xr:uid="{00000000-0005-0000-0000-0000D1580000}"/>
    <cellStyle name="Normal 22 2 3 2 2 2 3" xfId="22050" xr:uid="{00000000-0005-0000-0000-0000D2580000}"/>
    <cellStyle name="Normal 22 2 3 2 2 2 3 2" xfId="41970" xr:uid="{00000000-0005-0000-0000-0000D3580000}"/>
    <cellStyle name="Normal 22 2 3 2 2 2 4" xfId="29665" xr:uid="{00000000-0005-0000-0000-0000D4580000}"/>
    <cellStyle name="Normal 22 2 3 2 2 3" xfId="12832" xr:uid="{00000000-0005-0000-0000-0000D5580000}"/>
    <cellStyle name="Normal 22 2 3 2 2 3 2" xfId="32752" xr:uid="{00000000-0005-0000-0000-0000D6580000}"/>
    <cellStyle name="Normal 22 2 3 2 2 4" xfId="18984" xr:uid="{00000000-0005-0000-0000-0000D7580000}"/>
    <cellStyle name="Normal 22 2 3 2 2 4 2" xfId="38904" xr:uid="{00000000-0005-0000-0000-0000D8580000}"/>
    <cellStyle name="Normal 22 2 3 2 2 5" xfId="26599" xr:uid="{00000000-0005-0000-0000-0000D9580000}"/>
    <cellStyle name="Normal 22 2 3 2 3" xfId="8170" xr:uid="{00000000-0005-0000-0000-0000DA580000}"/>
    <cellStyle name="Normal 22 2 3 2 3 2" xfId="14364" xr:uid="{00000000-0005-0000-0000-0000DB580000}"/>
    <cellStyle name="Normal 22 2 3 2 3 2 2" xfId="34284" xr:uid="{00000000-0005-0000-0000-0000DC580000}"/>
    <cellStyle name="Normal 22 2 3 2 3 3" xfId="20516" xr:uid="{00000000-0005-0000-0000-0000DD580000}"/>
    <cellStyle name="Normal 22 2 3 2 3 3 2" xfId="40436" xr:uid="{00000000-0005-0000-0000-0000DE580000}"/>
    <cellStyle name="Normal 22 2 3 2 3 4" xfId="28131" xr:uid="{00000000-0005-0000-0000-0000DF580000}"/>
    <cellStyle name="Normal 22 2 3 2 4" xfId="11298" xr:uid="{00000000-0005-0000-0000-0000E0580000}"/>
    <cellStyle name="Normal 22 2 3 2 4 2" xfId="31218" xr:uid="{00000000-0005-0000-0000-0000E1580000}"/>
    <cellStyle name="Normal 22 2 3 2 5" xfId="17450" xr:uid="{00000000-0005-0000-0000-0000E2580000}"/>
    <cellStyle name="Normal 22 2 3 2 5 2" xfId="37370" xr:uid="{00000000-0005-0000-0000-0000E3580000}"/>
    <cellStyle name="Normal 22 2 3 2 6" xfId="25065" xr:uid="{00000000-0005-0000-0000-0000E4580000}"/>
    <cellStyle name="Normal 22 2 3 3" xfId="5836" xr:uid="{00000000-0005-0000-0000-0000E5580000}"/>
    <cellStyle name="Normal 22 2 3 3 2" xfId="8936" xr:uid="{00000000-0005-0000-0000-0000E6580000}"/>
    <cellStyle name="Normal 22 2 3 3 2 2" xfId="15129" xr:uid="{00000000-0005-0000-0000-0000E7580000}"/>
    <cellStyle name="Normal 22 2 3 3 2 2 2" xfId="35049" xr:uid="{00000000-0005-0000-0000-0000E8580000}"/>
    <cellStyle name="Normal 22 2 3 3 2 3" xfId="21281" xr:uid="{00000000-0005-0000-0000-0000E9580000}"/>
    <cellStyle name="Normal 22 2 3 3 2 3 2" xfId="41201" xr:uid="{00000000-0005-0000-0000-0000EA580000}"/>
    <cellStyle name="Normal 22 2 3 3 2 4" xfId="28896" xr:uid="{00000000-0005-0000-0000-0000EB580000}"/>
    <cellStyle name="Normal 22 2 3 3 3" xfId="12063" xr:uid="{00000000-0005-0000-0000-0000EC580000}"/>
    <cellStyle name="Normal 22 2 3 3 3 2" xfId="31983" xr:uid="{00000000-0005-0000-0000-0000ED580000}"/>
    <cellStyle name="Normal 22 2 3 3 4" xfId="18215" xr:uid="{00000000-0005-0000-0000-0000EE580000}"/>
    <cellStyle name="Normal 22 2 3 3 4 2" xfId="38135" xr:uid="{00000000-0005-0000-0000-0000EF580000}"/>
    <cellStyle name="Normal 22 2 3 3 5" xfId="25830" xr:uid="{00000000-0005-0000-0000-0000F0580000}"/>
    <cellStyle name="Normal 22 2 3 4" xfId="7401" xr:uid="{00000000-0005-0000-0000-0000F1580000}"/>
    <cellStyle name="Normal 22 2 3 4 2" xfId="13595" xr:uid="{00000000-0005-0000-0000-0000F2580000}"/>
    <cellStyle name="Normal 22 2 3 4 2 2" xfId="33515" xr:uid="{00000000-0005-0000-0000-0000F3580000}"/>
    <cellStyle name="Normal 22 2 3 4 3" xfId="19747" xr:uid="{00000000-0005-0000-0000-0000F4580000}"/>
    <cellStyle name="Normal 22 2 3 4 3 2" xfId="39667" xr:uid="{00000000-0005-0000-0000-0000F5580000}"/>
    <cellStyle name="Normal 22 2 3 4 4" xfId="27362" xr:uid="{00000000-0005-0000-0000-0000F6580000}"/>
    <cellStyle name="Normal 22 2 3 5" xfId="10529" xr:uid="{00000000-0005-0000-0000-0000F7580000}"/>
    <cellStyle name="Normal 22 2 3 5 2" xfId="30449" xr:uid="{00000000-0005-0000-0000-0000F8580000}"/>
    <cellStyle name="Normal 22 2 3 6" xfId="16681" xr:uid="{00000000-0005-0000-0000-0000F9580000}"/>
    <cellStyle name="Normal 22 2 3 6 2" xfId="36601" xr:uid="{00000000-0005-0000-0000-0000FA580000}"/>
    <cellStyle name="Normal 22 2 3 7" xfId="24296" xr:uid="{00000000-0005-0000-0000-0000FB580000}"/>
    <cellStyle name="Normal 22 2 4" xfId="3532" xr:uid="{00000000-0005-0000-0000-0000FC580000}"/>
    <cellStyle name="Normal 22 2 4 2" xfId="4995" xr:uid="{00000000-0005-0000-0000-0000FD580000}"/>
    <cellStyle name="Normal 22 2 4 2 2" xfId="6620" xr:uid="{00000000-0005-0000-0000-0000FE580000}"/>
    <cellStyle name="Normal 22 2 4 2 2 2" xfId="9706" xr:uid="{00000000-0005-0000-0000-0000FF580000}"/>
    <cellStyle name="Normal 22 2 4 2 2 2 2" xfId="15899" xr:uid="{00000000-0005-0000-0000-000000590000}"/>
    <cellStyle name="Normal 22 2 4 2 2 2 2 2" xfId="35819" xr:uid="{00000000-0005-0000-0000-000001590000}"/>
    <cellStyle name="Normal 22 2 4 2 2 2 3" xfId="22051" xr:uid="{00000000-0005-0000-0000-000002590000}"/>
    <cellStyle name="Normal 22 2 4 2 2 2 3 2" xfId="41971" xr:uid="{00000000-0005-0000-0000-000003590000}"/>
    <cellStyle name="Normal 22 2 4 2 2 2 4" xfId="29666" xr:uid="{00000000-0005-0000-0000-000004590000}"/>
    <cellStyle name="Normal 22 2 4 2 2 3" xfId="12833" xr:uid="{00000000-0005-0000-0000-000005590000}"/>
    <cellStyle name="Normal 22 2 4 2 2 3 2" xfId="32753" xr:uid="{00000000-0005-0000-0000-000006590000}"/>
    <cellStyle name="Normal 22 2 4 2 2 4" xfId="18985" xr:uid="{00000000-0005-0000-0000-000007590000}"/>
    <cellStyle name="Normal 22 2 4 2 2 4 2" xfId="38905" xr:uid="{00000000-0005-0000-0000-000008590000}"/>
    <cellStyle name="Normal 22 2 4 2 2 5" xfId="26600" xr:uid="{00000000-0005-0000-0000-000009590000}"/>
    <cellStyle name="Normal 22 2 4 2 3" xfId="8171" xr:uid="{00000000-0005-0000-0000-00000A590000}"/>
    <cellStyle name="Normal 22 2 4 2 3 2" xfId="14365" xr:uid="{00000000-0005-0000-0000-00000B590000}"/>
    <cellStyle name="Normal 22 2 4 2 3 2 2" xfId="34285" xr:uid="{00000000-0005-0000-0000-00000C590000}"/>
    <cellStyle name="Normal 22 2 4 2 3 3" xfId="20517" xr:uid="{00000000-0005-0000-0000-00000D590000}"/>
    <cellStyle name="Normal 22 2 4 2 3 3 2" xfId="40437" xr:uid="{00000000-0005-0000-0000-00000E590000}"/>
    <cellStyle name="Normal 22 2 4 2 3 4" xfId="28132" xr:uid="{00000000-0005-0000-0000-00000F590000}"/>
    <cellStyle name="Normal 22 2 4 2 4" xfId="11299" xr:uid="{00000000-0005-0000-0000-000010590000}"/>
    <cellStyle name="Normal 22 2 4 2 4 2" xfId="31219" xr:uid="{00000000-0005-0000-0000-000011590000}"/>
    <cellStyle name="Normal 22 2 4 2 5" xfId="17451" xr:uid="{00000000-0005-0000-0000-000012590000}"/>
    <cellStyle name="Normal 22 2 4 2 5 2" xfId="37371" xr:uid="{00000000-0005-0000-0000-000013590000}"/>
    <cellStyle name="Normal 22 2 4 2 6" xfId="25066" xr:uid="{00000000-0005-0000-0000-000014590000}"/>
    <cellStyle name="Normal 22 2 4 3" xfId="5837" xr:uid="{00000000-0005-0000-0000-000015590000}"/>
    <cellStyle name="Normal 22 2 4 3 2" xfId="8937" xr:uid="{00000000-0005-0000-0000-000016590000}"/>
    <cellStyle name="Normal 22 2 4 3 2 2" xfId="15130" xr:uid="{00000000-0005-0000-0000-000017590000}"/>
    <cellStyle name="Normal 22 2 4 3 2 2 2" xfId="35050" xr:uid="{00000000-0005-0000-0000-000018590000}"/>
    <cellStyle name="Normal 22 2 4 3 2 3" xfId="21282" xr:uid="{00000000-0005-0000-0000-000019590000}"/>
    <cellStyle name="Normal 22 2 4 3 2 3 2" xfId="41202" xr:uid="{00000000-0005-0000-0000-00001A590000}"/>
    <cellStyle name="Normal 22 2 4 3 2 4" xfId="28897" xr:uid="{00000000-0005-0000-0000-00001B590000}"/>
    <cellStyle name="Normal 22 2 4 3 3" xfId="12064" xr:uid="{00000000-0005-0000-0000-00001C590000}"/>
    <cellStyle name="Normal 22 2 4 3 3 2" xfId="31984" xr:uid="{00000000-0005-0000-0000-00001D590000}"/>
    <cellStyle name="Normal 22 2 4 3 4" xfId="18216" xr:uid="{00000000-0005-0000-0000-00001E590000}"/>
    <cellStyle name="Normal 22 2 4 3 4 2" xfId="38136" xr:uid="{00000000-0005-0000-0000-00001F590000}"/>
    <cellStyle name="Normal 22 2 4 3 5" xfId="25831" xr:uid="{00000000-0005-0000-0000-000020590000}"/>
    <cellStyle name="Normal 22 2 4 4" xfId="7402" xr:uid="{00000000-0005-0000-0000-000021590000}"/>
    <cellStyle name="Normal 22 2 4 4 2" xfId="13596" xr:uid="{00000000-0005-0000-0000-000022590000}"/>
    <cellStyle name="Normal 22 2 4 4 2 2" xfId="33516" xr:uid="{00000000-0005-0000-0000-000023590000}"/>
    <cellStyle name="Normal 22 2 4 4 3" xfId="19748" xr:uid="{00000000-0005-0000-0000-000024590000}"/>
    <cellStyle name="Normal 22 2 4 4 3 2" xfId="39668" xr:uid="{00000000-0005-0000-0000-000025590000}"/>
    <cellStyle name="Normal 22 2 4 4 4" xfId="27363" xr:uid="{00000000-0005-0000-0000-000026590000}"/>
    <cellStyle name="Normal 22 2 4 5" xfId="10530" xr:uid="{00000000-0005-0000-0000-000027590000}"/>
    <cellStyle name="Normal 22 2 4 5 2" xfId="30450" xr:uid="{00000000-0005-0000-0000-000028590000}"/>
    <cellStyle name="Normal 22 2 4 6" xfId="16682" xr:uid="{00000000-0005-0000-0000-000029590000}"/>
    <cellStyle name="Normal 22 2 4 6 2" xfId="36602" xr:uid="{00000000-0005-0000-0000-00002A590000}"/>
    <cellStyle name="Normal 22 2 4 7" xfId="24297" xr:uid="{00000000-0005-0000-0000-00002B590000}"/>
    <cellStyle name="Normal 22 2 5" xfId="3533" xr:uid="{00000000-0005-0000-0000-00002C590000}"/>
    <cellStyle name="Normal 22 2 5 2" xfId="4996" xr:uid="{00000000-0005-0000-0000-00002D590000}"/>
    <cellStyle name="Normal 22 2 5 2 2" xfId="6621" xr:uid="{00000000-0005-0000-0000-00002E590000}"/>
    <cellStyle name="Normal 22 2 5 2 2 2" xfId="9707" xr:uid="{00000000-0005-0000-0000-00002F590000}"/>
    <cellStyle name="Normal 22 2 5 2 2 2 2" xfId="15900" xr:uid="{00000000-0005-0000-0000-000030590000}"/>
    <cellStyle name="Normal 22 2 5 2 2 2 2 2" xfId="35820" xr:uid="{00000000-0005-0000-0000-000031590000}"/>
    <cellStyle name="Normal 22 2 5 2 2 2 3" xfId="22052" xr:uid="{00000000-0005-0000-0000-000032590000}"/>
    <cellStyle name="Normal 22 2 5 2 2 2 3 2" xfId="41972" xr:uid="{00000000-0005-0000-0000-000033590000}"/>
    <cellStyle name="Normal 22 2 5 2 2 2 4" xfId="29667" xr:uid="{00000000-0005-0000-0000-000034590000}"/>
    <cellStyle name="Normal 22 2 5 2 2 3" xfId="12834" xr:uid="{00000000-0005-0000-0000-000035590000}"/>
    <cellStyle name="Normal 22 2 5 2 2 3 2" xfId="32754" xr:uid="{00000000-0005-0000-0000-000036590000}"/>
    <cellStyle name="Normal 22 2 5 2 2 4" xfId="18986" xr:uid="{00000000-0005-0000-0000-000037590000}"/>
    <cellStyle name="Normal 22 2 5 2 2 4 2" xfId="38906" xr:uid="{00000000-0005-0000-0000-000038590000}"/>
    <cellStyle name="Normal 22 2 5 2 2 5" xfId="26601" xr:uid="{00000000-0005-0000-0000-000039590000}"/>
    <cellStyle name="Normal 22 2 5 2 3" xfId="8172" xr:uid="{00000000-0005-0000-0000-00003A590000}"/>
    <cellStyle name="Normal 22 2 5 2 3 2" xfId="14366" xr:uid="{00000000-0005-0000-0000-00003B590000}"/>
    <cellStyle name="Normal 22 2 5 2 3 2 2" xfId="34286" xr:uid="{00000000-0005-0000-0000-00003C590000}"/>
    <cellStyle name="Normal 22 2 5 2 3 3" xfId="20518" xr:uid="{00000000-0005-0000-0000-00003D590000}"/>
    <cellStyle name="Normal 22 2 5 2 3 3 2" xfId="40438" xr:uid="{00000000-0005-0000-0000-00003E590000}"/>
    <cellStyle name="Normal 22 2 5 2 3 4" xfId="28133" xr:uid="{00000000-0005-0000-0000-00003F590000}"/>
    <cellStyle name="Normal 22 2 5 2 4" xfId="11300" xr:uid="{00000000-0005-0000-0000-000040590000}"/>
    <cellStyle name="Normal 22 2 5 2 4 2" xfId="31220" xr:uid="{00000000-0005-0000-0000-000041590000}"/>
    <cellStyle name="Normal 22 2 5 2 5" xfId="17452" xr:uid="{00000000-0005-0000-0000-000042590000}"/>
    <cellStyle name="Normal 22 2 5 2 5 2" xfId="37372" xr:uid="{00000000-0005-0000-0000-000043590000}"/>
    <cellStyle name="Normal 22 2 5 2 6" xfId="25067" xr:uid="{00000000-0005-0000-0000-000044590000}"/>
    <cellStyle name="Normal 22 2 5 3" xfId="5838" xr:uid="{00000000-0005-0000-0000-000045590000}"/>
    <cellStyle name="Normal 22 2 5 3 2" xfId="8938" xr:uid="{00000000-0005-0000-0000-000046590000}"/>
    <cellStyle name="Normal 22 2 5 3 2 2" xfId="15131" xr:uid="{00000000-0005-0000-0000-000047590000}"/>
    <cellStyle name="Normal 22 2 5 3 2 2 2" xfId="35051" xr:uid="{00000000-0005-0000-0000-000048590000}"/>
    <cellStyle name="Normal 22 2 5 3 2 3" xfId="21283" xr:uid="{00000000-0005-0000-0000-000049590000}"/>
    <cellStyle name="Normal 22 2 5 3 2 3 2" xfId="41203" xr:uid="{00000000-0005-0000-0000-00004A590000}"/>
    <cellStyle name="Normal 22 2 5 3 2 4" xfId="28898" xr:uid="{00000000-0005-0000-0000-00004B590000}"/>
    <cellStyle name="Normal 22 2 5 3 3" xfId="12065" xr:uid="{00000000-0005-0000-0000-00004C590000}"/>
    <cellStyle name="Normal 22 2 5 3 3 2" xfId="31985" xr:uid="{00000000-0005-0000-0000-00004D590000}"/>
    <cellStyle name="Normal 22 2 5 3 4" xfId="18217" xr:uid="{00000000-0005-0000-0000-00004E590000}"/>
    <cellStyle name="Normal 22 2 5 3 4 2" xfId="38137" xr:uid="{00000000-0005-0000-0000-00004F590000}"/>
    <cellStyle name="Normal 22 2 5 3 5" xfId="25832" xr:uid="{00000000-0005-0000-0000-000050590000}"/>
    <cellStyle name="Normal 22 2 5 4" xfId="7403" xr:uid="{00000000-0005-0000-0000-000051590000}"/>
    <cellStyle name="Normal 22 2 5 4 2" xfId="13597" xr:uid="{00000000-0005-0000-0000-000052590000}"/>
    <cellStyle name="Normal 22 2 5 4 2 2" xfId="33517" xr:uid="{00000000-0005-0000-0000-000053590000}"/>
    <cellStyle name="Normal 22 2 5 4 3" xfId="19749" xr:uid="{00000000-0005-0000-0000-000054590000}"/>
    <cellStyle name="Normal 22 2 5 4 3 2" xfId="39669" xr:uid="{00000000-0005-0000-0000-000055590000}"/>
    <cellStyle name="Normal 22 2 5 4 4" xfId="27364" xr:uid="{00000000-0005-0000-0000-000056590000}"/>
    <cellStyle name="Normal 22 2 5 5" xfId="10531" xr:uid="{00000000-0005-0000-0000-000057590000}"/>
    <cellStyle name="Normal 22 2 5 5 2" xfId="30451" xr:uid="{00000000-0005-0000-0000-000058590000}"/>
    <cellStyle name="Normal 22 2 5 6" xfId="16683" xr:uid="{00000000-0005-0000-0000-000059590000}"/>
    <cellStyle name="Normal 22 2 5 6 2" xfId="36603" xr:uid="{00000000-0005-0000-0000-00005A590000}"/>
    <cellStyle name="Normal 22 2 5 7" xfId="24298" xr:uid="{00000000-0005-0000-0000-00005B590000}"/>
    <cellStyle name="Normal 22 2 6" xfId="3534" xr:uid="{00000000-0005-0000-0000-00005C590000}"/>
    <cellStyle name="Normal 22 2 7" xfId="4992" xr:uid="{00000000-0005-0000-0000-00005D590000}"/>
    <cellStyle name="Normal 22 2 7 2" xfId="6617" xr:uid="{00000000-0005-0000-0000-00005E590000}"/>
    <cellStyle name="Normal 22 2 7 2 2" xfId="9703" xr:uid="{00000000-0005-0000-0000-00005F590000}"/>
    <cellStyle name="Normal 22 2 7 2 2 2" xfId="15896" xr:uid="{00000000-0005-0000-0000-000060590000}"/>
    <cellStyle name="Normal 22 2 7 2 2 2 2" xfId="35816" xr:uid="{00000000-0005-0000-0000-000061590000}"/>
    <cellStyle name="Normal 22 2 7 2 2 3" xfId="22048" xr:uid="{00000000-0005-0000-0000-000062590000}"/>
    <cellStyle name="Normal 22 2 7 2 2 3 2" xfId="41968" xr:uid="{00000000-0005-0000-0000-000063590000}"/>
    <cellStyle name="Normal 22 2 7 2 2 4" xfId="29663" xr:uid="{00000000-0005-0000-0000-000064590000}"/>
    <cellStyle name="Normal 22 2 7 2 3" xfId="12830" xr:uid="{00000000-0005-0000-0000-000065590000}"/>
    <cellStyle name="Normal 22 2 7 2 3 2" xfId="32750" xr:uid="{00000000-0005-0000-0000-000066590000}"/>
    <cellStyle name="Normal 22 2 7 2 4" xfId="18982" xr:uid="{00000000-0005-0000-0000-000067590000}"/>
    <cellStyle name="Normal 22 2 7 2 4 2" xfId="38902" xr:uid="{00000000-0005-0000-0000-000068590000}"/>
    <cellStyle name="Normal 22 2 7 2 5" xfId="26597" xr:uid="{00000000-0005-0000-0000-000069590000}"/>
    <cellStyle name="Normal 22 2 7 3" xfId="8168" xr:uid="{00000000-0005-0000-0000-00006A590000}"/>
    <cellStyle name="Normal 22 2 7 3 2" xfId="14362" xr:uid="{00000000-0005-0000-0000-00006B590000}"/>
    <cellStyle name="Normal 22 2 7 3 2 2" xfId="34282" xr:uid="{00000000-0005-0000-0000-00006C590000}"/>
    <cellStyle name="Normal 22 2 7 3 3" xfId="20514" xr:uid="{00000000-0005-0000-0000-00006D590000}"/>
    <cellStyle name="Normal 22 2 7 3 3 2" xfId="40434" xr:uid="{00000000-0005-0000-0000-00006E590000}"/>
    <cellStyle name="Normal 22 2 7 3 4" xfId="28129" xr:uid="{00000000-0005-0000-0000-00006F590000}"/>
    <cellStyle name="Normal 22 2 7 4" xfId="11296" xr:uid="{00000000-0005-0000-0000-000070590000}"/>
    <cellStyle name="Normal 22 2 7 4 2" xfId="31216" xr:uid="{00000000-0005-0000-0000-000071590000}"/>
    <cellStyle name="Normal 22 2 7 5" xfId="17448" xr:uid="{00000000-0005-0000-0000-000072590000}"/>
    <cellStyle name="Normal 22 2 7 5 2" xfId="37368" xr:uid="{00000000-0005-0000-0000-000073590000}"/>
    <cellStyle name="Normal 22 2 7 6" xfId="25063" xr:uid="{00000000-0005-0000-0000-000074590000}"/>
    <cellStyle name="Normal 22 2 8" xfId="5834" xr:uid="{00000000-0005-0000-0000-000075590000}"/>
    <cellStyle name="Normal 22 2 8 2" xfId="8934" xr:uid="{00000000-0005-0000-0000-000076590000}"/>
    <cellStyle name="Normal 22 2 8 2 2" xfId="15127" xr:uid="{00000000-0005-0000-0000-000077590000}"/>
    <cellStyle name="Normal 22 2 8 2 2 2" xfId="35047" xr:uid="{00000000-0005-0000-0000-000078590000}"/>
    <cellStyle name="Normal 22 2 8 2 3" xfId="21279" xr:uid="{00000000-0005-0000-0000-000079590000}"/>
    <cellStyle name="Normal 22 2 8 2 3 2" xfId="41199" xr:uid="{00000000-0005-0000-0000-00007A590000}"/>
    <cellStyle name="Normal 22 2 8 2 4" xfId="28894" xr:uid="{00000000-0005-0000-0000-00007B590000}"/>
    <cellStyle name="Normal 22 2 8 3" xfId="12061" xr:uid="{00000000-0005-0000-0000-00007C590000}"/>
    <cellStyle name="Normal 22 2 8 3 2" xfId="31981" xr:uid="{00000000-0005-0000-0000-00007D590000}"/>
    <cellStyle name="Normal 22 2 8 4" xfId="18213" xr:uid="{00000000-0005-0000-0000-00007E590000}"/>
    <cellStyle name="Normal 22 2 8 4 2" xfId="38133" xr:uid="{00000000-0005-0000-0000-00007F590000}"/>
    <cellStyle name="Normal 22 2 8 5" xfId="25828" xr:uid="{00000000-0005-0000-0000-000080590000}"/>
    <cellStyle name="Normal 22 2 9" xfId="7399" xr:uid="{00000000-0005-0000-0000-000081590000}"/>
    <cellStyle name="Normal 22 2 9 2" xfId="13593" xr:uid="{00000000-0005-0000-0000-000082590000}"/>
    <cellStyle name="Normal 22 2 9 2 2" xfId="33513" xr:uid="{00000000-0005-0000-0000-000083590000}"/>
    <cellStyle name="Normal 22 2 9 3" xfId="19745" xr:uid="{00000000-0005-0000-0000-000084590000}"/>
    <cellStyle name="Normal 22 2 9 3 2" xfId="39665" xr:uid="{00000000-0005-0000-0000-000085590000}"/>
    <cellStyle name="Normal 22 2 9 4" xfId="27360" xr:uid="{00000000-0005-0000-0000-000086590000}"/>
    <cellStyle name="Normal 22 3" xfId="3535" xr:uid="{00000000-0005-0000-0000-000087590000}"/>
    <cellStyle name="Normal 22 3 2" xfId="4997" xr:uid="{00000000-0005-0000-0000-000088590000}"/>
    <cellStyle name="Normal 22 3 2 2" xfId="6622" xr:uid="{00000000-0005-0000-0000-000089590000}"/>
    <cellStyle name="Normal 22 3 2 2 2" xfId="9708" xr:uid="{00000000-0005-0000-0000-00008A590000}"/>
    <cellStyle name="Normal 22 3 2 2 2 2" xfId="15901" xr:uid="{00000000-0005-0000-0000-00008B590000}"/>
    <cellStyle name="Normal 22 3 2 2 2 2 2" xfId="35821" xr:uid="{00000000-0005-0000-0000-00008C590000}"/>
    <cellStyle name="Normal 22 3 2 2 2 3" xfId="22053" xr:uid="{00000000-0005-0000-0000-00008D590000}"/>
    <cellStyle name="Normal 22 3 2 2 2 3 2" xfId="41973" xr:uid="{00000000-0005-0000-0000-00008E590000}"/>
    <cellStyle name="Normal 22 3 2 2 2 4" xfId="29668" xr:uid="{00000000-0005-0000-0000-00008F590000}"/>
    <cellStyle name="Normal 22 3 2 2 3" xfId="12835" xr:uid="{00000000-0005-0000-0000-000090590000}"/>
    <cellStyle name="Normal 22 3 2 2 3 2" xfId="32755" xr:uid="{00000000-0005-0000-0000-000091590000}"/>
    <cellStyle name="Normal 22 3 2 2 4" xfId="18987" xr:uid="{00000000-0005-0000-0000-000092590000}"/>
    <cellStyle name="Normal 22 3 2 2 4 2" xfId="38907" xr:uid="{00000000-0005-0000-0000-000093590000}"/>
    <cellStyle name="Normal 22 3 2 2 5" xfId="26602" xr:uid="{00000000-0005-0000-0000-000094590000}"/>
    <cellStyle name="Normal 22 3 2 3" xfId="8173" xr:uid="{00000000-0005-0000-0000-000095590000}"/>
    <cellStyle name="Normal 22 3 2 3 2" xfId="14367" xr:uid="{00000000-0005-0000-0000-000096590000}"/>
    <cellStyle name="Normal 22 3 2 3 2 2" xfId="34287" xr:uid="{00000000-0005-0000-0000-000097590000}"/>
    <cellStyle name="Normal 22 3 2 3 3" xfId="20519" xr:uid="{00000000-0005-0000-0000-000098590000}"/>
    <cellStyle name="Normal 22 3 2 3 3 2" xfId="40439" xr:uid="{00000000-0005-0000-0000-000099590000}"/>
    <cellStyle name="Normal 22 3 2 3 4" xfId="28134" xr:uid="{00000000-0005-0000-0000-00009A590000}"/>
    <cellStyle name="Normal 22 3 2 4" xfId="11301" xr:uid="{00000000-0005-0000-0000-00009B590000}"/>
    <cellStyle name="Normal 22 3 2 4 2" xfId="31221" xr:uid="{00000000-0005-0000-0000-00009C590000}"/>
    <cellStyle name="Normal 22 3 2 5" xfId="17453" xr:uid="{00000000-0005-0000-0000-00009D590000}"/>
    <cellStyle name="Normal 22 3 2 5 2" xfId="37373" xr:uid="{00000000-0005-0000-0000-00009E590000}"/>
    <cellStyle name="Normal 22 3 2 6" xfId="25068" xr:uid="{00000000-0005-0000-0000-00009F590000}"/>
    <cellStyle name="Normal 22 3 3" xfId="5839" xr:uid="{00000000-0005-0000-0000-0000A0590000}"/>
    <cellStyle name="Normal 22 3 3 2" xfId="8939" xr:uid="{00000000-0005-0000-0000-0000A1590000}"/>
    <cellStyle name="Normal 22 3 3 2 2" xfId="15132" xr:uid="{00000000-0005-0000-0000-0000A2590000}"/>
    <cellStyle name="Normal 22 3 3 2 2 2" xfId="35052" xr:uid="{00000000-0005-0000-0000-0000A3590000}"/>
    <cellStyle name="Normal 22 3 3 2 3" xfId="21284" xr:uid="{00000000-0005-0000-0000-0000A4590000}"/>
    <cellStyle name="Normal 22 3 3 2 3 2" xfId="41204" xr:uid="{00000000-0005-0000-0000-0000A5590000}"/>
    <cellStyle name="Normal 22 3 3 2 4" xfId="28899" xr:uid="{00000000-0005-0000-0000-0000A6590000}"/>
    <cellStyle name="Normal 22 3 3 3" xfId="12066" xr:uid="{00000000-0005-0000-0000-0000A7590000}"/>
    <cellStyle name="Normal 22 3 3 3 2" xfId="31986" xr:uid="{00000000-0005-0000-0000-0000A8590000}"/>
    <cellStyle name="Normal 22 3 3 4" xfId="18218" xr:uid="{00000000-0005-0000-0000-0000A9590000}"/>
    <cellStyle name="Normal 22 3 3 4 2" xfId="38138" xr:uid="{00000000-0005-0000-0000-0000AA590000}"/>
    <cellStyle name="Normal 22 3 3 5" xfId="25833" xr:uid="{00000000-0005-0000-0000-0000AB590000}"/>
    <cellStyle name="Normal 22 3 4" xfId="7404" xr:uid="{00000000-0005-0000-0000-0000AC590000}"/>
    <cellStyle name="Normal 22 3 4 2" xfId="13598" xr:uid="{00000000-0005-0000-0000-0000AD590000}"/>
    <cellStyle name="Normal 22 3 4 2 2" xfId="33518" xr:uid="{00000000-0005-0000-0000-0000AE590000}"/>
    <cellStyle name="Normal 22 3 4 3" xfId="19750" xr:uid="{00000000-0005-0000-0000-0000AF590000}"/>
    <cellStyle name="Normal 22 3 4 3 2" xfId="39670" xr:uid="{00000000-0005-0000-0000-0000B0590000}"/>
    <cellStyle name="Normal 22 3 4 4" xfId="27365" xr:uid="{00000000-0005-0000-0000-0000B1590000}"/>
    <cellStyle name="Normal 22 3 5" xfId="10532" xr:uid="{00000000-0005-0000-0000-0000B2590000}"/>
    <cellStyle name="Normal 22 3 5 2" xfId="30452" xr:uid="{00000000-0005-0000-0000-0000B3590000}"/>
    <cellStyle name="Normal 22 3 6" xfId="16684" xr:uid="{00000000-0005-0000-0000-0000B4590000}"/>
    <cellStyle name="Normal 22 3 6 2" xfId="36604" xr:uid="{00000000-0005-0000-0000-0000B5590000}"/>
    <cellStyle name="Normal 22 3 7" xfId="24299" xr:uid="{00000000-0005-0000-0000-0000B6590000}"/>
    <cellStyle name="Normal 22 4" xfId="3536" xr:uid="{00000000-0005-0000-0000-0000B7590000}"/>
    <cellStyle name="Normal 22 4 2" xfId="4998" xr:uid="{00000000-0005-0000-0000-0000B8590000}"/>
    <cellStyle name="Normal 22 4 2 2" xfId="6623" xr:uid="{00000000-0005-0000-0000-0000B9590000}"/>
    <cellStyle name="Normal 22 4 2 2 2" xfId="9709" xr:uid="{00000000-0005-0000-0000-0000BA590000}"/>
    <cellStyle name="Normal 22 4 2 2 2 2" xfId="15902" xr:uid="{00000000-0005-0000-0000-0000BB590000}"/>
    <cellStyle name="Normal 22 4 2 2 2 2 2" xfId="35822" xr:uid="{00000000-0005-0000-0000-0000BC590000}"/>
    <cellStyle name="Normal 22 4 2 2 2 3" xfId="22054" xr:uid="{00000000-0005-0000-0000-0000BD590000}"/>
    <cellStyle name="Normal 22 4 2 2 2 3 2" xfId="41974" xr:uid="{00000000-0005-0000-0000-0000BE590000}"/>
    <cellStyle name="Normal 22 4 2 2 2 4" xfId="29669" xr:uid="{00000000-0005-0000-0000-0000BF590000}"/>
    <cellStyle name="Normal 22 4 2 2 3" xfId="12836" xr:uid="{00000000-0005-0000-0000-0000C0590000}"/>
    <cellStyle name="Normal 22 4 2 2 3 2" xfId="32756" xr:uid="{00000000-0005-0000-0000-0000C1590000}"/>
    <cellStyle name="Normal 22 4 2 2 4" xfId="18988" xr:uid="{00000000-0005-0000-0000-0000C2590000}"/>
    <cellStyle name="Normal 22 4 2 2 4 2" xfId="38908" xr:uid="{00000000-0005-0000-0000-0000C3590000}"/>
    <cellStyle name="Normal 22 4 2 2 5" xfId="26603" xr:uid="{00000000-0005-0000-0000-0000C4590000}"/>
    <cellStyle name="Normal 22 4 2 3" xfId="8174" xr:uid="{00000000-0005-0000-0000-0000C5590000}"/>
    <cellStyle name="Normal 22 4 2 3 2" xfId="14368" xr:uid="{00000000-0005-0000-0000-0000C6590000}"/>
    <cellStyle name="Normal 22 4 2 3 2 2" xfId="34288" xr:uid="{00000000-0005-0000-0000-0000C7590000}"/>
    <cellStyle name="Normal 22 4 2 3 3" xfId="20520" xr:uid="{00000000-0005-0000-0000-0000C8590000}"/>
    <cellStyle name="Normal 22 4 2 3 3 2" xfId="40440" xr:uid="{00000000-0005-0000-0000-0000C9590000}"/>
    <cellStyle name="Normal 22 4 2 3 4" xfId="28135" xr:uid="{00000000-0005-0000-0000-0000CA590000}"/>
    <cellStyle name="Normal 22 4 2 4" xfId="11302" xr:uid="{00000000-0005-0000-0000-0000CB590000}"/>
    <cellStyle name="Normal 22 4 2 4 2" xfId="31222" xr:uid="{00000000-0005-0000-0000-0000CC590000}"/>
    <cellStyle name="Normal 22 4 2 5" xfId="17454" xr:uid="{00000000-0005-0000-0000-0000CD590000}"/>
    <cellStyle name="Normal 22 4 2 5 2" xfId="37374" xr:uid="{00000000-0005-0000-0000-0000CE590000}"/>
    <cellStyle name="Normal 22 4 2 6" xfId="25069" xr:uid="{00000000-0005-0000-0000-0000CF590000}"/>
    <cellStyle name="Normal 22 4 3" xfId="5840" xr:uid="{00000000-0005-0000-0000-0000D0590000}"/>
    <cellStyle name="Normal 22 4 3 2" xfId="8940" xr:uid="{00000000-0005-0000-0000-0000D1590000}"/>
    <cellStyle name="Normal 22 4 3 2 2" xfId="15133" xr:uid="{00000000-0005-0000-0000-0000D2590000}"/>
    <cellStyle name="Normal 22 4 3 2 2 2" xfId="35053" xr:uid="{00000000-0005-0000-0000-0000D3590000}"/>
    <cellStyle name="Normal 22 4 3 2 3" xfId="21285" xr:uid="{00000000-0005-0000-0000-0000D4590000}"/>
    <cellStyle name="Normal 22 4 3 2 3 2" xfId="41205" xr:uid="{00000000-0005-0000-0000-0000D5590000}"/>
    <cellStyle name="Normal 22 4 3 2 4" xfId="28900" xr:uid="{00000000-0005-0000-0000-0000D6590000}"/>
    <cellStyle name="Normal 22 4 3 3" xfId="12067" xr:uid="{00000000-0005-0000-0000-0000D7590000}"/>
    <cellStyle name="Normal 22 4 3 3 2" xfId="31987" xr:uid="{00000000-0005-0000-0000-0000D8590000}"/>
    <cellStyle name="Normal 22 4 3 4" xfId="18219" xr:uid="{00000000-0005-0000-0000-0000D9590000}"/>
    <cellStyle name="Normal 22 4 3 4 2" xfId="38139" xr:uid="{00000000-0005-0000-0000-0000DA590000}"/>
    <cellStyle name="Normal 22 4 3 5" xfId="25834" xr:uid="{00000000-0005-0000-0000-0000DB590000}"/>
    <cellStyle name="Normal 22 4 4" xfId="7405" xr:uid="{00000000-0005-0000-0000-0000DC590000}"/>
    <cellStyle name="Normal 22 4 4 2" xfId="13599" xr:uid="{00000000-0005-0000-0000-0000DD590000}"/>
    <cellStyle name="Normal 22 4 4 2 2" xfId="33519" xr:uid="{00000000-0005-0000-0000-0000DE590000}"/>
    <cellStyle name="Normal 22 4 4 3" xfId="19751" xr:uid="{00000000-0005-0000-0000-0000DF590000}"/>
    <cellStyle name="Normal 22 4 4 3 2" xfId="39671" xr:uid="{00000000-0005-0000-0000-0000E0590000}"/>
    <cellStyle name="Normal 22 4 4 4" xfId="27366" xr:uid="{00000000-0005-0000-0000-0000E1590000}"/>
    <cellStyle name="Normal 22 4 5" xfId="10533" xr:uid="{00000000-0005-0000-0000-0000E2590000}"/>
    <cellStyle name="Normal 22 4 5 2" xfId="30453" xr:uid="{00000000-0005-0000-0000-0000E3590000}"/>
    <cellStyle name="Normal 22 4 6" xfId="16685" xr:uid="{00000000-0005-0000-0000-0000E4590000}"/>
    <cellStyle name="Normal 22 4 6 2" xfId="36605" xr:uid="{00000000-0005-0000-0000-0000E5590000}"/>
    <cellStyle name="Normal 22 4 7" xfId="24300" xr:uid="{00000000-0005-0000-0000-0000E6590000}"/>
    <cellStyle name="Normal 22 5" xfId="3537" xr:uid="{00000000-0005-0000-0000-0000E7590000}"/>
    <cellStyle name="Normal 22 5 2" xfId="4999" xr:uid="{00000000-0005-0000-0000-0000E8590000}"/>
    <cellStyle name="Normal 22 5 2 2" xfId="6624" xr:uid="{00000000-0005-0000-0000-0000E9590000}"/>
    <cellStyle name="Normal 22 5 2 2 2" xfId="9710" xr:uid="{00000000-0005-0000-0000-0000EA590000}"/>
    <cellStyle name="Normal 22 5 2 2 2 2" xfId="15903" xr:uid="{00000000-0005-0000-0000-0000EB590000}"/>
    <cellStyle name="Normal 22 5 2 2 2 2 2" xfId="35823" xr:uid="{00000000-0005-0000-0000-0000EC590000}"/>
    <cellStyle name="Normal 22 5 2 2 2 3" xfId="22055" xr:uid="{00000000-0005-0000-0000-0000ED590000}"/>
    <cellStyle name="Normal 22 5 2 2 2 3 2" xfId="41975" xr:uid="{00000000-0005-0000-0000-0000EE590000}"/>
    <cellStyle name="Normal 22 5 2 2 2 4" xfId="29670" xr:uid="{00000000-0005-0000-0000-0000EF590000}"/>
    <cellStyle name="Normal 22 5 2 2 3" xfId="12837" xr:uid="{00000000-0005-0000-0000-0000F0590000}"/>
    <cellStyle name="Normal 22 5 2 2 3 2" xfId="32757" xr:uid="{00000000-0005-0000-0000-0000F1590000}"/>
    <cellStyle name="Normal 22 5 2 2 4" xfId="18989" xr:uid="{00000000-0005-0000-0000-0000F2590000}"/>
    <cellStyle name="Normal 22 5 2 2 4 2" xfId="38909" xr:uid="{00000000-0005-0000-0000-0000F3590000}"/>
    <cellStyle name="Normal 22 5 2 2 5" xfId="26604" xr:uid="{00000000-0005-0000-0000-0000F4590000}"/>
    <cellStyle name="Normal 22 5 2 3" xfId="8175" xr:uid="{00000000-0005-0000-0000-0000F5590000}"/>
    <cellStyle name="Normal 22 5 2 3 2" xfId="14369" xr:uid="{00000000-0005-0000-0000-0000F6590000}"/>
    <cellStyle name="Normal 22 5 2 3 2 2" xfId="34289" xr:uid="{00000000-0005-0000-0000-0000F7590000}"/>
    <cellStyle name="Normal 22 5 2 3 3" xfId="20521" xr:uid="{00000000-0005-0000-0000-0000F8590000}"/>
    <cellStyle name="Normal 22 5 2 3 3 2" xfId="40441" xr:uid="{00000000-0005-0000-0000-0000F9590000}"/>
    <cellStyle name="Normal 22 5 2 3 4" xfId="28136" xr:uid="{00000000-0005-0000-0000-0000FA590000}"/>
    <cellStyle name="Normal 22 5 2 4" xfId="11303" xr:uid="{00000000-0005-0000-0000-0000FB590000}"/>
    <cellStyle name="Normal 22 5 2 4 2" xfId="31223" xr:uid="{00000000-0005-0000-0000-0000FC590000}"/>
    <cellStyle name="Normal 22 5 2 5" xfId="17455" xr:uid="{00000000-0005-0000-0000-0000FD590000}"/>
    <cellStyle name="Normal 22 5 2 5 2" xfId="37375" xr:uid="{00000000-0005-0000-0000-0000FE590000}"/>
    <cellStyle name="Normal 22 5 2 6" xfId="25070" xr:uid="{00000000-0005-0000-0000-0000FF590000}"/>
    <cellStyle name="Normal 22 5 3" xfId="5841" xr:uid="{00000000-0005-0000-0000-0000005A0000}"/>
    <cellStyle name="Normal 22 5 3 2" xfId="8941" xr:uid="{00000000-0005-0000-0000-0000015A0000}"/>
    <cellStyle name="Normal 22 5 3 2 2" xfId="15134" xr:uid="{00000000-0005-0000-0000-0000025A0000}"/>
    <cellStyle name="Normal 22 5 3 2 2 2" xfId="35054" xr:uid="{00000000-0005-0000-0000-0000035A0000}"/>
    <cellStyle name="Normal 22 5 3 2 3" xfId="21286" xr:uid="{00000000-0005-0000-0000-0000045A0000}"/>
    <cellStyle name="Normal 22 5 3 2 3 2" xfId="41206" xr:uid="{00000000-0005-0000-0000-0000055A0000}"/>
    <cellStyle name="Normal 22 5 3 2 4" xfId="28901" xr:uid="{00000000-0005-0000-0000-0000065A0000}"/>
    <cellStyle name="Normal 22 5 3 3" xfId="12068" xr:uid="{00000000-0005-0000-0000-0000075A0000}"/>
    <cellStyle name="Normal 22 5 3 3 2" xfId="31988" xr:uid="{00000000-0005-0000-0000-0000085A0000}"/>
    <cellStyle name="Normal 22 5 3 4" xfId="18220" xr:uid="{00000000-0005-0000-0000-0000095A0000}"/>
    <cellStyle name="Normal 22 5 3 4 2" xfId="38140" xr:uid="{00000000-0005-0000-0000-00000A5A0000}"/>
    <cellStyle name="Normal 22 5 3 5" xfId="25835" xr:uid="{00000000-0005-0000-0000-00000B5A0000}"/>
    <cellStyle name="Normal 22 5 4" xfId="7406" xr:uid="{00000000-0005-0000-0000-00000C5A0000}"/>
    <cellStyle name="Normal 22 5 4 2" xfId="13600" xr:uid="{00000000-0005-0000-0000-00000D5A0000}"/>
    <cellStyle name="Normal 22 5 4 2 2" xfId="33520" xr:uid="{00000000-0005-0000-0000-00000E5A0000}"/>
    <cellStyle name="Normal 22 5 4 3" xfId="19752" xr:uid="{00000000-0005-0000-0000-00000F5A0000}"/>
    <cellStyle name="Normal 22 5 4 3 2" xfId="39672" xr:uid="{00000000-0005-0000-0000-0000105A0000}"/>
    <cellStyle name="Normal 22 5 4 4" xfId="27367" xr:uid="{00000000-0005-0000-0000-0000115A0000}"/>
    <cellStyle name="Normal 22 5 5" xfId="10534" xr:uid="{00000000-0005-0000-0000-0000125A0000}"/>
    <cellStyle name="Normal 22 5 5 2" xfId="30454" xr:uid="{00000000-0005-0000-0000-0000135A0000}"/>
    <cellStyle name="Normal 22 5 6" xfId="16686" xr:uid="{00000000-0005-0000-0000-0000145A0000}"/>
    <cellStyle name="Normal 22 5 6 2" xfId="36606" xr:uid="{00000000-0005-0000-0000-0000155A0000}"/>
    <cellStyle name="Normal 22 5 7" xfId="24301" xr:uid="{00000000-0005-0000-0000-0000165A0000}"/>
    <cellStyle name="Normal 22 6" xfId="3538" xr:uid="{00000000-0005-0000-0000-0000175A0000}"/>
    <cellStyle name="Normal 22 6 2" xfId="5000" xr:uid="{00000000-0005-0000-0000-0000185A0000}"/>
    <cellStyle name="Normal 22 6 2 2" xfId="6625" xr:uid="{00000000-0005-0000-0000-0000195A0000}"/>
    <cellStyle name="Normal 22 6 2 2 2" xfId="9711" xr:uid="{00000000-0005-0000-0000-00001A5A0000}"/>
    <cellStyle name="Normal 22 6 2 2 2 2" xfId="15904" xr:uid="{00000000-0005-0000-0000-00001B5A0000}"/>
    <cellStyle name="Normal 22 6 2 2 2 2 2" xfId="35824" xr:uid="{00000000-0005-0000-0000-00001C5A0000}"/>
    <cellStyle name="Normal 22 6 2 2 2 3" xfId="22056" xr:uid="{00000000-0005-0000-0000-00001D5A0000}"/>
    <cellStyle name="Normal 22 6 2 2 2 3 2" xfId="41976" xr:uid="{00000000-0005-0000-0000-00001E5A0000}"/>
    <cellStyle name="Normal 22 6 2 2 2 4" xfId="29671" xr:uid="{00000000-0005-0000-0000-00001F5A0000}"/>
    <cellStyle name="Normal 22 6 2 2 3" xfId="12838" xr:uid="{00000000-0005-0000-0000-0000205A0000}"/>
    <cellStyle name="Normal 22 6 2 2 3 2" xfId="32758" xr:uid="{00000000-0005-0000-0000-0000215A0000}"/>
    <cellStyle name="Normal 22 6 2 2 4" xfId="18990" xr:uid="{00000000-0005-0000-0000-0000225A0000}"/>
    <cellStyle name="Normal 22 6 2 2 4 2" xfId="38910" xr:uid="{00000000-0005-0000-0000-0000235A0000}"/>
    <cellStyle name="Normal 22 6 2 2 5" xfId="26605" xr:uid="{00000000-0005-0000-0000-0000245A0000}"/>
    <cellStyle name="Normal 22 6 2 3" xfId="8176" xr:uid="{00000000-0005-0000-0000-0000255A0000}"/>
    <cellStyle name="Normal 22 6 2 3 2" xfId="14370" xr:uid="{00000000-0005-0000-0000-0000265A0000}"/>
    <cellStyle name="Normal 22 6 2 3 2 2" xfId="34290" xr:uid="{00000000-0005-0000-0000-0000275A0000}"/>
    <cellStyle name="Normal 22 6 2 3 3" xfId="20522" xr:uid="{00000000-0005-0000-0000-0000285A0000}"/>
    <cellStyle name="Normal 22 6 2 3 3 2" xfId="40442" xr:uid="{00000000-0005-0000-0000-0000295A0000}"/>
    <cellStyle name="Normal 22 6 2 3 4" xfId="28137" xr:uid="{00000000-0005-0000-0000-00002A5A0000}"/>
    <cellStyle name="Normal 22 6 2 4" xfId="11304" xr:uid="{00000000-0005-0000-0000-00002B5A0000}"/>
    <cellStyle name="Normal 22 6 2 4 2" xfId="31224" xr:uid="{00000000-0005-0000-0000-00002C5A0000}"/>
    <cellStyle name="Normal 22 6 2 5" xfId="17456" xr:uid="{00000000-0005-0000-0000-00002D5A0000}"/>
    <cellStyle name="Normal 22 6 2 5 2" xfId="37376" xr:uid="{00000000-0005-0000-0000-00002E5A0000}"/>
    <cellStyle name="Normal 22 6 2 6" xfId="25071" xr:uid="{00000000-0005-0000-0000-00002F5A0000}"/>
    <cellStyle name="Normal 22 6 3" xfId="5842" xr:uid="{00000000-0005-0000-0000-0000305A0000}"/>
    <cellStyle name="Normal 22 6 3 2" xfId="8942" xr:uid="{00000000-0005-0000-0000-0000315A0000}"/>
    <cellStyle name="Normal 22 6 3 2 2" xfId="15135" xr:uid="{00000000-0005-0000-0000-0000325A0000}"/>
    <cellStyle name="Normal 22 6 3 2 2 2" xfId="35055" xr:uid="{00000000-0005-0000-0000-0000335A0000}"/>
    <cellStyle name="Normal 22 6 3 2 3" xfId="21287" xr:uid="{00000000-0005-0000-0000-0000345A0000}"/>
    <cellStyle name="Normal 22 6 3 2 3 2" xfId="41207" xr:uid="{00000000-0005-0000-0000-0000355A0000}"/>
    <cellStyle name="Normal 22 6 3 2 4" xfId="28902" xr:uid="{00000000-0005-0000-0000-0000365A0000}"/>
    <cellStyle name="Normal 22 6 3 3" xfId="12069" xr:uid="{00000000-0005-0000-0000-0000375A0000}"/>
    <cellStyle name="Normal 22 6 3 3 2" xfId="31989" xr:uid="{00000000-0005-0000-0000-0000385A0000}"/>
    <cellStyle name="Normal 22 6 3 4" xfId="18221" xr:uid="{00000000-0005-0000-0000-0000395A0000}"/>
    <cellStyle name="Normal 22 6 3 4 2" xfId="38141" xr:uid="{00000000-0005-0000-0000-00003A5A0000}"/>
    <cellStyle name="Normal 22 6 3 5" xfId="25836" xr:uid="{00000000-0005-0000-0000-00003B5A0000}"/>
    <cellStyle name="Normal 22 6 4" xfId="7407" xr:uid="{00000000-0005-0000-0000-00003C5A0000}"/>
    <cellStyle name="Normal 22 6 4 2" xfId="13601" xr:uid="{00000000-0005-0000-0000-00003D5A0000}"/>
    <cellStyle name="Normal 22 6 4 2 2" xfId="33521" xr:uid="{00000000-0005-0000-0000-00003E5A0000}"/>
    <cellStyle name="Normal 22 6 4 3" xfId="19753" xr:uid="{00000000-0005-0000-0000-00003F5A0000}"/>
    <cellStyle name="Normal 22 6 4 3 2" xfId="39673" xr:uid="{00000000-0005-0000-0000-0000405A0000}"/>
    <cellStyle name="Normal 22 6 4 4" xfId="27368" xr:uid="{00000000-0005-0000-0000-0000415A0000}"/>
    <cellStyle name="Normal 22 6 5" xfId="10535" xr:uid="{00000000-0005-0000-0000-0000425A0000}"/>
    <cellStyle name="Normal 22 6 5 2" xfId="30455" xr:uid="{00000000-0005-0000-0000-0000435A0000}"/>
    <cellStyle name="Normal 22 6 6" xfId="16687" xr:uid="{00000000-0005-0000-0000-0000445A0000}"/>
    <cellStyle name="Normal 22 6 6 2" xfId="36607" xr:uid="{00000000-0005-0000-0000-0000455A0000}"/>
    <cellStyle name="Normal 22 6 7" xfId="24302" xr:uid="{00000000-0005-0000-0000-0000465A0000}"/>
    <cellStyle name="Normal 22 7" xfId="3539" xr:uid="{00000000-0005-0000-0000-0000475A0000}"/>
    <cellStyle name="Normal 22 8" xfId="4991" xr:uid="{00000000-0005-0000-0000-0000485A0000}"/>
    <cellStyle name="Normal 22 8 2" xfId="6616" xr:uid="{00000000-0005-0000-0000-0000495A0000}"/>
    <cellStyle name="Normal 22 8 2 2" xfId="9702" xr:uid="{00000000-0005-0000-0000-00004A5A0000}"/>
    <cellStyle name="Normal 22 8 2 2 2" xfId="15895" xr:uid="{00000000-0005-0000-0000-00004B5A0000}"/>
    <cellStyle name="Normal 22 8 2 2 2 2" xfId="35815" xr:uid="{00000000-0005-0000-0000-00004C5A0000}"/>
    <cellStyle name="Normal 22 8 2 2 3" xfId="22047" xr:uid="{00000000-0005-0000-0000-00004D5A0000}"/>
    <cellStyle name="Normal 22 8 2 2 3 2" xfId="41967" xr:uid="{00000000-0005-0000-0000-00004E5A0000}"/>
    <cellStyle name="Normal 22 8 2 2 4" xfId="29662" xr:uid="{00000000-0005-0000-0000-00004F5A0000}"/>
    <cellStyle name="Normal 22 8 2 3" xfId="12829" xr:uid="{00000000-0005-0000-0000-0000505A0000}"/>
    <cellStyle name="Normal 22 8 2 3 2" xfId="32749" xr:uid="{00000000-0005-0000-0000-0000515A0000}"/>
    <cellStyle name="Normal 22 8 2 4" xfId="18981" xr:uid="{00000000-0005-0000-0000-0000525A0000}"/>
    <cellStyle name="Normal 22 8 2 4 2" xfId="38901" xr:uid="{00000000-0005-0000-0000-0000535A0000}"/>
    <cellStyle name="Normal 22 8 2 5" xfId="26596" xr:uid="{00000000-0005-0000-0000-0000545A0000}"/>
    <cellStyle name="Normal 22 8 3" xfId="8167" xr:uid="{00000000-0005-0000-0000-0000555A0000}"/>
    <cellStyle name="Normal 22 8 3 2" xfId="14361" xr:uid="{00000000-0005-0000-0000-0000565A0000}"/>
    <cellStyle name="Normal 22 8 3 2 2" xfId="34281" xr:uid="{00000000-0005-0000-0000-0000575A0000}"/>
    <cellStyle name="Normal 22 8 3 3" xfId="20513" xr:uid="{00000000-0005-0000-0000-0000585A0000}"/>
    <cellStyle name="Normal 22 8 3 3 2" xfId="40433" xr:uid="{00000000-0005-0000-0000-0000595A0000}"/>
    <cellStyle name="Normal 22 8 3 4" xfId="28128" xr:uid="{00000000-0005-0000-0000-00005A5A0000}"/>
    <cellStyle name="Normal 22 8 4" xfId="11295" xr:uid="{00000000-0005-0000-0000-00005B5A0000}"/>
    <cellStyle name="Normal 22 8 4 2" xfId="31215" xr:uid="{00000000-0005-0000-0000-00005C5A0000}"/>
    <cellStyle name="Normal 22 8 5" xfId="17447" xr:uid="{00000000-0005-0000-0000-00005D5A0000}"/>
    <cellStyle name="Normal 22 8 5 2" xfId="37367" xr:uid="{00000000-0005-0000-0000-00005E5A0000}"/>
    <cellStyle name="Normal 22 8 6" xfId="25062" xr:uid="{00000000-0005-0000-0000-00005F5A0000}"/>
    <cellStyle name="Normal 22 9" xfId="5833" xr:uid="{00000000-0005-0000-0000-0000605A0000}"/>
    <cellStyle name="Normal 22 9 2" xfId="8933" xr:uid="{00000000-0005-0000-0000-0000615A0000}"/>
    <cellStyle name="Normal 22 9 2 2" xfId="15126" xr:uid="{00000000-0005-0000-0000-0000625A0000}"/>
    <cellStyle name="Normal 22 9 2 2 2" xfId="35046" xr:uid="{00000000-0005-0000-0000-0000635A0000}"/>
    <cellStyle name="Normal 22 9 2 3" xfId="21278" xr:uid="{00000000-0005-0000-0000-0000645A0000}"/>
    <cellStyle name="Normal 22 9 2 3 2" xfId="41198" xr:uid="{00000000-0005-0000-0000-0000655A0000}"/>
    <cellStyle name="Normal 22 9 2 4" xfId="28893" xr:uid="{00000000-0005-0000-0000-0000665A0000}"/>
    <cellStyle name="Normal 22 9 3" xfId="12060" xr:uid="{00000000-0005-0000-0000-0000675A0000}"/>
    <cellStyle name="Normal 22 9 3 2" xfId="31980" xr:uid="{00000000-0005-0000-0000-0000685A0000}"/>
    <cellStyle name="Normal 22 9 4" xfId="18212" xr:uid="{00000000-0005-0000-0000-0000695A0000}"/>
    <cellStyle name="Normal 22 9 4 2" xfId="38132" xr:uid="{00000000-0005-0000-0000-00006A5A0000}"/>
    <cellStyle name="Normal 22 9 5" xfId="25827" xr:uid="{00000000-0005-0000-0000-00006B5A0000}"/>
    <cellStyle name="Normal 23" xfId="477" xr:uid="{00000000-0005-0000-0000-00006C5A0000}"/>
    <cellStyle name="Normal 23 10" xfId="7408" xr:uid="{00000000-0005-0000-0000-00006D5A0000}"/>
    <cellStyle name="Normal 23 10 2" xfId="13602" xr:uid="{00000000-0005-0000-0000-00006E5A0000}"/>
    <cellStyle name="Normal 23 10 2 2" xfId="33522" xr:uid="{00000000-0005-0000-0000-00006F5A0000}"/>
    <cellStyle name="Normal 23 10 3" xfId="19754" xr:uid="{00000000-0005-0000-0000-0000705A0000}"/>
    <cellStyle name="Normal 23 10 3 2" xfId="39674" xr:uid="{00000000-0005-0000-0000-0000715A0000}"/>
    <cellStyle name="Normal 23 10 4" xfId="27369" xr:uid="{00000000-0005-0000-0000-0000725A0000}"/>
    <cellStyle name="Normal 23 11" xfId="10536" xr:uid="{00000000-0005-0000-0000-0000735A0000}"/>
    <cellStyle name="Normal 23 11 2" xfId="30456" xr:uid="{00000000-0005-0000-0000-0000745A0000}"/>
    <cellStyle name="Normal 23 12" xfId="16688" xr:uid="{00000000-0005-0000-0000-0000755A0000}"/>
    <cellStyle name="Normal 23 12 2" xfId="36608" xr:uid="{00000000-0005-0000-0000-0000765A0000}"/>
    <cellStyle name="Normal 23 13" xfId="3540" xr:uid="{00000000-0005-0000-0000-0000775A0000}"/>
    <cellStyle name="Normal 23 13 2" xfId="24303" xr:uid="{00000000-0005-0000-0000-0000785A0000}"/>
    <cellStyle name="Normal 23 2" xfId="3541" xr:uid="{00000000-0005-0000-0000-0000795A0000}"/>
    <cellStyle name="Normal 23 2 10" xfId="16689" xr:uid="{00000000-0005-0000-0000-00007A5A0000}"/>
    <cellStyle name="Normal 23 2 10 2" xfId="36609" xr:uid="{00000000-0005-0000-0000-00007B5A0000}"/>
    <cellStyle name="Normal 23 2 11" xfId="24304" xr:uid="{00000000-0005-0000-0000-00007C5A0000}"/>
    <cellStyle name="Normal 23 2 2" xfId="3542" xr:uid="{00000000-0005-0000-0000-00007D5A0000}"/>
    <cellStyle name="Normal 23 2 2 2" xfId="5003" xr:uid="{00000000-0005-0000-0000-00007E5A0000}"/>
    <cellStyle name="Normal 23 2 2 2 2" xfId="6628" xr:uid="{00000000-0005-0000-0000-00007F5A0000}"/>
    <cellStyle name="Normal 23 2 2 2 2 2" xfId="9714" xr:uid="{00000000-0005-0000-0000-0000805A0000}"/>
    <cellStyle name="Normal 23 2 2 2 2 2 2" xfId="15907" xr:uid="{00000000-0005-0000-0000-0000815A0000}"/>
    <cellStyle name="Normal 23 2 2 2 2 2 2 2" xfId="35827" xr:uid="{00000000-0005-0000-0000-0000825A0000}"/>
    <cellStyle name="Normal 23 2 2 2 2 2 3" xfId="22059" xr:uid="{00000000-0005-0000-0000-0000835A0000}"/>
    <cellStyle name="Normal 23 2 2 2 2 2 3 2" xfId="41979" xr:uid="{00000000-0005-0000-0000-0000845A0000}"/>
    <cellStyle name="Normal 23 2 2 2 2 2 4" xfId="29674" xr:uid="{00000000-0005-0000-0000-0000855A0000}"/>
    <cellStyle name="Normal 23 2 2 2 2 3" xfId="12841" xr:uid="{00000000-0005-0000-0000-0000865A0000}"/>
    <cellStyle name="Normal 23 2 2 2 2 3 2" xfId="32761" xr:uid="{00000000-0005-0000-0000-0000875A0000}"/>
    <cellStyle name="Normal 23 2 2 2 2 4" xfId="18993" xr:uid="{00000000-0005-0000-0000-0000885A0000}"/>
    <cellStyle name="Normal 23 2 2 2 2 4 2" xfId="38913" xr:uid="{00000000-0005-0000-0000-0000895A0000}"/>
    <cellStyle name="Normal 23 2 2 2 2 5" xfId="26608" xr:uid="{00000000-0005-0000-0000-00008A5A0000}"/>
    <cellStyle name="Normal 23 2 2 2 3" xfId="8179" xr:uid="{00000000-0005-0000-0000-00008B5A0000}"/>
    <cellStyle name="Normal 23 2 2 2 3 2" xfId="14373" xr:uid="{00000000-0005-0000-0000-00008C5A0000}"/>
    <cellStyle name="Normal 23 2 2 2 3 2 2" xfId="34293" xr:uid="{00000000-0005-0000-0000-00008D5A0000}"/>
    <cellStyle name="Normal 23 2 2 2 3 3" xfId="20525" xr:uid="{00000000-0005-0000-0000-00008E5A0000}"/>
    <cellStyle name="Normal 23 2 2 2 3 3 2" xfId="40445" xr:uid="{00000000-0005-0000-0000-00008F5A0000}"/>
    <cellStyle name="Normal 23 2 2 2 3 4" xfId="28140" xr:uid="{00000000-0005-0000-0000-0000905A0000}"/>
    <cellStyle name="Normal 23 2 2 2 4" xfId="11307" xr:uid="{00000000-0005-0000-0000-0000915A0000}"/>
    <cellStyle name="Normal 23 2 2 2 4 2" xfId="31227" xr:uid="{00000000-0005-0000-0000-0000925A0000}"/>
    <cellStyle name="Normal 23 2 2 2 5" xfId="17459" xr:uid="{00000000-0005-0000-0000-0000935A0000}"/>
    <cellStyle name="Normal 23 2 2 2 5 2" xfId="37379" xr:uid="{00000000-0005-0000-0000-0000945A0000}"/>
    <cellStyle name="Normal 23 2 2 2 6" xfId="25074" xr:uid="{00000000-0005-0000-0000-0000955A0000}"/>
    <cellStyle name="Normal 23 2 2 3" xfId="5845" xr:uid="{00000000-0005-0000-0000-0000965A0000}"/>
    <cellStyle name="Normal 23 2 2 3 2" xfId="8945" xr:uid="{00000000-0005-0000-0000-0000975A0000}"/>
    <cellStyle name="Normal 23 2 2 3 2 2" xfId="15138" xr:uid="{00000000-0005-0000-0000-0000985A0000}"/>
    <cellStyle name="Normal 23 2 2 3 2 2 2" xfId="35058" xr:uid="{00000000-0005-0000-0000-0000995A0000}"/>
    <cellStyle name="Normal 23 2 2 3 2 3" xfId="21290" xr:uid="{00000000-0005-0000-0000-00009A5A0000}"/>
    <cellStyle name="Normal 23 2 2 3 2 3 2" xfId="41210" xr:uid="{00000000-0005-0000-0000-00009B5A0000}"/>
    <cellStyle name="Normal 23 2 2 3 2 4" xfId="28905" xr:uid="{00000000-0005-0000-0000-00009C5A0000}"/>
    <cellStyle name="Normal 23 2 2 3 3" xfId="12072" xr:uid="{00000000-0005-0000-0000-00009D5A0000}"/>
    <cellStyle name="Normal 23 2 2 3 3 2" xfId="31992" xr:uid="{00000000-0005-0000-0000-00009E5A0000}"/>
    <cellStyle name="Normal 23 2 2 3 4" xfId="18224" xr:uid="{00000000-0005-0000-0000-00009F5A0000}"/>
    <cellStyle name="Normal 23 2 2 3 4 2" xfId="38144" xr:uid="{00000000-0005-0000-0000-0000A05A0000}"/>
    <cellStyle name="Normal 23 2 2 3 5" xfId="25839" xr:uid="{00000000-0005-0000-0000-0000A15A0000}"/>
    <cellStyle name="Normal 23 2 2 4" xfId="7410" xr:uid="{00000000-0005-0000-0000-0000A25A0000}"/>
    <cellStyle name="Normal 23 2 2 4 2" xfId="13604" xr:uid="{00000000-0005-0000-0000-0000A35A0000}"/>
    <cellStyle name="Normal 23 2 2 4 2 2" xfId="33524" xr:uid="{00000000-0005-0000-0000-0000A45A0000}"/>
    <cellStyle name="Normal 23 2 2 4 3" xfId="19756" xr:uid="{00000000-0005-0000-0000-0000A55A0000}"/>
    <cellStyle name="Normal 23 2 2 4 3 2" xfId="39676" xr:uid="{00000000-0005-0000-0000-0000A65A0000}"/>
    <cellStyle name="Normal 23 2 2 4 4" xfId="27371" xr:uid="{00000000-0005-0000-0000-0000A75A0000}"/>
    <cellStyle name="Normal 23 2 2 5" xfId="10538" xr:uid="{00000000-0005-0000-0000-0000A85A0000}"/>
    <cellStyle name="Normal 23 2 2 5 2" xfId="30458" xr:uid="{00000000-0005-0000-0000-0000A95A0000}"/>
    <cellStyle name="Normal 23 2 2 6" xfId="16690" xr:uid="{00000000-0005-0000-0000-0000AA5A0000}"/>
    <cellStyle name="Normal 23 2 2 6 2" xfId="36610" xr:uid="{00000000-0005-0000-0000-0000AB5A0000}"/>
    <cellStyle name="Normal 23 2 2 7" xfId="24305" xr:uid="{00000000-0005-0000-0000-0000AC5A0000}"/>
    <cellStyle name="Normal 23 2 3" xfId="3543" xr:uid="{00000000-0005-0000-0000-0000AD5A0000}"/>
    <cellStyle name="Normal 23 2 3 2" xfId="5004" xr:uid="{00000000-0005-0000-0000-0000AE5A0000}"/>
    <cellStyle name="Normal 23 2 3 2 2" xfId="6629" xr:uid="{00000000-0005-0000-0000-0000AF5A0000}"/>
    <cellStyle name="Normal 23 2 3 2 2 2" xfId="9715" xr:uid="{00000000-0005-0000-0000-0000B05A0000}"/>
    <cellStyle name="Normal 23 2 3 2 2 2 2" xfId="15908" xr:uid="{00000000-0005-0000-0000-0000B15A0000}"/>
    <cellStyle name="Normal 23 2 3 2 2 2 2 2" xfId="35828" xr:uid="{00000000-0005-0000-0000-0000B25A0000}"/>
    <cellStyle name="Normal 23 2 3 2 2 2 3" xfId="22060" xr:uid="{00000000-0005-0000-0000-0000B35A0000}"/>
    <cellStyle name="Normal 23 2 3 2 2 2 3 2" xfId="41980" xr:uid="{00000000-0005-0000-0000-0000B45A0000}"/>
    <cellStyle name="Normal 23 2 3 2 2 2 4" xfId="29675" xr:uid="{00000000-0005-0000-0000-0000B55A0000}"/>
    <cellStyle name="Normal 23 2 3 2 2 3" xfId="12842" xr:uid="{00000000-0005-0000-0000-0000B65A0000}"/>
    <cellStyle name="Normal 23 2 3 2 2 3 2" xfId="32762" xr:uid="{00000000-0005-0000-0000-0000B75A0000}"/>
    <cellStyle name="Normal 23 2 3 2 2 4" xfId="18994" xr:uid="{00000000-0005-0000-0000-0000B85A0000}"/>
    <cellStyle name="Normal 23 2 3 2 2 4 2" xfId="38914" xr:uid="{00000000-0005-0000-0000-0000B95A0000}"/>
    <cellStyle name="Normal 23 2 3 2 2 5" xfId="26609" xr:uid="{00000000-0005-0000-0000-0000BA5A0000}"/>
    <cellStyle name="Normal 23 2 3 2 3" xfId="8180" xr:uid="{00000000-0005-0000-0000-0000BB5A0000}"/>
    <cellStyle name="Normal 23 2 3 2 3 2" xfId="14374" xr:uid="{00000000-0005-0000-0000-0000BC5A0000}"/>
    <cellStyle name="Normal 23 2 3 2 3 2 2" xfId="34294" xr:uid="{00000000-0005-0000-0000-0000BD5A0000}"/>
    <cellStyle name="Normal 23 2 3 2 3 3" xfId="20526" xr:uid="{00000000-0005-0000-0000-0000BE5A0000}"/>
    <cellStyle name="Normal 23 2 3 2 3 3 2" xfId="40446" xr:uid="{00000000-0005-0000-0000-0000BF5A0000}"/>
    <cellStyle name="Normal 23 2 3 2 3 4" xfId="28141" xr:uid="{00000000-0005-0000-0000-0000C05A0000}"/>
    <cellStyle name="Normal 23 2 3 2 4" xfId="11308" xr:uid="{00000000-0005-0000-0000-0000C15A0000}"/>
    <cellStyle name="Normal 23 2 3 2 4 2" xfId="31228" xr:uid="{00000000-0005-0000-0000-0000C25A0000}"/>
    <cellStyle name="Normal 23 2 3 2 5" xfId="17460" xr:uid="{00000000-0005-0000-0000-0000C35A0000}"/>
    <cellStyle name="Normal 23 2 3 2 5 2" xfId="37380" xr:uid="{00000000-0005-0000-0000-0000C45A0000}"/>
    <cellStyle name="Normal 23 2 3 2 6" xfId="25075" xr:uid="{00000000-0005-0000-0000-0000C55A0000}"/>
    <cellStyle name="Normal 23 2 3 3" xfId="5846" xr:uid="{00000000-0005-0000-0000-0000C65A0000}"/>
    <cellStyle name="Normal 23 2 3 3 2" xfId="8946" xr:uid="{00000000-0005-0000-0000-0000C75A0000}"/>
    <cellStyle name="Normal 23 2 3 3 2 2" xfId="15139" xr:uid="{00000000-0005-0000-0000-0000C85A0000}"/>
    <cellStyle name="Normal 23 2 3 3 2 2 2" xfId="35059" xr:uid="{00000000-0005-0000-0000-0000C95A0000}"/>
    <cellStyle name="Normal 23 2 3 3 2 3" xfId="21291" xr:uid="{00000000-0005-0000-0000-0000CA5A0000}"/>
    <cellStyle name="Normal 23 2 3 3 2 3 2" xfId="41211" xr:uid="{00000000-0005-0000-0000-0000CB5A0000}"/>
    <cellStyle name="Normal 23 2 3 3 2 4" xfId="28906" xr:uid="{00000000-0005-0000-0000-0000CC5A0000}"/>
    <cellStyle name="Normal 23 2 3 3 3" xfId="12073" xr:uid="{00000000-0005-0000-0000-0000CD5A0000}"/>
    <cellStyle name="Normal 23 2 3 3 3 2" xfId="31993" xr:uid="{00000000-0005-0000-0000-0000CE5A0000}"/>
    <cellStyle name="Normal 23 2 3 3 4" xfId="18225" xr:uid="{00000000-0005-0000-0000-0000CF5A0000}"/>
    <cellStyle name="Normal 23 2 3 3 4 2" xfId="38145" xr:uid="{00000000-0005-0000-0000-0000D05A0000}"/>
    <cellStyle name="Normal 23 2 3 3 5" xfId="25840" xr:uid="{00000000-0005-0000-0000-0000D15A0000}"/>
    <cellStyle name="Normal 23 2 3 4" xfId="7411" xr:uid="{00000000-0005-0000-0000-0000D25A0000}"/>
    <cellStyle name="Normal 23 2 3 4 2" xfId="13605" xr:uid="{00000000-0005-0000-0000-0000D35A0000}"/>
    <cellStyle name="Normal 23 2 3 4 2 2" xfId="33525" xr:uid="{00000000-0005-0000-0000-0000D45A0000}"/>
    <cellStyle name="Normal 23 2 3 4 3" xfId="19757" xr:uid="{00000000-0005-0000-0000-0000D55A0000}"/>
    <cellStyle name="Normal 23 2 3 4 3 2" xfId="39677" xr:uid="{00000000-0005-0000-0000-0000D65A0000}"/>
    <cellStyle name="Normal 23 2 3 4 4" xfId="27372" xr:uid="{00000000-0005-0000-0000-0000D75A0000}"/>
    <cellStyle name="Normal 23 2 3 5" xfId="10539" xr:uid="{00000000-0005-0000-0000-0000D85A0000}"/>
    <cellStyle name="Normal 23 2 3 5 2" xfId="30459" xr:uid="{00000000-0005-0000-0000-0000D95A0000}"/>
    <cellStyle name="Normal 23 2 3 6" xfId="16691" xr:uid="{00000000-0005-0000-0000-0000DA5A0000}"/>
    <cellStyle name="Normal 23 2 3 6 2" xfId="36611" xr:uid="{00000000-0005-0000-0000-0000DB5A0000}"/>
    <cellStyle name="Normal 23 2 3 7" xfId="24306" xr:uid="{00000000-0005-0000-0000-0000DC5A0000}"/>
    <cellStyle name="Normal 23 2 4" xfId="3544" xr:uid="{00000000-0005-0000-0000-0000DD5A0000}"/>
    <cellStyle name="Normal 23 2 4 2" xfId="5005" xr:uid="{00000000-0005-0000-0000-0000DE5A0000}"/>
    <cellStyle name="Normal 23 2 4 2 2" xfId="6630" xr:uid="{00000000-0005-0000-0000-0000DF5A0000}"/>
    <cellStyle name="Normal 23 2 4 2 2 2" xfId="9716" xr:uid="{00000000-0005-0000-0000-0000E05A0000}"/>
    <cellStyle name="Normal 23 2 4 2 2 2 2" xfId="15909" xr:uid="{00000000-0005-0000-0000-0000E15A0000}"/>
    <cellStyle name="Normal 23 2 4 2 2 2 2 2" xfId="35829" xr:uid="{00000000-0005-0000-0000-0000E25A0000}"/>
    <cellStyle name="Normal 23 2 4 2 2 2 3" xfId="22061" xr:uid="{00000000-0005-0000-0000-0000E35A0000}"/>
    <cellStyle name="Normal 23 2 4 2 2 2 3 2" xfId="41981" xr:uid="{00000000-0005-0000-0000-0000E45A0000}"/>
    <cellStyle name="Normal 23 2 4 2 2 2 4" xfId="29676" xr:uid="{00000000-0005-0000-0000-0000E55A0000}"/>
    <cellStyle name="Normal 23 2 4 2 2 3" xfId="12843" xr:uid="{00000000-0005-0000-0000-0000E65A0000}"/>
    <cellStyle name="Normal 23 2 4 2 2 3 2" xfId="32763" xr:uid="{00000000-0005-0000-0000-0000E75A0000}"/>
    <cellStyle name="Normal 23 2 4 2 2 4" xfId="18995" xr:uid="{00000000-0005-0000-0000-0000E85A0000}"/>
    <cellStyle name="Normal 23 2 4 2 2 4 2" xfId="38915" xr:uid="{00000000-0005-0000-0000-0000E95A0000}"/>
    <cellStyle name="Normal 23 2 4 2 2 5" xfId="26610" xr:uid="{00000000-0005-0000-0000-0000EA5A0000}"/>
    <cellStyle name="Normal 23 2 4 2 3" xfId="8181" xr:uid="{00000000-0005-0000-0000-0000EB5A0000}"/>
    <cellStyle name="Normal 23 2 4 2 3 2" xfId="14375" xr:uid="{00000000-0005-0000-0000-0000EC5A0000}"/>
    <cellStyle name="Normal 23 2 4 2 3 2 2" xfId="34295" xr:uid="{00000000-0005-0000-0000-0000ED5A0000}"/>
    <cellStyle name="Normal 23 2 4 2 3 3" xfId="20527" xr:uid="{00000000-0005-0000-0000-0000EE5A0000}"/>
    <cellStyle name="Normal 23 2 4 2 3 3 2" xfId="40447" xr:uid="{00000000-0005-0000-0000-0000EF5A0000}"/>
    <cellStyle name="Normal 23 2 4 2 3 4" xfId="28142" xr:uid="{00000000-0005-0000-0000-0000F05A0000}"/>
    <cellStyle name="Normal 23 2 4 2 4" xfId="11309" xr:uid="{00000000-0005-0000-0000-0000F15A0000}"/>
    <cellStyle name="Normal 23 2 4 2 4 2" xfId="31229" xr:uid="{00000000-0005-0000-0000-0000F25A0000}"/>
    <cellStyle name="Normal 23 2 4 2 5" xfId="17461" xr:uid="{00000000-0005-0000-0000-0000F35A0000}"/>
    <cellStyle name="Normal 23 2 4 2 5 2" xfId="37381" xr:uid="{00000000-0005-0000-0000-0000F45A0000}"/>
    <cellStyle name="Normal 23 2 4 2 6" xfId="25076" xr:uid="{00000000-0005-0000-0000-0000F55A0000}"/>
    <cellStyle name="Normal 23 2 4 3" xfId="5847" xr:uid="{00000000-0005-0000-0000-0000F65A0000}"/>
    <cellStyle name="Normal 23 2 4 3 2" xfId="8947" xr:uid="{00000000-0005-0000-0000-0000F75A0000}"/>
    <cellStyle name="Normal 23 2 4 3 2 2" xfId="15140" xr:uid="{00000000-0005-0000-0000-0000F85A0000}"/>
    <cellStyle name="Normal 23 2 4 3 2 2 2" xfId="35060" xr:uid="{00000000-0005-0000-0000-0000F95A0000}"/>
    <cellStyle name="Normal 23 2 4 3 2 3" xfId="21292" xr:uid="{00000000-0005-0000-0000-0000FA5A0000}"/>
    <cellStyle name="Normal 23 2 4 3 2 3 2" xfId="41212" xr:uid="{00000000-0005-0000-0000-0000FB5A0000}"/>
    <cellStyle name="Normal 23 2 4 3 2 4" xfId="28907" xr:uid="{00000000-0005-0000-0000-0000FC5A0000}"/>
    <cellStyle name="Normal 23 2 4 3 3" xfId="12074" xr:uid="{00000000-0005-0000-0000-0000FD5A0000}"/>
    <cellStyle name="Normal 23 2 4 3 3 2" xfId="31994" xr:uid="{00000000-0005-0000-0000-0000FE5A0000}"/>
    <cellStyle name="Normal 23 2 4 3 4" xfId="18226" xr:uid="{00000000-0005-0000-0000-0000FF5A0000}"/>
    <cellStyle name="Normal 23 2 4 3 4 2" xfId="38146" xr:uid="{00000000-0005-0000-0000-0000005B0000}"/>
    <cellStyle name="Normal 23 2 4 3 5" xfId="25841" xr:uid="{00000000-0005-0000-0000-0000015B0000}"/>
    <cellStyle name="Normal 23 2 4 4" xfId="7412" xr:uid="{00000000-0005-0000-0000-0000025B0000}"/>
    <cellStyle name="Normal 23 2 4 4 2" xfId="13606" xr:uid="{00000000-0005-0000-0000-0000035B0000}"/>
    <cellStyle name="Normal 23 2 4 4 2 2" xfId="33526" xr:uid="{00000000-0005-0000-0000-0000045B0000}"/>
    <cellStyle name="Normal 23 2 4 4 3" xfId="19758" xr:uid="{00000000-0005-0000-0000-0000055B0000}"/>
    <cellStyle name="Normal 23 2 4 4 3 2" xfId="39678" xr:uid="{00000000-0005-0000-0000-0000065B0000}"/>
    <cellStyle name="Normal 23 2 4 4 4" xfId="27373" xr:uid="{00000000-0005-0000-0000-0000075B0000}"/>
    <cellStyle name="Normal 23 2 4 5" xfId="10540" xr:uid="{00000000-0005-0000-0000-0000085B0000}"/>
    <cellStyle name="Normal 23 2 4 5 2" xfId="30460" xr:uid="{00000000-0005-0000-0000-0000095B0000}"/>
    <cellStyle name="Normal 23 2 4 6" xfId="16692" xr:uid="{00000000-0005-0000-0000-00000A5B0000}"/>
    <cellStyle name="Normal 23 2 4 6 2" xfId="36612" xr:uid="{00000000-0005-0000-0000-00000B5B0000}"/>
    <cellStyle name="Normal 23 2 4 7" xfId="24307" xr:uid="{00000000-0005-0000-0000-00000C5B0000}"/>
    <cellStyle name="Normal 23 2 5" xfId="3545" xr:uid="{00000000-0005-0000-0000-00000D5B0000}"/>
    <cellStyle name="Normal 23 2 5 2" xfId="5006" xr:uid="{00000000-0005-0000-0000-00000E5B0000}"/>
    <cellStyle name="Normal 23 2 5 2 2" xfId="6631" xr:uid="{00000000-0005-0000-0000-00000F5B0000}"/>
    <cellStyle name="Normal 23 2 5 2 2 2" xfId="9717" xr:uid="{00000000-0005-0000-0000-0000105B0000}"/>
    <cellStyle name="Normal 23 2 5 2 2 2 2" xfId="15910" xr:uid="{00000000-0005-0000-0000-0000115B0000}"/>
    <cellStyle name="Normal 23 2 5 2 2 2 2 2" xfId="35830" xr:uid="{00000000-0005-0000-0000-0000125B0000}"/>
    <cellStyle name="Normal 23 2 5 2 2 2 3" xfId="22062" xr:uid="{00000000-0005-0000-0000-0000135B0000}"/>
    <cellStyle name="Normal 23 2 5 2 2 2 3 2" xfId="41982" xr:uid="{00000000-0005-0000-0000-0000145B0000}"/>
    <cellStyle name="Normal 23 2 5 2 2 2 4" xfId="29677" xr:uid="{00000000-0005-0000-0000-0000155B0000}"/>
    <cellStyle name="Normal 23 2 5 2 2 3" xfId="12844" xr:uid="{00000000-0005-0000-0000-0000165B0000}"/>
    <cellStyle name="Normal 23 2 5 2 2 3 2" xfId="32764" xr:uid="{00000000-0005-0000-0000-0000175B0000}"/>
    <cellStyle name="Normal 23 2 5 2 2 4" xfId="18996" xr:uid="{00000000-0005-0000-0000-0000185B0000}"/>
    <cellStyle name="Normal 23 2 5 2 2 4 2" xfId="38916" xr:uid="{00000000-0005-0000-0000-0000195B0000}"/>
    <cellStyle name="Normal 23 2 5 2 2 5" xfId="26611" xr:uid="{00000000-0005-0000-0000-00001A5B0000}"/>
    <cellStyle name="Normal 23 2 5 2 3" xfId="8182" xr:uid="{00000000-0005-0000-0000-00001B5B0000}"/>
    <cellStyle name="Normal 23 2 5 2 3 2" xfId="14376" xr:uid="{00000000-0005-0000-0000-00001C5B0000}"/>
    <cellStyle name="Normal 23 2 5 2 3 2 2" xfId="34296" xr:uid="{00000000-0005-0000-0000-00001D5B0000}"/>
    <cellStyle name="Normal 23 2 5 2 3 3" xfId="20528" xr:uid="{00000000-0005-0000-0000-00001E5B0000}"/>
    <cellStyle name="Normal 23 2 5 2 3 3 2" xfId="40448" xr:uid="{00000000-0005-0000-0000-00001F5B0000}"/>
    <cellStyle name="Normal 23 2 5 2 3 4" xfId="28143" xr:uid="{00000000-0005-0000-0000-0000205B0000}"/>
    <cellStyle name="Normal 23 2 5 2 4" xfId="11310" xr:uid="{00000000-0005-0000-0000-0000215B0000}"/>
    <cellStyle name="Normal 23 2 5 2 4 2" xfId="31230" xr:uid="{00000000-0005-0000-0000-0000225B0000}"/>
    <cellStyle name="Normal 23 2 5 2 5" xfId="17462" xr:uid="{00000000-0005-0000-0000-0000235B0000}"/>
    <cellStyle name="Normal 23 2 5 2 5 2" xfId="37382" xr:uid="{00000000-0005-0000-0000-0000245B0000}"/>
    <cellStyle name="Normal 23 2 5 2 6" xfId="25077" xr:uid="{00000000-0005-0000-0000-0000255B0000}"/>
    <cellStyle name="Normal 23 2 5 3" xfId="5848" xr:uid="{00000000-0005-0000-0000-0000265B0000}"/>
    <cellStyle name="Normal 23 2 5 3 2" xfId="8948" xr:uid="{00000000-0005-0000-0000-0000275B0000}"/>
    <cellStyle name="Normal 23 2 5 3 2 2" xfId="15141" xr:uid="{00000000-0005-0000-0000-0000285B0000}"/>
    <cellStyle name="Normal 23 2 5 3 2 2 2" xfId="35061" xr:uid="{00000000-0005-0000-0000-0000295B0000}"/>
    <cellStyle name="Normal 23 2 5 3 2 3" xfId="21293" xr:uid="{00000000-0005-0000-0000-00002A5B0000}"/>
    <cellStyle name="Normal 23 2 5 3 2 3 2" xfId="41213" xr:uid="{00000000-0005-0000-0000-00002B5B0000}"/>
    <cellStyle name="Normal 23 2 5 3 2 4" xfId="28908" xr:uid="{00000000-0005-0000-0000-00002C5B0000}"/>
    <cellStyle name="Normal 23 2 5 3 3" xfId="12075" xr:uid="{00000000-0005-0000-0000-00002D5B0000}"/>
    <cellStyle name="Normal 23 2 5 3 3 2" xfId="31995" xr:uid="{00000000-0005-0000-0000-00002E5B0000}"/>
    <cellStyle name="Normal 23 2 5 3 4" xfId="18227" xr:uid="{00000000-0005-0000-0000-00002F5B0000}"/>
    <cellStyle name="Normal 23 2 5 3 4 2" xfId="38147" xr:uid="{00000000-0005-0000-0000-0000305B0000}"/>
    <cellStyle name="Normal 23 2 5 3 5" xfId="25842" xr:uid="{00000000-0005-0000-0000-0000315B0000}"/>
    <cellStyle name="Normal 23 2 5 4" xfId="7413" xr:uid="{00000000-0005-0000-0000-0000325B0000}"/>
    <cellStyle name="Normal 23 2 5 4 2" xfId="13607" xr:uid="{00000000-0005-0000-0000-0000335B0000}"/>
    <cellStyle name="Normal 23 2 5 4 2 2" xfId="33527" xr:uid="{00000000-0005-0000-0000-0000345B0000}"/>
    <cellStyle name="Normal 23 2 5 4 3" xfId="19759" xr:uid="{00000000-0005-0000-0000-0000355B0000}"/>
    <cellStyle name="Normal 23 2 5 4 3 2" xfId="39679" xr:uid="{00000000-0005-0000-0000-0000365B0000}"/>
    <cellStyle name="Normal 23 2 5 4 4" xfId="27374" xr:uid="{00000000-0005-0000-0000-0000375B0000}"/>
    <cellStyle name="Normal 23 2 5 5" xfId="10541" xr:uid="{00000000-0005-0000-0000-0000385B0000}"/>
    <cellStyle name="Normal 23 2 5 5 2" xfId="30461" xr:uid="{00000000-0005-0000-0000-0000395B0000}"/>
    <cellStyle name="Normal 23 2 5 6" xfId="16693" xr:uid="{00000000-0005-0000-0000-00003A5B0000}"/>
    <cellStyle name="Normal 23 2 5 6 2" xfId="36613" xr:uid="{00000000-0005-0000-0000-00003B5B0000}"/>
    <cellStyle name="Normal 23 2 5 7" xfId="24308" xr:uid="{00000000-0005-0000-0000-00003C5B0000}"/>
    <cellStyle name="Normal 23 2 6" xfId="5002" xr:uid="{00000000-0005-0000-0000-00003D5B0000}"/>
    <cellStyle name="Normal 23 2 6 2" xfId="6627" xr:uid="{00000000-0005-0000-0000-00003E5B0000}"/>
    <cellStyle name="Normal 23 2 6 2 2" xfId="9713" xr:uid="{00000000-0005-0000-0000-00003F5B0000}"/>
    <cellStyle name="Normal 23 2 6 2 2 2" xfId="15906" xr:uid="{00000000-0005-0000-0000-0000405B0000}"/>
    <cellStyle name="Normal 23 2 6 2 2 2 2" xfId="35826" xr:uid="{00000000-0005-0000-0000-0000415B0000}"/>
    <cellStyle name="Normal 23 2 6 2 2 3" xfId="22058" xr:uid="{00000000-0005-0000-0000-0000425B0000}"/>
    <cellStyle name="Normal 23 2 6 2 2 3 2" xfId="41978" xr:uid="{00000000-0005-0000-0000-0000435B0000}"/>
    <cellStyle name="Normal 23 2 6 2 2 4" xfId="29673" xr:uid="{00000000-0005-0000-0000-0000445B0000}"/>
    <cellStyle name="Normal 23 2 6 2 3" xfId="12840" xr:uid="{00000000-0005-0000-0000-0000455B0000}"/>
    <cellStyle name="Normal 23 2 6 2 3 2" xfId="32760" xr:uid="{00000000-0005-0000-0000-0000465B0000}"/>
    <cellStyle name="Normal 23 2 6 2 4" xfId="18992" xr:uid="{00000000-0005-0000-0000-0000475B0000}"/>
    <cellStyle name="Normal 23 2 6 2 4 2" xfId="38912" xr:uid="{00000000-0005-0000-0000-0000485B0000}"/>
    <cellStyle name="Normal 23 2 6 2 5" xfId="26607" xr:uid="{00000000-0005-0000-0000-0000495B0000}"/>
    <cellStyle name="Normal 23 2 6 3" xfId="8178" xr:uid="{00000000-0005-0000-0000-00004A5B0000}"/>
    <cellStyle name="Normal 23 2 6 3 2" xfId="14372" xr:uid="{00000000-0005-0000-0000-00004B5B0000}"/>
    <cellStyle name="Normal 23 2 6 3 2 2" xfId="34292" xr:uid="{00000000-0005-0000-0000-00004C5B0000}"/>
    <cellStyle name="Normal 23 2 6 3 3" xfId="20524" xr:uid="{00000000-0005-0000-0000-00004D5B0000}"/>
    <cellStyle name="Normal 23 2 6 3 3 2" xfId="40444" xr:uid="{00000000-0005-0000-0000-00004E5B0000}"/>
    <cellStyle name="Normal 23 2 6 3 4" xfId="28139" xr:uid="{00000000-0005-0000-0000-00004F5B0000}"/>
    <cellStyle name="Normal 23 2 6 4" xfId="11306" xr:uid="{00000000-0005-0000-0000-0000505B0000}"/>
    <cellStyle name="Normal 23 2 6 4 2" xfId="31226" xr:uid="{00000000-0005-0000-0000-0000515B0000}"/>
    <cellStyle name="Normal 23 2 6 5" xfId="17458" xr:uid="{00000000-0005-0000-0000-0000525B0000}"/>
    <cellStyle name="Normal 23 2 6 5 2" xfId="37378" xr:uid="{00000000-0005-0000-0000-0000535B0000}"/>
    <cellStyle name="Normal 23 2 6 6" xfId="25073" xr:uid="{00000000-0005-0000-0000-0000545B0000}"/>
    <cellStyle name="Normal 23 2 7" xfId="5844" xr:uid="{00000000-0005-0000-0000-0000555B0000}"/>
    <cellStyle name="Normal 23 2 7 2" xfId="8944" xr:uid="{00000000-0005-0000-0000-0000565B0000}"/>
    <cellStyle name="Normal 23 2 7 2 2" xfId="15137" xr:uid="{00000000-0005-0000-0000-0000575B0000}"/>
    <cellStyle name="Normal 23 2 7 2 2 2" xfId="35057" xr:uid="{00000000-0005-0000-0000-0000585B0000}"/>
    <cellStyle name="Normal 23 2 7 2 3" xfId="21289" xr:uid="{00000000-0005-0000-0000-0000595B0000}"/>
    <cellStyle name="Normal 23 2 7 2 3 2" xfId="41209" xr:uid="{00000000-0005-0000-0000-00005A5B0000}"/>
    <cellStyle name="Normal 23 2 7 2 4" xfId="28904" xr:uid="{00000000-0005-0000-0000-00005B5B0000}"/>
    <cellStyle name="Normal 23 2 7 3" xfId="12071" xr:uid="{00000000-0005-0000-0000-00005C5B0000}"/>
    <cellStyle name="Normal 23 2 7 3 2" xfId="31991" xr:uid="{00000000-0005-0000-0000-00005D5B0000}"/>
    <cellStyle name="Normal 23 2 7 4" xfId="18223" xr:uid="{00000000-0005-0000-0000-00005E5B0000}"/>
    <cellStyle name="Normal 23 2 7 4 2" xfId="38143" xr:uid="{00000000-0005-0000-0000-00005F5B0000}"/>
    <cellStyle name="Normal 23 2 7 5" xfId="25838" xr:uid="{00000000-0005-0000-0000-0000605B0000}"/>
    <cellStyle name="Normal 23 2 8" xfId="7409" xr:uid="{00000000-0005-0000-0000-0000615B0000}"/>
    <cellStyle name="Normal 23 2 8 2" xfId="13603" xr:uid="{00000000-0005-0000-0000-0000625B0000}"/>
    <cellStyle name="Normal 23 2 8 2 2" xfId="33523" xr:uid="{00000000-0005-0000-0000-0000635B0000}"/>
    <cellStyle name="Normal 23 2 8 3" xfId="19755" xr:uid="{00000000-0005-0000-0000-0000645B0000}"/>
    <cellStyle name="Normal 23 2 8 3 2" xfId="39675" xr:uid="{00000000-0005-0000-0000-0000655B0000}"/>
    <cellStyle name="Normal 23 2 8 4" xfId="27370" xr:uid="{00000000-0005-0000-0000-0000665B0000}"/>
    <cellStyle name="Normal 23 2 9" xfId="10537" xr:uid="{00000000-0005-0000-0000-0000675B0000}"/>
    <cellStyle name="Normal 23 2 9 2" xfId="30457" xr:uid="{00000000-0005-0000-0000-0000685B0000}"/>
    <cellStyle name="Normal 23 3" xfId="3546" xr:uid="{00000000-0005-0000-0000-0000695B0000}"/>
    <cellStyle name="Normal 23 3 2" xfId="5007" xr:uid="{00000000-0005-0000-0000-00006A5B0000}"/>
    <cellStyle name="Normal 23 3 2 2" xfId="6632" xr:uid="{00000000-0005-0000-0000-00006B5B0000}"/>
    <cellStyle name="Normal 23 3 2 2 2" xfId="9718" xr:uid="{00000000-0005-0000-0000-00006C5B0000}"/>
    <cellStyle name="Normal 23 3 2 2 2 2" xfId="15911" xr:uid="{00000000-0005-0000-0000-00006D5B0000}"/>
    <cellStyle name="Normal 23 3 2 2 2 2 2" xfId="35831" xr:uid="{00000000-0005-0000-0000-00006E5B0000}"/>
    <cellStyle name="Normal 23 3 2 2 2 3" xfId="22063" xr:uid="{00000000-0005-0000-0000-00006F5B0000}"/>
    <cellStyle name="Normal 23 3 2 2 2 3 2" xfId="41983" xr:uid="{00000000-0005-0000-0000-0000705B0000}"/>
    <cellStyle name="Normal 23 3 2 2 2 4" xfId="29678" xr:uid="{00000000-0005-0000-0000-0000715B0000}"/>
    <cellStyle name="Normal 23 3 2 2 3" xfId="12845" xr:uid="{00000000-0005-0000-0000-0000725B0000}"/>
    <cellStyle name="Normal 23 3 2 2 3 2" xfId="32765" xr:uid="{00000000-0005-0000-0000-0000735B0000}"/>
    <cellStyle name="Normal 23 3 2 2 4" xfId="18997" xr:uid="{00000000-0005-0000-0000-0000745B0000}"/>
    <cellStyle name="Normal 23 3 2 2 4 2" xfId="38917" xr:uid="{00000000-0005-0000-0000-0000755B0000}"/>
    <cellStyle name="Normal 23 3 2 2 5" xfId="26612" xr:uid="{00000000-0005-0000-0000-0000765B0000}"/>
    <cellStyle name="Normal 23 3 2 3" xfId="8183" xr:uid="{00000000-0005-0000-0000-0000775B0000}"/>
    <cellStyle name="Normal 23 3 2 3 2" xfId="14377" xr:uid="{00000000-0005-0000-0000-0000785B0000}"/>
    <cellStyle name="Normal 23 3 2 3 2 2" xfId="34297" xr:uid="{00000000-0005-0000-0000-0000795B0000}"/>
    <cellStyle name="Normal 23 3 2 3 3" xfId="20529" xr:uid="{00000000-0005-0000-0000-00007A5B0000}"/>
    <cellStyle name="Normal 23 3 2 3 3 2" xfId="40449" xr:uid="{00000000-0005-0000-0000-00007B5B0000}"/>
    <cellStyle name="Normal 23 3 2 3 4" xfId="28144" xr:uid="{00000000-0005-0000-0000-00007C5B0000}"/>
    <cellStyle name="Normal 23 3 2 4" xfId="11311" xr:uid="{00000000-0005-0000-0000-00007D5B0000}"/>
    <cellStyle name="Normal 23 3 2 4 2" xfId="31231" xr:uid="{00000000-0005-0000-0000-00007E5B0000}"/>
    <cellStyle name="Normal 23 3 2 5" xfId="17463" xr:uid="{00000000-0005-0000-0000-00007F5B0000}"/>
    <cellStyle name="Normal 23 3 2 5 2" xfId="37383" xr:uid="{00000000-0005-0000-0000-0000805B0000}"/>
    <cellStyle name="Normal 23 3 2 6" xfId="25078" xr:uid="{00000000-0005-0000-0000-0000815B0000}"/>
    <cellStyle name="Normal 23 3 3" xfId="5849" xr:uid="{00000000-0005-0000-0000-0000825B0000}"/>
    <cellStyle name="Normal 23 3 3 2" xfId="8949" xr:uid="{00000000-0005-0000-0000-0000835B0000}"/>
    <cellStyle name="Normal 23 3 3 2 2" xfId="15142" xr:uid="{00000000-0005-0000-0000-0000845B0000}"/>
    <cellStyle name="Normal 23 3 3 2 2 2" xfId="35062" xr:uid="{00000000-0005-0000-0000-0000855B0000}"/>
    <cellStyle name="Normal 23 3 3 2 3" xfId="21294" xr:uid="{00000000-0005-0000-0000-0000865B0000}"/>
    <cellStyle name="Normal 23 3 3 2 3 2" xfId="41214" xr:uid="{00000000-0005-0000-0000-0000875B0000}"/>
    <cellStyle name="Normal 23 3 3 2 4" xfId="28909" xr:uid="{00000000-0005-0000-0000-0000885B0000}"/>
    <cellStyle name="Normal 23 3 3 3" xfId="12076" xr:uid="{00000000-0005-0000-0000-0000895B0000}"/>
    <cellStyle name="Normal 23 3 3 3 2" xfId="31996" xr:uid="{00000000-0005-0000-0000-00008A5B0000}"/>
    <cellStyle name="Normal 23 3 3 4" xfId="18228" xr:uid="{00000000-0005-0000-0000-00008B5B0000}"/>
    <cellStyle name="Normal 23 3 3 4 2" xfId="38148" xr:uid="{00000000-0005-0000-0000-00008C5B0000}"/>
    <cellStyle name="Normal 23 3 3 5" xfId="25843" xr:uid="{00000000-0005-0000-0000-00008D5B0000}"/>
    <cellStyle name="Normal 23 3 4" xfId="7414" xr:uid="{00000000-0005-0000-0000-00008E5B0000}"/>
    <cellStyle name="Normal 23 3 4 2" xfId="13608" xr:uid="{00000000-0005-0000-0000-00008F5B0000}"/>
    <cellStyle name="Normal 23 3 4 2 2" xfId="33528" xr:uid="{00000000-0005-0000-0000-0000905B0000}"/>
    <cellStyle name="Normal 23 3 4 3" xfId="19760" xr:uid="{00000000-0005-0000-0000-0000915B0000}"/>
    <cellStyle name="Normal 23 3 4 3 2" xfId="39680" xr:uid="{00000000-0005-0000-0000-0000925B0000}"/>
    <cellStyle name="Normal 23 3 4 4" xfId="27375" xr:uid="{00000000-0005-0000-0000-0000935B0000}"/>
    <cellStyle name="Normal 23 3 5" xfId="10542" xr:uid="{00000000-0005-0000-0000-0000945B0000}"/>
    <cellStyle name="Normal 23 3 5 2" xfId="30462" xr:uid="{00000000-0005-0000-0000-0000955B0000}"/>
    <cellStyle name="Normal 23 3 6" xfId="16694" xr:uid="{00000000-0005-0000-0000-0000965B0000}"/>
    <cellStyle name="Normal 23 3 6 2" xfId="36614" xr:uid="{00000000-0005-0000-0000-0000975B0000}"/>
    <cellStyle name="Normal 23 3 7" xfId="24309" xr:uid="{00000000-0005-0000-0000-0000985B0000}"/>
    <cellStyle name="Normal 23 4" xfId="3547" xr:uid="{00000000-0005-0000-0000-0000995B0000}"/>
    <cellStyle name="Normal 23 4 2" xfId="5008" xr:uid="{00000000-0005-0000-0000-00009A5B0000}"/>
    <cellStyle name="Normal 23 4 2 2" xfId="6633" xr:uid="{00000000-0005-0000-0000-00009B5B0000}"/>
    <cellStyle name="Normal 23 4 2 2 2" xfId="9719" xr:uid="{00000000-0005-0000-0000-00009C5B0000}"/>
    <cellStyle name="Normal 23 4 2 2 2 2" xfId="15912" xr:uid="{00000000-0005-0000-0000-00009D5B0000}"/>
    <cellStyle name="Normal 23 4 2 2 2 2 2" xfId="35832" xr:uid="{00000000-0005-0000-0000-00009E5B0000}"/>
    <cellStyle name="Normal 23 4 2 2 2 3" xfId="22064" xr:uid="{00000000-0005-0000-0000-00009F5B0000}"/>
    <cellStyle name="Normal 23 4 2 2 2 3 2" xfId="41984" xr:uid="{00000000-0005-0000-0000-0000A05B0000}"/>
    <cellStyle name="Normal 23 4 2 2 2 4" xfId="29679" xr:uid="{00000000-0005-0000-0000-0000A15B0000}"/>
    <cellStyle name="Normal 23 4 2 2 3" xfId="12846" xr:uid="{00000000-0005-0000-0000-0000A25B0000}"/>
    <cellStyle name="Normal 23 4 2 2 3 2" xfId="32766" xr:uid="{00000000-0005-0000-0000-0000A35B0000}"/>
    <cellStyle name="Normal 23 4 2 2 4" xfId="18998" xr:uid="{00000000-0005-0000-0000-0000A45B0000}"/>
    <cellStyle name="Normal 23 4 2 2 4 2" xfId="38918" xr:uid="{00000000-0005-0000-0000-0000A55B0000}"/>
    <cellStyle name="Normal 23 4 2 2 5" xfId="26613" xr:uid="{00000000-0005-0000-0000-0000A65B0000}"/>
    <cellStyle name="Normal 23 4 2 3" xfId="8184" xr:uid="{00000000-0005-0000-0000-0000A75B0000}"/>
    <cellStyle name="Normal 23 4 2 3 2" xfId="14378" xr:uid="{00000000-0005-0000-0000-0000A85B0000}"/>
    <cellStyle name="Normal 23 4 2 3 2 2" xfId="34298" xr:uid="{00000000-0005-0000-0000-0000A95B0000}"/>
    <cellStyle name="Normal 23 4 2 3 3" xfId="20530" xr:uid="{00000000-0005-0000-0000-0000AA5B0000}"/>
    <cellStyle name="Normal 23 4 2 3 3 2" xfId="40450" xr:uid="{00000000-0005-0000-0000-0000AB5B0000}"/>
    <cellStyle name="Normal 23 4 2 3 4" xfId="28145" xr:uid="{00000000-0005-0000-0000-0000AC5B0000}"/>
    <cellStyle name="Normal 23 4 2 4" xfId="11312" xr:uid="{00000000-0005-0000-0000-0000AD5B0000}"/>
    <cellStyle name="Normal 23 4 2 4 2" xfId="31232" xr:uid="{00000000-0005-0000-0000-0000AE5B0000}"/>
    <cellStyle name="Normal 23 4 2 5" xfId="17464" xr:uid="{00000000-0005-0000-0000-0000AF5B0000}"/>
    <cellStyle name="Normal 23 4 2 5 2" xfId="37384" xr:uid="{00000000-0005-0000-0000-0000B05B0000}"/>
    <cellStyle name="Normal 23 4 2 6" xfId="25079" xr:uid="{00000000-0005-0000-0000-0000B15B0000}"/>
    <cellStyle name="Normal 23 4 3" xfId="5850" xr:uid="{00000000-0005-0000-0000-0000B25B0000}"/>
    <cellStyle name="Normal 23 4 3 2" xfId="8950" xr:uid="{00000000-0005-0000-0000-0000B35B0000}"/>
    <cellStyle name="Normal 23 4 3 2 2" xfId="15143" xr:uid="{00000000-0005-0000-0000-0000B45B0000}"/>
    <cellStyle name="Normal 23 4 3 2 2 2" xfId="35063" xr:uid="{00000000-0005-0000-0000-0000B55B0000}"/>
    <cellStyle name="Normal 23 4 3 2 3" xfId="21295" xr:uid="{00000000-0005-0000-0000-0000B65B0000}"/>
    <cellStyle name="Normal 23 4 3 2 3 2" xfId="41215" xr:uid="{00000000-0005-0000-0000-0000B75B0000}"/>
    <cellStyle name="Normal 23 4 3 2 4" xfId="28910" xr:uid="{00000000-0005-0000-0000-0000B85B0000}"/>
    <cellStyle name="Normal 23 4 3 3" xfId="12077" xr:uid="{00000000-0005-0000-0000-0000B95B0000}"/>
    <cellStyle name="Normal 23 4 3 3 2" xfId="31997" xr:uid="{00000000-0005-0000-0000-0000BA5B0000}"/>
    <cellStyle name="Normal 23 4 3 4" xfId="18229" xr:uid="{00000000-0005-0000-0000-0000BB5B0000}"/>
    <cellStyle name="Normal 23 4 3 4 2" xfId="38149" xr:uid="{00000000-0005-0000-0000-0000BC5B0000}"/>
    <cellStyle name="Normal 23 4 3 5" xfId="25844" xr:uid="{00000000-0005-0000-0000-0000BD5B0000}"/>
    <cellStyle name="Normal 23 4 4" xfId="7415" xr:uid="{00000000-0005-0000-0000-0000BE5B0000}"/>
    <cellStyle name="Normal 23 4 4 2" xfId="13609" xr:uid="{00000000-0005-0000-0000-0000BF5B0000}"/>
    <cellStyle name="Normal 23 4 4 2 2" xfId="33529" xr:uid="{00000000-0005-0000-0000-0000C05B0000}"/>
    <cellStyle name="Normal 23 4 4 3" xfId="19761" xr:uid="{00000000-0005-0000-0000-0000C15B0000}"/>
    <cellStyle name="Normal 23 4 4 3 2" xfId="39681" xr:uid="{00000000-0005-0000-0000-0000C25B0000}"/>
    <cellStyle name="Normal 23 4 4 4" xfId="27376" xr:uid="{00000000-0005-0000-0000-0000C35B0000}"/>
    <cellStyle name="Normal 23 4 5" xfId="10543" xr:uid="{00000000-0005-0000-0000-0000C45B0000}"/>
    <cellStyle name="Normal 23 4 5 2" xfId="30463" xr:uid="{00000000-0005-0000-0000-0000C55B0000}"/>
    <cellStyle name="Normal 23 4 6" xfId="16695" xr:uid="{00000000-0005-0000-0000-0000C65B0000}"/>
    <cellStyle name="Normal 23 4 6 2" xfId="36615" xr:uid="{00000000-0005-0000-0000-0000C75B0000}"/>
    <cellStyle name="Normal 23 4 7" xfId="24310" xr:uid="{00000000-0005-0000-0000-0000C85B0000}"/>
    <cellStyle name="Normal 23 5" xfId="3548" xr:uid="{00000000-0005-0000-0000-0000C95B0000}"/>
    <cellStyle name="Normal 23 5 2" xfId="5009" xr:uid="{00000000-0005-0000-0000-0000CA5B0000}"/>
    <cellStyle name="Normal 23 5 2 2" xfId="6634" xr:uid="{00000000-0005-0000-0000-0000CB5B0000}"/>
    <cellStyle name="Normal 23 5 2 2 2" xfId="9720" xr:uid="{00000000-0005-0000-0000-0000CC5B0000}"/>
    <cellStyle name="Normal 23 5 2 2 2 2" xfId="15913" xr:uid="{00000000-0005-0000-0000-0000CD5B0000}"/>
    <cellStyle name="Normal 23 5 2 2 2 2 2" xfId="35833" xr:uid="{00000000-0005-0000-0000-0000CE5B0000}"/>
    <cellStyle name="Normal 23 5 2 2 2 3" xfId="22065" xr:uid="{00000000-0005-0000-0000-0000CF5B0000}"/>
    <cellStyle name="Normal 23 5 2 2 2 3 2" xfId="41985" xr:uid="{00000000-0005-0000-0000-0000D05B0000}"/>
    <cellStyle name="Normal 23 5 2 2 2 4" xfId="29680" xr:uid="{00000000-0005-0000-0000-0000D15B0000}"/>
    <cellStyle name="Normal 23 5 2 2 3" xfId="12847" xr:uid="{00000000-0005-0000-0000-0000D25B0000}"/>
    <cellStyle name="Normal 23 5 2 2 3 2" xfId="32767" xr:uid="{00000000-0005-0000-0000-0000D35B0000}"/>
    <cellStyle name="Normal 23 5 2 2 4" xfId="18999" xr:uid="{00000000-0005-0000-0000-0000D45B0000}"/>
    <cellStyle name="Normal 23 5 2 2 4 2" xfId="38919" xr:uid="{00000000-0005-0000-0000-0000D55B0000}"/>
    <cellStyle name="Normal 23 5 2 2 5" xfId="26614" xr:uid="{00000000-0005-0000-0000-0000D65B0000}"/>
    <cellStyle name="Normal 23 5 2 3" xfId="8185" xr:uid="{00000000-0005-0000-0000-0000D75B0000}"/>
    <cellStyle name="Normal 23 5 2 3 2" xfId="14379" xr:uid="{00000000-0005-0000-0000-0000D85B0000}"/>
    <cellStyle name="Normal 23 5 2 3 2 2" xfId="34299" xr:uid="{00000000-0005-0000-0000-0000D95B0000}"/>
    <cellStyle name="Normal 23 5 2 3 3" xfId="20531" xr:uid="{00000000-0005-0000-0000-0000DA5B0000}"/>
    <cellStyle name="Normal 23 5 2 3 3 2" xfId="40451" xr:uid="{00000000-0005-0000-0000-0000DB5B0000}"/>
    <cellStyle name="Normal 23 5 2 3 4" xfId="28146" xr:uid="{00000000-0005-0000-0000-0000DC5B0000}"/>
    <cellStyle name="Normal 23 5 2 4" xfId="11313" xr:uid="{00000000-0005-0000-0000-0000DD5B0000}"/>
    <cellStyle name="Normal 23 5 2 4 2" xfId="31233" xr:uid="{00000000-0005-0000-0000-0000DE5B0000}"/>
    <cellStyle name="Normal 23 5 2 5" xfId="17465" xr:uid="{00000000-0005-0000-0000-0000DF5B0000}"/>
    <cellStyle name="Normal 23 5 2 5 2" xfId="37385" xr:uid="{00000000-0005-0000-0000-0000E05B0000}"/>
    <cellStyle name="Normal 23 5 2 6" xfId="25080" xr:uid="{00000000-0005-0000-0000-0000E15B0000}"/>
    <cellStyle name="Normal 23 5 3" xfId="5851" xr:uid="{00000000-0005-0000-0000-0000E25B0000}"/>
    <cellStyle name="Normal 23 5 3 2" xfId="8951" xr:uid="{00000000-0005-0000-0000-0000E35B0000}"/>
    <cellStyle name="Normal 23 5 3 2 2" xfId="15144" xr:uid="{00000000-0005-0000-0000-0000E45B0000}"/>
    <cellStyle name="Normal 23 5 3 2 2 2" xfId="35064" xr:uid="{00000000-0005-0000-0000-0000E55B0000}"/>
    <cellStyle name="Normal 23 5 3 2 3" xfId="21296" xr:uid="{00000000-0005-0000-0000-0000E65B0000}"/>
    <cellStyle name="Normal 23 5 3 2 3 2" xfId="41216" xr:uid="{00000000-0005-0000-0000-0000E75B0000}"/>
    <cellStyle name="Normal 23 5 3 2 4" xfId="28911" xr:uid="{00000000-0005-0000-0000-0000E85B0000}"/>
    <cellStyle name="Normal 23 5 3 3" xfId="12078" xr:uid="{00000000-0005-0000-0000-0000E95B0000}"/>
    <cellStyle name="Normal 23 5 3 3 2" xfId="31998" xr:uid="{00000000-0005-0000-0000-0000EA5B0000}"/>
    <cellStyle name="Normal 23 5 3 4" xfId="18230" xr:uid="{00000000-0005-0000-0000-0000EB5B0000}"/>
    <cellStyle name="Normal 23 5 3 4 2" xfId="38150" xr:uid="{00000000-0005-0000-0000-0000EC5B0000}"/>
    <cellStyle name="Normal 23 5 3 5" xfId="25845" xr:uid="{00000000-0005-0000-0000-0000ED5B0000}"/>
    <cellStyle name="Normal 23 5 4" xfId="7416" xr:uid="{00000000-0005-0000-0000-0000EE5B0000}"/>
    <cellStyle name="Normal 23 5 4 2" xfId="13610" xr:uid="{00000000-0005-0000-0000-0000EF5B0000}"/>
    <cellStyle name="Normal 23 5 4 2 2" xfId="33530" xr:uid="{00000000-0005-0000-0000-0000F05B0000}"/>
    <cellStyle name="Normal 23 5 4 3" xfId="19762" xr:uid="{00000000-0005-0000-0000-0000F15B0000}"/>
    <cellStyle name="Normal 23 5 4 3 2" xfId="39682" xr:uid="{00000000-0005-0000-0000-0000F25B0000}"/>
    <cellStyle name="Normal 23 5 4 4" xfId="27377" xr:uid="{00000000-0005-0000-0000-0000F35B0000}"/>
    <cellStyle name="Normal 23 5 5" xfId="10544" xr:uid="{00000000-0005-0000-0000-0000F45B0000}"/>
    <cellStyle name="Normal 23 5 5 2" xfId="30464" xr:uid="{00000000-0005-0000-0000-0000F55B0000}"/>
    <cellStyle name="Normal 23 5 6" xfId="16696" xr:uid="{00000000-0005-0000-0000-0000F65B0000}"/>
    <cellStyle name="Normal 23 5 6 2" xfId="36616" xr:uid="{00000000-0005-0000-0000-0000F75B0000}"/>
    <cellStyle name="Normal 23 5 7" xfId="24311" xr:uid="{00000000-0005-0000-0000-0000F85B0000}"/>
    <cellStyle name="Normal 23 6" xfId="3549" xr:uid="{00000000-0005-0000-0000-0000F95B0000}"/>
    <cellStyle name="Normal 23 6 2" xfId="5010" xr:uid="{00000000-0005-0000-0000-0000FA5B0000}"/>
    <cellStyle name="Normal 23 6 2 2" xfId="6635" xr:uid="{00000000-0005-0000-0000-0000FB5B0000}"/>
    <cellStyle name="Normal 23 6 2 2 2" xfId="9721" xr:uid="{00000000-0005-0000-0000-0000FC5B0000}"/>
    <cellStyle name="Normal 23 6 2 2 2 2" xfId="15914" xr:uid="{00000000-0005-0000-0000-0000FD5B0000}"/>
    <cellStyle name="Normal 23 6 2 2 2 2 2" xfId="35834" xr:uid="{00000000-0005-0000-0000-0000FE5B0000}"/>
    <cellStyle name="Normal 23 6 2 2 2 3" xfId="22066" xr:uid="{00000000-0005-0000-0000-0000FF5B0000}"/>
    <cellStyle name="Normal 23 6 2 2 2 3 2" xfId="41986" xr:uid="{00000000-0005-0000-0000-0000005C0000}"/>
    <cellStyle name="Normal 23 6 2 2 2 4" xfId="29681" xr:uid="{00000000-0005-0000-0000-0000015C0000}"/>
    <cellStyle name="Normal 23 6 2 2 3" xfId="12848" xr:uid="{00000000-0005-0000-0000-0000025C0000}"/>
    <cellStyle name="Normal 23 6 2 2 3 2" xfId="32768" xr:uid="{00000000-0005-0000-0000-0000035C0000}"/>
    <cellStyle name="Normal 23 6 2 2 4" xfId="19000" xr:uid="{00000000-0005-0000-0000-0000045C0000}"/>
    <cellStyle name="Normal 23 6 2 2 4 2" xfId="38920" xr:uid="{00000000-0005-0000-0000-0000055C0000}"/>
    <cellStyle name="Normal 23 6 2 2 5" xfId="26615" xr:uid="{00000000-0005-0000-0000-0000065C0000}"/>
    <cellStyle name="Normal 23 6 2 3" xfId="8186" xr:uid="{00000000-0005-0000-0000-0000075C0000}"/>
    <cellStyle name="Normal 23 6 2 3 2" xfId="14380" xr:uid="{00000000-0005-0000-0000-0000085C0000}"/>
    <cellStyle name="Normal 23 6 2 3 2 2" xfId="34300" xr:uid="{00000000-0005-0000-0000-0000095C0000}"/>
    <cellStyle name="Normal 23 6 2 3 3" xfId="20532" xr:uid="{00000000-0005-0000-0000-00000A5C0000}"/>
    <cellStyle name="Normal 23 6 2 3 3 2" xfId="40452" xr:uid="{00000000-0005-0000-0000-00000B5C0000}"/>
    <cellStyle name="Normal 23 6 2 3 4" xfId="28147" xr:uid="{00000000-0005-0000-0000-00000C5C0000}"/>
    <cellStyle name="Normal 23 6 2 4" xfId="11314" xr:uid="{00000000-0005-0000-0000-00000D5C0000}"/>
    <cellStyle name="Normal 23 6 2 4 2" xfId="31234" xr:uid="{00000000-0005-0000-0000-00000E5C0000}"/>
    <cellStyle name="Normal 23 6 2 5" xfId="17466" xr:uid="{00000000-0005-0000-0000-00000F5C0000}"/>
    <cellStyle name="Normal 23 6 2 5 2" xfId="37386" xr:uid="{00000000-0005-0000-0000-0000105C0000}"/>
    <cellStyle name="Normal 23 6 2 6" xfId="25081" xr:uid="{00000000-0005-0000-0000-0000115C0000}"/>
    <cellStyle name="Normal 23 6 3" xfId="5852" xr:uid="{00000000-0005-0000-0000-0000125C0000}"/>
    <cellStyle name="Normal 23 6 3 2" xfId="8952" xr:uid="{00000000-0005-0000-0000-0000135C0000}"/>
    <cellStyle name="Normal 23 6 3 2 2" xfId="15145" xr:uid="{00000000-0005-0000-0000-0000145C0000}"/>
    <cellStyle name="Normal 23 6 3 2 2 2" xfId="35065" xr:uid="{00000000-0005-0000-0000-0000155C0000}"/>
    <cellStyle name="Normal 23 6 3 2 3" xfId="21297" xr:uid="{00000000-0005-0000-0000-0000165C0000}"/>
    <cellStyle name="Normal 23 6 3 2 3 2" xfId="41217" xr:uid="{00000000-0005-0000-0000-0000175C0000}"/>
    <cellStyle name="Normal 23 6 3 2 4" xfId="28912" xr:uid="{00000000-0005-0000-0000-0000185C0000}"/>
    <cellStyle name="Normal 23 6 3 3" xfId="12079" xr:uid="{00000000-0005-0000-0000-0000195C0000}"/>
    <cellStyle name="Normal 23 6 3 3 2" xfId="31999" xr:uid="{00000000-0005-0000-0000-00001A5C0000}"/>
    <cellStyle name="Normal 23 6 3 4" xfId="18231" xr:uid="{00000000-0005-0000-0000-00001B5C0000}"/>
    <cellStyle name="Normal 23 6 3 4 2" xfId="38151" xr:uid="{00000000-0005-0000-0000-00001C5C0000}"/>
    <cellStyle name="Normal 23 6 3 5" xfId="25846" xr:uid="{00000000-0005-0000-0000-00001D5C0000}"/>
    <cellStyle name="Normal 23 6 4" xfId="7417" xr:uid="{00000000-0005-0000-0000-00001E5C0000}"/>
    <cellStyle name="Normal 23 6 4 2" xfId="13611" xr:uid="{00000000-0005-0000-0000-00001F5C0000}"/>
    <cellStyle name="Normal 23 6 4 2 2" xfId="33531" xr:uid="{00000000-0005-0000-0000-0000205C0000}"/>
    <cellStyle name="Normal 23 6 4 3" xfId="19763" xr:uid="{00000000-0005-0000-0000-0000215C0000}"/>
    <cellStyle name="Normal 23 6 4 3 2" xfId="39683" xr:uid="{00000000-0005-0000-0000-0000225C0000}"/>
    <cellStyle name="Normal 23 6 4 4" xfId="27378" xr:uid="{00000000-0005-0000-0000-0000235C0000}"/>
    <cellStyle name="Normal 23 6 5" xfId="10545" xr:uid="{00000000-0005-0000-0000-0000245C0000}"/>
    <cellStyle name="Normal 23 6 5 2" xfId="30465" xr:uid="{00000000-0005-0000-0000-0000255C0000}"/>
    <cellStyle name="Normal 23 6 6" xfId="16697" xr:uid="{00000000-0005-0000-0000-0000265C0000}"/>
    <cellStyle name="Normal 23 6 6 2" xfId="36617" xr:uid="{00000000-0005-0000-0000-0000275C0000}"/>
    <cellStyle name="Normal 23 6 7" xfId="24312" xr:uid="{00000000-0005-0000-0000-0000285C0000}"/>
    <cellStyle name="Normal 23 7" xfId="3550" xr:uid="{00000000-0005-0000-0000-0000295C0000}"/>
    <cellStyle name="Normal 23 8" xfId="5001" xr:uid="{00000000-0005-0000-0000-00002A5C0000}"/>
    <cellStyle name="Normal 23 8 2" xfId="6626" xr:uid="{00000000-0005-0000-0000-00002B5C0000}"/>
    <cellStyle name="Normal 23 8 2 2" xfId="9712" xr:uid="{00000000-0005-0000-0000-00002C5C0000}"/>
    <cellStyle name="Normal 23 8 2 2 2" xfId="15905" xr:uid="{00000000-0005-0000-0000-00002D5C0000}"/>
    <cellStyle name="Normal 23 8 2 2 2 2" xfId="35825" xr:uid="{00000000-0005-0000-0000-00002E5C0000}"/>
    <cellStyle name="Normal 23 8 2 2 3" xfId="22057" xr:uid="{00000000-0005-0000-0000-00002F5C0000}"/>
    <cellStyle name="Normal 23 8 2 2 3 2" xfId="41977" xr:uid="{00000000-0005-0000-0000-0000305C0000}"/>
    <cellStyle name="Normal 23 8 2 2 4" xfId="29672" xr:uid="{00000000-0005-0000-0000-0000315C0000}"/>
    <cellStyle name="Normal 23 8 2 3" xfId="12839" xr:uid="{00000000-0005-0000-0000-0000325C0000}"/>
    <cellStyle name="Normal 23 8 2 3 2" xfId="32759" xr:uid="{00000000-0005-0000-0000-0000335C0000}"/>
    <cellStyle name="Normal 23 8 2 4" xfId="18991" xr:uid="{00000000-0005-0000-0000-0000345C0000}"/>
    <cellStyle name="Normal 23 8 2 4 2" xfId="38911" xr:uid="{00000000-0005-0000-0000-0000355C0000}"/>
    <cellStyle name="Normal 23 8 2 5" xfId="26606" xr:uid="{00000000-0005-0000-0000-0000365C0000}"/>
    <cellStyle name="Normal 23 8 3" xfId="8177" xr:uid="{00000000-0005-0000-0000-0000375C0000}"/>
    <cellStyle name="Normal 23 8 3 2" xfId="14371" xr:uid="{00000000-0005-0000-0000-0000385C0000}"/>
    <cellStyle name="Normal 23 8 3 2 2" xfId="34291" xr:uid="{00000000-0005-0000-0000-0000395C0000}"/>
    <cellStyle name="Normal 23 8 3 3" xfId="20523" xr:uid="{00000000-0005-0000-0000-00003A5C0000}"/>
    <cellStyle name="Normal 23 8 3 3 2" xfId="40443" xr:uid="{00000000-0005-0000-0000-00003B5C0000}"/>
    <cellStyle name="Normal 23 8 3 4" xfId="28138" xr:uid="{00000000-0005-0000-0000-00003C5C0000}"/>
    <cellStyle name="Normal 23 8 4" xfId="11305" xr:uid="{00000000-0005-0000-0000-00003D5C0000}"/>
    <cellStyle name="Normal 23 8 4 2" xfId="31225" xr:uid="{00000000-0005-0000-0000-00003E5C0000}"/>
    <cellStyle name="Normal 23 8 5" xfId="17457" xr:uid="{00000000-0005-0000-0000-00003F5C0000}"/>
    <cellStyle name="Normal 23 8 5 2" xfId="37377" xr:uid="{00000000-0005-0000-0000-0000405C0000}"/>
    <cellStyle name="Normal 23 8 6" xfId="25072" xr:uid="{00000000-0005-0000-0000-0000415C0000}"/>
    <cellStyle name="Normal 23 9" xfId="5843" xr:uid="{00000000-0005-0000-0000-0000425C0000}"/>
    <cellStyle name="Normal 23 9 2" xfId="8943" xr:uid="{00000000-0005-0000-0000-0000435C0000}"/>
    <cellStyle name="Normal 23 9 2 2" xfId="15136" xr:uid="{00000000-0005-0000-0000-0000445C0000}"/>
    <cellStyle name="Normal 23 9 2 2 2" xfId="35056" xr:uid="{00000000-0005-0000-0000-0000455C0000}"/>
    <cellStyle name="Normal 23 9 2 3" xfId="21288" xr:uid="{00000000-0005-0000-0000-0000465C0000}"/>
    <cellStyle name="Normal 23 9 2 3 2" xfId="41208" xr:uid="{00000000-0005-0000-0000-0000475C0000}"/>
    <cellStyle name="Normal 23 9 2 4" xfId="28903" xr:uid="{00000000-0005-0000-0000-0000485C0000}"/>
    <cellStyle name="Normal 23 9 3" xfId="12070" xr:uid="{00000000-0005-0000-0000-0000495C0000}"/>
    <cellStyle name="Normal 23 9 3 2" xfId="31990" xr:uid="{00000000-0005-0000-0000-00004A5C0000}"/>
    <cellStyle name="Normal 23 9 4" xfId="18222" xr:uid="{00000000-0005-0000-0000-00004B5C0000}"/>
    <cellStyle name="Normal 23 9 4 2" xfId="38142" xr:uid="{00000000-0005-0000-0000-00004C5C0000}"/>
    <cellStyle name="Normal 23 9 5" xfId="25837" xr:uid="{00000000-0005-0000-0000-00004D5C0000}"/>
    <cellStyle name="Normal 24" xfId="3551" xr:uid="{00000000-0005-0000-0000-00004E5C0000}"/>
    <cellStyle name="Normal 24 10" xfId="7418" xr:uid="{00000000-0005-0000-0000-00004F5C0000}"/>
    <cellStyle name="Normal 24 10 2" xfId="13612" xr:uid="{00000000-0005-0000-0000-0000505C0000}"/>
    <cellStyle name="Normal 24 10 2 2" xfId="33532" xr:uid="{00000000-0005-0000-0000-0000515C0000}"/>
    <cellStyle name="Normal 24 10 3" xfId="19764" xr:uid="{00000000-0005-0000-0000-0000525C0000}"/>
    <cellStyle name="Normal 24 10 3 2" xfId="39684" xr:uid="{00000000-0005-0000-0000-0000535C0000}"/>
    <cellStyle name="Normal 24 10 4" xfId="27379" xr:uid="{00000000-0005-0000-0000-0000545C0000}"/>
    <cellStyle name="Normal 24 11" xfId="10546" xr:uid="{00000000-0005-0000-0000-0000555C0000}"/>
    <cellStyle name="Normal 24 11 2" xfId="30466" xr:uid="{00000000-0005-0000-0000-0000565C0000}"/>
    <cellStyle name="Normal 24 12" xfId="16698" xr:uid="{00000000-0005-0000-0000-0000575C0000}"/>
    <cellStyle name="Normal 24 12 2" xfId="36618" xr:uid="{00000000-0005-0000-0000-0000585C0000}"/>
    <cellStyle name="Normal 24 13" xfId="24313" xr:uid="{00000000-0005-0000-0000-0000595C0000}"/>
    <cellStyle name="Normal 24 2" xfId="3552" xr:uid="{00000000-0005-0000-0000-00005A5C0000}"/>
    <cellStyle name="Normal 24 2 10" xfId="16699" xr:uid="{00000000-0005-0000-0000-00005B5C0000}"/>
    <cellStyle name="Normal 24 2 10 2" xfId="36619" xr:uid="{00000000-0005-0000-0000-00005C5C0000}"/>
    <cellStyle name="Normal 24 2 11" xfId="24314" xr:uid="{00000000-0005-0000-0000-00005D5C0000}"/>
    <cellStyle name="Normal 24 2 2" xfId="3553" xr:uid="{00000000-0005-0000-0000-00005E5C0000}"/>
    <cellStyle name="Normal 24 2 2 2" xfId="5013" xr:uid="{00000000-0005-0000-0000-00005F5C0000}"/>
    <cellStyle name="Normal 24 2 2 2 2" xfId="6638" xr:uid="{00000000-0005-0000-0000-0000605C0000}"/>
    <cellStyle name="Normal 24 2 2 2 2 2" xfId="9724" xr:uid="{00000000-0005-0000-0000-0000615C0000}"/>
    <cellStyle name="Normal 24 2 2 2 2 2 2" xfId="15917" xr:uid="{00000000-0005-0000-0000-0000625C0000}"/>
    <cellStyle name="Normal 24 2 2 2 2 2 2 2" xfId="35837" xr:uid="{00000000-0005-0000-0000-0000635C0000}"/>
    <cellStyle name="Normal 24 2 2 2 2 2 3" xfId="22069" xr:uid="{00000000-0005-0000-0000-0000645C0000}"/>
    <cellStyle name="Normal 24 2 2 2 2 2 3 2" xfId="41989" xr:uid="{00000000-0005-0000-0000-0000655C0000}"/>
    <cellStyle name="Normal 24 2 2 2 2 2 4" xfId="29684" xr:uid="{00000000-0005-0000-0000-0000665C0000}"/>
    <cellStyle name="Normal 24 2 2 2 2 3" xfId="12851" xr:uid="{00000000-0005-0000-0000-0000675C0000}"/>
    <cellStyle name="Normal 24 2 2 2 2 3 2" xfId="32771" xr:uid="{00000000-0005-0000-0000-0000685C0000}"/>
    <cellStyle name="Normal 24 2 2 2 2 4" xfId="19003" xr:uid="{00000000-0005-0000-0000-0000695C0000}"/>
    <cellStyle name="Normal 24 2 2 2 2 4 2" xfId="38923" xr:uid="{00000000-0005-0000-0000-00006A5C0000}"/>
    <cellStyle name="Normal 24 2 2 2 2 5" xfId="26618" xr:uid="{00000000-0005-0000-0000-00006B5C0000}"/>
    <cellStyle name="Normal 24 2 2 2 3" xfId="8189" xr:uid="{00000000-0005-0000-0000-00006C5C0000}"/>
    <cellStyle name="Normal 24 2 2 2 3 2" xfId="14383" xr:uid="{00000000-0005-0000-0000-00006D5C0000}"/>
    <cellStyle name="Normal 24 2 2 2 3 2 2" xfId="34303" xr:uid="{00000000-0005-0000-0000-00006E5C0000}"/>
    <cellStyle name="Normal 24 2 2 2 3 3" xfId="20535" xr:uid="{00000000-0005-0000-0000-00006F5C0000}"/>
    <cellStyle name="Normal 24 2 2 2 3 3 2" xfId="40455" xr:uid="{00000000-0005-0000-0000-0000705C0000}"/>
    <cellStyle name="Normal 24 2 2 2 3 4" xfId="28150" xr:uid="{00000000-0005-0000-0000-0000715C0000}"/>
    <cellStyle name="Normal 24 2 2 2 4" xfId="11317" xr:uid="{00000000-0005-0000-0000-0000725C0000}"/>
    <cellStyle name="Normal 24 2 2 2 4 2" xfId="31237" xr:uid="{00000000-0005-0000-0000-0000735C0000}"/>
    <cellStyle name="Normal 24 2 2 2 5" xfId="17469" xr:uid="{00000000-0005-0000-0000-0000745C0000}"/>
    <cellStyle name="Normal 24 2 2 2 5 2" xfId="37389" xr:uid="{00000000-0005-0000-0000-0000755C0000}"/>
    <cellStyle name="Normal 24 2 2 2 6" xfId="25084" xr:uid="{00000000-0005-0000-0000-0000765C0000}"/>
    <cellStyle name="Normal 24 2 2 3" xfId="5855" xr:uid="{00000000-0005-0000-0000-0000775C0000}"/>
    <cellStyle name="Normal 24 2 2 3 2" xfId="8955" xr:uid="{00000000-0005-0000-0000-0000785C0000}"/>
    <cellStyle name="Normal 24 2 2 3 2 2" xfId="15148" xr:uid="{00000000-0005-0000-0000-0000795C0000}"/>
    <cellStyle name="Normal 24 2 2 3 2 2 2" xfId="35068" xr:uid="{00000000-0005-0000-0000-00007A5C0000}"/>
    <cellStyle name="Normal 24 2 2 3 2 3" xfId="21300" xr:uid="{00000000-0005-0000-0000-00007B5C0000}"/>
    <cellStyle name="Normal 24 2 2 3 2 3 2" xfId="41220" xr:uid="{00000000-0005-0000-0000-00007C5C0000}"/>
    <cellStyle name="Normal 24 2 2 3 2 4" xfId="28915" xr:uid="{00000000-0005-0000-0000-00007D5C0000}"/>
    <cellStyle name="Normal 24 2 2 3 3" xfId="12082" xr:uid="{00000000-0005-0000-0000-00007E5C0000}"/>
    <cellStyle name="Normal 24 2 2 3 3 2" xfId="32002" xr:uid="{00000000-0005-0000-0000-00007F5C0000}"/>
    <cellStyle name="Normal 24 2 2 3 4" xfId="18234" xr:uid="{00000000-0005-0000-0000-0000805C0000}"/>
    <cellStyle name="Normal 24 2 2 3 4 2" xfId="38154" xr:uid="{00000000-0005-0000-0000-0000815C0000}"/>
    <cellStyle name="Normal 24 2 2 3 5" xfId="25849" xr:uid="{00000000-0005-0000-0000-0000825C0000}"/>
    <cellStyle name="Normal 24 2 2 4" xfId="7420" xr:uid="{00000000-0005-0000-0000-0000835C0000}"/>
    <cellStyle name="Normal 24 2 2 4 2" xfId="13614" xr:uid="{00000000-0005-0000-0000-0000845C0000}"/>
    <cellStyle name="Normal 24 2 2 4 2 2" xfId="33534" xr:uid="{00000000-0005-0000-0000-0000855C0000}"/>
    <cellStyle name="Normal 24 2 2 4 3" xfId="19766" xr:uid="{00000000-0005-0000-0000-0000865C0000}"/>
    <cellStyle name="Normal 24 2 2 4 3 2" xfId="39686" xr:uid="{00000000-0005-0000-0000-0000875C0000}"/>
    <cellStyle name="Normal 24 2 2 4 4" xfId="27381" xr:uid="{00000000-0005-0000-0000-0000885C0000}"/>
    <cellStyle name="Normal 24 2 2 5" xfId="10548" xr:uid="{00000000-0005-0000-0000-0000895C0000}"/>
    <cellStyle name="Normal 24 2 2 5 2" xfId="30468" xr:uid="{00000000-0005-0000-0000-00008A5C0000}"/>
    <cellStyle name="Normal 24 2 2 6" xfId="16700" xr:uid="{00000000-0005-0000-0000-00008B5C0000}"/>
    <cellStyle name="Normal 24 2 2 6 2" xfId="36620" xr:uid="{00000000-0005-0000-0000-00008C5C0000}"/>
    <cellStyle name="Normal 24 2 2 7" xfId="24315" xr:uid="{00000000-0005-0000-0000-00008D5C0000}"/>
    <cellStyle name="Normal 24 2 3" xfId="3554" xr:uid="{00000000-0005-0000-0000-00008E5C0000}"/>
    <cellStyle name="Normal 24 2 3 2" xfId="5014" xr:uid="{00000000-0005-0000-0000-00008F5C0000}"/>
    <cellStyle name="Normal 24 2 3 2 2" xfId="6639" xr:uid="{00000000-0005-0000-0000-0000905C0000}"/>
    <cellStyle name="Normal 24 2 3 2 2 2" xfId="9725" xr:uid="{00000000-0005-0000-0000-0000915C0000}"/>
    <cellStyle name="Normal 24 2 3 2 2 2 2" xfId="15918" xr:uid="{00000000-0005-0000-0000-0000925C0000}"/>
    <cellStyle name="Normal 24 2 3 2 2 2 2 2" xfId="35838" xr:uid="{00000000-0005-0000-0000-0000935C0000}"/>
    <cellStyle name="Normal 24 2 3 2 2 2 3" xfId="22070" xr:uid="{00000000-0005-0000-0000-0000945C0000}"/>
    <cellStyle name="Normal 24 2 3 2 2 2 3 2" xfId="41990" xr:uid="{00000000-0005-0000-0000-0000955C0000}"/>
    <cellStyle name="Normal 24 2 3 2 2 2 4" xfId="29685" xr:uid="{00000000-0005-0000-0000-0000965C0000}"/>
    <cellStyle name="Normal 24 2 3 2 2 3" xfId="12852" xr:uid="{00000000-0005-0000-0000-0000975C0000}"/>
    <cellStyle name="Normal 24 2 3 2 2 3 2" xfId="32772" xr:uid="{00000000-0005-0000-0000-0000985C0000}"/>
    <cellStyle name="Normal 24 2 3 2 2 4" xfId="19004" xr:uid="{00000000-0005-0000-0000-0000995C0000}"/>
    <cellStyle name="Normal 24 2 3 2 2 4 2" xfId="38924" xr:uid="{00000000-0005-0000-0000-00009A5C0000}"/>
    <cellStyle name="Normal 24 2 3 2 2 5" xfId="26619" xr:uid="{00000000-0005-0000-0000-00009B5C0000}"/>
    <cellStyle name="Normal 24 2 3 2 3" xfId="8190" xr:uid="{00000000-0005-0000-0000-00009C5C0000}"/>
    <cellStyle name="Normal 24 2 3 2 3 2" xfId="14384" xr:uid="{00000000-0005-0000-0000-00009D5C0000}"/>
    <cellStyle name="Normal 24 2 3 2 3 2 2" xfId="34304" xr:uid="{00000000-0005-0000-0000-00009E5C0000}"/>
    <cellStyle name="Normal 24 2 3 2 3 3" xfId="20536" xr:uid="{00000000-0005-0000-0000-00009F5C0000}"/>
    <cellStyle name="Normal 24 2 3 2 3 3 2" xfId="40456" xr:uid="{00000000-0005-0000-0000-0000A05C0000}"/>
    <cellStyle name="Normal 24 2 3 2 3 4" xfId="28151" xr:uid="{00000000-0005-0000-0000-0000A15C0000}"/>
    <cellStyle name="Normal 24 2 3 2 4" xfId="11318" xr:uid="{00000000-0005-0000-0000-0000A25C0000}"/>
    <cellStyle name="Normal 24 2 3 2 4 2" xfId="31238" xr:uid="{00000000-0005-0000-0000-0000A35C0000}"/>
    <cellStyle name="Normal 24 2 3 2 5" xfId="17470" xr:uid="{00000000-0005-0000-0000-0000A45C0000}"/>
    <cellStyle name="Normal 24 2 3 2 5 2" xfId="37390" xr:uid="{00000000-0005-0000-0000-0000A55C0000}"/>
    <cellStyle name="Normal 24 2 3 2 6" xfId="25085" xr:uid="{00000000-0005-0000-0000-0000A65C0000}"/>
    <cellStyle name="Normal 24 2 3 3" xfId="5856" xr:uid="{00000000-0005-0000-0000-0000A75C0000}"/>
    <cellStyle name="Normal 24 2 3 3 2" xfId="8956" xr:uid="{00000000-0005-0000-0000-0000A85C0000}"/>
    <cellStyle name="Normal 24 2 3 3 2 2" xfId="15149" xr:uid="{00000000-0005-0000-0000-0000A95C0000}"/>
    <cellStyle name="Normal 24 2 3 3 2 2 2" xfId="35069" xr:uid="{00000000-0005-0000-0000-0000AA5C0000}"/>
    <cellStyle name="Normal 24 2 3 3 2 3" xfId="21301" xr:uid="{00000000-0005-0000-0000-0000AB5C0000}"/>
    <cellStyle name="Normal 24 2 3 3 2 3 2" xfId="41221" xr:uid="{00000000-0005-0000-0000-0000AC5C0000}"/>
    <cellStyle name="Normal 24 2 3 3 2 4" xfId="28916" xr:uid="{00000000-0005-0000-0000-0000AD5C0000}"/>
    <cellStyle name="Normal 24 2 3 3 3" xfId="12083" xr:uid="{00000000-0005-0000-0000-0000AE5C0000}"/>
    <cellStyle name="Normal 24 2 3 3 3 2" xfId="32003" xr:uid="{00000000-0005-0000-0000-0000AF5C0000}"/>
    <cellStyle name="Normal 24 2 3 3 4" xfId="18235" xr:uid="{00000000-0005-0000-0000-0000B05C0000}"/>
    <cellStyle name="Normal 24 2 3 3 4 2" xfId="38155" xr:uid="{00000000-0005-0000-0000-0000B15C0000}"/>
    <cellStyle name="Normal 24 2 3 3 5" xfId="25850" xr:uid="{00000000-0005-0000-0000-0000B25C0000}"/>
    <cellStyle name="Normal 24 2 3 4" xfId="7421" xr:uid="{00000000-0005-0000-0000-0000B35C0000}"/>
    <cellStyle name="Normal 24 2 3 4 2" xfId="13615" xr:uid="{00000000-0005-0000-0000-0000B45C0000}"/>
    <cellStyle name="Normal 24 2 3 4 2 2" xfId="33535" xr:uid="{00000000-0005-0000-0000-0000B55C0000}"/>
    <cellStyle name="Normal 24 2 3 4 3" xfId="19767" xr:uid="{00000000-0005-0000-0000-0000B65C0000}"/>
    <cellStyle name="Normal 24 2 3 4 3 2" xfId="39687" xr:uid="{00000000-0005-0000-0000-0000B75C0000}"/>
    <cellStyle name="Normal 24 2 3 4 4" xfId="27382" xr:uid="{00000000-0005-0000-0000-0000B85C0000}"/>
    <cellStyle name="Normal 24 2 3 5" xfId="10549" xr:uid="{00000000-0005-0000-0000-0000B95C0000}"/>
    <cellStyle name="Normal 24 2 3 5 2" xfId="30469" xr:uid="{00000000-0005-0000-0000-0000BA5C0000}"/>
    <cellStyle name="Normal 24 2 3 6" xfId="16701" xr:uid="{00000000-0005-0000-0000-0000BB5C0000}"/>
    <cellStyle name="Normal 24 2 3 6 2" xfId="36621" xr:uid="{00000000-0005-0000-0000-0000BC5C0000}"/>
    <cellStyle name="Normal 24 2 3 7" xfId="24316" xr:uid="{00000000-0005-0000-0000-0000BD5C0000}"/>
    <cellStyle name="Normal 24 2 4" xfId="3555" xr:uid="{00000000-0005-0000-0000-0000BE5C0000}"/>
    <cellStyle name="Normal 24 2 4 2" xfId="5015" xr:uid="{00000000-0005-0000-0000-0000BF5C0000}"/>
    <cellStyle name="Normal 24 2 4 2 2" xfId="6640" xr:uid="{00000000-0005-0000-0000-0000C05C0000}"/>
    <cellStyle name="Normal 24 2 4 2 2 2" xfId="9726" xr:uid="{00000000-0005-0000-0000-0000C15C0000}"/>
    <cellStyle name="Normal 24 2 4 2 2 2 2" xfId="15919" xr:uid="{00000000-0005-0000-0000-0000C25C0000}"/>
    <cellStyle name="Normal 24 2 4 2 2 2 2 2" xfId="35839" xr:uid="{00000000-0005-0000-0000-0000C35C0000}"/>
    <cellStyle name="Normal 24 2 4 2 2 2 3" xfId="22071" xr:uid="{00000000-0005-0000-0000-0000C45C0000}"/>
    <cellStyle name="Normal 24 2 4 2 2 2 3 2" xfId="41991" xr:uid="{00000000-0005-0000-0000-0000C55C0000}"/>
    <cellStyle name="Normal 24 2 4 2 2 2 4" xfId="29686" xr:uid="{00000000-0005-0000-0000-0000C65C0000}"/>
    <cellStyle name="Normal 24 2 4 2 2 3" xfId="12853" xr:uid="{00000000-0005-0000-0000-0000C75C0000}"/>
    <cellStyle name="Normal 24 2 4 2 2 3 2" xfId="32773" xr:uid="{00000000-0005-0000-0000-0000C85C0000}"/>
    <cellStyle name="Normal 24 2 4 2 2 4" xfId="19005" xr:uid="{00000000-0005-0000-0000-0000C95C0000}"/>
    <cellStyle name="Normal 24 2 4 2 2 4 2" xfId="38925" xr:uid="{00000000-0005-0000-0000-0000CA5C0000}"/>
    <cellStyle name="Normal 24 2 4 2 2 5" xfId="26620" xr:uid="{00000000-0005-0000-0000-0000CB5C0000}"/>
    <cellStyle name="Normal 24 2 4 2 3" xfId="8191" xr:uid="{00000000-0005-0000-0000-0000CC5C0000}"/>
    <cellStyle name="Normal 24 2 4 2 3 2" xfId="14385" xr:uid="{00000000-0005-0000-0000-0000CD5C0000}"/>
    <cellStyle name="Normal 24 2 4 2 3 2 2" xfId="34305" xr:uid="{00000000-0005-0000-0000-0000CE5C0000}"/>
    <cellStyle name="Normal 24 2 4 2 3 3" xfId="20537" xr:uid="{00000000-0005-0000-0000-0000CF5C0000}"/>
    <cellStyle name="Normal 24 2 4 2 3 3 2" xfId="40457" xr:uid="{00000000-0005-0000-0000-0000D05C0000}"/>
    <cellStyle name="Normal 24 2 4 2 3 4" xfId="28152" xr:uid="{00000000-0005-0000-0000-0000D15C0000}"/>
    <cellStyle name="Normal 24 2 4 2 4" xfId="11319" xr:uid="{00000000-0005-0000-0000-0000D25C0000}"/>
    <cellStyle name="Normal 24 2 4 2 4 2" xfId="31239" xr:uid="{00000000-0005-0000-0000-0000D35C0000}"/>
    <cellStyle name="Normal 24 2 4 2 5" xfId="17471" xr:uid="{00000000-0005-0000-0000-0000D45C0000}"/>
    <cellStyle name="Normal 24 2 4 2 5 2" xfId="37391" xr:uid="{00000000-0005-0000-0000-0000D55C0000}"/>
    <cellStyle name="Normal 24 2 4 2 6" xfId="25086" xr:uid="{00000000-0005-0000-0000-0000D65C0000}"/>
    <cellStyle name="Normal 24 2 4 3" xfId="5857" xr:uid="{00000000-0005-0000-0000-0000D75C0000}"/>
    <cellStyle name="Normal 24 2 4 3 2" xfId="8957" xr:uid="{00000000-0005-0000-0000-0000D85C0000}"/>
    <cellStyle name="Normal 24 2 4 3 2 2" xfId="15150" xr:uid="{00000000-0005-0000-0000-0000D95C0000}"/>
    <cellStyle name="Normal 24 2 4 3 2 2 2" xfId="35070" xr:uid="{00000000-0005-0000-0000-0000DA5C0000}"/>
    <cellStyle name="Normal 24 2 4 3 2 3" xfId="21302" xr:uid="{00000000-0005-0000-0000-0000DB5C0000}"/>
    <cellStyle name="Normal 24 2 4 3 2 3 2" xfId="41222" xr:uid="{00000000-0005-0000-0000-0000DC5C0000}"/>
    <cellStyle name="Normal 24 2 4 3 2 4" xfId="28917" xr:uid="{00000000-0005-0000-0000-0000DD5C0000}"/>
    <cellStyle name="Normal 24 2 4 3 3" xfId="12084" xr:uid="{00000000-0005-0000-0000-0000DE5C0000}"/>
    <cellStyle name="Normal 24 2 4 3 3 2" xfId="32004" xr:uid="{00000000-0005-0000-0000-0000DF5C0000}"/>
    <cellStyle name="Normal 24 2 4 3 4" xfId="18236" xr:uid="{00000000-0005-0000-0000-0000E05C0000}"/>
    <cellStyle name="Normal 24 2 4 3 4 2" xfId="38156" xr:uid="{00000000-0005-0000-0000-0000E15C0000}"/>
    <cellStyle name="Normal 24 2 4 3 5" xfId="25851" xr:uid="{00000000-0005-0000-0000-0000E25C0000}"/>
    <cellStyle name="Normal 24 2 4 4" xfId="7422" xr:uid="{00000000-0005-0000-0000-0000E35C0000}"/>
    <cellStyle name="Normal 24 2 4 4 2" xfId="13616" xr:uid="{00000000-0005-0000-0000-0000E45C0000}"/>
    <cellStyle name="Normal 24 2 4 4 2 2" xfId="33536" xr:uid="{00000000-0005-0000-0000-0000E55C0000}"/>
    <cellStyle name="Normal 24 2 4 4 3" xfId="19768" xr:uid="{00000000-0005-0000-0000-0000E65C0000}"/>
    <cellStyle name="Normal 24 2 4 4 3 2" xfId="39688" xr:uid="{00000000-0005-0000-0000-0000E75C0000}"/>
    <cellStyle name="Normal 24 2 4 4 4" xfId="27383" xr:uid="{00000000-0005-0000-0000-0000E85C0000}"/>
    <cellStyle name="Normal 24 2 4 5" xfId="10550" xr:uid="{00000000-0005-0000-0000-0000E95C0000}"/>
    <cellStyle name="Normal 24 2 4 5 2" xfId="30470" xr:uid="{00000000-0005-0000-0000-0000EA5C0000}"/>
    <cellStyle name="Normal 24 2 4 6" xfId="16702" xr:uid="{00000000-0005-0000-0000-0000EB5C0000}"/>
    <cellStyle name="Normal 24 2 4 6 2" xfId="36622" xr:uid="{00000000-0005-0000-0000-0000EC5C0000}"/>
    <cellStyle name="Normal 24 2 4 7" xfId="24317" xr:uid="{00000000-0005-0000-0000-0000ED5C0000}"/>
    <cellStyle name="Normal 24 2 5" xfId="3556" xr:uid="{00000000-0005-0000-0000-0000EE5C0000}"/>
    <cellStyle name="Normal 24 2 5 2" xfId="5016" xr:uid="{00000000-0005-0000-0000-0000EF5C0000}"/>
    <cellStyle name="Normal 24 2 5 2 2" xfId="6641" xr:uid="{00000000-0005-0000-0000-0000F05C0000}"/>
    <cellStyle name="Normal 24 2 5 2 2 2" xfId="9727" xr:uid="{00000000-0005-0000-0000-0000F15C0000}"/>
    <cellStyle name="Normal 24 2 5 2 2 2 2" xfId="15920" xr:uid="{00000000-0005-0000-0000-0000F25C0000}"/>
    <cellStyle name="Normal 24 2 5 2 2 2 2 2" xfId="35840" xr:uid="{00000000-0005-0000-0000-0000F35C0000}"/>
    <cellStyle name="Normal 24 2 5 2 2 2 3" xfId="22072" xr:uid="{00000000-0005-0000-0000-0000F45C0000}"/>
    <cellStyle name="Normal 24 2 5 2 2 2 3 2" xfId="41992" xr:uid="{00000000-0005-0000-0000-0000F55C0000}"/>
    <cellStyle name="Normal 24 2 5 2 2 2 4" xfId="29687" xr:uid="{00000000-0005-0000-0000-0000F65C0000}"/>
    <cellStyle name="Normal 24 2 5 2 2 3" xfId="12854" xr:uid="{00000000-0005-0000-0000-0000F75C0000}"/>
    <cellStyle name="Normal 24 2 5 2 2 3 2" xfId="32774" xr:uid="{00000000-0005-0000-0000-0000F85C0000}"/>
    <cellStyle name="Normal 24 2 5 2 2 4" xfId="19006" xr:uid="{00000000-0005-0000-0000-0000F95C0000}"/>
    <cellStyle name="Normal 24 2 5 2 2 4 2" xfId="38926" xr:uid="{00000000-0005-0000-0000-0000FA5C0000}"/>
    <cellStyle name="Normal 24 2 5 2 2 5" xfId="26621" xr:uid="{00000000-0005-0000-0000-0000FB5C0000}"/>
    <cellStyle name="Normal 24 2 5 2 3" xfId="8192" xr:uid="{00000000-0005-0000-0000-0000FC5C0000}"/>
    <cellStyle name="Normal 24 2 5 2 3 2" xfId="14386" xr:uid="{00000000-0005-0000-0000-0000FD5C0000}"/>
    <cellStyle name="Normal 24 2 5 2 3 2 2" xfId="34306" xr:uid="{00000000-0005-0000-0000-0000FE5C0000}"/>
    <cellStyle name="Normal 24 2 5 2 3 3" xfId="20538" xr:uid="{00000000-0005-0000-0000-0000FF5C0000}"/>
    <cellStyle name="Normal 24 2 5 2 3 3 2" xfId="40458" xr:uid="{00000000-0005-0000-0000-0000005D0000}"/>
    <cellStyle name="Normal 24 2 5 2 3 4" xfId="28153" xr:uid="{00000000-0005-0000-0000-0000015D0000}"/>
    <cellStyle name="Normal 24 2 5 2 4" xfId="11320" xr:uid="{00000000-0005-0000-0000-0000025D0000}"/>
    <cellStyle name="Normal 24 2 5 2 4 2" xfId="31240" xr:uid="{00000000-0005-0000-0000-0000035D0000}"/>
    <cellStyle name="Normal 24 2 5 2 5" xfId="17472" xr:uid="{00000000-0005-0000-0000-0000045D0000}"/>
    <cellStyle name="Normal 24 2 5 2 5 2" xfId="37392" xr:uid="{00000000-0005-0000-0000-0000055D0000}"/>
    <cellStyle name="Normal 24 2 5 2 6" xfId="25087" xr:uid="{00000000-0005-0000-0000-0000065D0000}"/>
    <cellStyle name="Normal 24 2 5 3" xfId="5858" xr:uid="{00000000-0005-0000-0000-0000075D0000}"/>
    <cellStyle name="Normal 24 2 5 3 2" xfId="8958" xr:uid="{00000000-0005-0000-0000-0000085D0000}"/>
    <cellStyle name="Normal 24 2 5 3 2 2" xfId="15151" xr:uid="{00000000-0005-0000-0000-0000095D0000}"/>
    <cellStyle name="Normal 24 2 5 3 2 2 2" xfId="35071" xr:uid="{00000000-0005-0000-0000-00000A5D0000}"/>
    <cellStyle name="Normal 24 2 5 3 2 3" xfId="21303" xr:uid="{00000000-0005-0000-0000-00000B5D0000}"/>
    <cellStyle name="Normal 24 2 5 3 2 3 2" xfId="41223" xr:uid="{00000000-0005-0000-0000-00000C5D0000}"/>
    <cellStyle name="Normal 24 2 5 3 2 4" xfId="28918" xr:uid="{00000000-0005-0000-0000-00000D5D0000}"/>
    <cellStyle name="Normal 24 2 5 3 3" xfId="12085" xr:uid="{00000000-0005-0000-0000-00000E5D0000}"/>
    <cellStyle name="Normal 24 2 5 3 3 2" xfId="32005" xr:uid="{00000000-0005-0000-0000-00000F5D0000}"/>
    <cellStyle name="Normal 24 2 5 3 4" xfId="18237" xr:uid="{00000000-0005-0000-0000-0000105D0000}"/>
    <cellStyle name="Normal 24 2 5 3 4 2" xfId="38157" xr:uid="{00000000-0005-0000-0000-0000115D0000}"/>
    <cellStyle name="Normal 24 2 5 3 5" xfId="25852" xr:uid="{00000000-0005-0000-0000-0000125D0000}"/>
    <cellStyle name="Normal 24 2 5 4" xfId="7423" xr:uid="{00000000-0005-0000-0000-0000135D0000}"/>
    <cellStyle name="Normal 24 2 5 4 2" xfId="13617" xr:uid="{00000000-0005-0000-0000-0000145D0000}"/>
    <cellStyle name="Normal 24 2 5 4 2 2" xfId="33537" xr:uid="{00000000-0005-0000-0000-0000155D0000}"/>
    <cellStyle name="Normal 24 2 5 4 3" xfId="19769" xr:uid="{00000000-0005-0000-0000-0000165D0000}"/>
    <cellStyle name="Normal 24 2 5 4 3 2" xfId="39689" xr:uid="{00000000-0005-0000-0000-0000175D0000}"/>
    <cellStyle name="Normal 24 2 5 4 4" xfId="27384" xr:uid="{00000000-0005-0000-0000-0000185D0000}"/>
    <cellStyle name="Normal 24 2 5 5" xfId="10551" xr:uid="{00000000-0005-0000-0000-0000195D0000}"/>
    <cellStyle name="Normal 24 2 5 5 2" xfId="30471" xr:uid="{00000000-0005-0000-0000-00001A5D0000}"/>
    <cellStyle name="Normal 24 2 5 6" xfId="16703" xr:uid="{00000000-0005-0000-0000-00001B5D0000}"/>
    <cellStyle name="Normal 24 2 5 6 2" xfId="36623" xr:uid="{00000000-0005-0000-0000-00001C5D0000}"/>
    <cellStyle name="Normal 24 2 5 7" xfId="24318" xr:uid="{00000000-0005-0000-0000-00001D5D0000}"/>
    <cellStyle name="Normal 24 2 6" xfId="5012" xr:uid="{00000000-0005-0000-0000-00001E5D0000}"/>
    <cellStyle name="Normal 24 2 6 2" xfId="6637" xr:uid="{00000000-0005-0000-0000-00001F5D0000}"/>
    <cellStyle name="Normal 24 2 6 2 2" xfId="9723" xr:uid="{00000000-0005-0000-0000-0000205D0000}"/>
    <cellStyle name="Normal 24 2 6 2 2 2" xfId="15916" xr:uid="{00000000-0005-0000-0000-0000215D0000}"/>
    <cellStyle name="Normal 24 2 6 2 2 2 2" xfId="35836" xr:uid="{00000000-0005-0000-0000-0000225D0000}"/>
    <cellStyle name="Normal 24 2 6 2 2 3" xfId="22068" xr:uid="{00000000-0005-0000-0000-0000235D0000}"/>
    <cellStyle name="Normal 24 2 6 2 2 3 2" xfId="41988" xr:uid="{00000000-0005-0000-0000-0000245D0000}"/>
    <cellStyle name="Normal 24 2 6 2 2 4" xfId="29683" xr:uid="{00000000-0005-0000-0000-0000255D0000}"/>
    <cellStyle name="Normal 24 2 6 2 3" xfId="12850" xr:uid="{00000000-0005-0000-0000-0000265D0000}"/>
    <cellStyle name="Normal 24 2 6 2 3 2" xfId="32770" xr:uid="{00000000-0005-0000-0000-0000275D0000}"/>
    <cellStyle name="Normal 24 2 6 2 4" xfId="19002" xr:uid="{00000000-0005-0000-0000-0000285D0000}"/>
    <cellStyle name="Normal 24 2 6 2 4 2" xfId="38922" xr:uid="{00000000-0005-0000-0000-0000295D0000}"/>
    <cellStyle name="Normal 24 2 6 2 5" xfId="26617" xr:uid="{00000000-0005-0000-0000-00002A5D0000}"/>
    <cellStyle name="Normal 24 2 6 3" xfId="8188" xr:uid="{00000000-0005-0000-0000-00002B5D0000}"/>
    <cellStyle name="Normal 24 2 6 3 2" xfId="14382" xr:uid="{00000000-0005-0000-0000-00002C5D0000}"/>
    <cellStyle name="Normal 24 2 6 3 2 2" xfId="34302" xr:uid="{00000000-0005-0000-0000-00002D5D0000}"/>
    <cellStyle name="Normal 24 2 6 3 3" xfId="20534" xr:uid="{00000000-0005-0000-0000-00002E5D0000}"/>
    <cellStyle name="Normal 24 2 6 3 3 2" xfId="40454" xr:uid="{00000000-0005-0000-0000-00002F5D0000}"/>
    <cellStyle name="Normal 24 2 6 3 4" xfId="28149" xr:uid="{00000000-0005-0000-0000-0000305D0000}"/>
    <cellStyle name="Normal 24 2 6 4" xfId="11316" xr:uid="{00000000-0005-0000-0000-0000315D0000}"/>
    <cellStyle name="Normal 24 2 6 4 2" xfId="31236" xr:uid="{00000000-0005-0000-0000-0000325D0000}"/>
    <cellStyle name="Normal 24 2 6 5" xfId="17468" xr:uid="{00000000-0005-0000-0000-0000335D0000}"/>
    <cellStyle name="Normal 24 2 6 5 2" xfId="37388" xr:uid="{00000000-0005-0000-0000-0000345D0000}"/>
    <cellStyle name="Normal 24 2 6 6" xfId="25083" xr:uid="{00000000-0005-0000-0000-0000355D0000}"/>
    <cellStyle name="Normal 24 2 7" xfId="5854" xr:uid="{00000000-0005-0000-0000-0000365D0000}"/>
    <cellStyle name="Normal 24 2 7 2" xfId="8954" xr:uid="{00000000-0005-0000-0000-0000375D0000}"/>
    <cellStyle name="Normal 24 2 7 2 2" xfId="15147" xr:uid="{00000000-0005-0000-0000-0000385D0000}"/>
    <cellStyle name="Normal 24 2 7 2 2 2" xfId="35067" xr:uid="{00000000-0005-0000-0000-0000395D0000}"/>
    <cellStyle name="Normal 24 2 7 2 3" xfId="21299" xr:uid="{00000000-0005-0000-0000-00003A5D0000}"/>
    <cellStyle name="Normal 24 2 7 2 3 2" xfId="41219" xr:uid="{00000000-0005-0000-0000-00003B5D0000}"/>
    <cellStyle name="Normal 24 2 7 2 4" xfId="28914" xr:uid="{00000000-0005-0000-0000-00003C5D0000}"/>
    <cellStyle name="Normal 24 2 7 3" xfId="12081" xr:uid="{00000000-0005-0000-0000-00003D5D0000}"/>
    <cellStyle name="Normal 24 2 7 3 2" xfId="32001" xr:uid="{00000000-0005-0000-0000-00003E5D0000}"/>
    <cellStyle name="Normal 24 2 7 4" xfId="18233" xr:uid="{00000000-0005-0000-0000-00003F5D0000}"/>
    <cellStyle name="Normal 24 2 7 4 2" xfId="38153" xr:uid="{00000000-0005-0000-0000-0000405D0000}"/>
    <cellStyle name="Normal 24 2 7 5" xfId="25848" xr:uid="{00000000-0005-0000-0000-0000415D0000}"/>
    <cellStyle name="Normal 24 2 8" xfId="7419" xr:uid="{00000000-0005-0000-0000-0000425D0000}"/>
    <cellStyle name="Normal 24 2 8 2" xfId="13613" xr:uid="{00000000-0005-0000-0000-0000435D0000}"/>
    <cellStyle name="Normal 24 2 8 2 2" xfId="33533" xr:uid="{00000000-0005-0000-0000-0000445D0000}"/>
    <cellStyle name="Normal 24 2 8 3" xfId="19765" xr:uid="{00000000-0005-0000-0000-0000455D0000}"/>
    <cellStyle name="Normal 24 2 8 3 2" xfId="39685" xr:uid="{00000000-0005-0000-0000-0000465D0000}"/>
    <cellStyle name="Normal 24 2 8 4" xfId="27380" xr:uid="{00000000-0005-0000-0000-0000475D0000}"/>
    <cellStyle name="Normal 24 2 9" xfId="10547" xr:uid="{00000000-0005-0000-0000-0000485D0000}"/>
    <cellStyle name="Normal 24 2 9 2" xfId="30467" xr:uid="{00000000-0005-0000-0000-0000495D0000}"/>
    <cellStyle name="Normal 24 3" xfId="3557" xr:uid="{00000000-0005-0000-0000-00004A5D0000}"/>
    <cellStyle name="Normal 24 3 2" xfId="5017" xr:uid="{00000000-0005-0000-0000-00004B5D0000}"/>
    <cellStyle name="Normal 24 3 2 2" xfId="6642" xr:uid="{00000000-0005-0000-0000-00004C5D0000}"/>
    <cellStyle name="Normal 24 3 2 2 2" xfId="9728" xr:uid="{00000000-0005-0000-0000-00004D5D0000}"/>
    <cellStyle name="Normal 24 3 2 2 2 2" xfId="15921" xr:uid="{00000000-0005-0000-0000-00004E5D0000}"/>
    <cellStyle name="Normal 24 3 2 2 2 2 2" xfId="35841" xr:uid="{00000000-0005-0000-0000-00004F5D0000}"/>
    <cellStyle name="Normal 24 3 2 2 2 3" xfId="22073" xr:uid="{00000000-0005-0000-0000-0000505D0000}"/>
    <cellStyle name="Normal 24 3 2 2 2 3 2" xfId="41993" xr:uid="{00000000-0005-0000-0000-0000515D0000}"/>
    <cellStyle name="Normal 24 3 2 2 2 4" xfId="29688" xr:uid="{00000000-0005-0000-0000-0000525D0000}"/>
    <cellStyle name="Normal 24 3 2 2 3" xfId="12855" xr:uid="{00000000-0005-0000-0000-0000535D0000}"/>
    <cellStyle name="Normal 24 3 2 2 3 2" xfId="32775" xr:uid="{00000000-0005-0000-0000-0000545D0000}"/>
    <cellStyle name="Normal 24 3 2 2 4" xfId="19007" xr:uid="{00000000-0005-0000-0000-0000555D0000}"/>
    <cellStyle name="Normal 24 3 2 2 4 2" xfId="38927" xr:uid="{00000000-0005-0000-0000-0000565D0000}"/>
    <cellStyle name="Normal 24 3 2 2 5" xfId="26622" xr:uid="{00000000-0005-0000-0000-0000575D0000}"/>
    <cellStyle name="Normal 24 3 2 3" xfId="8193" xr:uid="{00000000-0005-0000-0000-0000585D0000}"/>
    <cellStyle name="Normal 24 3 2 3 2" xfId="14387" xr:uid="{00000000-0005-0000-0000-0000595D0000}"/>
    <cellStyle name="Normal 24 3 2 3 2 2" xfId="34307" xr:uid="{00000000-0005-0000-0000-00005A5D0000}"/>
    <cellStyle name="Normal 24 3 2 3 3" xfId="20539" xr:uid="{00000000-0005-0000-0000-00005B5D0000}"/>
    <cellStyle name="Normal 24 3 2 3 3 2" xfId="40459" xr:uid="{00000000-0005-0000-0000-00005C5D0000}"/>
    <cellStyle name="Normal 24 3 2 3 4" xfId="28154" xr:uid="{00000000-0005-0000-0000-00005D5D0000}"/>
    <cellStyle name="Normal 24 3 2 4" xfId="11321" xr:uid="{00000000-0005-0000-0000-00005E5D0000}"/>
    <cellStyle name="Normal 24 3 2 4 2" xfId="31241" xr:uid="{00000000-0005-0000-0000-00005F5D0000}"/>
    <cellStyle name="Normal 24 3 2 5" xfId="17473" xr:uid="{00000000-0005-0000-0000-0000605D0000}"/>
    <cellStyle name="Normal 24 3 2 5 2" xfId="37393" xr:uid="{00000000-0005-0000-0000-0000615D0000}"/>
    <cellStyle name="Normal 24 3 2 6" xfId="25088" xr:uid="{00000000-0005-0000-0000-0000625D0000}"/>
    <cellStyle name="Normal 24 3 3" xfId="5859" xr:uid="{00000000-0005-0000-0000-0000635D0000}"/>
    <cellStyle name="Normal 24 3 3 2" xfId="8959" xr:uid="{00000000-0005-0000-0000-0000645D0000}"/>
    <cellStyle name="Normal 24 3 3 2 2" xfId="15152" xr:uid="{00000000-0005-0000-0000-0000655D0000}"/>
    <cellStyle name="Normal 24 3 3 2 2 2" xfId="35072" xr:uid="{00000000-0005-0000-0000-0000665D0000}"/>
    <cellStyle name="Normal 24 3 3 2 3" xfId="21304" xr:uid="{00000000-0005-0000-0000-0000675D0000}"/>
    <cellStyle name="Normal 24 3 3 2 3 2" xfId="41224" xr:uid="{00000000-0005-0000-0000-0000685D0000}"/>
    <cellStyle name="Normal 24 3 3 2 4" xfId="28919" xr:uid="{00000000-0005-0000-0000-0000695D0000}"/>
    <cellStyle name="Normal 24 3 3 3" xfId="12086" xr:uid="{00000000-0005-0000-0000-00006A5D0000}"/>
    <cellStyle name="Normal 24 3 3 3 2" xfId="32006" xr:uid="{00000000-0005-0000-0000-00006B5D0000}"/>
    <cellStyle name="Normal 24 3 3 4" xfId="18238" xr:uid="{00000000-0005-0000-0000-00006C5D0000}"/>
    <cellStyle name="Normal 24 3 3 4 2" xfId="38158" xr:uid="{00000000-0005-0000-0000-00006D5D0000}"/>
    <cellStyle name="Normal 24 3 3 5" xfId="25853" xr:uid="{00000000-0005-0000-0000-00006E5D0000}"/>
    <cellStyle name="Normal 24 3 4" xfId="7424" xr:uid="{00000000-0005-0000-0000-00006F5D0000}"/>
    <cellStyle name="Normal 24 3 4 2" xfId="13618" xr:uid="{00000000-0005-0000-0000-0000705D0000}"/>
    <cellStyle name="Normal 24 3 4 2 2" xfId="33538" xr:uid="{00000000-0005-0000-0000-0000715D0000}"/>
    <cellStyle name="Normal 24 3 4 3" xfId="19770" xr:uid="{00000000-0005-0000-0000-0000725D0000}"/>
    <cellStyle name="Normal 24 3 4 3 2" xfId="39690" xr:uid="{00000000-0005-0000-0000-0000735D0000}"/>
    <cellStyle name="Normal 24 3 4 4" xfId="27385" xr:uid="{00000000-0005-0000-0000-0000745D0000}"/>
    <cellStyle name="Normal 24 3 5" xfId="10552" xr:uid="{00000000-0005-0000-0000-0000755D0000}"/>
    <cellStyle name="Normal 24 3 5 2" xfId="30472" xr:uid="{00000000-0005-0000-0000-0000765D0000}"/>
    <cellStyle name="Normal 24 3 6" xfId="16704" xr:uid="{00000000-0005-0000-0000-0000775D0000}"/>
    <cellStyle name="Normal 24 3 6 2" xfId="36624" xr:uid="{00000000-0005-0000-0000-0000785D0000}"/>
    <cellStyle name="Normal 24 3 7" xfId="24319" xr:uid="{00000000-0005-0000-0000-0000795D0000}"/>
    <cellStyle name="Normal 24 4" xfId="3558" xr:uid="{00000000-0005-0000-0000-00007A5D0000}"/>
    <cellStyle name="Normal 24 4 2" xfId="5018" xr:uid="{00000000-0005-0000-0000-00007B5D0000}"/>
    <cellStyle name="Normal 24 4 2 2" xfId="6643" xr:uid="{00000000-0005-0000-0000-00007C5D0000}"/>
    <cellStyle name="Normal 24 4 2 2 2" xfId="9729" xr:uid="{00000000-0005-0000-0000-00007D5D0000}"/>
    <cellStyle name="Normal 24 4 2 2 2 2" xfId="15922" xr:uid="{00000000-0005-0000-0000-00007E5D0000}"/>
    <cellStyle name="Normal 24 4 2 2 2 2 2" xfId="35842" xr:uid="{00000000-0005-0000-0000-00007F5D0000}"/>
    <cellStyle name="Normal 24 4 2 2 2 3" xfId="22074" xr:uid="{00000000-0005-0000-0000-0000805D0000}"/>
    <cellStyle name="Normal 24 4 2 2 2 3 2" xfId="41994" xr:uid="{00000000-0005-0000-0000-0000815D0000}"/>
    <cellStyle name="Normal 24 4 2 2 2 4" xfId="29689" xr:uid="{00000000-0005-0000-0000-0000825D0000}"/>
    <cellStyle name="Normal 24 4 2 2 3" xfId="12856" xr:uid="{00000000-0005-0000-0000-0000835D0000}"/>
    <cellStyle name="Normal 24 4 2 2 3 2" xfId="32776" xr:uid="{00000000-0005-0000-0000-0000845D0000}"/>
    <cellStyle name="Normal 24 4 2 2 4" xfId="19008" xr:uid="{00000000-0005-0000-0000-0000855D0000}"/>
    <cellStyle name="Normal 24 4 2 2 4 2" xfId="38928" xr:uid="{00000000-0005-0000-0000-0000865D0000}"/>
    <cellStyle name="Normal 24 4 2 2 5" xfId="26623" xr:uid="{00000000-0005-0000-0000-0000875D0000}"/>
    <cellStyle name="Normal 24 4 2 3" xfId="8194" xr:uid="{00000000-0005-0000-0000-0000885D0000}"/>
    <cellStyle name="Normal 24 4 2 3 2" xfId="14388" xr:uid="{00000000-0005-0000-0000-0000895D0000}"/>
    <cellStyle name="Normal 24 4 2 3 2 2" xfId="34308" xr:uid="{00000000-0005-0000-0000-00008A5D0000}"/>
    <cellStyle name="Normal 24 4 2 3 3" xfId="20540" xr:uid="{00000000-0005-0000-0000-00008B5D0000}"/>
    <cellStyle name="Normal 24 4 2 3 3 2" xfId="40460" xr:uid="{00000000-0005-0000-0000-00008C5D0000}"/>
    <cellStyle name="Normal 24 4 2 3 4" xfId="28155" xr:uid="{00000000-0005-0000-0000-00008D5D0000}"/>
    <cellStyle name="Normal 24 4 2 4" xfId="11322" xr:uid="{00000000-0005-0000-0000-00008E5D0000}"/>
    <cellStyle name="Normal 24 4 2 4 2" xfId="31242" xr:uid="{00000000-0005-0000-0000-00008F5D0000}"/>
    <cellStyle name="Normal 24 4 2 5" xfId="17474" xr:uid="{00000000-0005-0000-0000-0000905D0000}"/>
    <cellStyle name="Normal 24 4 2 5 2" xfId="37394" xr:uid="{00000000-0005-0000-0000-0000915D0000}"/>
    <cellStyle name="Normal 24 4 2 6" xfId="25089" xr:uid="{00000000-0005-0000-0000-0000925D0000}"/>
    <cellStyle name="Normal 24 4 3" xfId="5860" xr:uid="{00000000-0005-0000-0000-0000935D0000}"/>
    <cellStyle name="Normal 24 4 3 2" xfId="8960" xr:uid="{00000000-0005-0000-0000-0000945D0000}"/>
    <cellStyle name="Normal 24 4 3 2 2" xfId="15153" xr:uid="{00000000-0005-0000-0000-0000955D0000}"/>
    <cellStyle name="Normal 24 4 3 2 2 2" xfId="35073" xr:uid="{00000000-0005-0000-0000-0000965D0000}"/>
    <cellStyle name="Normal 24 4 3 2 3" xfId="21305" xr:uid="{00000000-0005-0000-0000-0000975D0000}"/>
    <cellStyle name="Normal 24 4 3 2 3 2" xfId="41225" xr:uid="{00000000-0005-0000-0000-0000985D0000}"/>
    <cellStyle name="Normal 24 4 3 2 4" xfId="28920" xr:uid="{00000000-0005-0000-0000-0000995D0000}"/>
    <cellStyle name="Normal 24 4 3 3" xfId="12087" xr:uid="{00000000-0005-0000-0000-00009A5D0000}"/>
    <cellStyle name="Normal 24 4 3 3 2" xfId="32007" xr:uid="{00000000-0005-0000-0000-00009B5D0000}"/>
    <cellStyle name="Normal 24 4 3 4" xfId="18239" xr:uid="{00000000-0005-0000-0000-00009C5D0000}"/>
    <cellStyle name="Normal 24 4 3 4 2" xfId="38159" xr:uid="{00000000-0005-0000-0000-00009D5D0000}"/>
    <cellStyle name="Normal 24 4 3 5" xfId="25854" xr:uid="{00000000-0005-0000-0000-00009E5D0000}"/>
    <cellStyle name="Normal 24 4 4" xfId="7425" xr:uid="{00000000-0005-0000-0000-00009F5D0000}"/>
    <cellStyle name="Normal 24 4 4 2" xfId="13619" xr:uid="{00000000-0005-0000-0000-0000A05D0000}"/>
    <cellStyle name="Normal 24 4 4 2 2" xfId="33539" xr:uid="{00000000-0005-0000-0000-0000A15D0000}"/>
    <cellStyle name="Normal 24 4 4 3" xfId="19771" xr:uid="{00000000-0005-0000-0000-0000A25D0000}"/>
    <cellStyle name="Normal 24 4 4 3 2" xfId="39691" xr:uid="{00000000-0005-0000-0000-0000A35D0000}"/>
    <cellStyle name="Normal 24 4 4 4" xfId="27386" xr:uid="{00000000-0005-0000-0000-0000A45D0000}"/>
    <cellStyle name="Normal 24 4 5" xfId="10553" xr:uid="{00000000-0005-0000-0000-0000A55D0000}"/>
    <cellStyle name="Normal 24 4 5 2" xfId="30473" xr:uid="{00000000-0005-0000-0000-0000A65D0000}"/>
    <cellStyle name="Normal 24 4 6" xfId="16705" xr:uid="{00000000-0005-0000-0000-0000A75D0000}"/>
    <cellStyle name="Normal 24 4 6 2" xfId="36625" xr:uid="{00000000-0005-0000-0000-0000A85D0000}"/>
    <cellStyle name="Normal 24 4 7" xfId="24320" xr:uid="{00000000-0005-0000-0000-0000A95D0000}"/>
    <cellStyle name="Normal 24 5" xfId="3559" xr:uid="{00000000-0005-0000-0000-0000AA5D0000}"/>
    <cellStyle name="Normal 24 5 2" xfId="5019" xr:uid="{00000000-0005-0000-0000-0000AB5D0000}"/>
    <cellStyle name="Normal 24 5 2 2" xfId="6644" xr:uid="{00000000-0005-0000-0000-0000AC5D0000}"/>
    <cellStyle name="Normal 24 5 2 2 2" xfId="9730" xr:uid="{00000000-0005-0000-0000-0000AD5D0000}"/>
    <cellStyle name="Normal 24 5 2 2 2 2" xfId="15923" xr:uid="{00000000-0005-0000-0000-0000AE5D0000}"/>
    <cellStyle name="Normal 24 5 2 2 2 2 2" xfId="35843" xr:uid="{00000000-0005-0000-0000-0000AF5D0000}"/>
    <cellStyle name="Normal 24 5 2 2 2 3" xfId="22075" xr:uid="{00000000-0005-0000-0000-0000B05D0000}"/>
    <cellStyle name="Normal 24 5 2 2 2 3 2" xfId="41995" xr:uid="{00000000-0005-0000-0000-0000B15D0000}"/>
    <cellStyle name="Normal 24 5 2 2 2 4" xfId="29690" xr:uid="{00000000-0005-0000-0000-0000B25D0000}"/>
    <cellStyle name="Normal 24 5 2 2 3" xfId="12857" xr:uid="{00000000-0005-0000-0000-0000B35D0000}"/>
    <cellStyle name="Normal 24 5 2 2 3 2" xfId="32777" xr:uid="{00000000-0005-0000-0000-0000B45D0000}"/>
    <cellStyle name="Normal 24 5 2 2 4" xfId="19009" xr:uid="{00000000-0005-0000-0000-0000B55D0000}"/>
    <cellStyle name="Normal 24 5 2 2 4 2" xfId="38929" xr:uid="{00000000-0005-0000-0000-0000B65D0000}"/>
    <cellStyle name="Normal 24 5 2 2 5" xfId="26624" xr:uid="{00000000-0005-0000-0000-0000B75D0000}"/>
    <cellStyle name="Normal 24 5 2 3" xfId="8195" xr:uid="{00000000-0005-0000-0000-0000B85D0000}"/>
    <cellStyle name="Normal 24 5 2 3 2" xfId="14389" xr:uid="{00000000-0005-0000-0000-0000B95D0000}"/>
    <cellStyle name="Normal 24 5 2 3 2 2" xfId="34309" xr:uid="{00000000-0005-0000-0000-0000BA5D0000}"/>
    <cellStyle name="Normal 24 5 2 3 3" xfId="20541" xr:uid="{00000000-0005-0000-0000-0000BB5D0000}"/>
    <cellStyle name="Normal 24 5 2 3 3 2" xfId="40461" xr:uid="{00000000-0005-0000-0000-0000BC5D0000}"/>
    <cellStyle name="Normal 24 5 2 3 4" xfId="28156" xr:uid="{00000000-0005-0000-0000-0000BD5D0000}"/>
    <cellStyle name="Normal 24 5 2 4" xfId="11323" xr:uid="{00000000-0005-0000-0000-0000BE5D0000}"/>
    <cellStyle name="Normal 24 5 2 4 2" xfId="31243" xr:uid="{00000000-0005-0000-0000-0000BF5D0000}"/>
    <cellStyle name="Normal 24 5 2 5" xfId="17475" xr:uid="{00000000-0005-0000-0000-0000C05D0000}"/>
    <cellStyle name="Normal 24 5 2 5 2" xfId="37395" xr:uid="{00000000-0005-0000-0000-0000C15D0000}"/>
    <cellStyle name="Normal 24 5 2 6" xfId="25090" xr:uid="{00000000-0005-0000-0000-0000C25D0000}"/>
    <cellStyle name="Normal 24 5 3" xfId="5861" xr:uid="{00000000-0005-0000-0000-0000C35D0000}"/>
    <cellStyle name="Normal 24 5 3 2" xfId="8961" xr:uid="{00000000-0005-0000-0000-0000C45D0000}"/>
    <cellStyle name="Normal 24 5 3 2 2" xfId="15154" xr:uid="{00000000-0005-0000-0000-0000C55D0000}"/>
    <cellStyle name="Normal 24 5 3 2 2 2" xfId="35074" xr:uid="{00000000-0005-0000-0000-0000C65D0000}"/>
    <cellStyle name="Normal 24 5 3 2 3" xfId="21306" xr:uid="{00000000-0005-0000-0000-0000C75D0000}"/>
    <cellStyle name="Normal 24 5 3 2 3 2" xfId="41226" xr:uid="{00000000-0005-0000-0000-0000C85D0000}"/>
    <cellStyle name="Normal 24 5 3 2 4" xfId="28921" xr:uid="{00000000-0005-0000-0000-0000C95D0000}"/>
    <cellStyle name="Normal 24 5 3 3" xfId="12088" xr:uid="{00000000-0005-0000-0000-0000CA5D0000}"/>
    <cellStyle name="Normal 24 5 3 3 2" xfId="32008" xr:uid="{00000000-0005-0000-0000-0000CB5D0000}"/>
    <cellStyle name="Normal 24 5 3 4" xfId="18240" xr:uid="{00000000-0005-0000-0000-0000CC5D0000}"/>
    <cellStyle name="Normal 24 5 3 4 2" xfId="38160" xr:uid="{00000000-0005-0000-0000-0000CD5D0000}"/>
    <cellStyle name="Normal 24 5 3 5" xfId="25855" xr:uid="{00000000-0005-0000-0000-0000CE5D0000}"/>
    <cellStyle name="Normal 24 5 4" xfId="7426" xr:uid="{00000000-0005-0000-0000-0000CF5D0000}"/>
    <cellStyle name="Normal 24 5 4 2" xfId="13620" xr:uid="{00000000-0005-0000-0000-0000D05D0000}"/>
    <cellStyle name="Normal 24 5 4 2 2" xfId="33540" xr:uid="{00000000-0005-0000-0000-0000D15D0000}"/>
    <cellStyle name="Normal 24 5 4 3" xfId="19772" xr:uid="{00000000-0005-0000-0000-0000D25D0000}"/>
    <cellStyle name="Normal 24 5 4 3 2" xfId="39692" xr:uid="{00000000-0005-0000-0000-0000D35D0000}"/>
    <cellStyle name="Normal 24 5 4 4" xfId="27387" xr:uid="{00000000-0005-0000-0000-0000D45D0000}"/>
    <cellStyle name="Normal 24 5 5" xfId="10554" xr:uid="{00000000-0005-0000-0000-0000D55D0000}"/>
    <cellStyle name="Normal 24 5 5 2" xfId="30474" xr:uid="{00000000-0005-0000-0000-0000D65D0000}"/>
    <cellStyle name="Normal 24 5 6" xfId="16706" xr:uid="{00000000-0005-0000-0000-0000D75D0000}"/>
    <cellStyle name="Normal 24 5 6 2" xfId="36626" xr:uid="{00000000-0005-0000-0000-0000D85D0000}"/>
    <cellStyle name="Normal 24 5 7" xfId="24321" xr:uid="{00000000-0005-0000-0000-0000D95D0000}"/>
    <cellStyle name="Normal 24 6" xfId="3560" xr:uid="{00000000-0005-0000-0000-0000DA5D0000}"/>
    <cellStyle name="Normal 24 6 2" xfId="5020" xr:uid="{00000000-0005-0000-0000-0000DB5D0000}"/>
    <cellStyle name="Normal 24 6 2 2" xfId="6645" xr:uid="{00000000-0005-0000-0000-0000DC5D0000}"/>
    <cellStyle name="Normal 24 6 2 2 2" xfId="9731" xr:uid="{00000000-0005-0000-0000-0000DD5D0000}"/>
    <cellStyle name="Normal 24 6 2 2 2 2" xfId="15924" xr:uid="{00000000-0005-0000-0000-0000DE5D0000}"/>
    <cellStyle name="Normal 24 6 2 2 2 2 2" xfId="35844" xr:uid="{00000000-0005-0000-0000-0000DF5D0000}"/>
    <cellStyle name="Normal 24 6 2 2 2 3" xfId="22076" xr:uid="{00000000-0005-0000-0000-0000E05D0000}"/>
    <cellStyle name="Normal 24 6 2 2 2 3 2" xfId="41996" xr:uid="{00000000-0005-0000-0000-0000E15D0000}"/>
    <cellStyle name="Normal 24 6 2 2 2 4" xfId="29691" xr:uid="{00000000-0005-0000-0000-0000E25D0000}"/>
    <cellStyle name="Normal 24 6 2 2 3" xfId="12858" xr:uid="{00000000-0005-0000-0000-0000E35D0000}"/>
    <cellStyle name="Normal 24 6 2 2 3 2" xfId="32778" xr:uid="{00000000-0005-0000-0000-0000E45D0000}"/>
    <cellStyle name="Normal 24 6 2 2 4" xfId="19010" xr:uid="{00000000-0005-0000-0000-0000E55D0000}"/>
    <cellStyle name="Normal 24 6 2 2 4 2" xfId="38930" xr:uid="{00000000-0005-0000-0000-0000E65D0000}"/>
    <cellStyle name="Normal 24 6 2 2 5" xfId="26625" xr:uid="{00000000-0005-0000-0000-0000E75D0000}"/>
    <cellStyle name="Normal 24 6 2 3" xfId="8196" xr:uid="{00000000-0005-0000-0000-0000E85D0000}"/>
    <cellStyle name="Normal 24 6 2 3 2" xfId="14390" xr:uid="{00000000-0005-0000-0000-0000E95D0000}"/>
    <cellStyle name="Normal 24 6 2 3 2 2" xfId="34310" xr:uid="{00000000-0005-0000-0000-0000EA5D0000}"/>
    <cellStyle name="Normal 24 6 2 3 3" xfId="20542" xr:uid="{00000000-0005-0000-0000-0000EB5D0000}"/>
    <cellStyle name="Normal 24 6 2 3 3 2" xfId="40462" xr:uid="{00000000-0005-0000-0000-0000EC5D0000}"/>
    <cellStyle name="Normal 24 6 2 3 4" xfId="28157" xr:uid="{00000000-0005-0000-0000-0000ED5D0000}"/>
    <cellStyle name="Normal 24 6 2 4" xfId="11324" xr:uid="{00000000-0005-0000-0000-0000EE5D0000}"/>
    <cellStyle name="Normal 24 6 2 4 2" xfId="31244" xr:uid="{00000000-0005-0000-0000-0000EF5D0000}"/>
    <cellStyle name="Normal 24 6 2 5" xfId="17476" xr:uid="{00000000-0005-0000-0000-0000F05D0000}"/>
    <cellStyle name="Normal 24 6 2 5 2" xfId="37396" xr:uid="{00000000-0005-0000-0000-0000F15D0000}"/>
    <cellStyle name="Normal 24 6 2 6" xfId="25091" xr:uid="{00000000-0005-0000-0000-0000F25D0000}"/>
    <cellStyle name="Normal 24 6 3" xfId="5862" xr:uid="{00000000-0005-0000-0000-0000F35D0000}"/>
    <cellStyle name="Normal 24 6 3 2" xfId="8962" xr:uid="{00000000-0005-0000-0000-0000F45D0000}"/>
    <cellStyle name="Normal 24 6 3 2 2" xfId="15155" xr:uid="{00000000-0005-0000-0000-0000F55D0000}"/>
    <cellStyle name="Normal 24 6 3 2 2 2" xfId="35075" xr:uid="{00000000-0005-0000-0000-0000F65D0000}"/>
    <cellStyle name="Normal 24 6 3 2 3" xfId="21307" xr:uid="{00000000-0005-0000-0000-0000F75D0000}"/>
    <cellStyle name="Normal 24 6 3 2 3 2" xfId="41227" xr:uid="{00000000-0005-0000-0000-0000F85D0000}"/>
    <cellStyle name="Normal 24 6 3 2 4" xfId="28922" xr:uid="{00000000-0005-0000-0000-0000F95D0000}"/>
    <cellStyle name="Normal 24 6 3 3" xfId="12089" xr:uid="{00000000-0005-0000-0000-0000FA5D0000}"/>
    <cellStyle name="Normal 24 6 3 3 2" xfId="32009" xr:uid="{00000000-0005-0000-0000-0000FB5D0000}"/>
    <cellStyle name="Normal 24 6 3 4" xfId="18241" xr:uid="{00000000-0005-0000-0000-0000FC5D0000}"/>
    <cellStyle name="Normal 24 6 3 4 2" xfId="38161" xr:uid="{00000000-0005-0000-0000-0000FD5D0000}"/>
    <cellStyle name="Normal 24 6 3 5" xfId="25856" xr:uid="{00000000-0005-0000-0000-0000FE5D0000}"/>
    <cellStyle name="Normal 24 6 4" xfId="7427" xr:uid="{00000000-0005-0000-0000-0000FF5D0000}"/>
    <cellStyle name="Normal 24 6 4 2" xfId="13621" xr:uid="{00000000-0005-0000-0000-0000005E0000}"/>
    <cellStyle name="Normal 24 6 4 2 2" xfId="33541" xr:uid="{00000000-0005-0000-0000-0000015E0000}"/>
    <cellStyle name="Normal 24 6 4 3" xfId="19773" xr:uid="{00000000-0005-0000-0000-0000025E0000}"/>
    <cellStyle name="Normal 24 6 4 3 2" xfId="39693" xr:uid="{00000000-0005-0000-0000-0000035E0000}"/>
    <cellStyle name="Normal 24 6 4 4" xfId="27388" xr:uid="{00000000-0005-0000-0000-0000045E0000}"/>
    <cellStyle name="Normal 24 6 5" xfId="10555" xr:uid="{00000000-0005-0000-0000-0000055E0000}"/>
    <cellStyle name="Normal 24 6 5 2" xfId="30475" xr:uid="{00000000-0005-0000-0000-0000065E0000}"/>
    <cellStyle name="Normal 24 6 6" xfId="16707" xr:uid="{00000000-0005-0000-0000-0000075E0000}"/>
    <cellStyle name="Normal 24 6 6 2" xfId="36627" xr:uid="{00000000-0005-0000-0000-0000085E0000}"/>
    <cellStyle name="Normal 24 6 7" xfId="24322" xr:uid="{00000000-0005-0000-0000-0000095E0000}"/>
    <cellStyle name="Normal 24 7" xfId="3561" xr:uid="{00000000-0005-0000-0000-00000A5E0000}"/>
    <cellStyle name="Normal 24 8" xfId="5011" xr:uid="{00000000-0005-0000-0000-00000B5E0000}"/>
    <cellStyle name="Normal 24 8 2" xfId="6636" xr:uid="{00000000-0005-0000-0000-00000C5E0000}"/>
    <cellStyle name="Normal 24 8 2 2" xfId="9722" xr:uid="{00000000-0005-0000-0000-00000D5E0000}"/>
    <cellStyle name="Normal 24 8 2 2 2" xfId="15915" xr:uid="{00000000-0005-0000-0000-00000E5E0000}"/>
    <cellStyle name="Normal 24 8 2 2 2 2" xfId="35835" xr:uid="{00000000-0005-0000-0000-00000F5E0000}"/>
    <cellStyle name="Normal 24 8 2 2 3" xfId="22067" xr:uid="{00000000-0005-0000-0000-0000105E0000}"/>
    <cellStyle name="Normal 24 8 2 2 3 2" xfId="41987" xr:uid="{00000000-0005-0000-0000-0000115E0000}"/>
    <cellStyle name="Normal 24 8 2 2 4" xfId="29682" xr:uid="{00000000-0005-0000-0000-0000125E0000}"/>
    <cellStyle name="Normal 24 8 2 3" xfId="12849" xr:uid="{00000000-0005-0000-0000-0000135E0000}"/>
    <cellStyle name="Normal 24 8 2 3 2" xfId="32769" xr:uid="{00000000-0005-0000-0000-0000145E0000}"/>
    <cellStyle name="Normal 24 8 2 4" xfId="19001" xr:uid="{00000000-0005-0000-0000-0000155E0000}"/>
    <cellStyle name="Normal 24 8 2 4 2" xfId="38921" xr:uid="{00000000-0005-0000-0000-0000165E0000}"/>
    <cellStyle name="Normal 24 8 2 5" xfId="26616" xr:uid="{00000000-0005-0000-0000-0000175E0000}"/>
    <cellStyle name="Normal 24 8 3" xfId="8187" xr:uid="{00000000-0005-0000-0000-0000185E0000}"/>
    <cellStyle name="Normal 24 8 3 2" xfId="14381" xr:uid="{00000000-0005-0000-0000-0000195E0000}"/>
    <cellStyle name="Normal 24 8 3 2 2" xfId="34301" xr:uid="{00000000-0005-0000-0000-00001A5E0000}"/>
    <cellStyle name="Normal 24 8 3 3" xfId="20533" xr:uid="{00000000-0005-0000-0000-00001B5E0000}"/>
    <cellStyle name="Normal 24 8 3 3 2" xfId="40453" xr:uid="{00000000-0005-0000-0000-00001C5E0000}"/>
    <cellStyle name="Normal 24 8 3 4" xfId="28148" xr:uid="{00000000-0005-0000-0000-00001D5E0000}"/>
    <cellStyle name="Normal 24 8 4" xfId="11315" xr:uid="{00000000-0005-0000-0000-00001E5E0000}"/>
    <cellStyle name="Normal 24 8 4 2" xfId="31235" xr:uid="{00000000-0005-0000-0000-00001F5E0000}"/>
    <cellStyle name="Normal 24 8 5" xfId="17467" xr:uid="{00000000-0005-0000-0000-0000205E0000}"/>
    <cellStyle name="Normal 24 8 5 2" xfId="37387" xr:uid="{00000000-0005-0000-0000-0000215E0000}"/>
    <cellStyle name="Normal 24 8 6" xfId="25082" xr:uid="{00000000-0005-0000-0000-0000225E0000}"/>
    <cellStyle name="Normal 24 9" xfId="5853" xr:uid="{00000000-0005-0000-0000-0000235E0000}"/>
    <cellStyle name="Normal 24 9 2" xfId="8953" xr:uid="{00000000-0005-0000-0000-0000245E0000}"/>
    <cellStyle name="Normal 24 9 2 2" xfId="15146" xr:uid="{00000000-0005-0000-0000-0000255E0000}"/>
    <cellStyle name="Normal 24 9 2 2 2" xfId="35066" xr:uid="{00000000-0005-0000-0000-0000265E0000}"/>
    <cellStyle name="Normal 24 9 2 3" xfId="21298" xr:uid="{00000000-0005-0000-0000-0000275E0000}"/>
    <cellStyle name="Normal 24 9 2 3 2" xfId="41218" xr:uid="{00000000-0005-0000-0000-0000285E0000}"/>
    <cellStyle name="Normal 24 9 2 4" xfId="28913" xr:uid="{00000000-0005-0000-0000-0000295E0000}"/>
    <cellStyle name="Normal 24 9 3" xfId="12080" xr:uid="{00000000-0005-0000-0000-00002A5E0000}"/>
    <cellStyle name="Normal 24 9 3 2" xfId="32000" xr:uid="{00000000-0005-0000-0000-00002B5E0000}"/>
    <cellStyle name="Normal 24 9 4" xfId="18232" xr:uid="{00000000-0005-0000-0000-00002C5E0000}"/>
    <cellStyle name="Normal 24 9 4 2" xfId="38152" xr:uid="{00000000-0005-0000-0000-00002D5E0000}"/>
    <cellStyle name="Normal 24 9 5" xfId="25847" xr:uid="{00000000-0005-0000-0000-00002E5E0000}"/>
    <cellStyle name="Normal 25" xfId="515" xr:uid="{00000000-0005-0000-0000-00002F5E0000}"/>
    <cellStyle name="Normal 25 10" xfId="3563" xr:uid="{00000000-0005-0000-0000-0000305E0000}"/>
    <cellStyle name="Normal 25 11" xfId="3564" xr:uid="{00000000-0005-0000-0000-0000315E0000}"/>
    <cellStyle name="Normal 25 12" xfId="3565" xr:uid="{00000000-0005-0000-0000-0000325E0000}"/>
    <cellStyle name="Normal 25 13" xfId="3566" xr:uid="{00000000-0005-0000-0000-0000335E0000}"/>
    <cellStyle name="Normal 25 14" xfId="3567" xr:uid="{00000000-0005-0000-0000-0000345E0000}"/>
    <cellStyle name="Normal 25 15" xfId="3568" xr:uid="{00000000-0005-0000-0000-0000355E0000}"/>
    <cellStyle name="Normal 25 16" xfId="3569" xr:uid="{00000000-0005-0000-0000-0000365E0000}"/>
    <cellStyle name="Normal 25 17" xfId="3570" xr:uid="{00000000-0005-0000-0000-0000375E0000}"/>
    <cellStyle name="Normal 25 18" xfId="3571" xr:uid="{00000000-0005-0000-0000-0000385E0000}"/>
    <cellStyle name="Normal 25 19" xfId="3572" xr:uid="{00000000-0005-0000-0000-0000395E0000}"/>
    <cellStyle name="Normal 25 2" xfId="3573" xr:uid="{00000000-0005-0000-0000-00003A5E0000}"/>
    <cellStyle name="Normal 25 20" xfId="3574" xr:uid="{00000000-0005-0000-0000-00003B5E0000}"/>
    <cellStyle name="Normal 25 21" xfId="3575" xr:uid="{00000000-0005-0000-0000-00003C5E0000}"/>
    <cellStyle name="Normal 25 22" xfId="3576" xr:uid="{00000000-0005-0000-0000-00003D5E0000}"/>
    <cellStyle name="Normal 25 23" xfId="3577" xr:uid="{00000000-0005-0000-0000-00003E5E0000}"/>
    <cellStyle name="Normal 25 24" xfId="3562" xr:uid="{00000000-0005-0000-0000-00003F5E0000}"/>
    <cellStyle name="Normal 25 3" xfId="3578" xr:uid="{00000000-0005-0000-0000-0000405E0000}"/>
    <cellStyle name="Normal 25 4" xfId="3579" xr:uid="{00000000-0005-0000-0000-0000415E0000}"/>
    <cellStyle name="Normal 25 5" xfId="3580" xr:uid="{00000000-0005-0000-0000-0000425E0000}"/>
    <cellStyle name="Normal 25 6" xfId="3581" xr:uid="{00000000-0005-0000-0000-0000435E0000}"/>
    <cellStyle name="Normal 25 7" xfId="3582" xr:uid="{00000000-0005-0000-0000-0000445E0000}"/>
    <cellStyle name="Normal 25 8" xfId="3583" xr:uid="{00000000-0005-0000-0000-0000455E0000}"/>
    <cellStyle name="Normal 25 9" xfId="3584" xr:uid="{00000000-0005-0000-0000-0000465E0000}"/>
    <cellStyle name="Normal 26" xfId="532" xr:uid="{00000000-0005-0000-0000-0000475E0000}"/>
    <cellStyle name="Normal 26 10" xfId="7428" xr:uid="{00000000-0005-0000-0000-0000485E0000}"/>
    <cellStyle name="Normal 26 10 2" xfId="13622" xr:uid="{00000000-0005-0000-0000-0000495E0000}"/>
    <cellStyle name="Normal 26 10 2 2" xfId="33542" xr:uid="{00000000-0005-0000-0000-00004A5E0000}"/>
    <cellStyle name="Normal 26 10 3" xfId="19774" xr:uid="{00000000-0005-0000-0000-00004B5E0000}"/>
    <cellStyle name="Normal 26 10 3 2" xfId="39694" xr:uid="{00000000-0005-0000-0000-00004C5E0000}"/>
    <cellStyle name="Normal 26 10 4" xfId="27389" xr:uid="{00000000-0005-0000-0000-00004D5E0000}"/>
    <cellStyle name="Normal 26 11" xfId="10556" xr:uid="{00000000-0005-0000-0000-00004E5E0000}"/>
    <cellStyle name="Normal 26 11 2" xfId="30476" xr:uid="{00000000-0005-0000-0000-00004F5E0000}"/>
    <cellStyle name="Normal 26 12" xfId="16708" xr:uid="{00000000-0005-0000-0000-0000505E0000}"/>
    <cellStyle name="Normal 26 12 2" xfId="36628" xr:uid="{00000000-0005-0000-0000-0000515E0000}"/>
    <cellStyle name="Normal 26 13" xfId="3585" xr:uid="{00000000-0005-0000-0000-0000525E0000}"/>
    <cellStyle name="Normal 26 13 2" xfId="24323" xr:uid="{00000000-0005-0000-0000-0000535E0000}"/>
    <cellStyle name="Normal 26 2" xfId="3586" xr:uid="{00000000-0005-0000-0000-0000545E0000}"/>
    <cellStyle name="Normal 26 2 10" xfId="16709" xr:uid="{00000000-0005-0000-0000-0000555E0000}"/>
    <cellStyle name="Normal 26 2 10 2" xfId="36629" xr:uid="{00000000-0005-0000-0000-0000565E0000}"/>
    <cellStyle name="Normal 26 2 11" xfId="24324" xr:uid="{00000000-0005-0000-0000-0000575E0000}"/>
    <cellStyle name="Normal 26 2 2" xfId="3587" xr:uid="{00000000-0005-0000-0000-0000585E0000}"/>
    <cellStyle name="Normal 26 2 2 2" xfId="5023" xr:uid="{00000000-0005-0000-0000-0000595E0000}"/>
    <cellStyle name="Normal 26 2 2 2 2" xfId="6648" xr:uid="{00000000-0005-0000-0000-00005A5E0000}"/>
    <cellStyle name="Normal 26 2 2 2 2 2" xfId="9734" xr:uid="{00000000-0005-0000-0000-00005B5E0000}"/>
    <cellStyle name="Normal 26 2 2 2 2 2 2" xfId="15927" xr:uid="{00000000-0005-0000-0000-00005C5E0000}"/>
    <cellStyle name="Normal 26 2 2 2 2 2 2 2" xfId="35847" xr:uid="{00000000-0005-0000-0000-00005D5E0000}"/>
    <cellStyle name="Normal 26 2 2 2 2 2 3" xfId="22079" xr:uid="{00000000-0005-0000-0000-00005E5E0000}"/>
    <cellStyle name="Normal 26 2 2 2 2 2 3 2" xfId="41999" xr:uid="{00000000-0005-0000-0000-00005F5E0000}"/>
    <cellStyle name="Normal 26 2 2 2 2 2 4" xfId="29694" xr:uid="{00000000-0005-0000-0000-0000605E0000}"/>
    <cellStyle name="Normal 26 2 2 2 2 3" xfId="12861" xr:uid="{00000000-0005-0000-0000-0000615E0000}"/>
    <cellStyle name="Normal 26 2 2 2 2 3 2" xfId="32781" xr:uid="{00000000-0005-0000-0000-0000625E0000}"/>
    <cellStyle name="Normal 26 2 2 2 2 4" xfId="19013" xr:uid="{00000000-0005-0000-0000-0000635E0000}"/>
    <cellStyle name="Normal 26 2 2 2 2 4 2" xfId="38933" xr:uid="{00000000-0005-0000-0000-0000645E0000}"/>
    <cellStyle name="Normal 26 2 2 2 2 5" xfId="26628" xr:uid="{00000000-0005-0000-0000-0000655E0000}"/>
    <cellStyle name="Normal 26 2 2 2 3" xfId="8199" xr:uid="{00000000-0005-0000-0000-0000665E0000}"/>
    <cellStyle name="Normal 26 2 2 2 3 2" xfId="14393" xr:uid="{00000000-0005-0000-0000-0000675E0000}"/>
    <cellStyle name="Normal 26 2 2 2 3 2 2" xfId="34313" xr:uid="{00000000-0005-0000-0000-0000685E0000}"/>
    <cellStyle name="Normal 26 2 2 2 3 3" xfId="20545" xr:uid="{00000000-0005-0000-0000-0000695E0000}"/>
    <cellStyle name="Normal 26 2 2 2 3 3 2" xfId="40465" xr:uid="{00000000-0005-0000-0000-00006A5E0000}"/>
    <cellStyle name="Normal 26 2 2 2 3 4" xfId="28160" xr:uid="{00000000-0005-0000-0000-00006B5E0000}"/>
    <cellStyle name="Normal 26 2 2 2 4" xfId="11327" xr:uid="{00000000-0005-0000-0000-00006C5E0000}"/>
    <cellStyle name="Normal 26 2 2 2 4 2" xfId="31247" xr:uid="{00000000-0005-0000-0000-00006D5E0000}"/>
    <cellStyle name="Normal 26 2 2 2 5" xfId="17479" xr:uid="{00000000-0005-0000-0000-00006E5E0000}"/>
    <cellStyle name="Normal 26 2 2 2 5 2" xfId="37399" xr:uid="{00000000-0005-0000-0000-00006F5E0000}"/>
    <cellStyle name="Normal 26 2 2 2 6" xfId="25094" xr:uid="{00000000-0005-0000-0000-0000705E0000}"/>
    <cellStyle name="Normal 26 2 2 3" xfId="5865" xr:uid="{00000000-0005-0000-0000-0000715E0000}"/>
    <cellStyle name="Normal 26 2 2 3 2" xfId="8965" xr:uid="{00000000-0005-0000-0000-0000725E0000}"/>
    <cellStyle name="Normal 26 2 2 3 2 2" xfId="15158" xr:uid="{00000000-0005-0000-0000-0000735E0000}"/>
    <cellStyle name="Normal 26 2 2 3 2 2 2" xfId="35078" xr:uid="{00000000-0005-0000-0000-0000745E0000}"/>
    <cellStyle name="Normal 26 2 2 3 2 3" xfId="21310" xr:uid="{00000000-0005-0000-0000-0000755E0000}"/>
    <cellStyle name="Normal 26 2 2 3 2 3 2" xfId="41230" xr:uid="{00000000-0005-0000-0000-0000765E0000}"/>
    <cellStyle name="Normal 26 2 2 3 2 4" xfId="28925" xr:uid="{00000000-0005-0000-0000-0000775E0000}"/>
    <cellStyle name="Normal 26 2 2 3 3" xfId="12092" xr:uid="{00000000-0005-0000-0000-0000785E0000}"/>
    <cellStyle name="Normal 26 2 2 3 3 2" xfId="32012" xr:uid="{00000000-0005-0000-0000-0000795E0000}"/>
    <cellStyle name="Normal 26 2 2 3 4" xfId="18244" xr:uid="{00000000-0005-0000-0000-00007A5E0000}"/>
    <cellStyle name="Normal 26 2 2 3 4 2" xfId="38164" xr:uid="{00000000-0005-0000-0000-00007B5E0000}"/>
    <cellStyle name="Normal 26 2 2 3 5" xfId="25859" xr:uid="{00000000-0005-0000-0000-00007C5E0000}"/>
    <cellStyle name="Normal 26 2 2 4" xfId="7430" xr:uid="{00000000-0005-0000-0000-00007D5E0000}"/>
    <cellStyle name="Normal 26 2 2 4 2" xfId="13624" xr:uid="{00000000-0005-0000-0000-00007E5E0000}"/>
    <cellStyle name="Normal 26 2 2 4 2 2" xfId="33544" xr:uid="{00000000-0005-0000-0000-00007F5E0000}"/>
    <cellStyle name="Normal 26 2 2 4 3" xfId="19776" xr:uid="{00000000-0005-0000-0000-0000805E0000}"/>
    <cellStyle name="Normal 26 2 2 4 3 2" xfId="39696" xr:uid="{00000000-0005-0000-0000-0000815E0000}"/>
    <cellStyle name="Normal 26 2 2 4 4" xfId="27391" xr:uid="{00000000-0005-0000-0000-0000825E0000}"/>
    <cellStyle name="Normal 26 2 2 5" xfId="10558" xr:uid="{00000000-0005-0000-0000-0000835E0000}"/>
    <cellStyle name="Normal 26 2 2 5 2" xfId="30478" xr:uid="{00000000-0005-0000-0000-0000845E0000}"/>
    <cellStyle name="Normal 26 2 2 6" xfId="16710" xr:uid="{00000000-0005-0000-0000-0000855E0000}"/>
    <cellStyle name="Normal 26 2 2 6 2" xfId="36630" xr:uid="{00000000-0005-0000-0000-0000865E0000}"/>
    <cellStyle name="Normal 26 2 2 7" xfId="24325" xr:uid="{00000000-0005-0000-0000-0000875E0000}"/>
    <cellStyle name="Normal 26 2 3" xfId="3588" xr:uid="{00000000-0005-0000-0000-0000885E0000}"/>
    <cellStyle name="Normal 26 2 3 2" xfId="5024" xr:uid="{00000000-0005-0000-0000-0000895E0000}"/>
    <cellStyle name="Normal 26 2 3 2 2" xfId="6649" xr:uid="{00000000-0005-0000-0000-00008A5E0000}"/>
    <cellStyle name="Normal 26 2 3 2 2 2" xfId="9735" xr:uid="{00000000-0005-0000-0000-00008B5E0000}"/>
    <cellStyle name="Normal 26 2 3 2 2 2 2" xfId="15928" xr:uid="{00000000-0005-0000-0000-00008C5E0000}"/>
    <cellStyle name="Normal 26 2 3 2 2 2 2 2" xfId="35848" xr:uid="{00000000-0005-0000-0000-00008D5E0000}"/>
    <cellStyle name="Normal 26 2 3 2 2 2 3" xfId="22080" xr:uid="{00000000-0005-0000-0000-00008E5E0000}"/>
    <cellStyle name="Normal 26 2 3 2 2 2 3 2" xfId="42000" xr:uid="{00000000-0005-0000-0000-00008F5E0000}"/>
    <cellStyle name="Normal 26 2 3 2 2 2 4" xfId="29695" xr:uid="{00000000-0005-0000-0000-0000905E0000}"/>
    <cellStyle name="Normal 26 2 3 2 2 3" xfId="12862" xr:uid="{00000000-0005-0000-0000-0000915E0000}"/>
    <cellStyle name="Normal 26 2 3 2 2 3 2" xfId="32782" xr:uid="{00000000-0005-0000-0000-0000925E0000}"/>
    <cellStyle name="Normal 26 2 3 2 2 4" xfId="19014" xr:uid="{00000000-0005-0000-0000-0000935E0000}"/>
    <cellStyle name="Normal 26 2 3 2 2 4 2" xfId="38934" xr:uid="{00000000-0005-0000-0000-0000945E0000}"/>
    <cellStyle name="Normal 26 2 3 2 2 5" xfId="26629" xr:uid="{00000000-0005-0000-0000-0000955E0000}"/>
    <cellStyle name="Normal 26 2 3 2 3" xfId="8200" xr:uid="{00000000-0005-0000-0000-0000965E0000}"/>
    <cellStyle name="Normal 26 2 3 2 3 2" xfId="14394" xr:uid="{00000000-0005-0000-0000-0000975E0000}"/>
    <cellStyle name="Normal 26 2 3 2 3 2 2" xfId="34314" xr:uid="{00000000-0005-0000-0000-0000985E0000}"/>
    <cellStyle name="Normal 26 2 3 2 3 3" xfId="20546" xr:uid="{00000000-0005-0000-0000-0000995E0000}"/>
    <cellStyle name="Normal 26 2 3 2 3 3 2" xfId="40466" xr:uid="{00000000-0005-0000-0000-00009A5E0000}"/>
    <cellStyle name="Normal 26 2 3 2 3 4" xfId="28161" xr:uid="{00000000-0005-0000-0000-00009B5E0000}"/>
    <cellStyle name="Normal 26 2 3 2 4" xfId="11328" xr:uid="{00000000-0005-0000-0000-00009C5E0000}"/>
    <cellStyle name="Normal 26 2 3 2 4 2" xfId="31248" xr:uid="{00000000-0005-0000-0000-00009D5E0000}"/>
    <cellStyle name="Normal 26 2 3 2 5" xfId="17480" xr:uid="{00000000-0005-0000-0000-00009E5E0000}"/>
    <cellStyle name="Normal 26 2 3 2 5 2" xfId="37400" xr:uid="{00000000-0005-0000-0000-00009F5E0000}"/>
    <cellStyle name="Normal 26 2 3 2 6" xfId="25095" xr:uid="{00000000-0005-0000-0000-0000A05E0000}"/>
    <cellStyle name="Normal 26 2 3 3" xfId="5866" xr:uid="{00000000-0005-0000-0000-0000A15E0000}"/>
    <cellStyle name="Normal 26 2 3 3 2" xfId="8966" xr:uid="{00000000-0005-0000-0000-0000A25E0000}"/>
    <cellStyle name="Normal 26 2 3 3 2 2" xfId="15159" xr:uid="{00000000-0005-0000-0000-0000A35E0000}"/>
    <cellStyle name="Normal 26 2 3 3 2 2 2" xfId="35079" xr:uid="{00000000-0005-0000-0000-0000A45E0000}"/>
    <cellStyle name="Normal 26 2 3 3 2 3" xfId="21311" xr:uid="{00000000-0005-0000-0000-0000A55E0000}"/>
    <cellStyle name="Normal 26 2 3 3 2 3 2" xfId="41231" xr:uid="{00000000-0005-0000-0000-0000A65E0000}"/>
    <cellStyle name="Normal 26 2 3 3 2 4" xfId="28926" xr:uid="{00000000-0005-0000-0000-0000A75E0000}"/>
    <cellStyle name="Normal 26 2 3 3 3" xfId="12093" xr:uid="{00000000-0005-0000-0000-0000A85E0000}"/>
    <cellStyle name="Normal 26 2 3 3 3 2" xfId="32013" xr:uid="{00000000-0005-0000-0000-0000A95E0000}"/>
    <cellStyle name="Normal 26 2 3 3 4" xfId="18245" xr:uid="{00000000-0005-0000-0000-0000AA5E0000}"/>
    <cellStyle name="Normal 26 2 3 3 4 2" xfId="38165" xr:uid="{00000000-0005-0000-0000-0000AB5E0000}"/>
    <cellStyle name="Normal 26 2 3 3 5" xfId="25860" xr:uid="{00000000-0005-0000-0000-0000AC5E0000}"/>
    <cellStyle name="Normal 26 2 3 4" xfId="7431" xr:uid="{00000000-0005-0000-0000-0000AD5E0000}"/>
    <cellStyle name="Normal 26 2 3 4 2" xfId="13625" xr:uid="{00000000-0005-0000-0000-0000AE5E0000}"/>
    <cellStyle name="Normal 26 2 3 4 2 2" xfId="33545" xr:uid="{00000000-0005-0000-0000-0000AF5E0000}"/>
    <cellStyle name="Normal 26 2 3 4 3" xfId="19777" xr:uid="{00000000-0005-0000-0000-0000B05E0000}"/>
    <cellStyle name="Normal 26 2 3 4 3 2" xfId="39697" xr:uid="{00000000-0005-0000-0000-0000B15E0000}"/>
    <cellStyle name="Normal 26 2 3 4 4" xfId="27392" xr:uid="{00000000-0005-0000-0000-0000B25E0000}"/>
    <cellStyle name="Normal 26 2 3 5" xfId="10559" xr:uid="{00000000-0005-0000-0000-0000B35E0000}"/>
    <cellStyle name="Normal 26 2 3 5 2" xfId="30479" xr:uid="{00000000-0005-0000-0000-0000B45E0000}"/>
    <cellStyle name="Normal 26 2 3 6" xfId="16711" xr:uid="{00000000-0005-0000-0000-0000B55E0000}"/>
    <cellStyle name="Normal 26 2 3 6 2" xfId="36631" xr:uid="{00000000-0005-0000-0000-0000B65E0000}"/>
    <cellStyle name="Normal 26 2 3 7" xfId="24326" xr:uid="{00000000-0005-0000-0000-0000B75E0000}"/>
    <cellStyle name="Normal 26 2 4" xfId="3589" xr:uid="{00000000-0005-0000-0000-0000B85E0000}"/>
    <cellStyle name="Normal 26 2 4 2" xfId="5025" xr:uid="{00000000-0005-0000-0000-0000B95E0000}"/>
    <cellStyle name="Normal 26 2 4 2 2" xfId="6650" xr:uid="{00000000-0005-0000-0000-0000BA5E0000}"/>
    <cellStyle name="Normal 26 2 4 2 2 2" xfId="9736" xr:uid="{00000000-0005-0000-0000-0000BB5E0000}"/>
    <cellStyle name="Normal 26 2 4 2 2 2 2" xfId="15929" xr:uid="{00000000-0005-0000-0000-0000BC5E0000}"/>
    <cellStyle name="Normal 26 2 4 2 2 2 2 2" xfId="35849" xr:uid="{00000000-0005-0000-0000-0000BD5E0000}"/>
    <cellStyle name="Normal 26 2 4 2 2 2 3" xfId="22081" xr:uid="{00000000-0005-0000-0000-0000BE5E0000}"/>
    <cellStyle name="Normal 26 2 4 2 2 2 3 2" xfId="42001" xr:uid="{00000000-0005-0000-0000-0000BF5E0000}"/>
    <cellStyle name="Normal 26 2 4 2 2 2 4" xfId="29696" xr:uid="{00000000-0005-0000-0000-0000C05E0000}"/>
    <cellStyle name="Normal 26 2 4 2 2 3" xfId="12863" xr:uid="{00000000-0005-0000-0000-0000C15E0000}"/>
    <cellStyle name="Normal 26 2 4 2 2 3 2" xfId="32783" xr:uid="{00000000-0005-0000-0000-0000C25E0000}"/>
    <cellStyle name="Normal 26 2 4 2 2 4" xfId="19015" xr:uid="{00000000-0005-0000-0000-0000C35E0000}"/>
    <cellStyle name="Normal 26 2 4 2 2 4 2" xfId="38935" xr:uid="{00000000-0005-0000-0000-0000C45E0000}"/>
    <cellStyle name="Normal 26 2 4 2 2 5" xfId="26630" xr:uid="{00000000-0005-0000-0000-0000C55E0000}"/>
    <cellStyle name="Normal 26 2 4 2 3" xfId="8201" xr:uid="{00000000-0005-0000-0000-0000C65E0000}"/>
    <cellStyle name="Normal 26 2 4 2 3 2" xfId="14395" xr:uid="{00000000-0005-0000-0000-0000C75E0000}"/>
    <cellStyle name="Normal 26 2 4 2 3 2 2" xfId="34315" xr:uid="{00000000-0005-0000-0000-0000C85E0000}"/>
    <cellStyle name="Normal 26 2 4 2 3 3" xfId="20547" xr:uid="{00000000-0005-0000-0000-0000C95E0000}"/>
    <cellStyle name="Normal 26 2 4 2 3 3 2" xfId="40467" xr:uid="{00000000-0005-0000-0000-0000CA5E0000}"/>
    <cellStyle name="Normal 26 2 4 2 3 4" xfId="28162" xr:uid="{00000000-0005-0000-0000-0000CB5E0000}"/>
    <cellStyle name="Normal 26 2 4 2 4" xfId="11329" xr:uid="{00000000-0005-0000-0000-0000CC5E0000}"/>
    <cellStyle name="Normal 26 2 4 2 4 2" xfId="31249" xr:uid="{00000000-0005-0000-0000-0000CD5E0000}"/>
    <cellStyle name="Normal 26 2 4 2 5" xfId="17481" xr:uid="{00000000-0005-0000-0000-0000CE5E0000}"/>
    <cellStyle name="Normal 26 2 4 2 5 2" xfId="37401" xr:uid="{00000000-0005-0000-0000-0000CF5E0000}"/>
    <cellStyle name="Normal 26 2 4 2 6" xfId="25096" xr:uid="{00000000-0005-0000-0000-0000D05E0000}"/>
    <cellStyle name="Normal 26 2 4 3" xfId="5867" xr:uid="{00000000-0005-0000-0000-0000D15E0000}"/>
    <cellStyle name="Normal 26 2 4 3 2" xfId="8967" xr:uid="{00000000-0005-0000-0000-0000D25E0000}"/>
    <cellStyle name="Normal 26 2 4 3 2 2" xfId="15160" xr:uid="{00000000-0005-0000-0000-0000D35E0000}"/>
    <cellStyle name="Normal 26 2 4 3 2 2 2" xfId="35080" xr:uid="{00000000-0005-0000-0000-0000D45E0000}"/>
    <cellStyle name="Normal 26 2 4 3 2 3" xfId="21312" xr:uid="{00000000-0005-0000-0000-0000D55E0000}"/>
    <cellStyle name="Normal 26 2 4 3 2 3 2" xfId="41232" xr:uid="{00000000-0005-0000-0000-0000D65E0000}"/>
    <cellStyle name="Normal 26 2 4 3 2 4" xfId="28927" xr:uid="{00000000-0005-0000-0000-0000D75E0000}"/>
    <cellStyle name="Normal 26 2 4 3 3" xfId="12094" xr:uid="{00000000-0005-0000-0000-0000D85E0000}"/>
    <cellStyle name="Normal 26 2 4 3 3 2" xfId="32014" xr:uid="{00000000-0005-0000-0000-0000D95E0000}"/>
    <cellStyle name="Normal 26 2 4 3 4" xfId="18246" xr:uid="{00000000-0005-0000-0000-0000DA5E0000}"/>
    <cellStyle name="Normal 26 2 4 3 4 2" xfId="38166" xr:uid="{00000000-0005-0000-0000-0000DB5E0000}"/>
    <cellStyle name="Normal 26 2 4 3 5" xfId="25861" xr:uid="{00000000-0005-0000-0000-0000DC5E0000}"/>
    <cellStyle name="Normal 26 2 4 4" xfId="7432" xr:uid="{00000000-0005-0000-0000-0000DD5E0000}"/>
    <cellStyle name="Normal 26 2 4 4 2" xfId="13626" xr:uid="{00000000-0005-0000-0000-0000DE5E0000}"/>
    <cellStyle name="Normal 26 2 4 4 2 2" xfId="33546" xr:uid="{00000000-0005-0000-0000-0000DF5E0000}"/>
    <cellStyle name="Normal 26 2 4 4 3" xfId="19778" xr:uid="{00000000-0005-0000-0000-0000E05E0000}"/>
    <cellStyle name="Normal 26 2 4 4 3 2" xfId="39698" xr:uid="{00000000-0005-0000-0000-0000E15E0000}"/>
    <cellStyle name="Normal 26 2 4 4 4" xfId="27393" xr:uid="{00000000-0005-0000-0000-0000E25E0000}"/>
    <cellStyle name="Normal 26 2 4 5" xfId="10560" xr:uid="{00000000-0005-0000-0000-0000E35E0000}"/>
    <cellStyle name="Normal 26 2 4 5 2" xfId="30480" xr:uid="{00000000-0005-0000-0000-0000E45E0000}"/>
    <cellStyle name="Normal 26 2 4 6" xfId="16712" xr:uid="{00000000-0005-0000-0000-0000E55E0000}"/>
    <cellStyle name="Normal 26 2 4 6 2" xfId="36632" xr:uid="{00000000-0005-0000-0000-0000E65E0000}"/>
    <cellStyle name="Normal 26 2 4 7" xfId="24327" xr:uid="{00000000-0005-0000-0000-0000E75E0000}"/>
    <cellStyle name="Normal 26 2 5" xfId="3590" xr:uid="{00000000-0005-0000-0000-0000E85E0000}"/>
    <cellStyle name="Normal 26 2 5 2" xfId="5026" xr:uid="{00000000-0005-0000-0000-0000E95E0000}"/>
    <cellStyle name="Normal 26 2 5 2 2" xfId="6651" xr:uid="{00000000-0005-0000-0000-0000EA5E0000}"/>
    <cellStyle name="Normal 26 2 5 2 2 2" xfId="9737" xr:uid="{00000000-0005-0000-0000-0000EB5E0000}"/>
    <cellStyle name="Normal 26 2 5 2 2 2 2" xfId="15930" xr:uid="{00000000-0005-0000-0000-0000EC5E0000}"/>
    <cellStyle name="Normal 26 2 5 2 2 2 2 2" xfId="35850" xr:uid="{00000000-0005-0000-0000-0000ED5E0000}"/>
    <cellStyle name="Normal 26 2 5 2 2 2 3" xfId="22082" xr:uid="{00000000-0005-0000-0000-0000EE5E0000}"/>
    <cellStyle name="Normal 26 2 5 2 2 2 3 2" xfId="42002" xr:uid="{00000000-0005-0000-0000-0000EF5E0000}"/>
    <cellStyle name="Normal 26 2 5 2 2 2 4" xfId="29697" xr:uid="{00000000-0005-0000-0000-0000F05E0000}"/>
    <cellStyle name="Normal 26 2 5 2 2 3" xfId="12864" xr:uid="{00000000-0005-0000-0000-0000F15E0000}"/>
    <cellStyle name="Normal 26 2 5 2 2 3 2" xfId="32784" xr:uid="{00000000-0005-0000-0000-0000F25E0000}"/>
    <cellStyle name="Normal 26 2 5 2 2 4" xfId="19016" xr:uid="{00000000-0005-0000-0000-0000F35E0000}"/>
    <cellStyle name="Normal 26 2 5 2 2 4 2" xfId="38936" xr:uid="{00000000-0005-0000-0000-0000F45E0000}"/>
    <cellStyle name="Normal 26 2 5 2 2 5" xfId="26631" xr:uid="{00000000-0005-0000-0000-0000F55E0000}"/>
    <cellStyle name="Normal 26 2 5 2 3" xfId="8202" xr:uid="{00000000-0005-0000-0000-0000F65E0000}"/>
    <cellStyle name="Normal 26 2 5 2 3 2" xfId="14396" xr:uid="{00000000-0005-0000-0000-0000F75E0000}"/>
    <cellStyle name="Normal 26 2 5 2 3 2 2" xfId="34316" xr:uid="{00000000-0005-0000-0000-0000F85E0000}"/>
    <cellStyle name="Normal 26 2 5 2 3 3" xfId="20548" xr:uid="{00000000-0005-0000-0000-0000F95E0000}"/>
    <cellStyle name="Normal 26 2 5 2 3 3 2" xfId="40468" xr:uid="{00000000-0005-0000-0000-0000FA5E0000}"/>
    <cellStyle name="Normal 26 2 5 2 3 4" xfId="28163" xr:uid="{00000000-0005-0000-0000-0000FB5E0000}"/>
    <cellStyle name="Normal 26 2 5 2 4" xfId="11330" xr:uid="{00000000-0005-0000-0000-0000FC5E0000}"/>
    <cellStyle name="Normal 26 2 5 2 4 2" xfId="31250" xr:uid="{00000000-0005-0000-0000-0000FD5E0000}"/>
    <cellStyle name="Normal 26 2 5 2 5" xfId="17482" xr:uid="{00000000-0005-0000-0000-0000FE5E0000}"/>
    <cellStyle name="Normal 26 2 5 2 5 2" xfId="37402" xr:uid="{00000000-0005-0000-0000-0000FF5E0000}"/>
    <cellStyle name="Normal 26 2 5 2 6" xfId="25097" xr:uid="{00000000-0005-0000-0000-0000005F0000}"/>
    <cellStyle name="Normal 26 2 5 3" xfId="5868" xr:uid="{00000000-0005-0000-0000-0000015F0000}"/>
    <cellStyle name="Normal 26 2 5 3 2" xfId="8968" xr:uid="{00000000-0005-0000-0000-0000025F0000}"/>
    <cellStyle name="Normal 26 2 5 3 2 2" xfId="15161" xr:uid="{00000000-0005-0000-0000-0000035F0000}"/>
    <cellStyle name="Normal 26 2 5 3 2 2 2" xfId="35081" xr:uid="{00000000-0005-0000-0000-0000045F0000}"/>
    <cellStyle name="Normal 26 2 5 3 2 3" xfId="21313" xr:uid="{00000000-0005-0000-0000-0000055F0000}"/>
    <cellStyle name="Normal 26 2 5 3 2 3 2" xfId="41233" xr:uid="{00000000-0005-0000-0000-0000065F0000}"/>
    <cellStyle name="Normal 26 2 5 3 2 4" xfId="28928" xr:uid="{00000000-0005-0000-0000-0000075F0000}"/>
    <cellStyle name="Normal 26 2 5 3 3" xfId="12095" xr:uid="{00000000-0005-0000-0000-0000085F0000}"/>
    <cellStyle name="Normal 26 2 5 3 3 2" xfId="32015" xr:uid="{00000000-0005-0000-0000-0000095F0000}"/>
    <cellStyle name="Normal 26 2 5 3 4" xfId="18247" xr:uid="{00000000-0005-0000-0000-00000A5F0000}"/>
    <cellStyle name="Normal 26 2 5 3 4 2" xfId="38167" xr:uid="{00000000-0005-0000-0000-00000B5F0000}"/>
    <cellStyle name="Normal 26 2 5 3 5" xfId="25862" xr:uid="{00000000-0005-0000-0000-00000C5F0000}"/>
    <cellStyle name="Normal 26 2 5 4" xfId="7433" xr:uid="{00000000-0005-0000-0000-00000D5F0000}"/>
    <cellStyle name="Normal 26 2 5 4 2" xfId="13627" xr:uid="{00000000-0005-0000-0000-00000E5F0000}"/>
    <cellStyle name="Normal 26 2 5 4 2 2" xfId="33547" xr:uid="{00000000-0005-0000-0000-00000F5F0000}"/>
    <cellStyle name="Normal 26 2 5 4 3" xfId="19779" xr:uid="{00000000-0005-0000-0000-0000105F0000}"/>
    <cellStyle name="Normal 26 2 5 4 3 2" xfId="39699" xr:uid="{00000000-0005-0000-0000-0000115F0000}"/>
    <cellStyle name="Normal 26 2 5 4 4" xfId="27394" xr:uid="{00000000-0005-0000-0000-0000125F0000}"/>
    <cellStyle name="Normal 26 2 5 5" xfId="10561" xr:uid="{00000000-0005-0000-0000-0000135F0000}"/>
    <cellStyle name="Normal 26 2 5 5 2" xfId="30481" xr:uid="{00000000-0005-0000-0000-0000145F0000}"/>
    <cellStyle name="Normal 26 2 5 6" xfId="16713" xr:uid="{00000000-0005-0000-0000-0000155F0000}"/>
    <cellStyle name="Normal 26 2 5 6 2" xfId="36633" xr:uid="{00000000-0005-0000-0000-0000165F0000}"/>
    <cellStyle name="Normal 26 2 5 7" xfId="24328" xr:uid="{00000000-0005-0000-0000-0000175F0000}"/>
    <cellStyle name="Normal 26 2 6" xfId="5022" xr:uid="{00000000-0005-0000-0000-0000185F0000}"/>
    <cellStyle name="Normal 26 2 6 2" xfId="6647" xr:uid="{00000000-0005-0000-0000-0000195F0000}"/>
    <cellStyle name="Normal 26 2 6 2 2" xfId="9733" xr:uid="{00000000-0005-0000-0000-00001A5F0000}"/>
    <cellStyle name="Normal 26 2 6 2 2 2" xfId="15926" xr:uid="{00000000-0005-0000-0000-00001B5F0000}"/>
    <cellStyle name="Normal 26 2 6 2 2 2 2" xfId="35846" xr:uid="{00000000-0005-0000-0000-00001C5F0000}"/>
    <cellStyle name="Normal 26 2 6 2 2 3" xfId="22078" xr:uid="{00000000-0005-0000-0000-00001D5F0000}"/>
    <cellStyle name="Normal 26 2 6 2 2 3 2" xfId="41998" xr:uid="{00000000-0005-0000-0000-00001E5F0000}"/>
    <cellStyle name="Normal 26 2 6 2 2 4" xfId="29693" xr:uid="{00000000-0005-0000-0000-00001F5F0000}"/>
    <cellStyle name="Normal 26 2 6 2 3" xfId="12860" xr:uid="{00000000-0005-0000-0000-0000205F0000}"/>
    <cellStyle name="Normal 26 2 6 2 3 2" xfId="32780" xr:uid="{00000000-0005-0000-0000-0000215F0000}"/>
    <cellStyle name="Normal 26 2 6 2 4" xfId="19012" xr:uid="{00000000-0005-0000-0000-0000225F0000}"/>
    <cellStyle name="Normal 26 2 6 2 4 2" xfId="38932" xr:uid="{00000000-0005-0000-0000-0000235F0000}"/>
    <cellStyle name="Normal 26 2 6 2 5" xfId="26627" xr:uid="{00000000-0005-0000-0000-0000245F0000}"/>
    <cellStyle name="Normal 26 2 6 3" xfId="8198" xr:uid="{00000000-0005-0000-0000-0000255F0000}"/>
    <cellStyle name="Normal 26 2 6 3 2" xfId="14392" xr:uid="{00000000-0005-0000-0000-0000265F0000}"/>
    <cellStyle name="Normal 26 2 6 3 2 2" xfId="34312" xr:uid="{00000000-0005-0000-0000-0000275F0000}"/>
    <cellStyle name="Normal 26 2 6 3 3" xfId="20544" xr:uid="{00000000-0005-0000-0000-0000285F0000}"/>
    <cellStyle name="Normal 26 2 6 3 3 2" xfId="40464" xr:uid="{00000000-0005-0000-0000-0000295F0000}"/>
    <cellStyle name="Normal 26 2 6 3 4" xfId="28159" xr:uid="{00000000-0005-0000-0000-00002A5F0000}"/>
    <cellStyle name="Normal 26 2 6 4" xfId="11326" xr:uid="{00000000-0005-0000-0000-00002B5F0000}"/>
    <cellStyle name="Normal 26 2 6 4 2" xfId="31246" xr:uid="{00000000-0005-0000-0000-00002C5F0000}"/>
    <cellStyle name="Normal 26 2 6 5" xfId="17478" xr:uid="{00000000-0005-0000-0000-00002D5F0000}"/>
    <cellStyle name="Normal 26 2 6 5 2" xfId="37398" xr:uid="{00000000-0005-0000-0000-00002E5F0000}"/>
    <cellStyle name="Normal 26 2 6 6" xfId="25093" xr:uid="{00000000-0005-0000-0000-00002F5F0000}"/>
    <cellStyle name="Normal 26 2 7" xfId="5864" xr:uid="{00000000-0005-0000-0000-0000305F0000}"/>
    <cellStyle name="Normal 26 2 7 2" xfId="8964" xr:uid="{00000000-0005-0000-0000-0000315F0000}"/>
    <cellStyle name="Normal 26 2 7 2 2" xfId="15157" xr:uid="{00000000-0005-0000-0000-0000325F0000}"/>
    <cellStyle name="Normal 26 2 7 2 2 2" xfId="35077" xr:uid="{00000000-0005-0000-0000-0000335F0000}"/>
    <cellStyle name="Normal 26 2 7 2 3" xfId="21309" xr:uid="{00000000-0005-0000-0000-0000345F0000}"/>
    <cellStyle name="Normal 26 2 7 2 3 2" xfId="41229" xr:uid="{00000000-0005-0000-0000-0000355F0000}"/>
    <cellStyle name="Normal 26 2 7 2 4" xfId="28924" xr:uid="{00000000-0005-0000-0000-0000365F0000}"/>
    <cellStyle name="Normal 26 2 7 3" xfId="12091" xr:uid="{00000000-0005-0000-0000-0000375F0000}"/>
    <cellStyle name="Normal 26 2 7 3 2" xfId="32011" xr:uid="{00000000-0005-0000-0000-0000385F0000}"/>
    <cellStyle name="Normal 26 2 7 4" xfId="18243" xr:uid="{00000000-0005-0000-0000-0000395F0000}"/>
    <cellStyle name="Normal 26 2 7 4 2" xfId="38163" xr:uid="{00000000-0005-0000-0000-00003A5F0000}"/>
    <cellStyle name="Normal 26 2 7 5" xfId="25858" xr:uid="{00000000-0005-0000-0000-00003B5F0000}"/>
    <cellStyle name="Normal 26 2 8" xfId="7429" xr:uid="{00000000-0005-0000-0000-00003C5F0000}"/>
    <cellStyle name="Normal 26 2 8 2" xfId="13623" xr:uid="{00000000-0005-0000-0000-00003D5F0000}"/>
    <cellStyle name="Normal 26 2 8 2 2" xfId="33543" xr:uid="{00000000-0005-0000-0000-00003E5F0000}"/>
    <cellStyle name="Normal 26 2 8 3" xfId="19775" xr:uid="{00000000-0005-0000-0000-00003F5F0000}"/>
    <cellStyle name="Normal 26 2 8 3 2" xfId="39695" xr:uid="{00000000-0005-0000-0000-0000405F0000}"/>
    <cellStyle name="Normal 26 2 8 4" xfId="27390" xr:uid="{00000000-0005-0000-0000-0000415F0000}"/>
    <cellStyle name="Normal 26 2 9" xfId="10557" xr:uid="{00000000-0005-0000-0000-0000425F0000}"/>
    <cellStyle name="Normal 26 2 9 2" xfId="30477" xr:uid="{00000000-0005-0000-0000-0000435F0000}"/>
    <cellStyle name="Normal 26 3" xfId="3591" xr:uid="{00000000-0005-0000-0000-0000445F0000}"/>
    <cellStyle name="Normal 26 3 2" xfId="5027" xr:uid="{00000000-0005-0000-0000-0000455F0000}"/>
    <cellStyle name="Normal 26 3 2 2" xfId="6652" xr:uid="{00000000-0005-0000-0000-0000465F0000}"/>
    <cellStyle name="Normal 26 3 2 2 2" xfId="9738" xr:uid="{00000000-0005-0000-0000-0000475F0000}"/>
    <cellStyle name="Normal 26 3 2 2 2 2" xfId="15931" xr:uid="{00000000-0005-0000-0000-0000485F0000}"/>
    <cellStyle name="Normal 26 3 2 2 2 2 2" xfId="35851" xr:uid="{00000000-0005-0000-0000-0000495F0000}"/>
    <cellStyle name="Normal 26 3 2 2 2 3" xfId="22083" xr:uid="{00000000-0005-0000-0000-00004A5F0000}"/>
    <cellStyle name="Normal 26 3 2 2 2 3 2" xfId="42003" xr:uid="{00000000-0005-0000-0000-00004B5F0000}"/>
    <cellStyle name="Normal 26 3 2 2 2 4" xfId="29698" xr:uid="{00000000-0005-0000-0000-00004C5F0000}"/>
    <cellStyle name="Normal 26 3 2 2 3" xfId="12865" xr:uid="{00000000-0005-0000-0000-00004D5F0000}"/>
    <cellStyle name="Normal 26 3 2 2 3 2" xfId="32785" xr:uid="{00000000-0005-0000-0000-00004E5F0000}"/>
    <cellStyle name="Normal 26 3 2 2 4" xfId="19017" xr:uid="{00000000-0005-0000-0000-00004F5F0000}"/>
    <cellStyle name="Normal 26 3 2 2 4 2" xfId="38937" xr:uid="{00000000-0005-0000-0000-0000505F0000}"/>
    <cellStyle name="Normal 26 3 2 2 5" xfId="26632" xr:uid="{00000000-0005-0000-0000-0000515F0000}"/>
    <cellStyle name="Normal 26 3 2 3" xfId="8203" xr:uid="{00000000-0005-0000-0000-0000525F0000}"/>
    <cellStyle name="Normal 26 3 2 3 2" xfId="14397" xr:uid="{00000000-0005-0000-0000-0000535F0000}"/>
    <cellStyle name="Normal 26 3 2 3 2 2" xfId="34317" xr:uid="{00000000-0005-0000-0000-0000545F0000}"/>
    <cellStyle name="Normal 26 3 2 3 3" xfId="20549" xr:uid="{00000000-0005-0000-0000-0000555F0000}"/>
    <cellStyle name="Normal 26 3 2 3 3 2" xfId="40469" xr:uid="{00000000-0005-0000-0000-0000565F0000}"/>
    <cellStyle name="Normal 26 3 2 3 4" xfId="28164" xr:uid="{00000000-0005-0000-0000-0000575F0000}"/>
    <cellStyle name="Normal 26 3 2 4" xfId="11331" xr:uid="{00000000-0005-0000-0000-0000585F0000}"/>
    <cellStyle name="Normal 26 3 2 4 2" xfId="31251" xr:uid="{00000000-0005-0000-0000-0000595F0000}"/>
    <cellStyle name="Normal 26 3 2 5" xfId="17483" xr:uid="{00000000-0005-0000-0000-00005A5F0000}"/>
    <cellStyle name="Normal 26 3 2 5 2" xfId="37403" xr:uid="{00000000-0005-0000-0000-00005B5F0000}"/>
    <cellStyle name="Normal 26 3 2 6" xfId="25098" xr:uid="{00000000-0005-0000-0000-00005C5F0000}"/>
    <cellStyle name="Normal 26 3 3" xfId="5869" xr:uid="{00000000-0005-0000-0000-00005D5F0000}"/>
    <cellStyle name="Normal 26 3 3 2" xfId="8969" xr:uid="{00000000-0005-0000-0000-00005E5F0000}"/>
    <cellStyle name="Normal 26 3 3 2 2" xfId="15162" xr:uid="{00000000-0005-0000-0000-00005F5F0000}"/>
    <cellStyle name="Normal 26 3 3 2 2 2" xfId="35082" xr:uid="{00000000-0005-0000-0000-0000605F0000}"/>
    <cellStyle name="Normal 26 3 3 2 3" xfId="21314" xr:uid="{00000000-0005-0000-0000-0000615F0000}"/>
    <cellStyle name="Normal 26 3 3 2 3 2" xfId="41234" xr:uid="{00000000-0005-0000-0000-0000625F0000}"/>
    <cellStyle name="Normal 26 3 3 2 4" xfId="28929" xr:uid="{00000000-0005-0000-0000-0000635F0000}"/>
    <cellStyle name="Normal 26 3 3 3" xfId="12096" xr:uid="{00000000-0005-0000-0000-0000645F0000}"/>
    <cellStyle name="Normal 26 3 3 3 2" xfId="32016" xr:uid="{00000000-0005-0000-0000-0000655F0000}"/>
    <cellStyle name="Normal 26 3 3 4" xfId="18248" xr:uid="{00000000-0005-0000-0000-0000665F0000}"/>
    <cellStyle name="Normal 26 3 3 4 2" xfId="38168" xr:uid="{00000000-0005-0000-0000-0000675F0000}"/>
    <cellStyle name="Normal 26 3 3 5" xfId="25863" xr:uid="{00000000-0005-0000-0000-0000685F0000}"/>
    <cellStyle name="Normal 26 3 4" xfId="7434" xr:uid="{00000000-0005-0000-0000-0000695F0000}"/>
    <cellStyle name="Normal 26 3 4 2" xfId="13628" xr:uid="{00000000-0005-0000-0000-00006A5F0000}"/>
    <cellStyle name="Normal 26 3 4 2 2" xfId="33548" xr:uid="{00000000-0005-0000-0000-00006B5F0000}"/>
    <cellStyle name="Normal 26 3 4 3" xfId="19780" xr:uid="{00000000-0005-0000-0000-00006C5F0000}"/>
    <cellStyle name="Normal 26 3 4 3 2" xfId="39700" xr:uid="{00000000-0005-0000-0000-00006D5F0000}"/>
    <cellStyle name="Normal 26 3 4 4" xfId="27395" xr:uid="{00000000-0005-0000-0000-00006E5F0000}"/>
    <cellStyle name="Normal 26 3 5" xfId="10562" xr:uid="{00000000-0005-0000-0000-00006F5F0000}"/>
    <cellStyle name="Normal 26 3 5 2" xfId="30482" xr:uid="{00000000-0005-0000-0000-0000705F0000}"/>
    <cellStyle name="Normal 26 3 6" xfId="16714" xr:uid="{00000000-0005-0000-0000-0000715F0000}"/>
    <cellStyle name="Normal 26 3 6 2" xfId="36634" xr:uid="{00000000-0005-0000-0000-0000725F0000}"/>
    <cellStyle name="Normal 26 3 7" xfId="24329" xr:uid="{00000000-0005-0000-0000-0000735F0000}"/>
    <cellStyle name="Normal 26 4" xfId="3592" xr:uid="{00000000-0005-0000-0000-0000745F0000}"/>
    <cellStyle name="Normal 26 4 2" xfId="5028" xr:uid="{00000000-0005-0000-0000-0000755F0000}"/>
    <cellStyle name="Normal 26 4 2 2" xfId="6653" xr:uid="{00000000-0005-0000-0000-0000765F0000}"/>
    <cellStyle name="Normal 26 4 2 2 2" xfId="9739" xr:uid="{00000000-0005-0000-0000-0000775F0000}"/>
    <cellStyle name="Normal 26 4 2 2 2 2" xfId="15932" xr:uid="{00000000-0005-0000-0000-0000785F0000}"/>
    <cellStyle name="Normal 26 4 2 2 2 2 2" xfId="35852" xr:uid="{00000000-0005-0000-0000-0000795F0000}"/>
    <cellStyle name="Normal 26 4 2 2 2 3" xfId="22084" xr:uid="{00000000-0005-0000-0000-00007A5F0000}"/>
    <cellStyle name="Normal 26 4 2 2 2 3 2" xfId="42004" xr:uid="{00000000-0005-0000-0000-00007B5F0000}"/>
    <cellStyle name="Normal 26 4 2 2 2 4" xfId="29699" xr:uid="{00000000-0005-0000-0000-00007C5F0000}"/>
    <cellStyle name="Normal 26 4 2 2 3" xfId="12866" xr:uid="{00000000-0005-0000-0000-00007D5F0000}"/>
    <cellStyle name="Normal 26 4 2 2 3 2" xfId="32786" xr:uid="{00000000-0005-0000-0000-00007E5F0000}"/>
    <cellStyle name="Normal 26 4 2 2 4" xfId="19018" xr:uid="{00000000-0005-0000-0000-00007F5F0000}"/>
    <cellStyle name="Normal 26 4 2 2 4 2" xfId="38938" xr:uid="{00000000-0005-0000-0000-0000805F0000}"/>
    <cellStyle name="Normal 26 4 2 2 5" xfId="26633" xr:uid="{00000000-0005-0000-0000-0000815F0000}"/>
    <cellStyle name="Normal 26 4 2 3" xfId="8204" xr:uid="{00000000-0005-0000-0000-0000825F0000}"/>
    <cellStyle name="Normal 26 4 2 3 2" xfId="14398" xr:uid="{00000000-0005-0000-0000-0000835F0000}"/>
    <cellStyle name="Normal 26 4 2 3 2 2" xfId="34318" xr:uid="{00000000-0005-0000-0000-0000845F0000}"/>
    <cellStyle name="Normal 26 4 2 3 3" xfId="20550" xr:uid="{00000000-0005-0000-0000-0000855F0000}"/>
    <cellStyle name="Normal 26 4 2 3 3 2" xfId="40470" xr:uid="{00000000-0005-0000-0000-0000865F0000}"/>
    <cellStyle name="Normal 26 4 2 3 4" xfId="28165" xr:uid="{00000000-0005-0000-0000-0000875F0000}"/>
    <cellStyle name="Normal 26 4 2 4" xfId="11332" xr:uid="{00000000-0005-0000-0000-0000885F0000}"/>
    <cellStyle name="Normal 26 4 2 4 2" xfId="31252" xr:uid="{00000000-0005-0000-0000-0000895F0000}"/>
    <cellStyle name="Normal 26 4 2 5" xfId="17484" xr:uid="{00000000-0005-0000-0000-00008A5F0000}"/>
    <cellStyle name="Normal 26 4 2 5 2" xfId="37404" xr:uid="{00000000-0005-0000-0000-00008B5F0000}"/>
    <cellStyle name="Normal 26 4 2 6" xfId="25099" xr:uid="{00000000-0005-0000-0000-00008C5F0000}"/>
    <cellStyle name="Normal 26 4 3" xfId="5870" xr:uid="{00000000-0005-0000-0000-00008D5F0000}"/>
    <cellStyle name="Normal 26 4 3 2" xfId="8970" xr:uid="{00000000-0005-0000-0000-00008E5F0000}"/>
    <cellStyle name="Normal 26 4 3 2 2" xfId="15163" xr:uid="{00000000-0005-0000-0000-00008F5F0000}"/>
    <cellStyle name="Normal 26 4 3 2 2 2" xfId="35083" xr:uid="{00000000-0005-0000-0000-0000905F0000}"/>
    <cellStyle name="Normal 26 4 3 2 3" xfId="21315" xr:uid="{00000000-0005-0000-0000-0000915F0000}"/>
    <cellStyle name="Normal 26 4 3 2 3 2" xfId="41235" xr:uid="{00000000-0005-0000-0000-0000925F0000}"/>
    <cellStyle name="Normal 26 4 3 2 4" xfId="28930" xr:uid="{00000000-0005-0000-0000-0000935F0000}"/>
    <cellStyle name="Normal 26 4 3 3" xfId="12097" xr:uid="{00000000-0005-0000-0000-0000945F0000}"/>
    <cellStyle name="Normal 26 4 3 3 2" xfId="32017" xr:uid="{00000000-0005-0000-0000-0000955F0000}"/>
    <cellStyle name="Normal 26 4 3 4" xfId="18249" xr:uid="{00000000-0005-0000-0000-0000965F0000}"/>
    <cellStyle name="Normal 26 4 3 4 2" xfId="38169" xr:uid="{00000000-0005-0000-0000-0000975F0000}"/>
    <cellStyle name="Normal 26 4 3 5" xfId="25864" xr:uid="{00000000-0005-0000-0000-0000985F0000}"/>
    <cellStyle name="Normal 26 4 4" xfId="7435" xr:uid="{00000000-0005-0000-0000-0000995F0000}"/>
    <cellStyle name="Normal 26 4 4 2" xfId="13629" xr:uid="{00000000-0005-0000-0000-00009A5F0000}"/>
    <cellStyle name="Normal 26 4 4 2 2" xfId="33549" xr:uid="{00000000-0005-0000-0000-00009B5F0000}"/>
    <cellStyle name="Normal 26 4 4 3" xfId="19781" xr:uid="{00000000-0005-0000-0000-00009C5F0000}"/>
    <cellStyle name="Normal 26 4 4 3 2" xfId="39701" xr:uid="{00000000-0005-0000-0000-00009D5F0000}"/>
    <cellStyle name="Normal 26 4 4 4" xfId="27396" xr:uid="{00000000-0005-0000-0000-00009E5F0000}"/>
    <cellStyle name="Normal 26 4 5" xfId="10563" xr:uid="{00000000-0005-0000-0000-00009F5F0000}"/>
    <cellStyle name="Normal 26 4 5 2" xfId="30483" xr:uid="{00000000-0005-0000-0000-0000A05F0000}"/>
    <cellStyle name="Normal 26 4 6" xfId="16715" xr:uid="{00000000-0005-0000-0000-0000A15F0000}"/>
    <cellStyle name="Normal 26 4 6 2" xfId="36635" xr:uid="{00000000-0005-0000-0000-0000A25F0000}"/>
    <cellStyle name="Normal 26 4 7" xfId="24330" xr:uid="{00000000-0005-0000-0000-0000A35F0000}"/>
    <cellStyle name="Normal 26 5" xfId="3593" xr:uid="{00000000-0005-0000-0000-0000A45F0000}"/>
    <cellStyle name="Normal 26 5 2" xfId="5029" xr:uid="{00000000-0005-0000-0000-0000A55F0000}"/>
    <cellStyle name="Normal 26 5 2 2" xfId="6654" xr:uid="{00000000-0005-0000-0000-0000A65F0000}"/>
    <cellStyle name="Normal 26 5 2 2 2" xfId="9740" xr:uid="{00000000-0005-0000-0000-0000A75F0000}"/>
    <cellStyle name="Normal 26 5 2 2 2 2" xfId="15933" xr:uid="{00000000-0005-0000-0000-0000A85F0000}"/>
    <cellStyle name="Normal 26 5 2 2 2 2 2" xfId="35853" xr:uid="{00000000-0005-0000-0000-0000A95F0000}"/>
    <cellStyle name="Normal 26 5 2 2 2 3" xfId="22085" xr:uid="{00000000-0005-0000-0000-0000AA5F0000}"/>
    <cellStyle name="Normal 26 5 2 2 2 3 2" xfId="42005" xr:uid="{00000000-0005-0000-0000-0000AB5F0000}"/>
    <cellStyle name="Normal 26 5 2 2 2 4" xfId="29700" xr:uid="{00000000-0005-0000-0000-0000AC5F0000}"/>
    <cellStyle name="Normal 26 5 2 2 3" xfId="12867" xr:uid="{00000000-0005-0000-0000-0000AD5F0000}"/>
    <cellStyle name="Normal 26 5 2 2 3 2" xfId="32787" xr:uid="{00000000-0005-0000-0000-0000AE5F0000}"/>
    <cellStyle name="Normal 26 5 2 2 4" xfId="19019" xr:uid="{00000000-0005-0000-0000-0000AF5F0000}"/>
    <cellStyle name="Normal 26 5 2 2 4 2" xfId="38939" xr:uid="{00000000-0005-0000-0000-0000B05F0000}"/>
    <cellStyle name="Normal 26 5 2 2 5" xfId="26634" xr:uid="{00000000-0005-0000-0000-0000B15F0000}"/>
    <cellStyle name="Normal 26 5 2 3" xfId="8205" xr:uid="{00000000-0005-0000-0000-0000B25F0000}"/>
    <cellStyle name="Normal 26 5 2 3 2" xfId="14399" xr:uid="{00000000-0005-0000-0000-0000B35F0000}"/>
    <cellStyle name="Normal 26 5 2 3 2 2" xfId="34319" xr:uid="{00000000-0005-0000-0000-0000B45F0000}"/>
    <cellStyle name="Normal 26 5 2 3 3" xfId="20551" xr:uid="{00000000-0005-0000-0000-0000B55F0000}"/>
    <cellStyle name="Normal 26 5 2 3 3 2" xfId="40471" xr:uid="{00000000-0005-0000-0000-0000B65F0000}"/>
    <cellStyle name="Normal 26 5 2 3 4" xfId="28166" xr:uid="{00000000-0005-0000-0000-0000B75F0000}"/>
    <cellStyle name="Normal 26 5 2 4" xfId="11333" xr:uid="{00000000-0005-0000-0000-0000B85F0000}"/>
    <cellStyle name="Normal 26 5 2 4 2" xfId="31253" xr:uid="{00000000-0005-0000-0000-0000B95F0000}"/>
    <cellStyle name="Normal 26 5 2 5" xfId="17485" xr:uid="{00000000-0005-0000-0000-0000BA5F0000}"/>
    <cellStyle name="Normal 26 5 2 5 2" xfId="37405" xr:uid="{00000000-0005-0000-0000-0000BB5F0000}"/>
    <cellStyle name="Normal 26 5 2 6" xfId="25100" xr:uid="{00000000-0005-0000-0000-0000BC5F0000}"/>
    <cellStyle name="Normal 26 5 3" xfId="5871" xr:uid="{00000000-0005-0000-0000-0000BD5F0000}"/>
    <cellStyle name="Normal 26 5 3 2" xfId="8971" xr:uid="{00000000-0005-0000-0000-0000BE5F0000}"/>
    <cellStyle name="Normal 26 5 3 2 2" xfId="15164" xr:uid="{00000000-0005-0000-0000-0000BF5F0000}"/>
    <cellStyle name="Normal 26 5 3 2 2 2" xfId="35084" xr:uid="{00000000-0005-0000-0000-0000C05F0000}"/>
    <cellStyle name="Normal 26 5 3 2 3" xfId="21316" xr:uid="{00000000-0005-0000-0000-0000C15F0000}"/>
    <cellStyle name="Normal 26 5 3 2 3 2" xfId="41236" xr:uid="{00000000-0005-0000-0000-0000C25F0000}"/>
    <cellStyle name="Normal 26 5 3 2 4" xfId="28931" xr:uid="{00000000-0005-0000-0000-0000C35F0000}"/>
    <cellStyle name="Normal 26 5 3 3" xfId="12098" xr:uid="{00000000-0005-0000-0000-0000C45F0000}"/>
    <cellStyle name="Normal 26 5 3 3 2" xfId="32018" xr:uid="{00000000-0005-0000-0000-0000C55F0000}"/>
    <cellStyle name="Normal 26 5 3 4" xfId="18250" xr:uid="{00000000-0005-0000-0000-0000C65F0000}"/>
    <cellStyle name="Normal 26 5 3 4 2" xfId="38170" xr:uid="{00000000-0005-0000-0000-0000C75F0000}"/>
    <cellStyle name="Normal 26 5 3 5" xfId="25865" xr:uid="{00000000-0005-0000-0000-0000C85F0000}"/>
    <cellStyle name="Normal 26 5 4" xfId="7436" xr:uid="{00000000-0005-0000-0000-0000C95F0000}"/>
    <cellStyle name="Normal 26 5 4 2" xfId="13630" xr:uid="{00000000-0005-0000-0000-0000CA5F0000}"/>
    <cellStyle name="Normal 26 5 4 2 2" xfId="33550" xr:uid="{00000000-0005-0000-0000-0000CB5F0000}"/>
    <cellStyle name="Normal 26 5 4 3" xfId="19782" xr:uid="{00000000-0005-0000-0000-0000CC5F0000}"/>
    <cellStyle name="Normal 26 5 4 3 2" xfId="39702" xr:uid="{00000000-0005-0000-0000-0000CD5F0000}"/>
    <cellStyle name="Normal 26 5 4 4" xfId="27397" xr:uid="{00000000-0005-0000-0000-0000CE5F0000}"/>
    <cellStyle name="Normal 26 5 5" xfId="10564" xr:uid="{00000000-0005-0000-0000-0000CF5F0000}"/>
    <cellStyle name="Normal 26 5 5 2" xfId="30484" xr:uid="{00000000-0005-0000-0000-0000D05F0000}"/>
    <cellStyle name="Normal 26 5 6" xfId="16716" xr:uid="{00000000-0005-0000-0000-0000D15F0000}"/>
    <cellStyle name="Normal 26 5 6 2" xfId="36636" xr:uid="{00000000-0005-0000-0000-0000D25F0000}"/>
    <cellStyle name="Normal 26 5 7" xfId="24331" xr:uid="{00000000-0005-0000-0000-0000D35F0000}"/>
    <cellStyle name="Normal 26 6" xfId="3594" xr:uid="{00000000-0005-0000-0000-0000D45F0000}"/>
    <cellStyle name="Normal 26 6 2" xfId="5030" xr:uid="{00000000-0005-0000-0000-0000D55F0000}"/>
    <cellStyle name="Normal 26 6 2 2" xfId="6655" xr:uid="{00000000-0005-0000-0000-0000D65F0000}"/>
    <cellStyle name="Normal 26 6 2 2 2" xfId="9741" xr:uid="{00000000-0005-0000-0000-0000D75F0000}"/>
    <cellStyle name="Normal 26 6 2 2 2 2" xfId="15934" xr:uid="{00000000-0005-0000-0000-0000D85F0000}"/>
    <cellStyle name="Normal 26 6 2 2 2 2 2" xfId="35854" xr:uid="{00000000-0005-0000-0000-0000D95F0000}"/>
    <cellStyle name="Normal 26 6 2 2 2 3" xfId="22086" xr:uid="{00000000-0005-0000-0000-0000DA5F0000}"/>
    <cellStyle name="Normal 26 6 2 2 2 3 2" xfId="42006" xr:uid="{00000000-0005-0000-0000-0000DB5F0000}"/>
    <cellStyle name="Normal 26 6 2 2 2 4" xfId="29701" xr:uid="{00000000-0005-0000-0000-0000DC5F0000}"/>
    <cellStyle name="Normal 26 6 2 2 3" xfId="12868" xr:uid="{00000000-0005-0000-0000-0000DD5F0000}"/>
    <cellStyle name="Normal 26 6 2 2 3 2" xfId="32788" xr:uid="{00000000-0005-0000-0000-0000DE5F0000}"/>
    <cellStyle name="Normal 26 6 2 2 4" xfId="19020" xr:uid="{00000000-0005-0000-0000-0000DF5F0000}"/>
    <cellStyle name="Normal 26 6 2 2 4 2" xfId="38940" xr:uid="{00000000-0005-0000-0000-0000E05F0000}"/>
    <cellStyle name="Normal 26 6 2 2 5" xfId="26635" xr:uid="{00000000-0005-0000-0000-0000E15F0000}"/>
    <cellStyle name="Normal 26 6 2 3" xfId="8206" xr:uid="{00000000-0005-0000-0000-0000E25F0000}"/>
    <cellStyle name="Normal 26 6 2 3 2" xfId="14400" xr:uid="{00000000-0005-0000-0000-0000E35F0000}"/>
    <cellStyle name="Normal 26 6 2 3 2 2" xfId="34320" xr:uid="{00000000-0005-0000-0000-0000E45F0000}"/>
    <cellStyle name="Normal 26 6 2 3 3" xfId="20552" xr:uid="{00000000-0005-0000-0000-0000E55F0000}"/>
    <cellStyle name="Normal 26 6 2 3 3 2" xfId="40472" xr:uid="{00000000-0005-0000-0000-0000E65F0000}"/>
    <cellStyle name="Normal 26 6 2 3 4" xfId="28167" xr:uid="{00000000-0005-0000-0000-0000E75F0000}"/>
    <cellStyle name="Normal 26 6 2 4" xfId="11334" xr:uid="{00000000-0005-0000-0000-0000E85F0000}"/>
    <cellStyle name="Normal 26 6 2 4 2" xfId="31254" xr:uid="{00000000-0005-0000-0000-0000E95F0000}"/>
    <cellStyle name="Normal 26 6 2 5" xfId="17486" xr:uid="{00000000-0005-0000-0000-0000EA5F0000}"/>
    <cellStyle name="Normal 26 6 2 5 2" xfId="37406" xr:uid="{00000000-0005-0000-0000-0000EB5F0000}"/>
    <cellStyle name="Normal 26 6 2 6" xfId="25101" xr:uid="{00000000-0005-0000-0000-0000EC5F0000}"/>
    <cellStyle name="Normal 26 6 3" xfId="5872" xr:uid="{00000000-0005-0000-0000-0000ED5F0000}"/>
    <cellStyle name="Normal 26 6 3 2" xfId="8972" xr:uid="{00000000-0005-0000-0000-0000EE5F0000}"/>
    <cellStyle name="Normal 26 6 3 2 2" xfId="15165" xr:uid="{00000000-0005-0000-0000-0000EF5F0000}"/>
    <cellStyle name="Normal 26 6 3 2 2 2" xfId="35085" xr:uid="{00000000-0005-0000-0000-0000F05F0000}"/>
    <cellStyle name="Normal 26 6 3 2 3" xfId="21317" xr:uid="{00000000-0005-0000-0000-0000F15F0000}"/>
    <cellStyle name="Normal 26 6 3 2 3 2" xfId="41237" xr:uid="{00000000-0005-0000-0000-0000F25F0000}"/>
    <cellStyle name="Normal 26 6 3 2 4" xfId="28932" xr:uid="{00000000-0005-0000-0000-0000F35F0000}"/>
    <cellStyle name="Normal 26 6 3 3" xfId="12099" xr:uid="{00000000-0005-0000-0000-0000F45F0000}"/>
    <cellStyle name="Normal 26 6 3 3 2" xfId="32019" xr:uid="{00000000-0005-0000-0000-0000F55F0000}"/>
    <cellStyle name="Normal 26 6 3 4" xfId="18251" xr:uid="{00000000-0005-0000-0000-0000F65F0000}"/>
    <cellStyle name="Normal 26 6 3 4 2" xfId="38171" xr:uid="{00000000-0005-0000-0000-0000F75F0000}"/>
    <cellStyle name="Normal 26 6 3 5" xfId="25866" xr:uid="{00000000-0005-0000-0000-0000F85F0000}"/>
    <cellStyle name="Normal 26 6 4" xfId="7437" xr:uid="{00000000-0005-0000-0000-0000F95F0000}"/>
    <cellStyle name="Normal 26 6 4 2" xfId="13631" xr:uid="{00000000-0005-0000-0000-0000FA5F0000}"/>
    <cellStyle name="Normal 26 6 4 2 2" xfId="33551" xr:uid="{00000000-0005-0000-0000-0000FB5F0000}"/>
    <cellStyle name="Normal 26 6 4 3" xfId="19783" xr:uid="{00000000-0005-0000-0000-0000FC5F0000}"/>
    <cellStyle name="Normal 26 6 4 3 2" xfId="39703" xr:uid="{00000000-0005-0000-0000-0000FD5F0000}"/>
    <cellStyle name="Normal 26 6 4 4" xfId="27398" xr:uid="{00000000-0005-0000-0000-0000FE5F0000}"/>
    <cellStyle name="Normal 26 6 5" xfId="10565" xr:uid="{00000000-0005-0000-0000-0000FF5F0000}"/>
    <cellStyle name="Normal 26 6 5 2" xfId="30485" xr:uid="{00000000-0005-0000-0000-000000600000}"/>
    <cellStyle name="Normal 26 6 6" xfId="16717" xr:uid="{00000000-0005-0000-0000-000001600000}"/>
    <cellStyle name="Normal 26 6 6 2" xfId="36637" xr:uid="{00000000-0005-0000-0000-000002600000}"/>
    <cellStyle name="Normal 26 6 7" xfId="24332" xr:uid="{00000000-0005-0000-0000-000003600000}"/>
    <cellStyle name="Normal 26 7" xfId="3595" xr:uid="{00000000-0005-0000-0000-000004600000}"/>
    <cellStyle name="Normal 26 8" xfId="5021" xr:uid="{00000000-0005-0000-0000-000005600000}"/>
    <cellStyle name="Normal 26 8 2" xfId="6646" xr:uid="{00000000-0005-0000-0000-000006600000}"/>
    <cellStyle name="Normal 26 8 2 2" xfId="9732" xr:uid="{00000000-0005-0000-0000-000007600000}"/>
    <cellStyle name="Normal 26 8 2 2 2" xfId="15925" xr:uid="{00000000-0005-0000-0000-000008600000}"/>
    <cellStyle name="Normal 26 8 2 2 2 2" xfId="35845" xr:uid="{00000000-0005-0000-0000-000009600000}"/>
    <cellStyle name="Normal 26 8 2 2 3" xfId="22077" xr:uid="{00000000-0005-0000-0000-00000A600000}"/>
    <cellStyle name="Normal 26 8 2 2 3 2" xfId="41997" xr:uid="{00000000-0005-0000-0000-00000B600000}"/>
    <cellStyle name="Normal 26 8 2 2 4" xfId="29692" xr:uid="{00000000-0005-0000-0000-00000C600000}"/>
    <cellStyle name="Normal 26 8 2 3" xfId="12859" xr:uid="{00000000-0005-0000-0000-00000D600000}"/>
    <cellStyle name="Normal 26 8 2 3 2" xfId="32779" xr:uid="{00000000-0005-0000-0000-00000E600000}"/>
    <cellStyle name="Normal 26 8 2 4" xfId="19011" xr:uid="{00000000-0005-0000-0000-00000F600000}"/>
    <cellStyle name="Normal 26 8 2 4 2" xfId="38931" xr:uid="{00000000-0005-0000-0000-000010600000}"/>
    <cellStyle name="Normal 26 8 2 5" xfId="26626" xr:uid="{00000000-0005-0000-0000-000011600000}"/>
    <cellStyle name="Normal 26 8 3" xfId="8197" xr:uid="{00000000-0005-0000-0000-000012600000}"/>
    <cellStyle name="Normal 26 8 3 2" xfId="14391" xr:uid="{00000000-0005-0000-0000-000013600000}"/>
    <cellStyle name="Normal 26 8 3 2 2" xfId="34311" xr:uid="{00000000-0005-0000-0000-000014600000}"/>
    <cellStyle name="Normal 26 8 3 3" xfId="20543" xr:uid="{00000000-0005-0000-0000-000015600000}"/>
    <cellStyle name="Normal 26 8 3 3 2" xfId="40463" xr:uid="{00000000-0005-0000-0000-000016600000}"/>
    <cellStyle name="Normal 26 8 3 4" xfId="28158" xr:uid="{00000000-0005-0000-0000-000017600000}"/>
    <cellStyle name="Normal 26 8 4" xfId="11325" xr:uid="{00000000-0005-0000-0000-000018600000}"/>
    <cellStyle name="Normal 26 8 4 2" xfId="31245" xr:uid="{00000000-0005-0000-0000-000019600000}"/>
    <cellStyle name="Normal 26 8 5" xfId="17477" xr:uid="{00000000-0005-0000-0000-00001A600000}"/>
    <cellStyle name="Normal 26 8 5 2" xfId="37397" xr:uid="{00000000-0005-0000-0000-00001B600000}"/>
    <cellStyle name="Normal 26 8 6" xfId="25092" xr:uid="{00000000-0005-0000-0000-00001C600000}"/>
    <cellStyle name="Normal 26 9" xfId="5863" xr:uid="{00000000-0005-0000-0000-00001D600000}"/>
    <cellStyle name="Normal 26 9 2" xfId="8963" xr:uid="{00000000-0005-0000-0000-00001E600000}"/>
    <cellStyle name="Normal 26 9 2 2" xfId="15156" xr:uid="{00000000-0005-0000-0000-00001F600000}"/>
    <cellStyle name="Normal 26 9 2 2 2" xfId="35076" xr:uid="{00000000-0005-0000-0000-000020600000}"/>
    <cellStyle name="Normal 26 9 2 3" xfId="21308" xr:uid="{00000000-0005-0000-0000-000021600000}"/>
    <cellStyle name="Normal 26 9 2 3 2" xfId="41228" xr:uid="{00000000-0005-0000-0000-000022600000}"/>
    <cellStyle name="Normal 26 9 2 4" xfId="28923" xr:uid="{00000000-0005-0000-0000-000023600000}"/>
    <cellStyle name="Normal 26 9 3" xfId="12090" xr:uid="{00000000-0005-0000-0000-000024600000}"/>
    <cellStyle name="Normal 26 9 3 2" xfId="32010" xr:uid="{00000000-0005-0000-0000-000025600000}"/>
    <cellStyle name="Normal 26 9 4" xfId="18242" xr:uid="{00000000-0005-0000-0000-000026600000}"/>
    <cellStyle name="Normal 26 9 4 2" xfId="38162" xr:uid="{00000000-0005-0000-0000-000027600000}"/>
    <cellStyle name="Normal 26 9 5" xfId="25857" xr:uid="{00000000-0005-0000-0000-000028600000}"/>
    <cellStyle name="Normal 27" xfId="3596" xr:uid="{00000000-0005-0000-0000-000029600000}"/>
    <cellStyle name="Normal 28" xfId="3597" xr:uid="{00000000-0005-0000-0000-00002A600000}"/>
    <cellStyle name="Normal 28 2" xfId="3598" xr:uid="{00000000-0005-0000-0000-00002B600000}"/>
    <cellStyle name="Normal 29" xfId="646" xr:uid="{00000000-0005-0000-0000-00002C600000}"/>
    <cellStyle name="Normal 29 2" xfId="3600" xr:uid="{00000000-0005-0000-0000-00002D600000}"/>
    <cellStyle name="Normal 29 3" xfId="3599" xr:uid="{00000000-0005-0000-0000-00002E600000}"/>
    <cellStyle name="Normal 3" xfId="5" xr:uid="{00000000-0005-0000-0000-00002F600000}"/>
    <cellStyle name="Normal 3 10" xfId="244" xr:uid="{00000000-0005-0000-0000-000030600000}"/>
    <cellStyle name="Normal 3 10 2" xfId="5031" xr:uid="{00000000-0005-0000-0000-000031600000}"/>
    <cellStyle name="Normal 3 10 2 2" xfId="6656" xr:uid="{00000000-0005-0000-0000-000032600000}"/>
    <cellStyle name="Normal 3 10 2 2 2" xfId="9742" xr:uid="{00000000-0005-0000-0000-000033600000}"/>
    <cellStyle name="Normal 3 10 2 2 2 2" xfId="15935" xr:uid="{00000000-0005-0000-0000-000034600000}"/>
    <cellStyle name="Normal 3 10 2 2 2 2 2" xfId="35855" xr:uid="{00000000-0005-0000-0000-000035600000}"/>
    <cellStyle name="Normal 3 10 2 2 2 3" xfId="22087" xr:uid="{00000000-0005-0000-0000-000036600000}"/>
    <cellStyle name="Normal 3 10 2 2 2 3 2" xfId="42007" xr:uid="{00000000-0005-0000-0000-000037600000}"/>
    <cellStyle name="Normal 3 10 2 2 2 4" xfId="29702" xr:uid="{00000000-0005-0000-0000-000038600000}"/>
    <cellStyle name="Normal 3 10 2 2 3" xfId="12869" xr:uid="{00000000-0005-0000-0000-000039600000}"/>
    <cellStyle name="Normal 3 10 2 2 3 2" xfId="32789" xr:uid="{00000000-0005-0000-0000-00003A600000}"/>
    <cellStyle name="Normal 3 10 2 2 4" xfId="19021" xr:uid="{00000000-0005-0000-0000-00003B600000}"/>
    <cellStyle name="Normal 3 10 2 2 4 2" xfId="38941" xr:uid="{00000000-0005-0000-0000-00003C600000}"/>
    <cellStyle name="Normal 3 10 2 2 5" xfId="26636" xr:uid="{00000000-0005-0000-0000-00003D600000}"/>
    <cellStyle name="Normal 3 10 2 3" xfId="8207" xr:uid="{00000000-0005-0000-0000-00003E600000}"/>
    <cellStyle name="Normal 3 10 2 3 2" xfId="14401" xr:uid="{00000000-0005-0000-0000-00003F600000}"/>
    <cellStyle name="Normal 3 10 2 3 2 2" xfId="34321" xr:uid="{00000000-0005-0000-0000-000040600000}"/>
    <cellStyle name="Normal 3 10 2 3 3" xfId="20553" xr:uid="{00000000-0005-0000-0000-000041600000}"/>
    <cellStyle name="Normal 3 10 2 3 3 2" xfId="40473" xr:uid="{00000000-0005-0000-0000-000042600000}"/>
    <cellStyle name="Normal 3 10 2 3 4" xfId="28168" xr:uid="{00000000-0005-0000-0000-000043600000}"/>
    <cellStyle name="Normal 3 10 2 4" xfId="11335" xr:uid="{00000000-0005-0000-0000-000044600000}"/>
    <cellStyle name="Normal 3 10 2 4 2" xfId="31255" xr:uid="{00000000-0005-0000-0000-000045600000}"/>
    <cellStyle name="Normal 3 10 2 5" xfId="17487" xr:uid="{00000000-0005-0000-0000-000046600000}"/>
    <cellStyle name="Normal 3 10 2 5 2" xfId="37407" xr:uid="{00000000-0005-0000-0000-000047600000}"/>
    <cellStyle name="Normal 3 10 2 6" xfId="25102" xr:uid="{00000000-0005-0000-0000-000048600000}"/>
    <cellStyle name="Normal 3 10 3" xfId="5873" xr:uid="{00000000-0005-0000-0000-000049600000}"/>
    <cellStyle name="Normal 3 10 3 2" xfId="8973" xr:uid="{00000000-0005-0000-0000-00004A600000}"/>
    <cellStyle name="Normal 3 10 3 2 2" xfId="15166" xr:uid="{00000000-0005-0000-0000-00004B600000}"/>
    <cellStyle name="Normal 3 10 3 2 2 2" xfId="35086" xr:uid="{00000000-0005-0000-0000-00004C600000}"/>
    <cellStyle name="Normal 3 10 3 2 3" xfId="21318" xr:uid="{00000000-0005-0000-0000-00004D600000}"/>
    <cellStyle name="Normal 3 10 3 2 3 2" xfId="41238" xr:uid="{00000000-0005-0000-0000-00004E600000}"/>
    <cellStyle name="Normal 3 10 3 2 4" xfId="28933" xr:uid="{00000000-0005-0000-0000-00004F600000}"/>
    <cellStyle name="Normal 3 10 3 3" xfId="12100" xr:uid="{00000000-0005-0000-0000-000050600000}"/>
    <cellStyle name="Normal 3 10 3 3 2" xfId="32020" xr:uid="{00000000-0005-0000-0000-000051600000}"/>
    <cellStyle name="Normal 3 10 3 4" xfId="18252" xr:uid="{00000000-0005-0000-0000-000052600000}"/>
    <cellStyle name="Normal 3 10 3 4 2" xfId="38172" xr:uid="{00000000-0005-0000-0000-000053600000}"/>
    <cellStyle name="Normal 3 10 3 5" xfId="25867" xr:uid="{00000000-0005-0000-0000-000054600000}"/>
    <cellStyle name="Normal 3 10 4" xfId="7438" xr:uid="{00000000-0005-0000-0000-000055600000}"/>
    <cellStyle name="Normal 3 10 4 2" xfId="13632" xr:uid="{00000000-0005-0000-0000-000056600000}"/>
    <cellStyle name="Normal 3 10 4 2 2" xfId="33552" xr:uid="{00000000-0005-0000-0000-000057600000}"/>
    <cellStyle name="Normal 3 10 4 3" xfId="19784" xr:uid="{00000000-0005-0000-0000-000058600000}"/>
    <cellStyle name="Normal 3 10 4 3 2" xfId="39704" xr:uid="{00000000-0005-0000-0000-000059600000}"/>
    <cellStyle name="Normal 3 10 4 4" xfId="27399" xr:uid="{00000000-0005-0000-0000-00005A600000}"/>
    <cellStyle name="Normal 3 10 5" xfId="10566" xr:uid="{00000000-0005-0000-0000-00005B600000}"/>
    <cellStyle name="Normal 3 10 5 2" xfId="30486" xr:uid="{00000000-0005-0000-0000-00005C600000}"/>
    <cellStyle name="Normal 3 10 6" xfId="16718" xr:uid="{00000000-0005-0000-0000-00005D600000}"/>
    <cellStyle name="Normal 3 10 6 2" xfId="36638" xr:uid="{00000000-0005-0000-0000-00005E600000}"/>
    <cellStyle name="Normal 3 10 7" xfId="3601" xr:uid="{00000000-0005-0000-0000-00005F600000}"/>
    <cellStyle name="Normal 3 10 7 2" xfId="24333" xr:uid="{00000000-0005-0000-0000-000060600000}"/>
    <cellStyle name="Normal 3 11" xfId="259" xr:uid="{00000000-0005-0000-0000-000061600000}"/>
    <cellStyle name="Normal 3 11 2" xfId="5032" xr:uid="{00000000-0005-0000-0000-000062600000}"/>
    <cellStyle name="Normal 3 11 2 2" xfId="6657" xr:uid="{00000000-0005-0000-0000-000063600000}"/>
    <cellStyle name="Normal 3 11 2 2 2" xfId="9743" xr:uid="{00000000-0005-0000-0000-000064600000}"/>
    <cellStyle name="Normal 3 11 2 2 2 2" xfId="15936" xr:uid="{00000000-0005-0000-0000-000065600000}"/>
    <cellStyle name="Normal 3 11 2 2 2 2 2" xfId="35856" xr:uid="{00000000-0005-0000-0000-000066600000}"/>
    <cellStyle name="Normal 3 11 2 2 2 3" xfId="22088" xr:uid="{00000000-0005-0000-0000-000067600000}"/>
    <cellStyle name="Normal 3 11 2 2 2 3 2" xfId="42008" xr:uid="{00000000-0005-0000-0000-000068600000}"/>
    <cellStyle name="Normal 3 11 2 2 2 4" xfId="29703" xr:uid="{00000000-0005-0000-0000-000069600000}"/>
    <cellStyle name="Normal 3 11 2 2 3" xfId="12870" xr:uid="{00000000-0005-0000-0000-00006A600000}"/>
    <cellStyle name="Normal 3 11 2 2 3 2" xfId="32790" xr:uid="{00000000-0005-0000-0000-00006B600000}"/>
    <cellStyle name="Normal 3 11 2 2 4" xfId="19022" xr:uid="{00000000-0005-0000-0000-00006C600000}"/>
    <cellStyle name="Normal 3 11 2 2 4 2" xfId="38942" xr:uid="{00000000-0005-0000-0000-00006D600000}"/>
    <cellStyle name="Normal 3 11 2 2 5" xfId="26637" xr:uid="{00000000-0005-0000-0000-00006E600000}"/>
    <cellStyle name="Normal 3 11 2 3" xfId="8208" xr:uid="{00000000-0005-0000-0000-00006F600000}"/>
    <cellStyle name="Normal 3 11 2 3 2" xfId="14402" xr:uid="{00000000-0005-0000-0000-000070600000}"/>
    <cellStyle name="Normal 3 11 2 3 2 2" xfId="34322" xr:uid="{00000000-0005-0000-0000-000071600000}"/>
    <cellStyle name="Normal 3 11 2 3 3" xfId="20554" xr:uid="{00000000-0005-0000-0000-000072600000}"/>
    <cellStyle name="Normal 3 11 2 3 3 2" xfId="40474" xr:uid="{00000000-0005-0000-0000-000073600000}"/>
    <cellStyle name="Normal 3 11 2 3 4" xfId="28169" xr:uid="{00000000-0005-0000-0000-000074600000}"/>
    <cellStyle name="Normal 3 11 2 4" xfId="11336" xr:uid="{00000000-0005-0000-0000-000075600000}"/>
    <cellStyle name="Normal 3 11 2 4 2" xfId="31256" xr:uid="{00000000-0005-0000-0000-000076600000}"/>
    <cellStyle name="Normal 3 11 2 5" xfId="17488" xr:uid="{00000000-0005-0000-0000-000077600000}"/>
    <cellStyle name="Normal 3 11 2 5 2" xfId="37408" xr:uid="{00000000-0005-0000-0000-000078600000}"/>
    <cellStyle name="Normal 3 11 2 6" xfId="25103" xr:uid="{00000000-0005-0000-0000-000079600000}"/>
    <cellStyle name="Normal 3 11 3" xfId="5874" xr:uid="{00000000-0005-0000-0000-00007A600000}"/>
    <cellStyle name="Normal 3 11 3 2" xfId="8974" xr:uid="{00000000-0005-0000-0000-00007B600000}"/>
    <cellStyle name="Normal 3 11 3 2 2" xfId="15167" xr:uid="{00000000-0005-0000-0000-00007C600000}"/>
    <cellStyle name="Normal 3 11 3 2 2 2" xfId="35087" xr:uid="{00000000-0005-0000-0000-00007D600000}"/>
    <cellStyle name="Normal 3 11 3 2 3" xfId="21319" xr:uid="{00000000-0005-0000-0000-00007E600000}"/>
    <cellStyle name="Normal 3 11 3 2 3 2" xfId="41239" xr:uid="{00000000-0005-0000-0000-00007F600000}"/>
    <cellStyle name="Normal 3 11 3 2 4" xfId="28934" xr:uid="{00000000-0005-0000-0000-000080600000}"/>
    <cellStyle name="Normal 3 11 3 3" xfId="12101" xr:uid="{00000000-0005-0000-0000-000081600000}"/>
    <cellStyle name="Normal 3 11 3 3 2" xfId="32021" xr:uid="{00000000-0005-0000-0000-000082600000}"/>
    <cellStyle name="Normal 3 11 3 4" xfId="18253" xr:uid="{00000000-0005-0000-0000-000083600000}"/>
    <cellStyle name="Normal 3 11 3 4 2" xfId="38173" xr:uid="{00000000-0005-0000-0000-000084600000}"/>
    <cellStyle name="Normal 3 11 3 5" xfId="25868" xr:uid="{00000000-0005-0000-0000-000085600000}"/>
    <cellStyle name="Normal 3 11 4" xfId="7439" xr:uid="{00000000-0005-0000-0000-000086600000}"/>
    <cellStyle name="Normal 3 11 4 2" xfId="13633" xr:uid="{00000000-0005-0000-0000-000087600000}"/>
    <cellStyle name="Normal 3 11 4 2 2" xfId="33553" xr:uid="{00000000-0005-0000-0000-000088600000}"/>
    <cellStyle name="Normal 3 11 4 3" xfId="19785" xr:uid="{00000000-0005-0000-0000-000089600000}"/>
    <cellStyle name="Normal 3 11 4 3 2" xfId="39705" xr:uid="{00000000-0005-0000-0000-00008A600000}"/>
    <cellStyle name="Normal 3 11 4 4" xfId="27400" xr:uid="{00000000-0005-0000-0000-00008B600000}"/>
    <cellStyle name="Normal 3 11 5" xfId="10567" xr:uid="{00000000-0005-0000-0000-00008C600000}"/>
    <cellStyle name="Normal 3 11 5 2" xfId="30487" xr:uid="{00000000-0005-0000-0000-00008D600000}"/>
    <cellStyle name="Normal 3 11 6" xfId="16719" xr:uid="{00000000-0005-0000-0000-00008E600000}"/>
    <cellStyle name="Normal 3 11 6 2" xfId="36639" xr:uid="{00000000-0005-0000-0000-00008F600000}"/>
    <cellStyle name="Normal 3 11 7" xfId="3602" xr:uid="{00000000-0005-0000-0000-000090600000}"/>
    <cellStyle name="Normal 3 11 7 2" xfId="24334" xr:uid="{00000000-0005-0000-0000-000091600000}"/>
    <cellStyle name="Normal 3 12" xfId="275" xr:uid="{00000000-0005-0000-0000-000092600000}"/>
    <cellStyle name="Normal 3 12 2" xfId="5033" xr:uid="{00000000-0005-0000-0000-000093600000}"/>
    <cellStyle name="Normal 3 12 2 2" xfId="6658" xr:uid="{00000000-0005-0000-0000-000094600000}"/>
    <cellStyle name="Normal 3 12 2 2 2" xfId="9744" xr:uid="{00000000-0005-0000-0000-000095600000}"/>
    <cellStyle name="Normal 3 12 2 2 2 2" xfId="15937" xr:uid="{00000000-0005-0000-0000-000096600000}"/>
    <cellStyle name="Normal 3 12 2 2 2 2 2" xfId="35857" xr:uid="{00000000-0005-0000-0000-000097600000}"/>
    <cellStyle name="Normal 3 12 2 2 2 3" xfId="22089" xr:uid="{00000000-0005-0000-0000-000098600000}"/>
    <cellStyle name="Normal 3 12 2 2 2 3 2" xfId="42009" xr:uid="{00000000-0005-0000-0000-000099600000}"/>
    <cellStyle name="Normal 3 12 2 2 2 4" xfId="29704" xr:uid="{00000000-0005-0000-0000-00009A600000}"/>
    <cellStyle name="Normal 3 12 2 2 3" xfId="12871" xr:uid="{00000000-0005-0000-0000-00009B600000}"/>
    <cellStyle name="Normal 3 12 2 2 3 2" xfId="32791" xr:uid="{00000000-0005-0000-0000-00009C600000}"/>
    <cellStyle name="Normal 3 12 2 2 4" xfId="19023" xr:uid="{00000000-0005-0000-0000-00009D600000}"/>
    <cellStyle name="Normal 3 12 2 2 4 2" xfId="38943" xr:uid="{00000000-0005-0000-0000-00009E600000}"/>
    <cellStyle name="Normal 3 12 2 2 5" xfId="26638" xr:uid="{00000000-0005-0000-0000-00009F600000}"/>
    <cellStyle name="Normal 3 12 2 3" xfId="8209" xr:uid="{00000000-0005-0000-0000-0000A0600000}"/>
    <cellStyle name="Normal 3 12 2 3 2" xfId="14403" xr:uid="{00000000-0005-0000-0000-0000A1600000}"/>
    <cellStyle name="Normal 3 12 2 3 2 2" xfId="34323" xr:uid="{00000000-0005-0000-0000-0000A2600000}"/>
    <cellStyle name="Normal 3 12 2 3 3" xfId="20555" xr:uid="{00000000-0005-0000-0000-0000A3600000}"/>
    <cellStyle name="Normal 3 12 2 3 3 2" xfId="40475" xr:uid="{00000000-0005-0000-0000-0000A4600000}"/>
    <cellStyle name="Normal 3 12 2 3 4" xfId="28170" xr:uid="{00000000-0005-0000-0000-0000A5600000}"/>
    <cellStyle name="Normal 3 12 2 4" xfId="11337" xr:uid="{00000000-0005-0000-0000-0000A6600000}"/>
    <cellStyle name="Normal 3 12 2 4 2" xfId="31257" xr:uid="{00000000-0005-0000-0000-0000A7600000}"/>
    <cellStyle name="Normal 3 12 2 5" xfId="17489" xr:uid="{00000000-0005-0000-0000-0000A8600000}"/>
    <cellStyle name="Normal 3 12 2 5 2" xfId="37409" xr:uid="{00000000-0005-0000-0000-0000A9600000}"/>
    <cellStyle name="Normal 3 12 2 6" xfId="25104" xr:uid="{00000000-0005-0000-0000-0000AA600000}"/>
    <cellStyle name="Normal 3 12 3" xfId="5875" xr:uid="{00000000-0005-0000-0000-0000AB600000}"/>
    <cellStyle name="Normal 3 12 3 2" xfId="8975" xr:uid="{00000000-0005-0000-0000-0000AC600000}"/>
    <cellStyle name="Normal 3 12 3 2 2" xfId="15168" xr:uid="{00000000-0005-0000-0000-0000AD600000}"/>
    <cellStyle name="Normal 3 12 3 2 2 2" xfId="35088" xr:uid="{00000000-0005-0000-0000-0000AE600000}"/>
    <cellStyle name="Normal 3 12 3 2 3" xfId="21320" xr:uid="{00000000-0005-0000-0000-0000AF600000}"/>
    <cellStyle name="Normal 3 12 3 2 3 2" xfId="41240" xr:uid="{00000000-0005-0000-0000-0000B0600000}"/>
    <cellStyle name="Normal 3 12 3 2 4" xfId="28935" xr:uid="{00000000-0005-0000-0000-0000B1600000}"/>
    <cellStyle name="Normal 3 12 3 3" xfId="12102" xr:uid="{00000000-0005-0000-0000-0000B2600000}"/>
    <cellStyle name="Normal 3 12 3 3 2" xfId="32022" xr:uid="{00000000-0005-0000-0000-0000B3600000}"/>
    <cellStyle name="Normal 3 12 3 4" xfId="18254" xr:uid="{00000000-0005-0000-0000-0000B4600000}"/>
    <cellStyle name="Normal 3 12 3 4 2" xfId="38174" xr:uid="{00000000-0005-0000-0000-0000B5600000}"/>
    <cellStyle name="Normal 3 12 3 5" xfId="25869" xr:uid="{00000000-0005-0000-0000-0000B6600000}"/>
    <cellStyle name="Normal 3 12 4" xfId="7440" xr:uid="{00000000-0005-0000-0000-0000B7600000}"/>
    <cellStyle name="Normal 3 12 4 2" xfId="13634" xr:uid="{00000000-0005-0000-0000-0000B8600000}"/>
    <cellStyle name="Normal 3 12 4 2 2" xfId="33554" xr:uid="{00000000-0005-0000-0000-0000B9600000}"/>
    <cellStyle name="Normal 3 12 4 3" xfId="19786" xr:uid="{00000000-0005-0000-0000-0000BA600000}"/>
    <cellStyle name="Normal 3 12 4 3 2" xfId="39706" xr:uid="{00000000-0005-0000-0000-0000BB600000}"/>
    <cellStyle name="Normal 3 12 4 4" xfId="27401" xr:uid="{00000000-0005-0000-0000-0000BC600000}"/>
    <cellStyle name="Normal 3 12 5" xfId="10568" xr:uid="{00000000-0005-0000-0000-0000BD600000}"/>
    <cellStyle name="Normal 3 12 5 2" xfId="30488" xr:uid="{00000000-0005-0000-0000-0000BE600000}"/>
    <cellStyle name="Normal 3 12 6" xfId="16720" xr:uid="{00000000-0005-0000-0000-0000BF600000}"/>
    <cellStyle name="Normal 3 12 6 2" xfId="36640" xr:uid="{00000000-0005-0000-0000-0000C0600000}"/>
    <cellStyle name="Normal 3 12 7" xfId="3603" xr:uid="{00000000-0005-0000-0000-0000C1600000}"/>
    <cellStyle name="Normal 3 12 7 2" xfId="24335" xr:uid="{00000000-0005-0000-0000-0000C2600000}"/>
    <cellStyle name="Normal 3 13" xfId="288" xr:uid="{00000000-0005-0000-0000-0000C3600000}"/>
    <cellStyle name="Normal 3 13 2" xfId="5034" xr:uid="{00000000-0005-0000-0000-0000C4600000}"/>
    <cellStyle name="Normal 3 13 2 2" xfId="6659" xr:uid="{00000000-0005-0000-0000-0000C5600000}"/>
    <cellStyle name="Normal 3 13 2 2 2" xfId="9745" xr:uid="{00000000-0005-0000-0000-0000C6600000}"/>
    <cellStyle name="Normal 3 13 2 2 2 2" xfId="15938" xr:uid="{00000000-0005-0000-0000-0000C7600000}"/>
    <cellStyle name="Normal 3 13 2 2 2 2 2" xfId="35858" xr:uid="{00000000-0005-0000-0000-0000C8600000}"/>
    <cellStyle name="Normal 3 13 2 2 2 3" xfId="22090" xr:uid="{00000000-0005-0000-0000-0000C9600000}"/>
    <cellStyle name="Normal 3 13 2 2 2 3 2" xfId="42010" xr:uid="{00000000-0005-0000-0000-0000CA600000}"/>
    <cellStyle name="Normal 3 13 2 2 2 4" xfId="29705" xr:uid="{00000000-0005-0000-0000-0000CB600000}"/>
    <cellStyle name="Normal 3 13 2 2 3" xfId="12872" xr:uid="{00000000-0005-0000-0000-0000CC600000}"/>
    <cellStyle name="Normal 3 13 2 2 3 2" xfId="32792" xr:uid="{00000000-0005-0000-0000-0000CD600000}"/>
    <cellStyle name="Normal 3 13 2 2 4" xfId="19024" xr:uid="{00000000-0005-0000-0000-0000CE600000}"/>
    <cellStyle name="Normal 3 13 2 2 4 2" xfId="38944" xr:uid="{00000000-0005-0000-0000-0000CF600000}"/>
    <cellStyle name="Normal 3 13 2 2 5" xfId="26639" xr:uid="{00000000-0005-0000-0000-0000D0600000}"/>
    <cellStyle name="Normal 3 13 2 3" xfId="8210" xr:uid="{00000000-0005-0000-0000-0000D1600000}"/>
    <cellStyle name="Normal 3 13 2 3 2" xfId="14404" xr:uid="{00000000-0005-0000-0000-0000D2600000}"/>
    <cellStyle name="Normal 3 13 2 3 2 2" xfId="34324" xr:uid="{00000000-0005-0000-0000-0000D3600000}"/>
    <cellStyle name="Normal 3 13 2 3 3" xfId="20556" xr:uid="{00000000-0005-0000-0000-0000D4600000}"/>
    <cellStyle name="Normal 3 13 2 3 3 2" xfId="40476" xr:uid="{00000000-0005-0000-0000-0000D5600000}"/>
    <cellStyle name="Normal 3 13 2 3 4" xfId="28171" xr:uid="{00000000-0005-0000-0000-0000D6600000}"/>
    <cellStyle name="Normal 3 13 2 4" xfId="11338" xr:uid="{00000000-0005-0000-0000-0000D7600000}"/>
    <cellStyle name="Normal 3 13 2 4 2" xfId="31258" xr:uid="{00000000-0005-0000-0000-0000D8600000}"/>
    <cellStyle name="Normal 3 13 2 5" xfId="17490" xr:uid="{00000000-0005-0000-0000-0000D9600000}"/>
    <cellStyle name="Normal 3 13 2 5 2" xfId="37410" xr:uid="{00000000-0005-0000-0000-0000DA600000}"/>
    <cellStyle name="Normal 3 13 2 6" xfId="25105" xr:uid="{00000000-0005-0000-0000-0000DB600000}"/>
    <cellStyle name="Normal 3 13 3" xfId="5876" xr:uid="{00000000-0005-0000-0000-0000DC600000}"/>
    <cellStyle name="Normal 3 13 3 2" xfId="8976" xr:uid="{00000000-0005-0000-0000-0000DD600000}"/>
    <cellStyle name="Normal 3 13 3 2 2" xfId="15169" xr:uid="{00000000-0005-0000-0000-0000DE600000}"/>
    <cellStyle name="Normal 3 13 3 2 2 2" xfId="35089" xr:uid="{00000000-0005-0000-0000-0000DF600000}"/>
    <cellStyle name="Normal 3 13 3 2 3" xfId="21321" xr:uid="{00000000-0005-0000-0000-0000E0600000}"/>
    <cellStyle name="Normal 3 13 3 2 3 2" xfId="41241" xr:uid="{00000000-0005-0000-0000-0000E1600000}"/>
    <cellStyle name="Normal 3 13 3 2 4" xfId="28936" xr:uid="{00000000-0005-0000-0000-0000E2600000}"/>
    <cellStyle name="Normal 3 13 3 3" xfId="12103" xr:uid="{00000000-0005-0000-0000-0000E3600000}"/>
    <cellStyle name="Normal 3 13 3 3 2" xfId="32023" xr:uid="{00000000-0005-0000-0000-0000E4600000}"/>
    <cellStyle name="Normal 3 13 3 4" xfId="18255" xr:uid="{00000000-0005-0000-0000-0000E5600000}"/>
    <cellStyle name="Normal 3 13 3 4 2" xfId="38175" xr:uid="{00000000-0005-0000-0000-0000E6600000}"/>
    <cellStyle name="Normal 3 13 3 5" xfId="25870" xr:uid="{00000000-0005-0000-0000-0000E7600000}"/>
    <cellStyle name="Normal 3 13 4" xfId="7441" xr:uid="{00000000-0005-0000-0000-0000E8600000}"/>
    <cellStyle name="Normal 3 13 4 2" xfId="13635" xr:uid="{00000000-0005-0000-0000-0000E9600000}"/>
    <cellStyle name="Normal 3 13 4 2 2" xfId="33555" xr:uid="{00000000-0005-0000-0000-0000EA600000}"/>
    <cellStyle name="Normal 3 13 4 3" xfId="19787" xr:uid="{00000000-0005-0000-0000-0000EB600000}"/>
    <cellStyle name="Normal 3 13 4 3 2" xfId="39707" xr:uid="{00000000-0005-0000-0000-0000EC600000}"/>
    <cellStyle name="Normal 3 13 4 4" xfId="27402" xr:uid="{00000000-0005-0000-0000-0000ED600000}"/>
    <cellStyle name="Normal 3 13 5" xfId="10569" xr:uid="{00000000-0005-0000-0000-0000EE600000}"/>
    <cellStyle name="Normal 3 13 5 2" xfId="30489" xr:uid="{00000000-0005-0000-0000-0000EF600000}"/>
    <cellStyle name="Normal 3 13 6" xfId="16721" xr:uid="{00000000-0005-0000-0000-0000F0600000}"/>
    <cellStyle name="Normal 3 13 6 2" xfId="36641" xr:uid="{00000000-0005-0000-0000-0000F1600000}"/>
    <cellStyle name="Normal 3 13 7" xfId="3604" xr:uid="{00000000-0005-0000-0000-0000F2600000}"/>
    <cellStyle name="Normal 3 13 7 2" xfId="24336" xr:uid="{00000000-0005-0000-0000-0000F3600000}"/>
    <cellStyle name="Normal 3 14" xfId="300" xr:uid="{00000000-0005-0000-0000-0000F4600000}"/>
    <cellStyle name="Normal 3 14 2" xfId="5035" xr:uid="{00000000-0005-0000-0000-0000F5600000}"/>
    <cellStyle name="Normal 3 14 2 2" xfId="6660" xr:uid="{00000000-0005-0000-0000-0000F6600000}"/>
    <cellStyle name="Normal 3 14 2 2 2" xfId="9746" xr:uid="{00000000-0005-0000-0000-0000F7600000}"/>
    <cellStyle name="Normal 3 14 2 2 2 2" xfId="15939" xr:uid="{00000000-0005-0000-0000-0000F8600000}"/>
    <cellStyle name="Normal 3 14 2 2 2 2 2" xfId="35859" xr:uid="{00000000-0005-0000-0000-0000F9600000}"/>
    <cellStyle name="Normal 3 14 2 2 2 3" xfId="22091" xr:uid="{00000000-0005-0000-0000-0000FA600000}"/>
    <cellStyle name="Normal 3 14 2 2 2 3 2" xfId="42011" xr:uid="{00000000-0005-0000-0000-0000FB600000}"/>
    <cellStyle name="Normal 3 14 2 2 2 4" xfId="29706" xr:uid="{00000000-0005-0000-0000-0000FC600000}"/>
    <cellStyle name="Normal 3 14 2 2 3" xfId="12873" xr:uid="{00000000-0005-0000-0000-0000FD600000}"/>
    <cellStyle name="Normal 3 14 2 2 3 2" xfId="32793" xr:uid="{00000000-0005-0000-0000-0000FE600000}"/>
    <cellStyle name="Normal 3 14 2 2 4" xfId="19025" xr:uid="{00000000-0005-0000-0000-0000FF600000}"/>
    <cellStyle name="Normal 3 14 2 2 4 2" xfId="38945" xr:uid="{00000000-0005-0000-0000-000000610000}"/>
    <cellStyle name="Normal 3 14 2 2 5" xfId="26640" xr:uid="{00000000-0005-0000-0000-000001610000}"/>
    <cellStyle name="Normal 3 14 2 3" xfId="8211" xr:uid="{00000000-0005-0000-0000-000002610000}"/>
    <cellStyle name="Normal 3 14 2 3 2" xfId="14405" xr:uid="{00000000-0005-0000-0000-000003610000}"/>
    <cellStyle name="Normal 3 14 2 3 2 2" xfId="34325" xr:uid="{00000000-0005-0000-0000-000004610000}"/>
    <cellStyle name="Normal 3 14 2 3 3" xfId="20557" xr:uid="{00000000-0005-0000-0000-000005610000}"/>
    <cellStyle name="Normal 3 14 2 3 3 2" xfId="40477" xr:uid="{00000000-0005-0000-0000-000006610000}"/>
    <cellStyle name="Normal 3 14 2 3 4" xfId="28172" xr:uid="{00000000-0005-0000-0000-000007610000}"/>
    <cellStyle name="Normal 3 14 2 4" xfId="11339" xr:uid="{00000000-0005-0000-0000-000008610000}"/>
    <cellStyle name="Normal 3 14 2 4 2" xfId="31259" xr:uid="{00000000-0005-0000-0000-000009610000}"/>
    <cellStyle name="Normal 3 14 2 5" xfId="17491" xr:uid="{00000000-0005-0000-0000-00000A610000}"/>
    <cellStyle name="Normal 3 14 2 5 2" xfId="37411" xr:uid="{00000000-0005-0000-0000-00000B610000}"/>
    <cellStyle name="Normal 3 14 2 6" xfId="25106" xr:uid="{00000000-0005-0000-0000-00000C610000}"/>
    <cellStyle name="Normal 3 14 3" xfId="5877" xr:uid="{00000000-0005-0000-0000-00000D610000}"/>
    <cellStyle name="Normal 3 14 3 2" xfId="8977" xr:uid="{00000000-0005-0000-0000-00000E610000}"/>
    <cellStyle name="Normal 3 14 3 2 2" xfId="15170" xr:uid="{00000000-0005-0000-0000-00000F610000}"/>
    <cellStyle name="Normal 3 14 3 2 2 2" xfId="35090" xr:uid="{00000000-0005-0000-0000-000010610000}"/>
    <cellStyle name="Normal 3 14 3 2 3" xfId="21322" xr:uid="{00000000-0005-0000-0000-000011610000}"/>
    <cellStyle name="Normal 3 14 3 2 3 2" xfId="41242" xr:uid="{00000000-0005-0000-0000-000012610000}"/>
    <cellStyle name="Normal 3 14 3 2 4" xfId="28937" xr:uid="{00000000-0005-0000-0000-000013610000}"/>
    <cellStyle name="Normal 3 14 3 3" xfId="12104" xr:uid="{00000000-0005-0000-0000-000014610000}"/>
    <cellStyle name="Normal 3 14 3 3 2" xfId="32024" xr:uid="{00000000-0005-0000-0000-000015610000}"/>
    <cellStyle name="Normal 3 14 3 4" xfId="18256" xr:uid="{00000000-0005-0000-0000-000016610000}"/>
    <cellStyle name="Normal 3 14 3 4 2" xfId="38176" xr:uid="{00000000-0005-0000-0000-000017610000}"/>
    <cellStyle name="Normal 3 14 3 5" xfId="25871" xr:uid="{00000000-0005-0000-0000-000018610000}"/>
    <cellStyle name="Normal 3 14 4" xfId="7442" xr:uid="{00000000-0005-0000-0000-000019610000}"/>
    <cellStyle name="Normal 3 14 4 2" xfId="13636" xr:uid="{00000000-0005-0000-0000-00001A610000}"/>
    <cellStyle name="Normal 3 14 4 2 2" xfId="33556" xr:uid="{00000000-0005-0000-0000-00001B610000}"/>
    <cellStyle name="Normal 3 14 4 3" xfId="19788" xr:uid="{00000000-0005-0000-0000-00001C610000}"/>
    <cellStyle name="Normal 3 14 4 3 2" xfId="39708" xr:uid="{00000000-0005-0000-0000-00001D610000}"/>
    <cellStyle name="Normal 3 14 4 4" xfId="27403" xr:uid="{00000000-0005-0000-0000-00001E610000}"/>
    <cellStyle name="Normal 3 14 5" xfId="10570" xr:uid="{00000000-0005-0000-0000-00001F610000}"/>
    <cellStyle name="Normal 3 14 5 2" xfId="30490" xr:uid="{00000000-0005-0000-0000-000020610000}"/>
    <cellStyle name="Normal 3 14 6" xfId="16722" xr:uid="{00000000-0005-0000-0000-000021610000}"/>
    <cellStyle name="Normal 3 14 6 2" xfId="36642" xr:uid="{00000000-0005-0000-0000-000022610000}"/>
    <cellStyle name="Normal 3 14 7" xfId="3605" xr:uid="{00000000-0005-0000-0000-000023610000}"/>
    <cellStyle name="Normal 3 14 7 2" xfId="24337" xr:uid="{00000000-0005-0000-0000-000024610000}"/>
    <cellStyle name="Normal 3 15" xfId="311" xr:uid="{00000000-0005-0000-0000-000025610000}"/>
    <cellStyle name="Normal 3 15 2" xfId="5036" xr:uid="{00000000-0005-0000-0000-000026610000}"/>
    <cellStyle name="Normal 3 15 2 2" xfId="6661" xr:uid="{00000000-0005-0000-0000-000027610000}"/>
    <cellStyle name="Normal 3 15 2 2 2" xfId="9747" xr:uid="{00000000-0005-0000-0000-000028610000}"/>
    <cellStyle name="Normal 3 15 2 2 2 2" xfId="15940" xr:uid="{00000000-0005-0000-0000-000029610000}"/>
    <cellStyle name="Normal 3 15 2 2 2 2 2" xfId="35860" xr:uid="{00000000-0005-0000-0000-00002A610000}"/>
    <cellStyle name="Normal 3 15 2 2 2 3" xfId="22092" xr:uid="{00000000-0005-0000-0000-00002B610000}"/>
    <cellStyle name="Normal 3 15 2 2 2 3 2" xfId="42012" xr:uid="{00000000-0005-0000-0000-00002C610000}"/>
    <cellStyle name="Normal 3 15 2 2 2 4" xfId="29707" xr:uid="{00000000-0005-0000-0000-00002D610000}"/>
    <cellStyle name="Normal 3 15 2 2 3" xfId="12874" xr:uid="{00000000-0005-0000-0000-00002E610000}"/>
    <cellStyle name="Normal 3 15 2 2 3 2" xfId="32794" xr:uid="{00000000-0005-0000-0000-00002F610000}"/>
    <cellStyle name="Normal 3 15 2 2 4" xfId="19026" xr:uid="{00000000-0005-0000-0000-000030610000}"/>
    <cellStyle name="Normal 3 15 2 2 4 2" xfId="38946" xr:uid="{00000000-0005-0000-0000-000031610000}"/>
    <cellStyle name="Normal 3 15 2 2 5" xfId="26641" xr:uid="{00000000-0005-0000-0000-000032610000}"/>
    <cellStyle name="Normal 3 15 2 3" xfId="8212" xr:uid="{00000000-0005-0000-0000-000033610000}"/>
    <cellStyle name="Normal 3 15 2 3 2" xfId="14406" xr:uid="{00000000-0005-0000-0000-000034610000}"/>
    <cellStyle name="Normal 3 15 2 3 2 2" xfId="34326" xr:uid="{00000000-0005-0000-0000-000035610000}"/>
    <cellStyle name="Normal 3 15 2 3 3" xfId="20558" xr:uid="{00000000-0005-0000-0000-000036610000}"/>
    <cellStyle name="Normal 3 15 2 3 3 2" xfId="40478" xr:uid="{00000000-0005-0000-0000-000037610000}"/>
    <cellStyle name="Normal 3 15 2 3 4" xfId="28173" xr:uid="{00000000-0005-0000-0000-000038610000}"/>
    <cellStyle name="Normal 3 15 2 4" xfId="11340" xr:uid="{00000000-0005-0000-0000-000039610000}"/>
    <cellStyle name="Normal 3 15 2 4 2" xfId="31260" xr:uid="{00000000-0005-0000-0000-00003A610000}"/>
    <cellStyle name="Normal 3 15 2 5" xfId="17492" xr:uid="{00000000-0005-0000-0000-00003B610000}"/>
    <cellStyle name="Normal 3 15 2 5 2" xfId="37412" xr:uid="{00000000-0005-0000-0000-00003C610000}"/>
    <cellStyle name="Normal 3 15 2 6" xfId="25107" xr:uid="{00000000-0005-0000-0000-00003D610000}"/>
    <cellStyle name="Normal 3 15 3" xfId="5878" xr:uid="{00000000-0005-0000-0000-00003E610000}"/>
    <cellStyle name="Normal 3 15 3 2" xfId="8978" xr:uid="{00000000-0005-0000-0000-00003F610000}"/>
    <cellStyle name="Normal 3 15 3 2 2" xfId="15171" xr:uid="{00000000-0005-0000-0000-000040610000}"/>
    <cellStyle name="Normal 3 15 3 2 2 2" xfId="35091" xr:uid="{00000000-0005-0000-0000-000041610000}"/>
    <cellStyle name="Normal 3 15 3 2 3" xfId="21323" xr:uid="{00000000-0005-0000-0000-000042610000}"/>
    <cellStyle name="Normal 3 15 3 2 3 2" xfId="41243" xr:uid="{00000000-0005-0000-0000-000043610000}"/>
    <cellStyle name="Normal 3 15 3 2 4" xfId="28938" xr:uid="{00000000-0005-0000-0000-000044610000}"/>
    <cellStyle name="Normal 3 15 3 3" xfId="12105" xr:uid="{00000000-0005-0000-0000-000045610000}"/>
    <cellStyle name="Normal 3 15 3 3 2" xfId="32025" xr:uid="{00000000-0005-0000-0000-000046610000}"/>
    <cellStyle name="Normal 3 15 3 4" xfId="18257" xr:uid="{00000000-0005-0000-0000-000047610000}"/>
    <cellStyle name="Normal 3 15 3 4 2" xfId="38177" xr:uid="{00000000-0005-0000-0000-000048610000}"/>
    <cellStyle name="Normal 3 15 3 5" xfId="25872" xr:uid="{00000000-0005-0000-0000-000049610000}"/>
    <cellStyle name="Normal 3 15 4" xfId="7443" xr:uid="{00000000-0005-0000-0000-00004A610000}"/>
    <cellStyle name="Normal 3 15 4 2" xfId="13637" xr:uid="{00000000-0005-0000-0000-00004B610000}"/>
    <cellStyle name="Normal 3 15 4 2 2" xfId="33557" xr:uid="{00000000-0005-0000-0000-00004C610000}"/>
    <cellStyle name="Normal 3 15 4 3" xfId="19789" xr:uid="{00000000-0005-0000-0000-00004D610000}"/>
    <cellStyle name="Normal 3 15 4 3 2" xfId="39709" xr:uid="{00000000-0005-0000-0000-00004E610000}"/>
    <cellStyle name="Normal 3 15 4 4" xfId="27404" xr:uid="{00000000-0005-0000-0000-00004F610000}"/>
    <cellStyle name="Normal 3 15 5" xfId="10571" xr:uid="{00000000-0005-0000-0000-000050610000}"/>
    <cellStyle name="Normal 3 15 5 2" xfId="30491" xr:uid="{00000000-0005-0000-0000-000051610000}"/>
    <cellStyle name="Normal 3 15 6" xfId="16723" xr:uid="{00000000-0005-0000-0000-000052610000}"/>
    <cellStyle name="Normal 3 15 6 2" xfId="36643" xr:uid="{00000000-0005-0000-0000-000053610000}"/>
    <cellStyle name="Normal 3 15 7" xfId="3606" xr:uid="{00000000-0005-0000-0000-000054610000}"/>
    <cellStyle name="Normal 3 15 7 2" xfId="24338" xr:uid="{00000000-0005-0000-0000-000055610000}"/>
    <cellStyle name="Normal 3 16" xfId="319" xr:uid="{00000000-0005-0000-0000-000056610000}"/>
    <cellStyle name="Normal 3 16 2" xfId="5037" xr:uid="{00000000-0005-0000-0000-000057610000}"/>
    <cellStyle name="Normal 3 16 2 2" xfId="6662" xr:uid="{00000000-0005-0000-0000-000058610000}"/>
    <cellStyle name="Normal 3 16 2 2 2" xfId="9748" xr:uid="{00000000-0005-0000-0000-000059610000}"/>
    <cellStyle name="Normal 3 16 2 2 2 2" xfId="15941" xr:uid="{00000000-0005-0000-0000-00005A610000}"/>
    <cellStyle name="Normal 3 16 2 2 2 2 2" xfId="35861" xr:uid="{00000000-0005-0000-0000-00005B610000}"/>
    <cellStyle name="Normal 3 16 2 2 2 3" xfId="22093" xr:uid="{00000000-0005-0000-0000-00005C610000}"/>
    <cellStyle name="Normal 3 16 2 2 2 3 2" xfId="42013" xr:uid="{00000000-0005-0000-0000-00005D610000}"/>
    <cellStyle name="Normal 3 16 2 2 2 4" xfId="29708" xr:uid="{00000000-0005-0000-0000-00005E610000}"/>
    <cellStyle name="Normal 3 16 2 2 3" xfId="12875" xr:uid="{00000000-0005-0000-0000-00005F610000}"/>
    <cellStyle name="Normal 3 16 2 2 3 2" xfId="32795" xr:uid="{00000000-0005-0000-0000-000060610000}"/>
    <cellStyle name="Normal 3 16 2 2 4" xfId="19027" xr:uid="{00000000-0005-0000-0000-000061610000}"/>
    <cellStyle name="Normal 3 16 2 2 4 2" xfId="38947" xr:uid="{00000000-0005-0000-0000-000062610000}"/>
    <cellStyle name="Normal 3 16 2 2 5" xfId="26642" xr:uid="{00000000-0005-0000-0000-000063610000}"/>
    <cellStyle name="Normal 3 16 2 3" xfId="8213" xr:uid="{00000000-0005-0000-0000-000064610000}"/>
    <cellStyle name="Normal 3 16 2 3 2" xfId="14407" xr:uid="{00000000-0005-0000-0000-000065610000}"/>
    <cellStyle name="Normal 3 16 2 3 2 2" xfId="34327" xr:uid="{00000000-0005-0000-0000-000066610000}"/>
    <cellStyle name="Normal 3 16 2 3 3" xfId="20559" xr:uid="{00000000-0005-0000-0000-000067610000}"/>
    <cellStyle name="Normal 3 16 2 3 3 2" xfId="40479" xr:uid="{00000000-0005-0000-0000-000068610000}"/>
    <cellStyle name="Normal 3 16 2 3 4" xfId="28174" xr:uid="{00000000-0005-0000-0000-000069610000}"/>
    <cellStyle name="Normal 3 16 2 4" xfId="11341" xr:uid="{00000000-0005-0000-0000-00006A610000}"/>
    <cellStyle name="Normal 3 16 2 4 2" xfId="31261" xr:uid="{00000000-0005-0000-0000-00006B610000}"/>
    <cellStyle name="Normal 3 16 2 5" xfId="17493" xr:uid="{00000000-0005-0000-0000-00006C610000}"/>
    <cellStyle name="Normal 3 16 2 5 2" xfId="37413" xr:uid="{00000000-0005-0000-0000-00006D610000}"/>
    <cellStyle name="Normal 3 16 2 6" xfId="25108" xr:uid="{00000000-0005-0000-0000-00006E610000}"/>
    <cellStyle name="Normal 3 16 3" xfId="5879" xr:uid="{00000000-0005-0000-0000-00006F610000}"/>
    <cellStyle name="Normal 3 16 3 2" xfId="8979" xr:uid="{00000000-0005-0000-0000-000070610000}"/>
    <cellStyle name="Normal 3 16 3 2 2" xfId="15172" xr:uid="{00000000-0005-0000-0000-000071610000}"/>
    <cellStyle name="Normal 3 16 3 2 2 2" xfId="35092" xr:uid="{00000000-0005-0000-0000-000072610000}"/>
    <cellStyle name="Normal 3 16 3 2 3" xfId="21324" xr:uid="{00000000-0005-0000-0000-000073610000}"/>
    <cellStyle name="Normal 3 16 3 2 3 2" xfId="41244" xr:uid="{00000000-0005-0000-0000-000074610000}"/>
    <cellStyle name="Normal 3 16 3 2 4" xfId="28939" xr:uid="{00000000-0005-0000-0000-000075610000}"/>
    <cellStyle name="Normal 3 16 3 3" xfId="12106" xr:uid="{00000000-0005-0000-0000-000076610000}"/>
    <cellStyle name="Normal 3 16 3 3 2" xfId="32026" xr:uid="{00000000-0005-0000-0000-000077610000}"/>
    <cellStyle name="Normal 3 16 3 4" xfId="18258" xr:uid="{00000000-0005-0000-0000-000078610000}"/>
    <cellStyle name="Normal 3 16 3 4 2" xfId="38178" xr:uid="{00000000-0005-0000-0000-000079610000}"/>
    <cellStyle name="Normal 3 16 3 5" xfId="25873" xr:uid="{00000000-0005-0000-0000-00007A610000}"/>
    <cellStyle name="Normal 3 16 4" xfId="7444" xr:uid="{00000000-0005-0000-0000-00007B610000}"/>
    <cellStyle name="Normal 3 16 4 2" xfId="13638" xr:uid="{00000000-0005-0000-0000-00007C610000}"/>
    <cellStyle name="Normal 3 16 4 2 2" xfId="33558" xr:uid="{00000000-0005-0000-0000-00007D610000}"/>
    <cellStyle name="Normal 3 16 4 3" xfId="19790" xr:uid="{00000000-0005-0000-0000-00007E610000}"/>
    <cellStyle name="Normal 3 16 4 3 2" xfId="39710" xr:uid="{00000000-0005-0000-0000-00007F610000}"/>
    <cellStyle name="Normal 3 16 4 4" xfId="27405" xr:uid="{00000000-0005-0000-0000-000080610000}"/>
    <cellStyle name="Normal 3 16 5" xfId="10572" xr:uid="{00000000-0005-0000-0000-000081610000}"/>
    <cellStyle name="Normal 3 16 5 2" xfId="30492" xr:uid="{00000000-0005-0000-0000-000082610000}"/>
    <cellStyle name="Normal 3 16 6" xfId="16724" xr:uid="{00000000-0005-0000-0000-000083610000}"/>
    <cellStyle name="Normal 3 16 6 2" xfId="36644" xr:uid="{00000000-0005-0000-0000-000084610000}"/>
    <cellStyle name="Normal 3 16 7" xfId="3607" xr:uid="{00000000-0005-0000-0000-000085610000}"/>
    <cellStyle name="Normal 3 16 7 2" xfId="24339" xr:uid="{00000000-0005-0000-0000-000086610000}"/>
    <cellStyle name="Normal 3 17" xfId="294" xr:uid="{00000000-0005-0000-0000-000087610000}"/>
    <cellStyle name="Normal 3 17 2" xfId="5038" xr:uid="{00000000-0005-0000-0000-000088610000}"/>
    <cellStyle name="Normal 3 17 2 2" xfId="6663" xr:uid="{00000000-0005-0000-0000-000089610000}"/>
    <cellStyle name="Normal 3 17 2 2 2" xfId="9749" xr:uid="{00000000-0005-0000-0000-00008A610000}"/>
    <cellStyle name="Normal 3 17 2 2 2 2" xfId="15942" xr:uid="{00000000-0005-0000-0000-00008B610000}"/>
    <cellStyle name="Normal 3 17 2 2 2 2 2" xfId="35862" xr:uid="{00000000-0005-0000-0000-00008C610000}"/>
    <cellStyle name="Normal 3 17 2 2 2 3" xfId="22094" xr:uid="{00000000-0005-0000-0000-00008D610000}"/>
    <cellStyle name="Normal 3 17 2 2 2 3 2" xfId="42014" xr:uid="{00000000-0005-0000-0000-00008E610000}"/>
    <cellStyle name="Normal 3 17 2 2 2 4" xfId="29709" xr:uid="{00000000-0005-0000-0000-00008F610000}"/>
    <cellStyle name="Normal 3 17 2 2 3" xfId="12876" xr:uid="{00000000-0005-0000-0000-000090610000}"/>
    <cellStyle name="Normal 3 17 2 2 3 2" xfId="32796" xr:uid="{00000000-0005-0000-0000-000091610000}"/>
    <cellStyle name="Normal 3 17 2 2 4" xfId="19028" xr:uid="{00000000-0005-0000-0000-000092610000}"/>
    <cellStyle name="Normal 3 17 2 2 4 2" xfId="38948" xr:uid="{00000000-0005-0000-0000-000093610000}"/>
    <cellStyle name="Normal 3 17 2 2 5" xfId="26643" xr:uid="{00000000-0005-0000-0000-000094610000}"/>
    <cellStyle name="Normal 3 17 2 3" xfId="8214" xr:uid="{00000000-0005-0000-0000-000095610000}"/>
    <cellStyle name="Normal 3 17 2 3 2" xfId="14408" xr:uid="{00000000-0005-0000-0000-000096610000}"/>
    <cellStyle name="Normal 3 17 2 3 2 2" xfId="34328" xr:uid="{00000000-0005-0000-0000-000097610000}"/>
    <cellStyle name="Normal 3 17 2 3 3" xfId="20560" xr:uid="{00000000-0005-0000-0000-000098610000}"/>
    <cellStyle name="Normal 3 17 2 3 3 2" xfId="40480" xr:uid="{00000000-0005-0000-0000-000099610000}"/>
    <cellStyle name="Normal 3 17 2 3 4" xfId="28175" xr:uid="{00000000-0005-0000-0000-00009A610000}"/>
    <cellStyle name="Normal 3 17 2 4" xfId="11342" xr:uid="{00000000-0005-0000-0000-00009B610000}"/>
    <cellStyle name="Normal 3 17 2 4 2" xfId="31262" xr:uid="{00000000-0005-0000-0000-00009C610000}"/>
    <cellStyle name="Normal 3 17 2 5" xfId="17494" xr:uid="{00000000-0005-0000-0000-00009D610000}"/>
    <cellStyle name="Normal 3 17 2 5 2" xfId="37414" xr:uid="{00000000-0005-0000-0000-00009E610000}"/>
    <cellStyle name="Normal 3 17 2 6" xfId="25109" xr:uid="{00000000-0005-0000-0000-00009F610000}"/>
    <cellStyle name="Normal 3 17 3" xfId="5880" xr:uid="{00000000-0005-0000-0000-0000A0610000}"/>
    <cellStyle name="Normal 3 17 3 2" xfId="8980" xr:uid="{00000000-0005-0000-0000-0000A1610000}"/>
    <cellStyle name="Normal 3 17 3 2 2" xfId="15173" xr:uid="{00000000-0005-0000-0000-0000A2610000}"/>
    <cellStyle name="Normal 3 17 3 2 2 2" xfId="35093" xr:uid="{00000000-0005-0000-0000-0000A3610000}"/>
    <cellStyle name="Normal 3 17 3 2 3" xfId="21325" xr:uid="{00000000-0005-0000-0000-0000A4610000}"/>
    <cellStyle name="Normal 3 17 3 2 3 2" xfId="41245" xr:uid="{00000000-0005-0000-0000-0000A5610000}"/>
    <cellStyle name="Normal 3 17 3 2 4" xfId="28940" xr:uid="{00000000-0005-0000-0000-0000A6610000}"/>
    <cellStyle name="Normal 3 17 3 3" xfId="12107" xr:uid="{00000000-0005-0000-0000-0000A7610000}"/>
    <cellStyle name="Normal 3 17 3 3 2" xfId="32027" xr:uid="{00000000-0005-0000-0000-0000A8610000}"/>
    <cellStyle name="Normal 3 17 3 4" xfId="18259" xr:uid="{00000000-0005-0000-0000-0000A9610000}"/>
    <cellStyle name="Normal 3 17 3 4 2" xfId="38179" xr:uid="{00000000-0005-0000-0000-0000AA610000}"/>
    <cellStyle name="Normal 3 17 3 5" xfId="25874" xr:uid="{00000000-0005-0000-0000-0000AB610000}"/>
    <cellStyle name="Normal 3 17 4" xfId="7445" xr:uid="{00000000-0005-0000-0000-0000AC610000}"/>
    <cellStyle name="Normal 3 17 4 2" xfId="13639" xr:uid="{00000000-0005-0000-0000-0000AD610000}"/>
    <cellStyle name="Normal 3 17 4 2 2" xfId="33559" xr:uid="{00000000-0005-0000-0000-0000AE610000}"/>
    <cellStyle name="Normal 3 17 4 3" xfId="19791" xr:uid="{00000000-0005-0000-0000-0000AF610000}"/>
    <cellStyle name="Normal 3 17 4 3 2" xfId="39711" xr:uid="{00000000-0005-0000-0000-0000B0610000}"/>
    <cellStyle name="Normal 3 17 4 4" xfId="27406" xr:uid="{00000000-0005-0000-0000-0000B1610000}"/>
    <cellStyle name="Normal 3 17 5" xfId="10573" xr:uid="{00000000-0005-0000-0000-0000B2610000}"/>
    <cellStyle name="Normal 3 17 5 2" xfId="30493" xr:uid="{00000000-0005-0000-0000-0000B3610000}"/>
    <cellStyle name="Normal 3 17 6" xfId="16725" xr:uid="{00000000-0005-0000-0000-0000B4610000}"/>
    <cellStyle name="Normal 3 17 6 2" xfId="36645" xr:uid="{00000000-0005-0000-0000-0000B5610000}"/>
    <cellStyle name="Normal 3 17 7" xfId="3608" xr:uid="{00000000-0005-0000-0000-0000B6610000}"/>
    <cellStyle name="Normal 3 17 7 2" xfId="24340" xr:uid="{00000000-0005-0000-0000-0000B7610000}"/>
    <cellStyle name="Normal 3 18" xfId="331" xr:uid="{00000000-0005-0000-0000-0000B8610000}"/>
    <cellStyle name="Normal 3 18 2" xfId="5039" xr:uid="{00000000-0005-0000-0000-0000B9610000}"/>
    <cellStyle name="Normal 3 18 2 2" xfId="6664" xr:uid="{00000000-0005-0000-0000-0000BA610000}"/>
    <cellStyle name="Normal 3 18 2 2 2" xfId="9750" xr:uid="{00000000-0005-0000-0000-0000BB610000}"/>
    <cellStyle name="Normal 3 18 2 2 2 2" xfId="15943" xr:uid="{00000000-0005-0000-0000-0000BC610000}"/>
    <cellStyle name="Normal 3 18 2 2 2 2 2" xfId="35863" xr:uid="{00000000-0005-0000-0000-0000BD610000}"/>
    <cellStyle name="Normal 3 18 2 2 2 3" xfId="22095" xr:uid="{00000000-0005-0000-0000-0000BE610000}"/>
    <cellStyle name="Normal 3 18 2 2 2 3 2" xfId="42015" xr:uid="{00000000-0005-0000-0000-0000BF610000}"/>
    <cellStyle name="Normal 3 18 2 2 2 4" xfId="29710" xr:uid="{00000000-0005-0000-0000-0000C0610000}"/>
    <cellStyle name="Normal 3 18 2 2 3" xfId="12877" xr:uid="{00000000-0005-0000-0000-0000C1610000}"/>
    <cellStyle name="Normal 3 18 2 2 3 2" xfId="32797" xr:uid="{00000000-0005-0000-0000-0000C2610000}"/>
    <cellStyle name="Normal 3 18 2 2 4" xfId="19029" xr:uid="{00000000-0005-0000-0000-0000C3610000}"/>
    <cellStyle name="Normal 3 18 2 2 4 2" xfId="38949" xr:uid="{00000000-0005-0000-0000-0000C4610000}"/>
    <cellStyle name="Normal 3 18 2 2 5" xfId="26644" xr:uid="{00000000-0005-0000-0000-0000C5610000}"/>
    <cellStyle name="Normal 3 18 2 3" xfId="8215" xr:uid="{00000000-0005-0000-0000-0000C6610000}"/>
    <cellStyle name="Normal 3 18 2 3 2" xfId="14409" xr:uid="{00000000-0005-0000-0000-0000C7610000}"/>
    <cellStyle name="Normal 3 18 2 3 2 2" xfId="34329" xr:uid="{00000000-0005-0000-0000-0000C8610000}"/>
    <cellStyle name="Normal 3 18 2 3 3" xfId="20561" xr:uid="{00000000-0005-0000-0000-0000C9610000}"/>
    <cellStyle name="Normal 3 18 2 3 3 2" xfId="40481" xr:uid="{00000000-0005-0000-0000-0000CA610000}"/>
    <cellStyle name="Normal 3 18 2 3 4" xfId="28176" xr:uid="{00000000-0005-0000-0000-0000CB610000}"/>
    <cellStyle name="Normal 3 18 2 4" xfId="11343" xr:uid="{00000000-0005-0000-0000-0000CC610000}"/>
    <cellStyle name="Normal 3 18 2 4 2" xfId="31263" xr:uid="{00000000-0005-0000-0000-0000CD610000}"/>
    <cellStyle name="Normal 3 18 2 5" xfId="17495" xr:uid="{00000000-0005-0000-0000-0000CE610000}"/>
    <cellStyle name="Normal 3 18 2 5 2" xfId="37415" xr:uid="{00000000-0005-0000-0000-0000CF610000}"/>
    <cellStyle name="Normal 3 18 2 6" xfId="25110" xr:uid="{00000000-0005-0000-0000-0000D0610000}"/>
    <cellStyle name="Normal 3 18 3" xfId="5881" xr:uid="{00000000-0005-0000-0000-0000D1610000}"/>
    <cellStyle name="Normal 3 18 3 2" xfId="8981" xr:uid="{00000000-0005-0000-0000-0000D2610000}"/>
    <cellStyle name="Normal 3 18 3 2 2" xfId="15174" xr:uid="{00000000-0005-0000-0000-0000D3610000}"/>
    <cellStyle name="Normal 3 18 3 2 2 2" xfId="35094" xr:uid="{00000000-0005-0000-0000-0000D4610000}"/>
    <cellStyle name="Normal 3 18 3 2 3" xfId="21326" xr:uid="{00000000-0005-0000-0000-0000D5610000}"/>
    <cellStyle name="Normal 3 18 3 2 3 2" xfId="41246" xr:uid="{00000000-0005-0000-0000-0000D6610000}"/>
    <cellStyle name="Normal 3 18 3 2 4" xfId="28941" xr:uid="{00000000-0005-0000-0000-0000D7610000}"/>
    <cellStyle name="Normal 3 18 3 3" xfId="12108" xr:uid="{00000000-0005-0000-0000-0000D8610000}"/>
    <cellStyle name="Normal 3 18 3 3 2" xfId="32028" xr:uid="{00000000-0005-0000-0000-0000D9610000}"/>
    <cellStyle name="Normal 3 18 3 4" xfId="18260" xr:uid="{00000000-0005-0000-0000-0000DA610000}"/>
    <cellStyle name="Normal 3 18 3 4 2" xfId="38180" xr:uid="{00000000-0005-0000-0000-0000DB610000}"/>
    <cellStyle name="Normal 3 18 3 5" xfId="25875" xr:uid="{00000000-0005-0000-0000-0000DC610000}"/>
    <cellStyle name="Normal 3 18 4" xfId="7446" xr:uid="{00000000-0005-0000-0000-0000DD610000}"/>
    <cellStyle name="Normal 3 18 4 2" xfId="13640" xr:uid="{00000000-0005-0000-0000-0000DE610000}"/>
    <cellStyle name="Normal 3 18 4 2 2" xfId="33560" xr:uid="{00000000-0005-0000-0000-0000DF610000}"/>
    <cellStyle name="Normal 3 18 4 3" xfId="19792" xr:uid="{00000000-0005-0000-0000-0000E0610000}"/>
    <cellStyle name="Normal 3 18 4 3 2" xfId="39712" xr:uid="{00000000-0005-0000-0000-0000E1610000}"/>
    <cellStyle name="Normal 3 18 4 4" xfId="27407" xr:uid="{00000000-0005-0000-0000-0000E2610000}"/>
    <cellStyle name="Normal 3 18 5" xfId="10574" xr:uid="{00000000-0005-0000-0000-0000E3610000}"/>
    <cellStyle name="Normal 3 18 5 2" xfId="30494" xr:uid="{00000000-0005-0000-0000-0000E4610000}"/>
    <cellStyle name="Normal 3 18 6" xfId="16726" xr:uid="{00000000-0005-0000-0000-0000E5610000}"/>
    <cellStyle name="Normal 3 18 6 2" xfId="36646" xr:uid="{00000000-0005-0000-0000-0000E6610000}"/>
    <cellStyle name="Normal 3 18 7" xfId="3609" xr:uid="{00000000-0005-0000-0000-0000E7610000}"/>
    <cellStyle name="Normal 3 18 7 2" xfId="24341" xr:uid="{00000000-0005-0000-0000-0000E8610000}"/>
    <cellStyle name="Normal 3 19" xfId="329" xr:uid="{00000000-0005-0000-0000-0000E9610000}"/>
    <cellStyle name="Normal 3 19 2" xfId="5040" xr:uid="{00000000-0005-0000-0000-0000EA610000}"/>
    <cellStyle name="Normal 3 19 2 2" xfId="6665" xr:uid="{00000000-0005-0000-0000-0000EB610000}"/>
    <cellStyle name="Normal 3 19 2 2 2" xfId="9751" xr:uid="{00000000-0005-0000-0000-0000EC610000}"/>
    <cellStyle name="Normal 3 19 2 2 2 2" xfId="15944" xr:uid="{00000000-0005-0000-0000-0000ED610000}"/>
    <cellStyle name="Normal 3 19 2 2 2 2 2" xfId="35864" xr:uid="{00000000-0005-0000-0000-0000EE610000}"/>
    <cellStyle name="Normal 3 19 2 2 2 3" xfId="22096" xr:uid="{00000000-0005-0000-0000-0000EF610000}"/>
    <cellStyle name="Normal 3 19 2 2 2 3 2" xfId="42016" xr:uid="{00000000-0005-0000-0000-0000F0610000}"/>
    <cellStyle name="Normal 3 19 2 2 2 4" xfId="29711" xr:uid="{00000000-0005-0000-0000-0000F1610000}"/>
    <cellStyle name="Normal 3 19 2 2 3" xfId="12878" xr:uid="{00000000-0005-0000-0000-0000F2610000}"/>
    <cellStyle name="Normal 3 19 2 2 3 2" xfId="32798" xr:uid="{00000000-0005-0000-0000-0000F3610000}"/>
    <cellStyle name="Normal 3 19 2 2 4" xfId="19030" xr:uid="{00000000-0005-0000-0000-0000F4610000}"/>
    <cellStyle name="Normal 3 19 2 2 4 2" xfId="38950" xr:uid="{00000000-0005-0000-0000-0000F5610000}"/>
    <cellStyle name="Normal 3 19 2 2 5" xfId="26645" xr:uid="{00000000-0005-0000-0000-0000F6610000}"/>
    <cellStyle name="Normal 3 19 2 3" xfId="8216" xr:uid="{00000000-0005-0000-0000-0000F7610000}"/>
    <cellStyle name="Normal 3 19 2 3 2" xfId="14410" xr:uid="{00000000-0005-0000-0000-0000F8610000}"/>
    <cellStyle name="Normal 3 19 2 3 2 2" xfId="34330" xr:uid="{00000000-0005-0000-0000-0000F9610000}"/>
    <cellStyle name="Normal 3 19 2 3 3" xfId="20562" xr:uid="{00000000-0005-0000-0000-0000FA610000}"/>
    <cellStyle name="Normal 3 19 2 3 3 2" xfId="40482" xr:uid="{00000000-0005-0000-0000-0000FB610000}"/>
    <cellStyle name="Normal 3 19 2 3 4" xfId="28177" xr:uid="{00000000-0005-0000-0000-0000FC610000}"/>
    <cellStyle name="Normal 3 19 2 4" xfId="11344" xr:uid="{00000000-0005-0000-0000-0000FD610000}"/>
    <cellStyle name="Normal 3 19 2 4 2" xfId="31264" xr:uid="{00000000-0005-0000-0000-0000FE610000}"/>
    <cellStyle name="Normal 3 19 2 5" xfId="17496" xr:uid="{00000000-0005-0000-0000-0000FF610000}"/>
    <cellStyle name="Normal 3 19 2 5 2" xfId="37416" xr:uid="{00000000-0005-0000-0000-000000620000}"/>
    <cellStyle name="Normal 3 19 2 6" xfId="25111" xr:uid="{00000000-0005-0000-0000-000001620000}"/>
    <cellStyle name="Normal 3 19 3" xfId="5882" xr:uid="{00000000-0005-0000-0000-000002620000}"/>
    <cellStyle name="Normal 3 19 3 2" xfId="8982" xr:uid="{00000000-0005-0000-0000-000003620000}"/>
    <cellStyle name="Normal 3 19 3 2 2" xfId="15175" xr:uid="{00000000-0005-0000-0000-000004620000}"/>
    <cellStyle name="Normal 3 19 3 2 2 2" xfId="35095" xr:uid="{00000000-0005-0000-0000-000005620000}"/>
    <cellStyle name="Normal 3 19 3 2 3" xfId="21327" xr:uid="{00000000-0005-0000-0000-000006620000}"/>
    <cellStyle name="Normal 3 19 3 2 3 2" xfId="41247" xr:uid="{00000000-0005-0000-0000-000007620000}"/>
    <cellStyle name="Normal 3 19 3 2 4" xfId="28942" xr:uid="{00000000-0005-0000-0000-000008620000}"/>
    <cellStyle name="Normal 3 19 3 3" xfId="12109" xr:uid="{00000000-0005-0000-0000-000009620000}"/>
    <cellStyle name="Normal 3 19 3 3 2" xfId="32029" xr:uid="{00000000-0005-0000-0000-00000A620000}"/>
    <cellStyle name="Normal 3 19 3 4" xfId="18261" xr:uid="{00000000-0005-0000-0000-00000B620000}"/>
    <cellStyle name="Normal 3 19 3 4 2" xfId="38181" xr:uid="{00000000-0005-0000-0000-00000C620000}"/>
    <cellStyle name="Normal 3 19 3 5" xfId="25876" xr:uid="{00000000-0005-0000-0000-00000D620000}"/>
    <cellStyle name="Normal 3 19 4" xfId="7447" xr:uid="{00000000-0005-0000-0000-00000E620000}"/>
    <cellStyle name="Normal 3 19 4 2" xfId="13641" xr:uid="{00000000-0005-0000-0000-00000F620000}"/>
    <cellStyle name="Normal 3 19 4 2 2" xfId="33561" xr:uid="{00000000-0005-0000-0000-000010620000}"/>
    <cellStyle name="Normal 3 19 4 3" xfId="19793" xr:uid="{00000000-0005-0000-0000-000011620000}"/>
    <cellStyle name="Normal 3 19 4 3 2" xfId="39713" xr:uid="{00000000-0005-0000-0000-000012620000}"/>
    <cellStyle name="Normal 3 19 4 4" xfId="27408" xr:uid="{00000000-0005-0000-0000-000013620000}"/>
    <cellStyle name="Normal 3 19 5" xfId="10575" xr:uid="{00000000-0005-0000-0000-000014620000}"/>
    <cellStyle name="Normal 3 19 5 2" xfId="30495" xr:uid="{00000000-0005-0000-0000-000015620000}"/>
    <cellStyle name="Normal 3 19 6" xfId="16727" xr:uid="{00000000-0005-0000-0000-000016620000}"/>
    <cellStyle name="Normal 3 19 6 2" xfId="36647" xr:uid="{00000000-0005-0000-0000-000017620000}"/>
    <cellStyle name="Normal 3 19 7" xfId="3610" xr:uid="{00000000-0005-0000-0000-000018620000}"/>
    <cellStyle name="Normal 3 19 7 2" xfId="24342" xr:uid="{00000000-0005-0000-0000-000019620000}"/>
    <cellStyle name="Normal 3 2" xfId="14" xr:uid="{00000000-0005-0000-0000-00001A620000}"/>
    <cellStyle name="Normal 3 2 2" xfId="3612" xr:uid="{00000000-0005-0000-0000-00001B620000}"/>
    <cellStyle name="Normal 3 2 2 2" xfId="5041" xr:uid="{00000000-0005-0000-0000-00001C620000}"/>
    <cellStyle name="Normal 3 2 2 2 2" xfId="6666" xr:uid="{00000000-0005-0000-0000-00001D620000}"/>
    <cellStyle name="Normal 3 2 2 2 2 2" xfId="9752" xr:uid="{00000000-0005-0000-0000-00001E620000}"/>
    <cellStyle name="Normal 3 2 2 2 2 2 2" xfId="15945" xr:uid="{00000000-0005-0000-0000-00001F620000}"/>
    <cellStyle name="Normal 3 2 2 2 2 2 2 2" xfId="35865" xr:uid="{00000000-0005-0000-0000-000020620000}"/>
    <cellStyle name="Normal 3 2 2 2 2 2 3" xfId="22097" xr:uid="{00000000-0005-0000-0000-000021620000}"/>
    <cellStyle name="Normal 3 2 2 2 2 2 3 2" xfId="42017" xr:uid="{00000000-0005-0000-0000-000022620000}"/>
    <cellStyle name="Normal 3 2 2 2 2 2 4" xfId="29712" xr:uid="{00000000-0005-0000-0000-000023620000}"/>
    <cellStyle name="Normal 3 2 2 2 2 3" xfId="12879" xr:uid="{00000000-0005-0000-0000-000024620000}"/>
    <cellStyle name="Normal 3 2 2 2 2 3 2" xfId="32799" xr:uid="{00000000-0005-0000-0000-000025620000}"/>
    <cellStyle name="Normal 3 2 2 2 2 4" xfId="19031" xr:uid="{00000000-0005-0000-0000-000026620000}"/>
    <cellStyle name="Normal 3 2 2 2 2 4 2" xfId="38951" xr:uid="{00000000-0005-0000-0000-000027620000}"/>
    <cellStyle name="Normal 3 2 2 2 2 5" xfId="26646" xr:uid="{00000000-0005-0000-0000-000028620000}"/>
    <cellStyle name="Normal 3 2 2 2 3" xfId="8217" xr:uid="{00000000-0005-0000-0000-000029620000}"/>
    <cellStyle name="Normal 3 2 2 2 3 2" xfId="14411" xr:uid="{00000000-0005-0000-0000-00002A620000}"/>
    <cellStyle name="Normal 3 2 2 2 3 2 2" xfId="34331" xr:uid="{00000000-0005-0000-0000-00002B620000}"/>
    <cellStyle name="Normal 3 2 2 2 3 3" xfId="20563" xr:uid="{00000000-0005-0000-0000-00002C620000}"/>
    <cellStyle name="Normal 3 2 2 2 3 3 2" xfId="40483" xr:uid="{00000000-0005-0000-0000-00002D620000}"/>
    <cellStyle name="Normal 3 2 2 2 3 4" xfId="28178" xr:uid="{00000000-0005-0000-0000-00002E620000}"/>
    <cellStyle name="Normal 3 2 2 2 4" xfId="11345" xr:uid="{00000000-0005-0000-0000-00002F620000}"/>
    <cellStyle name="Normal 3 2 2 2 4 2" xfId="31265" xr:uid="{00000000-0005-0000-0000-000030620000}"/>
    <cellStyle name="Normal 3 2 2 2 5" xfId="17497" xr:uid="{00000000-0005-0000-0000-000031620000}"/>
    <cellStyle name="Normal 3 2 2 2 5 2" xfId="37417" xr:uid="{00000000-0005-0000-0000-000032620000}"/>
    <cellStyle name="Normal 3 2 2 2 6" xfId="25112" xr:uid="{00000000-0005-0000-0000-000033620000}"/>
    <cellStyle name="Normal 3 2 2 3" xfId="5883" xr:uid="{00000000-0005-0000-0000-000034620000}"/>
    <cellStyle name="Normal 3 2 2 3 2" xfId="8983" xr:uid="{00000000-0005-0000-0000-000035620000}"/>
    <cellStyle name="Normal 3 2 2 3 2 2" xfId="15176" xr:uid="{00000000-0005-0000-0000-000036620000}"/>
    <cellStyle name="Normal 3 2 2 3 2 2 2" xfId="35096" xr:uid="{00000000-0005-0000-0000-000037620000}"/>
    <cellStyle name="Normal 3 2 2 3 2 3" xfId="21328" xr:uid="{00000000-0005-0000-0000-000038620000}"/>
    <cellStyle name="Normal 3 2 2 3 2 3 2" xfId="41248" xr:uid="{00000000-0005-0000-0000-000039620000}"/>
    <cellStyle name="Normal 3 2 2 3 2 4" xfId="28943" xr:uid="{00000000-0005-0000-0000-00003A620000}"/>
    <cellStyle name="Normal 3 2 2 3 3" xfId="12110" xr:uid="{00000000-0005-0000-0000-00003B620000}"/>
    <cellStyle name="Normal 3 2 2 3 3 2" xfId="32030" xr:uid="{00000000-0005-0000-0000-00003C620000}"/>
    <cellStyle name="Normal 3 2 2 3 4" xfId="18262" xr:uid="{00000000-0005-0000-0000-00003D620000}"/>
    <cellStyle name="Normal 3 2 2 3 4 2" xfId="38182" xr:uid="{00000000-0005-0000-0000-00003E620000}"/>
    <cellStyle name="Normal 3 2 2 3 5" xfId="25877" xr:uid="{00000000-0005-0000-0000-00003F620000}"/>
    <cellStyle name="Normal 3 2 2 4" xfId="7448" xr:uid="{00000000-0005-0000-0000-000040620000}"/>
    <cellStyle name="Normal 3 2 2 4 2" xfId="13642" xr:uid="{00000000-0005-0000-0000-000041620000}"/>
    <cellStyle name="Normal 3 2 2 4 2 2" xfId="33562" xr:uid="{00000000-0005-0000-0000-000042620000}"/>
    <cellStyle name="Normal 3 2 2 4 3" xfId="19794" xr:uid="{00000000-0005-0000-0000-000043620000}"/>
    <cellStyle name="Normal 3 2 2 4 3 2" xfId="39714" xr:uid="{00000000-0005-0000-0000-000044620000}"/>
    <cellStyle name="Normal 3 2 2 4 4" xfId="27409" xr:uid="{00000000-0005-0000-0000-000045620000}"/>
    <cellStyle name="Normal 3 2 2 5" xfId="10576" xr:uid="{00000000-0005-0000-0000-000046620000}"/>
    <cellStyle name="Normal 3 2 2 5 2" xfId="30496" xr:uid="{00000000-0005-0000-0000-000047620000}"/>
    <cellStyle name="Normal 3 2 2 6" xfId="16728" xr:uid="{00000000-0005-0000-0000-000048620000}"/>
    <cellStyle name="Normal 3 2 2 6 2" xfId="36648" xr:uid="{00000000-0005-0000-0000-000049620000}"/>
    <cellStyle name="Normal 3 2 2 7" xfId="24343" xr:uid="{00000000-0005-0000-0000-00004A620000}"/>
    <cellStyle name="Normal 3 2 3" xfId="3613" xr:uid="{00000000-0005-0000-0000-00004B620000}"/>
    <cellStyle name="Normal 3 2 3 2" xfId="5042" xr:uid="{00000000-0005-0000-0000-00004C620000}"/>
    <cellStyle name="Normal 3 2 3 2 2" xfId="6667" xr:uid="{00000000-0005-0000-0000-00004D620000}"/>
    <cellStyle name="Normal 3 2 3 2 2 2" xfId="9753" xr:uid="{00000000-0005-0000-0000-00004E620000}"/>
    <cellStyle name="Normal 3 2 3 2 2 2 2" xfId="15946" xr:uid="{00000000-0005-0000-0000-00004F620000}"/>
    <cellStyle name="Normal 3 2 3 2 2 2 2 2" xfId="35866" xr:uid="{00000000-0005-0000-0000-000050620000}"/>
    <cellStyle name="Normal 3 2 3 2 2 2 3" xfId="22098" xr:uid="{00000000-0005-0000-0000-000051620000}"/>
    <cellStyle name="Normal 3 2 3 2 2 2 3 2" xfId="42018" xr:uid="{00000000-0005-0000-0000-000052620000}"/>
    <cellStyle name="Normal 3 2 3 2 2 2 4" xfId="29713" xr:uid="{00000000-0005-0000-0000-000053620000}"/>
    <cellStyle name="Normal 3 2 3 2 2 3" xfId="12880" xr:uid="{00000000-0005-0000-0000-000054620000}"/>
    <cellStyle name="Normal 3 2 3 2 2 3 2" xfId="32800" xr:uid="{00000000-0005-0000-0000-000055620000}"/>
    <cellStyle name="Normal 3 2 3 2 2 4" xfId="19032" xr:uid="{00000000-0005-0000-0000-000056620000}"/>
    <cellStyle name="Normal 3 2 3 2 2 4 2" xfId="38952" xr:uid="{00000000-0005-0000-0000-000057620000}"/>
    <cellStyle name="Normal 3 2 3 2 2 5" xfId="26647" xr:uid="{00000000-0005-0000-0000-000058620000}"/>
    <cellStyle name="Normal 3 2 3 2 3" xfId="8218" xr:uid="{00000000-0005-0000-0000-000059620000}"/>
    <cellStyle name="Normal 3 2 3 2 3 2" xfId="14412" xr:uid="{00000000-0005-0000-0000-00005A620000}"/>
    <cellStyle name="Normal 3 2 3 2 3 2 2" xfId="34332" xr:uid="{00000000-0005-0000-0000-00005B620000}"/>
    <cellStyle name="Normal 3 2 3 2 3 3" xfId="20564" xr:uid="{00000000-0005-0000-0000-00005C620000}"/>
    <cellStyle name="Normal 3 2 3 2 3 3 2" xfId="40484" xr:uid="{00000000-0005-0000-0000-00005D620000}"/>
    <cellStyle name="Normal 3 2 3 2 3 4" xfId="28179" xr:uid="{00000000-0005-0000-0000-00005E620000}"/>
    <cellStyle name="Normal 3 2 3 2 4" xfId="11346" xr:uid="{00000000-0005-0000-0000-00005F620000}"/>
    <cellStyle name="Normal 3 2 3 2 4 2" xfId="31266" xr:uid="{00000000-0005-0000-0000-000060620000}"/>
    <cellStyle name="Normal 3 2 3 2 5" xfId="17498" xr:uid="{00000000-0005-0000-0000-000061620000}"/>
    <cellStyle name="Normal 3 2 3 2 5 2" xfId="37418" xr:uid="{00000000-0005-0000-0000-000062620000}"/>
    <cellStyle name="Normal 3 2 3 2 6" xfId="25113" xr:uid="{00000000-0005-0000-0000-000063620000}"/>
    <cellStyle name="Normal 3 2 3 3" xfId="5884" xr:uid="{00000000-0005-0000-0000-000064620000}"/>
    <cellStyle name="Normal 3 2 3 3 2" xfId="8984" xr:uid="{00000000-0005-0000-0000-000065620000}"/>
    <cellStyle name="Normal 3 2 3 3 2 2" xfId="15177" xr:uid="{00000000-0005-0000-0000-000066620000}"/>
    <cellStyle name="Normal 3 2 3 3 2 2 2" xfId="35097" xr:uid="{00000000-0005-0000-0000-000067620000}"/>
    <cellStyle name="Normal 3 2 3 3 2 3" xfId="21329" xr:uid="{00000000-0005-0000-0000-000068620000}"/>
    <cellStyle name="Normal 3 2 3 3 2 3 2" xfId="41249" xr:uid="{00000000-0005-0000-0000-000069620000}"/>
    <cellStyle name="Normal 3 2 3 3 2 4" xfId="28944" xr:uid="{00000000-0005-0000-0000-00006A620000}"/>
    <cellStyle name="Normal 3 2 3 3 3" xfId="12111" xr:uid="{00000000-0005-0000-0000-00006B620000}"/>
    <cellStyle name="Normal 3 2 3 3 3 2" xfId="32031" xr:uid="{00000000-0005-0000-0000-00006C620000}"/>
    <cellStyle name="Normal 3 2 3 3 4" xfId="18263" xr:uid="{00000000-0005-0000-0000-00006D620000}"/>
    <cellStyle name="Normal 3 2 3 3 4 2" xfId="38183" xr:uid="{00000000-0005-0000-0000-00006E620000}"/>
    <cellStyle name="Normal 3 2 3 3 5" xfId="25878" xr:uid="{00000000-0005-0000-0000-00006F620000}"/>
    <cellStyle name="Normal 3 2 3 4" xfId="7449" xr:uid="{00000000-0005-0000-0000-000070620000}"/>
    <cellStyle name="Normal 3 2 3 4 2" xfId="13643" xr:uid="{00000000-0005-0000-0000-000071620000}"/>
    <cellStyle name="Normal 3 2 3 4 2 2" xfId="33563" xr:uid="{00000000-0005-0000-0000-000072620000}"/>
    <cellStyle name="Normal 3 2 3 4 3" xfId="19795" xr:uid="{00000000-0005-0000-0000-000073620000}"/>
    <cellStyle name="Normal 3 2 3 4 3 2" xfId="39715" xr:uid="{00000000-0005-0000-0000-000074620000}"/>
    <cellStyle name="Normal 3 2 3 4 4" xfId="27410" xr:uid="{00000000-0005-0000-0000-000075620000}"/>
    <cellStyle name="Normal 3 2 3 5" xfId="10577" xr:uid="{00000000-0005-0000-0000-000076620000}"/>
    <cellStyle name="Normal 3 2 3 5 2" xfId="30497" xr:uid="{00000000-0005-0000-0000-000077620000}"/>
    <cellStyle name="Normal 3 2 3 6" xfId="16729" xr:uid="{00000000-0005-0000-0000-000078620000}"/>
    <cellStyle name="Normal 3 2 3 6 2" xfId="36649" xr:uid="{00000000-0005-0000-0000-000079620000}"/>
    <cellStyle name="Normal 3 2 3 7" xfId="24344" xr:uid="{00000000-0005-0000-0000-00007A620000}"/>
    <cellStyle name="Normal 3 2 4" xfId="3614" xr:uid="{00000000-0005-0000-0000-00007B620000}"/>
    <cellStyle name="Normal 3 2 4 2" xfId="5043" xr:uid="{00000000-0005-0000-0000-00007C620000}"/>
    <cellStyle name="Normal 3 2 4 2 2" xfId="6668" xr:uid="{00000000-0005-0000-0000-00007D620000}"/>
    <cellStyle name="Normal 3 2 4 2 2 2" xfId="9754" xr:uid="{00000000-0005-0000-0000-00007E620000}"/>
    <cellStyle name="Normal 3 2 4 2 2 2 2" xfId="15947" xr:uid="{00000000-0005-0000-0000-00007F620000}"/>
    <cellStyle name="Normal 3 2 4 2 2 2 2 2" xfId="35867" xr:uid="{00000000-0005-0000-0000-000080620000}"/>
    <cellStyle name="Normal 3 2 4 2 2 2 3" xfId="22099" xr:uid="{00000000-0005-0000-0000-000081620000}"/>
    <cellStyle name="Normal 3 2 4 2 2 2 3 2" xfId="42019" xr:uid="{00000000-0005-0000-0000-000082620000}"/>
    <cellStyle name="Normal 3 2 4 2 2 2 4" xfId="29714" xr:uid="{00000000-0005-0000-0000-000083620000}"/>
    <cellStyle name="Normal 3 2 4 2 2 3" xfId="12881" xr:uid="{00000000-0005-0000-0000-000084620000}"/>
    <cellStyle name="Normal 3 2 4 2 2 3 2" xfId="32801" xr:uid="{00000000-0005-0000-0000-000085620000}"/>
    <cellStyle name="Normal 3 2 4 2 2 4" xfId="19033" xr:uid="{00000000-0005-0000-0000-000086620000}"/>
    <cellStyle name="Normal 3 2 4 2 2 4 2" xfId="38953" xr:uid="{00000000-0005-0000-0000-000087620000}"/>
    <cellStyle name="Normal 3 2 4 2 2 5" xfId="26648" xr:uid="{00000000-0005-0000-0000-000088620000}"/>
    <cellStyle name="Normal 3 2 4 2 3" xfId="8219" xr:uid="{00000000-0005-0000-0000-000089620000}"/>
    <cellStyle name="Normal 3 2 4 2 3 2" xfId="14413" xr:uid="{00000000-0005-0000-0000-00008A620000}"/>
    <cellStyle name="Normal 3 2 4 2 3 2 2" xfId="34333" xr:uid="{00000000-0005-0000-0000-00008B620000}"/>
    <cellStyle name="Normal 3 2 4 2 3 3" xfId="20565" xr:uid="{00000000-0005-0000-0000-00008C620000}"/>
    <cellStyle name="Normal 3 2 4 2 3 3 2" xfId="40485" xr:uid="{00000000-0005-0000-0000-00008D620000}"/>
    <cellStyle name="Normal 3 2 4 2 3 4" xfId="28180" xr:uid="{00000000-0005-0000-0000-00008E620000}"/>
    <cellStyle name="Normal 3 2 4 2 4" xfId="11347" xr:uid="{00000000-0005-0000-0000-00008F620000}"/>
    <cellStyle name="Normal 3 2 4 2 4 2" xfId="31267" xr:uid="{00000000-0005-0000-0000-000090620000}"/>
    <cellStyle name="Normal 3 2 4 2 5" xfId="17499" xr:uid="{00000000-0005-0000-0000-000091620000}"/>
    <cellStyle name="Normal 3 2 4 2 5 2" xfId="37419" xr:uid="{00000000-0005-0000-0000-000092620000}"/>
    <cellStyle name="Normal 3 2 4 2 6" xfId="25114" xr:uid="{00000000-0005-0000-0000-000093620000}"/>
    <cellStyle name="Normal 3 2 4 3" xfId="5885" xr:uid="{00000000-0005-0000-0000-000094620000}"/>
    <cellStyle name="Normal 3 2 4 3 2" xfId="8985" xr:uid="{00000000-0005-0000-0000-000095620000}"/>
    <cellStyle name="Normal 3 2 4 3 2 2" xfId="15178" xr:uid="{00000000-0005-0000-0000-000096620000}"/>
    <cellStyle name="Normal 3 2 4 3 2 2 2" xfId="35098" xr:uid="{00000000-0005-0000-0000-000097620000}"/>
    <cellStyle name="Normal 3 2 4 3 2 3" xfId="21330" xr:uid="{00000000-0005-0000-0000-000098620000}"/>
    <cellStyle name="Normal 3 2 4 3 2 3 2" xfId="41250" xr:uid="{00000000-0005-0000-0000-000099620000}"/>
    <cellStyle name="Normal 3 2 4 3 2 4" xfId="28945" xr:uid="{00000000-0005-0000-0000-00009A620000}"/>
    <cellStyle name="Normal 3 2 4 3 3" xfId="12112" xr:uid="{00000000-0005-0000-0000-00009B620000}"/>
    <cellStyle name="Normal 3 2 4 3 3 2" xfId="32032" xr:uid="{00000000-0005-0000-0000-00009C620000}"/>
    <cellStyle name="Normal 3 2 4 3 4" xfId="18264" xr:uid="{00000000-0005-0000-0000-00009D620000}"/>
    <cellStyle name="Normal 3 2 4 3 4 2" xfId="38184" xr:uid="{00000000-0005-0000-0000-00009E620000}"/>
    <cellStyle name="Normal 3 2 4 3 5" xfId="25879" xr:uid="{00000000-0005-0000-0000-00009F620000}"/>
    <cellStyle name="Normal 3 2 4 4" xfId="7450" xr:uid="{00000000-0005-0000-0000-0000A0620000}"/>
    <cellStyle name="Normal 3 2 4 4 2" xfId="13644" xr:uid="{00000000-0005-0000-0000-0000A1620000}"/>
    <cellStyle name="Normal 3 2 4 4 2 2" xfId="33564" xr:uid="{00000000-0005-0000-0000-0000A2620000}"/>
    <cellStyle name="Normal 3 2 4 4 3" xfId="19796" xr:uid="{00000000-0005-0000-0000-0000A3620000}"/>
    <cellStyle name="Normal 3 2 4 4 3 2" xfId="39716" xr:uid="{00000000-0005-0000-0000-0000A4620000}"/>
    <cellStyle name="Normal 3 2 4 4 4" xfId="27411" xr:uid="{00000000-0005-0000-0000-0000A5620000}"/>
    <cellStyle name="Normal 3 2 4 5" xfId="10578" xr:uid="{00000000-0005-0000-0000-0000A6620000}"/>
    <cellStyle name="Normal 3 2 4 5 2" xfId="30498" xr:uid="{00000000-0005-0000-0000-0000A7620000}"/>
    <cellStyle name="Normal 3 2 4 6" xfId="16730" xr:uid="{00000000-0005-0000-0000-0000A8620000}"/>
    <cellStyle name="Normal 3 2 4 6 2" xfId="36650" xr:uid="{00000000-0005-0000-0000-0000A9620000}"/>
    <cellStyle name="Normal 3 2 4 7" xfId="24345" xr:uid="{00000000-0005-0000-0000-0000AA620000}"/>
    <cellStyle name="Normal 3 2 5" xfId="3615" xr:uid="{00000000-0005-0000-0000-0000AB620000}"/>
    <cellStyle name="Normal 3 2 5 2" xfId="5044" xr:uid="{00000000-0005-0000-0000-0000AC620000}"/>
    <cellStyle name="Normal 3 2 5 2 2" xfId="6669" xr:uid="{00000000-0005-0000-0000-0000AD620000}"/>
    <cellStyle name="Normal 3 2 5 2 2 2" xfId="9755" xr:uid="{00000000-0005-0000-0000-0000AE620000}"/>
    <cellStyle name="Normal 3 2 5 2 2 2 2" xfId="15948" xr:uid="{00000000-0005-0000-0000-0000AF620000}"/>
    <cellStyle name="Normal 3 2 5 2 2 2 2 2" xfId="35868" xr:uid="{00000000-0005-0000-0000-0000B0620000}"/>
    <cellStyle name="Normal 3 2 5 2 2 2 3" xfId="22100" xr:uid="{00000000-0005-0000-0000-0000B1620000}"/>
    <cellStyle name="Normal 3 2 5 2 2 2 3 2" xfId="42020" xr:uid="{00000000-0005-0000-0000-0000B2620000}"/>
    <cellStyle name="Normal 3 2 5 2 2 2 4" xfId="29715" xr:uid="{00000000-0005-0000-0000-0000B3620000}"/>
    <cellStyle name="Normal 3 2 5 2 2 3" xfId="12882" xr:uid="{00000000-0005-0000-0000-0000B4620000}"/>
    <cellStyle name="Normal 3 2 5 2 2 3 2" xfId="32802" xr:uid="{00000000-0005-0000-0000-0000B5620000}"/>
    <cellStyle name="Normal 3 2 5 2 2 4" xfId="19034" xr:uid="{00000000-0005-0000-0000-0000B6620000}"/>
    <cellStyle name="Normal 3 2 5 2 2 4 2" xfId="38954" xr:uid="{00000000-0005-0000-0000-0000B7620000}"/>
    <cellStyle name="Normal 3 2 5 2 2 5" xfId="26649" xr:uid="{00000000-0005-0000-0000-0000B8620000}"/>
    <cellStyle name="Normal 3 2 5 2 3" xfId="8220" xr:uid="{00000000-0005-0000-0000-0000B9620000}"/>
    <cellStyle name="Normal 3 2 5 2 3 2" xfId="14414" xr:uid="{00000000-0005-0000-0000-0000BA620000}"/>
    <cellStyle name="Normal 3 2 5 2 3 2 2" xfId="34334" xr:uid="{00000000-0005-0000-0000-0000BB620000}"/>
    <cellStyle name="Normal 3 2 5 2 3 3" xfId="20566" xr:uid="{00000000-0005-0000-0000-0000BC620000}"/>
    <cellStyle name="Normal 3 2 5 2 3 3 2" xfId="40486" xr:uid="{00000000-0005-0000-0000-0000BD620000}"/>
    <cellStyle name="Normal 3 2 5 2 3 4" xfId="28181" xr:uid="{00000000-0005-0000-0000-0000BE620000}"/>
    <cellStyle name="Normal 3 2 5 2 4" xfId="11348" xr:uid="{00000000-0005-0000-0000-0000BF620000}"/>
    <cellStyle name="Normal 3 2 5 2 4 2" xfId="31268" xr:uid="{00000000-0005-0000-0000-0000C0620000}"/>
    <cellStyle name="Normal 3 2 5 2 5" xfId="17500" xr:uid="{00000000-0005-0000-0000-0000C1620000}"/>
    <cellStyle name="Normal 3 2 5 2 5 2" xfId="37420" xr:uid="{00000000-0005-0000-0000-0000C2620000}"/>
    <cellStyle name="Normal 3 2 5 2 6" xfId="25115" xr:uid="{00000000-0005-0000-0000-0000C3620000}"/>
    <cellStyle name="Normal 3 2 5 3" xfId="5886" xr:uid="{00000000-0005-0000-0000-0000C4620000}"/>
    <cellStyle name="Normal 3 2 5 3 2" xfId="8986" xr:uid="{00000000-0005-0000-0000-0000C5620000}"/>
    <cellStyle name="Normal 3 2 5 3 2 2" xfId="15179" xr:uid="{00000000-0005-0000-0000-0000C6620000}"/>
    <cellStyle name="Normal 3 2 5 3 2 2 2" xfId="35099" xr:uid="{00000000-0005-0000-0000-0000C7620000}"/>
    <cellStyle name="Normal 3 2 5 3 2 3" xfId="21331" xr:uid="{00000000-0005-0000-0000-0000C8620000}"/>
    <cellStyle name="Normal 3 2 5 3 2 3 2" xfId="41251" xr:uid="{00000000-0005-0000-0000-0000C9620000}"/>
    <cellStyle name="Normal 3 2 5 3 2 4" xfId="28946" xr:uid="{00000000-0005-0000-0000-0000CA620000}"/>
    <cellStyle name="Normal 3 2 5 3 3" xfId="12113" xr:uid="{00000000-0005-0000-0000-0000CB620000}"/>
    <cellStyle name="Normal 3 2 5 3 3 2" xfId="32033" xr:uid="{00000000-0005-0000-0000-0000CC620000}"/>
    <cellStyle name="Normal 3 2 5 3 4" xfId="18265" xr:uid="{00000000-0005-0000-0000-0000CD620000}"/>
    <cellStyle name="Normal 3 2 5 3 4 2" xfId="38185" xr:uid="{00000000-0005-0000-0000-0000CE620000}"/>
    <cellStyle name="Normal 3 2 5 3 5" xfId="25880" xr:uid="{00000000-0005-0000-0000-0000CF620000}"/>
    <cellStyle name="Normal 3 2 5 4" xfId="7451" xr:uid="{00000000-0005-0000-0000-0000D0620000}"/>
    <cellStyle name="Normal 3 2 5 4 2" xfId="13645" xr:uid="{00000000-0005-0000-0000-0000D1620000}"/>
    <cellStyle name="Normal 3 2 5 4 2 2" xfId="33565" xr:uid="{00000000-0005-0000-0000-0000D2620000}"/>
    <cellStyle name="Normal 3 2 5 4 3" xfId="19797" xr:uid="{00000000-0005-0000-0000-0000D3620000}"/>
    <cellStyle name="Normal 3 2 5 4 3 2" xfId="39717" xr:uid="{00000000-0005-0000-0000-0000D4620000}"/>
    <cellStyle name="Normal 3 2 5 4 4" xfId="27412" xr:uid="{00000000-0005-0000-0000-0000D5620000}"/>
    <cellStyle name="Normal 3 2 5 5" xfId="10579" xr:uid="{00000000-0005-0000-0000-0000D6620000}"/>
    <cellStyle name="Normal 3 2 5 5 2" xfId="30499" xr:uid="{00000000-0005-0000-0000-0000D7620000}"/>
    <cellStyle name="Normal 3 2 5 6" xfId="16731" xr:uid="{00000000-0005-0000-0000-0000D8620000}"/>
    <cellStyle name="Normal 3 2 5 6 2" xfId="36651" xr:uid="{00000000-0005-0000-0000-0000D9620000}"/>
    <cellStyle name="Normal 3 2 5 7" xfId="24346" xr:uid="{00000000-0005-0000-0000-0000DA620000}"/>
    <cellStyle name="Normal 3 2 6" xfId="3616" xr:uid="{00000000-0005-0000-0000-0000DB620000}"/>
    <cellStyle name="Normal 3 2 6 2" xfId="5045" xr:uid="{00000000-0005-0000-0000-0000DC620000}"/>
    <cellStyle name="Normal 3 2 6 2 2" xfId="6670" xr:uid="{00000000-0005-0000-0000-0000DD620000}"/>
    <cellStyle name="Normal 3 2 6 2 2 2" xfId="9756" xr:uid="{00000000-0005-0000-0000-0000DE620000}"/>
    <cellStyle name="Normal 3 2 6 2 2 2 2" xfId="15949" xr:uid="{00000000-0005-0000-0000-0000DF620000}"/>
    <cellStyle name="Normal 3 2 6 2 2 2 2 2" xfId="35869" xr:uid="{00000000-0005-0000-0000-0000E0620000}"/>
    <cellStyle name="Normal 3 2 6 2 2 2 3" xfId="22101" xr:uid="{00000000-0005-0000-0000-0000E1620000}"/>
    <cellStyle name="Normal 3 2 6 2 2 2 3 2" xfId="42021" xr:uid="{00000000-0005-0000-0000-0000E2620000}"/>
    <cellStyle name="Normal 3 2 6 2 2 2 4" xfId="29716" xr:uid="{00000000-0005-0000-0000-0000E3620000}"/>
    <cellStyle name="Normal 3 2 6 2 2 3" xfId="12883" xr:uid="{00000000-0005-0000-0000-0000E4620000}"/>
    <cellStyle name="Normal 3 2 6 2 2 3 2" xfId="32803" xr:uid="{00000000-0005-0000-0000-0000E5620000}"/>
    <cellStyle name="Normal 3 2 6 2 2 4" xfId="19035" xr:uid="{00000000-0005-0000-0000-0000E6620000}"/>
    <cellStyle name="Normal 3 2 6 2 2 4 2" xfId="38955" xr:uid="{00000000-0005-0000-0000-0000E7620000}"/>
    <cellStyle name="Normal 3 2 6 2 2 5" xfId="26650" xr:uid="{00000000-0005-0000-0000-0000E8620000}"/>
    <cellStyle name="Normal 3 2 6 2 3" xfId="8221" xr:uid="{00000000-0005-0000-0000-0000E9620000}"/>
    <cellStyle name="Normal 3 2 6 2 3 2" xfId="14415" xr:uid="{00000000-0005-0000-0000-0000EA620000}"/>
    <cellStyle name="Normal 3 2 6 2 3 2 2" xfId="34335" xr:uid="{00000000-0005-0000-0000-0000EB620000}"/>
    <cellStyle name="Normal 3 2 6 2 3 3" xfId="20567" xr:uid="{00000000-0005-0000-0000-0000EC620000}"/>
    <cellStyle name="Normal 3 2 6 2 3 3 2" xfId="40487" xr:uid="{00000000-0005-0000-0000-0000ED620000}"/>
    <cellStyle name="Normal 3 2 6 2 3 4" xfId="28182" xr:uid="{00000000-0005-0000-0000-0000EE620000}"/>
    <cellStyle name="Normal 3 2 6 2 4" xfId="11349" xr:uid="{00000000-0005-0000-0000-0000EF620000}"/>
    <cellStyle name="Normal 3 2 6 2 4 2" xfId="31269" xr:uid="{00000000-0005-0000-0000-0000F0620000}"/>
    <cellStyle name="Normal 3 2 6 2 5" xfId="17501" xr:uid="{00000000-0005-0000-0000-0000F1620000}"/>
    <cellStyle name="Normal 3 2 6 2 5 2" xfId="37421" xr:uid="{00000000-0005-0000-0000-0000F2620000}"/>
    <cellStyle name="Normal 3 2 6 2 6" xfId="25116" xr:uid="{00000000-0005-0000-0000-0000F3620000}"/>
    <cellStyle name="Normal 3 2 6 3" xfId="5887" xr:uid="{00000000-0005-0000-0000-0000F4620000}"/>
    <cellStyle name="Normal 3 2 6 3 2" xfId="8987" xr:uid="{00000000-0005-0000-0000-0000F5620000}"/>
    <cellStyle name="Normal 3 2 6 3 2 2" xfId="15180" xr:uid="{00000000-0005-0000-0000-0000F6620000}"/>
    <cellStyle name="Normal 3 2 6 3 2 2 2" xfId="35100" xr:uid="{00000000-0005-0000-0000-0000F7620000}"/>
    <cellStyle name="Normal 3 2 6 3 2 3" xfId="21332" xr:uid="{00000000-0005-0000-0000-0000F8620000}"/>
    <cellStyle name="Normal 3 2 6 3 2 3 2" xfId="41252" xr:uid="{00000000-0005-0000-0000-0000F9620000}"/>
    <cellStyle name="Normal 3 2 6 3 2 4" xfId="28947" xr:uid="{00000000-0005-0000-0000-0000FA620000}"/>
    <cellStyle name="Normal 3 2 6 3 3" xfId="12114" xr:uid="{00000000-0005-0000-0000-0000FB620000}"/>
    <cellStyle name="Normal 3 2 6 3 3 2" xfId="32034" xr:uid="{00000000-0005-0000-0000-0000FC620000}"/>
    <cellStyle name="Normal 3 2 6 3 4" xfId="18266" xr:uid="{00000000-0005-0000-0000-0000FD620000}"/>
    <cellStyle name="Normal 3 2 6 3 4 2" xfId="38186" xr:uid="{00000000-0005-0000-0000-0000FE620000}"/>
    <cellStyle name="Normal 3 2 6 3 5" xfId="25881" xr:uid="{00000000-0005-0000-0000-0000FF620000}"/>
    <cellStyle name="Normal 3 2 6 4" xfId="7452" xr:uid="{00000000-0005-0000-0000-000000630000}"/>
    <cellStyle name="Normal 3 2 6 4 2" xfId="13646" xr:uid="{00000000-0005-0000-0000-000001630000}"/>
    <cellStyle name="Normal 3 2 6 4 2 2" xfId="33566" xr:uid="{00000000-0005-0000-0000-000002630000}"/>
    <cellStyle name="Normal 3 2 6 4 3" xfId="19798" xr:uid="{00000000-0005-0000-0000-000003630000}"/>
    <cellStyle name="Normal 3 2 6 4 3 2" xfId="39718" xr:uid="{00000000-0005-0000-0000-000004630000}"/>
    <cellStyle name="Normal 3 2 6 4 4" xfId="27413" xr:uid="{00000000-0005-0000-0000-000005630000}"/>
    <cellStyle name="Normal 3 2 6 5" xfId="10580" xr:uid="{00000000-0005-0000-0000-000006630000}"/>
    <cellStyle name="Normal 3 2 6 5 2" xfId="30500" xr:uid="{00000000-0005-0000-0000-000007630000}"/>
    <cellStyle name="Normal 3 2 6 6" xfId="16732" xr:uid="{00000000-0005-0000-0000-000008630000}"/>
    <cellStyle name="Normal 3 2 6 6 2" xfId="36652" xr:uid="{00000000-0005-0000-0000-000009630000}"/>
    <cellStyle name="Normal 3 2 6 7" xfId="24347" xr:uid="{00000000-0005-0000-0000-00000A630000}"/>
    <cellStyle name="Normal 3 2 7" xfId="3611" xr:uid="{00000000-0005-0000-0000-00000B630000}"/>
    <cellStyle name="Normal 3 20" xfId="352" xr:uid="{00000000-0005-0000-0000-00000C630000}"/>
    <cellStyle name="Normal 3 20 2" xfId="5046" xr:uid="{00000000-0005-0000-0000-00000D630000}"/>
    <cellStyle name="Normal 3 20 2 2" xfId="6671" xr:uid="{00000000-0005-0000-0000-00000E630000}"/>
    <cellStyle name="Normal 3 20 2 2 2" xfId="9757" xr:uid="{00000000-0005-0000-0000-00000F630000}"/>
    <cellStyle name="Normal 3 20 2 2 2 2" xfId="15950" xr:uid="{00000000-0005-0000-0000-000010630000}"/>
    <cellStyle name="Normal 3 20 2 2 2 2 2" xfId="35870" xr:uid="{00000000-0005-0000-0000-000011630000}"/>
    <cellStyle name="Normal 3 20 2 2 2 3" xfId="22102" xr:uid="{00000000-0005-0000-0000-000012630000}"/>
    <cellStyle name="Normal 3 20 2 2 2 3 2" xfId="42022" xr:uid="{00000000-0005-0000-0000-000013630000}"/>
    <cellStyle name="Normal 3 20 2 2 2 4" xfId="29717" xr:uid="{00000000-0005-0000-0000-000014630000}"/>
    <cellStyle name="Normal 3 20 2 2 3" xfId="12884" xr:uid="{00000000-0005-0000-0000-000015630000}"/>
    <cellStyle name="Normal 3 20 2 2 3 2" xfId="32804" xr:uid="{00000000-0005-0000-0000-000016630000}"/>
    <cellStyle name="Normal 3 20 2 2 4" xfId="19036" xr:uid="{00000000-0005-0000-0000-000017630000}"/>
    <cellStyle name="Normal 3 20 2 2 4 2" xfId="38956" xr:uid="{00000000-0005-0000-0000-000018630000}"/>
    <cellStyle name="Normal 3 20 2 2 5" xfId="26651" xr:uid="{00000000-0005-0000-0000-000019630000}"/>
    <cellStyle name="Normal 3 20 2 3" xfId="8222" xr:uid="{00000000-0005-0000-0000-00001A630000}"/>
    <cellStyle name="Normal 3 20 2 3 2" xfId="14416" xr:uid="{00000000-0005-0000-0000-00001B630000}"/>
    <cellStyle name="Normal 3 20 2 3 2 2" xfId="34336" xr:uid="{00000000-0005-0000-0000-00001C630000}"/>
    <cellStyle name="Normal 3 20 2 3 3" xfId="20568" xr:uid="{00000000-0005-0000-0000-00001D630000}"/>
    <cellStyle name="Normal 3 20 2 3 3 2" xfId="40488" xr:uid="{00000000-0005-0000-0000-00001E630000}"/>
    <cellStyle name="Normal 3 20 2 3 4" xfId="28183" xr:uid="{00000000-0005-0000-0000-00001F630000}"/>
    <cellStyle name="Normal 3 20 2 4" xfId="11350" xr:uid="{00000000-0005-0000-0000-000020630000}"/>
    <cellStyle name="Normal 3 20 2 4 2" xfId="31270" xr:uid="{00000000-0005-0000-0000-000021630000}"/>
    <cellStyle name="Normal 3 20 2 5" xfId="17502" xr:uid="{00000000-0005-0000-0000-000022630000}"/>
    <cellStyle name="Normal 3 20 2 5 2" xfId="37422" xr:uid="{00000000-0005-0000-0000-000023630000}"/>
    <cellStyle name="Normal 3 20 2 6" xfId="25117" xr:uid="{00000000-0005-0000-0000-000024630000}"/>
    <cellStyle name="Normal 3 20 3" xfId="5888" xr:uid="{00000000-0005-0000-0000-000025630000}"/>
    <cellStyle name="Normal 3 20 3 2" xfId="8988" xr:uid="{00000000-0005-0000-0000-000026630000}"/>
    <cellStyle name="Normal 3 20 3 2 2" xfId="15181" xr:uid="{00000000-0005-0000-0000-000027630000}"/>
    <cellStyle name="Normal 3 20 3 2 2 2" xfId="35101" xr:uid="{00000000-0005-0000-0000-000028630000}"/>
    <cellStyle name="Normal 3 20 3 2 3" xfId="21333" xr:uid="{00000000-0005-0000-0000-000029630000}"/>
    <cellStyle name="Normal 3 20 3 2 3 2" xfId="41253" xr:uid="{00000000-0005-0000-0000-00002A630000}"/>
    <cellStyle name="Normal 3 20 3 2 4" xfId="28948" xr:uid="{00000000-0005-0000-0000-00002B630000}"/>
    <cellStyle name="Normal 3 20 3 3" xfId="12115" xr:uid="{00000000-0005-0000-0000-00002C630000}"/>
    <cellStyle name="Normal 3 20 3 3 2" xfId="32035" xr:uid="{00000000-0005-0000-0000-00002D630000}"/>
    <cellStyle name="Normal 3 20 3 4" xfId="18267" xr:uid="{00000000-0005-0000-0000-00002E630000}"/>
    <cellStyle name="Normal 3 20 3 4 2" xfId="38187" xr:uid="{00000000-0005-0000-0000-00002F630000}"/>
    <cellStyle name="Normal 3 20 3 5" xfId="25882" xr:uid="{00000000-0005-0000-0000-000030630000}"/>
    <cellStyle name="Normal 3 20 4" xfId="7453" xr:uid="{00000000-0005-0000-0000-000031630000}"/>
    <cellStyle name="Normal 3 20 4 2" xfId="13647" xr:uid="{00000000-0005-0000-0000-000032630000}"/>
    <cellStyle name="Normal 3 20 4 2 2" xfId="33567" xr:uid="{00000000-0005-0000-0000-000033630000}"/>
    <cellStyle name="Normal 3 20 4 3" xfId="19799" xr:uid="{00000000-0005-0000-0000-000034630000}"/>
    <cellStyle name="Normal 3 20 4 3 2" xfId="39719" xr:uid="{00000000-0005-0000-0000-000035630000}"/>
    <cellStyle name="Normal 3 20 4 4" xfId="27414" xr:uid="{00000000-0005-0000-0000-000036630000}"/>
    <cellStyle name="Normal 3 20 5" xfId="10581" xr:uid="{00000000-0005-0000-0000-000037630000}"/>
    <cellStyle name="Normal 3 20 5 2" xfId="30501" xr:uid="{00000000-0005-0000-0000-000038630000}"/>
    <cellStyle name="Normal 3 20 6" xfId="16733" xr:uid="{00000000-0005-0000-0000-000039630000}"/>
    <cellStyle name="Normal 3 20 6 2" xfId="36653" xr:uid="{00000000-0005-0000-0000-00003A630000}"/>
    <cellStyle name="Normal 3 20 7" xfId="3617" xr:uid="{00000000-0005-0000-0000-00003B630000}"/>
    <cellStyle name="Normal 3 20 7 2" xfId="24348" xr:uid="{00000000-0005-0000-0000-00003C630000}"/>
    <cellStyle name="Normal 3 21" xfId="350" xr:uid="{00000000-0005-0000-0000-00003D630000}"/>
    <cellStyle name="Normal 3 21 2" xfId="5047" xr:uid="{00000000-0005-0000-0000-00003E630000}"/>
    <cellStyle name="Normal 3 21 2 2" xfId="6672" xr:uid="{00000000-0005-0000-0000-00003F630000}"/>
    <cellStyle name="Normal 3 21 2 2 2" xfId="9758" xr:uid="{00000000-0005-0000-0000-000040630000}"/>
    <cellStyle name="Normal 3 21 2 2 2 2" xfId="15951" xr:uid="{00000000-0005-0000-0000-000041630000}"/>
    <cellStyle name="Normal 3 21 2 2 2 2 2" xfId="35871" xr:uid="{00000000-0005-0000-0000-000042630000}"/>
    <cellStyle name="Normal 3 21 2 2 2 3" xfId="22103" xr:uid="{00000000-0005-0000-0000-000043630000}"/>
    <cellStyle name="Normal 3 21 2 2 2 3 2" xfId="42023" xr:uid="{00000000-0005-0000-0000-000044630000}"/>
    <cellStyle name="Normal 3 21 2 2 2 4" xfId="29718" xr:uid="{00000000-0005-0000-0000-000045630000}"/>
    <cellStyle name="Normal 3 21 2 2 3" xfId="12885" xr:uid="{00000000-0005-0000-0000-000046630000}"/>
    <cellStyle name="Normal 3 21 2 2 3 2" xfId="32805" xr:uid="{00000000-0005-0000-0000-000047630000}"/>
    <cellStyle name="Normal 3 21 2 2 4" xfId="19037" xr:uid="{00000000-0005-0000-0000-000048630000}"/>
    <cellStyle name="Normal 3 21 2 2 4 2" xfId="38957" xr:uid="{00000000-0005-0000-0000-000049630000}"/>
    <cellStyle name="Normal 3 21 2 2 5" xfId="26652" xr:uid="{00000000-0005-0000-0000-00004A630000}"/>
    <cellStyle name="Normal 3 21 2 3" xfId="8223" xr:uid="{00000000-0005-0000-0000-00004B630000}"/>
    <cellStyle name="Normal 3 21 2 3 2" xfId="14417" xr:uid="{00000000-0005-0000-0000-00004C630000}"/>
    <cellStyle name="Normal 3 21 2 3 2 2" xfId="34337" xr:uid="{00000000-0005-0000-0000-00004D630000}"/>
    <cellStyle name="Normal 3 21 2 3 3" xfId="20569" xr:uid="{00000000-0005-0000-0000-00004E630000}"/>
    <cellStyle name="Normal 3 21 2 3 3 2" xfId="40489" xr:uid="{00000000-0005-0000-0000-00004F630000}"/>
    <cellStyle name="Normal 3 21 2 3 4" xfId="28184" xr:uid="{00000000-0005-0000-0000-000050630000}"/>
    <cellStyle name="Normal 3 21 2 4" xfId="11351" xr:uid="{00000000-0005-0000-0000-000051630000}"/>
    <cellStyle name="Normal 3 21 2 4 2" xfId="31271" xr:uid="{00000000-0005-0000-0000-000052630000}"/>
    <cellStyle name="Normal 3 21 2 5" xfId="17503" xr:uid="{00000000-0005-0000-0000-000053630000}"/>
    <cellStyle name="Normal 3 21 2 5 2" xfId="37423" xr:uid="{00000000-0005-0000-0000-000054630000}"/>
    <cellStyle name="Normal 3 21 2 6" xfId="25118" xr:uid="{00000000-0005-0000-0000-000055630000}"/>
    <cellStyle name="Normal 3 21 3" xfId="5889" xr:uid="{00000000-0005-0000-0000-000056630000}"/>
    <cellStyle name="Normal 3 21 3 2" xfId="8989" xr:uid="{00000000-0005-0000-0000-000057630000}"/>
    <cellStyle name="Normal 3 21 3 2 2" xfId="15182" xr:uid="{00000000-0005-0000-0000-000058630000}"/>
    <cellStyle name="Normal 3 21 3 2 2 2" xfId="35102" xr:uid="{00000000-0005-0000-0000-000059630000}"/>
    <cellStyle name="Normal 3 21 3 2 3" xfId="21334" xr:uid="{00000000-0005-0000-0000-00005A630000}"/>
    <cellStyle name="Normal 3 21 3 2 3 2" xfId="41254" xr:uid="{00000000-0005-0000-0000-00005B630000}"/>
    <cellStyle name="Normal 3 21 3 2 4" xfId="28949" xr:uid="{00000000-0005-0000-0000-00005C630000}"/>
    <cellStyle name="Normal 3 21 3 3" xfId="12116" xr:uid="{00000000-0005-0000-0000-00005D630000}"/>
    <cellStyle name="Normal 3 21 3 3 2" xfId="32036" xr:uid="{00000000-0005-0000-0000-00005E630000}"/>
    <cellStyle name="Normal 3 21 3 4" xfId="18268" xr:uid="{00000000-0005-0000-0000-00005F630000}"/>
    <cellStyle name="Normal 3 21 3 4 2" xfId="38188" xr:uid="{00000000-0005-0000-0000-000060630000}"/>
    <cellStyle name="Normal 3 21 3 5" xfId="25883" xr:uid="{00000000-0005-0000-0000-000061630000}"/>
    <cellStyle name="Normal 3 21 4" xfId="7454" xr:uid="{00000000-0005-0000-0000-000062630000}"/>
    <cellStyle name="Normal 3 21 4 2" xfId="13648" xr:uid="{00000000-0005-0000-0000-000063630000}"/>
    <cellStyle name="Normal 3 21 4 2 2" xfId="33568" xr:uid="{00000000-0005-0000-0000-000064630000}"/>
    <cellStyle name="Normal 3 21 4 3" xfId="19800" xr:uid="{00000000-0005-0000-0000-000065630000}"/>
    <cellStyle name="Normal 3 21 4 3 2" xfId="39720" xr:uid="{00000000-0005-0000-0000-000066630000}"/>
    <cellStyle name="Normal 3 21 4 4" xfId="27415" xr:uid="{00000000-0005-0000-0000-000067630000}"/>
    <cellStyle name="Normal 3 21 5" xfId="10582" xr:uid="{00000000-0005-0000-0000-000068630000}"/>
    <cellStyle name="Normal 3 21 5 2" xfId="30502" xr:uid="{00000000-0005-0000-0000-000069630000}"/>
    <cellStyle name="Normal 3 21 6" xfId="16734" xr:uid="{00000000-0005-0000-0000-00006A630000}"/>
    <cellStyle name="Normal 3 21 6 2" xfId="36654" xr:uid="{00000000-0005-0000-0000-00006B630000}"/>
    <cellStyle name="Normal 3 21 7" xfId="3618" xr:uid="{00000000-0005-0000-0000-00006C630000}"/>
    <cellStyle name="Normal 3 21 7 2" xfId="24349" xr:uid="{00000000-0005-0000-0000-00006D630000}"/>
    <cellStyle name="Normal 3 22" xfId="381" xr:uid="{00000000-0005-0000-0000-00006E630000}"/>
    <cellStyle name="Normal 3 22 2" xfId="5048" xr:uid="{00000000-0005-0000-0000-00006F630000}"/>
    <cellStyle name="Normal 3 22 2 2" xfId="6673" xr:uid="{00000000-0005-0000-0000-000070630000}"/>
    <cellStyle name="Normal 3 22 2 2 2" xfId="9759" xr:uid="{00000000-0005-0000-0000-000071630000}"/>
    <cellStyle name="Normal 3 22 2 2 2 2" xfId="15952" xr:uid="{00000000-0005-0000-0000-000072630000}"/>
    <cellStyle name="Normal 3 22 2 2 2 2 2" xfId="35872" xr:uid="{00000000-0005-0000-0000-000073630000}"/>
    <cellStyle name="Normal 3 22 2 2 2 3" xfId="22104" xr:uid="{00000000-0005-0000-0000-000074630000}"/>
    <cellStyle name="Normal 3 22 2 2 2 3 2" xfId="42024" xr:uid="{00000000-0005-0000-0000-000075630000}"/>
    <cellStyle name="Normal 3 22 2 2 2 4" xfId="29719" xr:uid="{00000000-0005-0000-0000-000076630000}"/>
    <cellStyle name="Normal 3 22 2 2 3" xfId="12886" xr:uid="{00000000-0005-0000-0000-000077630000}"/>
    <cellStyle name="Normal 3 22 2 2 3 2" xfId="32806" xr:uid="{00000000-0005-0000-0000-000078630000}"/>
    <cellStyle name="Normal 3 22 2 2 4" xfId="19038" xr:uid="{00000000-0005-0000-0000-000079630000}"/>
    <cellStyle name="Normal 3 22 2 2 4 2" xfId="38958" xr:uid="{00000000-0005-0000-0000-00007A630000}"/>
    <cellStyle name="Normal 3 22 2 2 5" xfId="26653" xr:uid="{00000000-0005-0000-0000-00007B630000}"/>
    <cellStyle name="Normal 3 22 2 3" xfId="8224" xr:uid="{00000000-0005-0000-0000-00007C630000}"/>
    <cellStyle name="Normal 3 22 2 3 2" xfId="14418" xr:uid="{00000000-0005-0000-0000-00007D630000}"/>
    <cellStyle name="Normal 3 22 2 3 2 2" xfId="34338" xr:uid="{00000000-0005-0000-0000-00007E630000}"/>
    <cellStyle name="Normal 3 22 2 3 3" xfId="20570" xr:uid="{00000000-0005-0000-0000-00007F630000}"/>
    <cellStyle name="Normal 3 22 2 3 3 2" xfId="40490" xr:uid="{00000000-0005-0000-0000-000080630000}"/>
    <cellStyle name="Normal 3 22 2 3 4" xfId="28185" xr:uid="{00000000-0005-0000-0000-000081630000}"/>
    <cellStyle name="Normal 3 22 2 4" xfId="11352" xr:uid="{00000000-0005-0000-0000-000082630000}"/>
    <cellStyle name="Normal 3 22 2 4 2" xfId="31272" xr:uid="{00000000-0005-0000-0000-000083630000}"/>
    <cellStyle name="Normal 3 22 2 5" xfId="17504" xr:uid="{00000000-0005-0000-0000-000084630000}"/>
    <cellStyle name="Normal 3 22 2 5 2" xfId="37424" xr:uid="{00000000-0005-0000-0000-000085630000}"/>
    <cellStyle name="Normal 3 22 2 6" xfId="25119" xr:uid="{00000000-0005-0000-0000-000086630000}"/>
    <cellStyle name="Normal 3 22 3" xfId="5890" xr:uid="{00000000-0005-0000-0000-000087630000}"/>
    <cellStyle name="Normal 3 22 3 2" xfId="8990" xr:uid="{00000000-0005-0000-0000-000088630000}"/>
    <cellStyle name="Normal 3 22 3 2 2" xfId="15183" xr:uid="{00000000-0005-0000-0000-000089630000}"/>
    <cellStyle name="Normal 3 22 3 2 2 2" xfId="35103" xr:uid="{00000000-0005-0000-0000-00008A630000}"/>
    <cellStyle name="Normal 3 22 3 2 3" xfId="21335" xr:uid="{00000000-0005-0000-0000-00008B630000}"/>
    <cellStyle name="Normal 3 22 3 2 3 2" xfId="41255" xr:uid="{00000000-0005-0000-0000-00008C630000}"/>
    <cellStyle name="Normal 3 22 3 2 4" xfId="28950" xr:uid="{00000000-0005-0000-0000-00008D630000}"/>
    <cellStyle name="Normal 3 22 3 3" xfId="12117" xr:uid="{00000000-0005-0000-0000-00008E630000}"/>
    <cellStyle name="Normal 3 22 3 3 2" xfId="32037" xr:uid="{00000000-0005-0000-0000-00008F630000}"/>
    <cellStyle name="Normal 3 22 3 4" xfId="18269" xr:uid="{00000000-0005-0000-0000-000090630000}"/>
    <cellStyle name="Normal 3 22 3 4 2" xfId="38189" xr:uid="{00000000-0005-0000-0000-000091630000}"/>
    <cellStyle name="Normal 3 22 3 5" xfId="25884" xr:uid="{00000000-0005-0000-0000-000092630000}"/>
    <cellStyle name="Normal 3 22 4" xfId="7455" xr:uid="{00000000-0005-0000-0000-000093630000}"/>
    <cellStyle name="Normal 3 22 4 2" xfId="13649" xr:uid="{00000000-0005-0000-0000-000094630000}"/>
    <cellStyle name="Normal 3 22 4 2 2" xfId="33569" xr:uid="{00000000-0005-0000-0000-000095630000}"/>
    <cellStyle name="Normal 3 22 4 3" xfId="19801" xr:uid="{00000000-0005-0000-0000-000096630000}"/>
    <cellStyle name="Normal 3 22 4 3 2" xfId="39721" xr:uid="{00000000-0005-0000-0000-000097630000}"/>
    <cellStyle name="Normal 3 22 4 4" xfId="27416" xr:uid="{00000000-0005-0000-0000-000098630000}"/>
    <cellStyle name="Normal 3 22 5" xfId="10583" xr:uid="{00000000-0005-0000-0000-000099630000}"/>
    <cellStyle name="Normal 3 22 5 2" xfId="30503" xr:uid="{00000000-0005-0000-0000-00009A630000}"/>
    <cellStyle name="Normal 3 22 6" xfId="16735" xr:uid="{00000000-0005-0000-0000-00009B630000}"/>
    <cellStyle name="Normal 3 22 6 2" xfId="36655" xr:uid="{00000000-0005-0000-0000-00009C630000}"/>
    <cellStyle name="Normal 3 22 7" xfId="3619" xr:uid="{00000000-0005-0000-0000-00009D630000}"/>
    <cellStyle name="Normal 3 22 7 2" xfId="24350" xr:uid="{00000000-0005-0000-0000-00009E630000}"/>
    <cellStyle name="Normal 3 23" xfId="368" xr:uid="{00000000-0005-0000-0000-00009F630000}"/>
    <cellStyle name="Normal 3 23 2" xfId="5049" xr:uid="{00000000-0005-0000-0000-0000A0630000}"/>
    <cellStyle name="Normal 3 23 2 2" xfId="6674" xr:uid="{00000000-0005-0000-0000-0000A1630000}"/>
    <cellStyle name="Normal 3 23 2 2 2" xfId="9760" xr:uid="{00000000-0005-0000-0000-0000A2630000}"/>
    <cellStyle name="Normal 3 23 2 2 2 2" xfId="15953" xr:uid="{00000000-0005-0000-0000-0000A3630000}"/>
    <cellStyle name="Normal 3 23 2 2 2 2 2" xfId="35873" xr:uid="{00000000-0005-0000-0000-0000A4630000}"/>
    <cellStyle name="Normal 3 23 2 2 2 3" xfId="22105" xr:uid="{00000000-0005-0000-0000-0000A5630000}"/>
    <cellStyle name="Normal 3 23 2 2 2 3 2" xfId="42025" xr:uid="{00000000-0005-0000-0000-0000A6630000}"/>
    <cellStyle name="Normal 3 23 2 2 2 4" xfId="29720" xr:uid="{00000000-0005-0000-0000-0000A7630000}"/>
    <cellStyle name="Normal 3 23 2 2 3" xfId="12887" xr:uid="{00000000-0005-0000-0000-0000A8630000}"/>
    <cellStyle name="Normal 3 23 2 2 3 2" xfId="32807" xr:uid="{00000000-0005-0000-0000-0000A9630000}"/>
    <cellStyle name="Normal 3 23 2 2 4" xfId="19039" xr:uid="{00000000-0005-0000-0000-0000AA630000}"/>
    <cellStyle name="Normal 3 23 2 2 4 2" xfId="38959" xr:uid="{00000000-0005-0000-0000-0000AB630000}"/>
    <cellStyle name="Normal 3 23 2 2 5" xfId="26654" xr:uid="{00000000-0005-0000-0000-0000AC630000}"/>
    <cellStyle name="Normal 3 23 2 3" xfId="8225" xr:uid="{00000000-0005-0000-0000-0000AD630000}"/>
    <cellStyle name="Normal 3 23 2 3 2" xfId="14419" xr:uid="{00000000-0005-0000-0000-0000AE630000}"/>
    <cellStyle name="Normal 3 23 2 3 2 2" xfId="34339" xr:uid="{00000000-0005-0000-0000-0000AF630000}"/>
    <cellStyle name="Normal 3 23 2 3 3" xfId="20571" xr:uid="{00000000-0005-0000-0000-0000B0630000}"/>
    <cellStyle name="Normal 3 23 2 3 3 2" xfId="40491" xr:uid="{00000000-0005-0000-0000-0000B1630000}"/>
    <cellStyle name="Normal 3 23 2 3 4" xfId="28186" xr:uid="{00000000-0005-0000-0000-0000B2630000}"/>
    <cellStyle name="Normal 3 23 2 4" xfId="11353" xr:uid="{00000000-0005-0000-0000-0000B3630000}"/>
    <cellStyle name="Normal 3 23 2 4 2" xfId="31273" xr:uid="{00000000-0005-0000-0000-0000B4630000}"/>
    <cellStyle name="Normal 3 23 2 5" xfId="17505" xr:uid="{00000000-0005-0000-0000-0000B5630000}"/>
    <cellStyle name="Normal 3 23 2 5 2" xfId="37425" xr:uid="{00000000-0005-0000-0000-0000B6630000}"/>
    <cellStyle name="Normal 3 23 2 6" xfId="25120" xr:uid="{00000000-0005-0000-0000-0000B7630000}"/>
    <cellStyle name="Normal 3 23 3" xfId="5891" xr:uid="{00000000-0005-0000-0000-0000B8630000}"/>
    <cellStyle name="Normal 3 23 3 2" xfId="8991" xr:uid="{00000000-0005-0000-0000-0000B9630000}"/>
    <cellStyle name="Normal 3 23 3 2 2" xfId="15184" xr:uid="{00000000-0005-0000-0000-0000BA630000}"/>
    <cellStyle name="Normal 3 23 3 2 2 2" xfId="35104" xr:uid="{00000000-0005-0000-0000-0000BB630000}"/>
    <cellStyle name="Normal 3 23 3 2 3" xfId="21336" xr:uid="{00000000-0005-0000-0000-0000BC630000}"/>
    <cellStyle name="Normal 3 23 3 2 3 2" xfId="41256" xr:uid="{00000000-0005-0000-0000-0000BD630000}"/>
    <cellStyle name="Normal 3 23 3 2 4" xfId="28951" xr:uid="{00000000-0005-0000-0000-0000BE630000}"/>
    <cellStyle name="Normal 3 23 3 3" xfId="12118" xr:uid="{00000000-0005-0000-0000-0000BF630000}"/>
    <cellStyle name="Normal 3 23 3 3 2" xfId="32038" xr:uid="{00000000-0005-0000-0000-0000C0630000}"/>
    <cellStyle name="Normal 3 23 3 4" xfId="18270" xr:uid="{00000000-0005-0000-0000-0000C1630000}"/>
    <cellStyle name="Normal 3 23 3 4 2" xfId="38190" xr:uid="{00000000-0005-0000-0000-0000C2630000}"/>
    <cellStyle name="Normal 3 23 3 5" xfId="25885" xr:uid="{00000000-0005-0000-0000-0000C3630000}"/>
    <cellStyle name="Normal 3 23 4" xfId="7456" xr:uid="{00000000-0005-0000-0000-0000C4630000}"/>
    <cellStyle name="Normal 3 23 4 2" xfId="13650" xr:uid="{00000000-0005-0000-0000-0000C5630000}"/>
    <cellStyle name="Normal 3 23 4 2 2" xfId="33570" xr:uid="{00000000-0005-0000-0000-0000C6630000}"/>
    <cellStyle name="Normal 3 23 4 3" xfId="19802" xr:uid="{00000000-0005-0000-0000-0000C7630000}"/>
    <cellStyle name="Normal 3 23 4 3 2" xfId="39722" xr:uid="{00000000-0005-0000-0000-0000C8630000}"/>
    <cellStyle name="Normal 3 23 4 4" xfId="27417" xr:uid="{00000000-0005-0000-0000-0000C9630000}"/>
    <cellStyle name="Normal 3 23 5" xfId="10584" xr:uid="{00000000-0005-0000-0000-0000CA630000}"/>
    <cellStyle name="Normal 3 23 5 2" xfId="30504" xr:uid="{00000000-0005-0000-0000-0000CB630000}"/>
    <cellStyle name="Normal 3 23 6" xfId="16736" xr:uid="{00000000-0005-0000-0000-0000CC630000}"/>
    <cellStyle name="Normal 3 23 6 2" xfId="36656" xr:uid="{00000000-0005-0000-0000-0000CD630000}"/>
    <cellStyle name="Normal 3 23 7" xfId="3620" xr:uid="{00000000-0005-0000-0000-0000CE630000}"/>
    <cellStyle name="Normal 3 23 7 2" xfId="24351" xr:uid="{00000000-0005-0000-0000-0000CF630000}"/>
    <cellStyle name="Normal 3 24" xfId="494" xr:uid="{00000000-0005-0000-0000-0000D0630000}"/>
    <cellStyle name="Normal 3 24 2" xfId="5050" xr:uid="{00000000-0005-0000-0000-0000D1630000}"/>
    <cellStyle name="Normal 3 24 2 2" xfId="6675" xr:uid="{00000000-0005-0000-0000-0000D2630000}"/>
    <cellStyle name="Normal 3 24 2 2 2" xfId="9761" xr:uid="{00000000-0005-0000-0000-0000D3630000}"/>
    <cellStyle name="Normal 3 24 2 2 2 2" xfId="15954" xr:uid="{00000000-0005-0000-0000-0000D4630000}"/>
    <cellStyle name="Normal 3 24 2 2 2 2 2" xfId="35874" xr:uid="{00000000-0005-0000-0000-0000D5630000}"/>
    <cellStyle name="Normal 3 24 2 2 2 3" xfId="22106" xr:uid="{00000000-0005-0000-0000-0000D6630000}"/>
    <cellStyle name="Normal 3 24 2 2 2 3 2" xfId="42026" xr:uid="{00000000-0005-0000-0000-0000D7630000}"/>
    <cellStyle name="Normal 3 24 2 2 2 4" xfId="29721" xr:uid="{00000000-0005-0000-0000-0000D8630000}"/>
    <cellStyle name="Normal 3 24 2 2 3" xfId="12888" xr:uid="{00000000-0005-0000-0000-0000D9630000}"/>
    <cellStyle name="Normal 3 24 2 2 3 2" xfId="32808" xr:uid="{00000000-0005-0000-0000-0000DA630000}"/>
    <cellStyle name="Normal 3 24 2 2 4" xfId="19040" xr:uid="{00000000-0005-0000-0000-0000DB630000}"/>
    <cellStyle name="Normal 3 24 2 2 4 2" xfId="38960" xr:uid="{00000000-0005-0000-0000-0000DC630000}"/>
    <cellStyle name="Normal 3 24 2 2 5" xfId="26655" xr:uid="{00000000-0005-0000-0000-0000DD630000}"/>
    <cellStyle name="Normal 3 24 2 3" xfId="8226" xr:uid="{00000000-0005-0000-0000-0000DE630000}"/>
    <cellStyle name="Normal 3 24 2 3 2" xfId="14420" xr:uid="{00000000-0005-0000-0000-0000DF630000}"/>
    <cellStyle name="Normal 3 24 2 3 2 2" xfId="34340" xr:uid="{00000000-0005-0000-0000-0000E0630000}"/>
    <cellStyle name="Normal 3 24 2 3 3" xfId="20572" xr:uid="{00000000-0005-0000-0000-0000E1630000}"/>
    <cellStyle name="Normal 3 24 2 3 3 2" xfId="40492" xr:uid="{00000000-0005-0000-0000-0000E2630000}"/>
    <cellStyle name="Normal 3 24 2 3 4" xfId="28187" xr:uid="{00000000-0005-0000-0000-0000E3630000}"/>
    <cellStyle name="Normal 3 24 2 4" xfId="11354" xr:uid="{00000000-0005-0000-0000-0000E4630000}"/>
    <cellStyle name="Normal 3 24 2 4 2" xfId="31274" xr:uid="{00000000-0005-0000-0000-0000E5630000}"/>
    <cellStyle name="Normal 3 24 2 5" xfId="17506" xr:uid="{00000000-0005-0000-0000-0000E6630000}"/>
    <cellStyle name="Normal 3 24 2 5 2" xfId="37426" xr:uid="{00000000-0005-0000-0000-0000E7630000}"/>
    <cellStyle name="Normal 3 24 2 6" xfId="25121" xr:uid="{00000000-0005-0000-0000-0000E8630000}"/>
    <cellStyle name="Normal 3 24 3" xfId="5892" xr:uid="{00000000-0005-0000-0000-0000E9630000}"/>
    <cellStyle name="Normal 3 24 3 2" xfId="8992" xr:uid="{00000000-0005-0000-0000-0000EA630000}"/>
    <cellStyle name="Normal 3 24 3 2 2" xfId="15185" xr:uid="{00000000-0005-0000-0000-0000EB630000}"/>
    <cellStyle name="Normal 3 24 3 2 2 2" xfId="35105" xr:uid="{00000000-0005-0000-0000-0000EC630000}"/>
    <cellStyle name="Normal 3 24 3 2 3" xfId="21337" xr:uid="{00000000-0005-0000-0000-0000ED630000}"/>
    <cellStyle name="Normal 3 24 3 2 3 2" xfId="41257" xr:uid="{00000000-0005-0000-0000-0000EE630000}"/>
    <cellStyle name="Normal 3 24 3 2 4" xfId="28952" xr:uid="{00000000-0005-0000-0000-0000EF630000}"/>
    <cellStyle name="Normal 3 24 3 3" xfId="12119" xr:uid="{00000000-0005-0000-0000-0000F0630000}"/>
    <cellStyle name="Normal 3 24 3 3 2" xfId="32039" xr:uid="{00000000-0005-0000-0000-0000F1630000}"/>
    <cellStyle name="Normal 3 24 3 4" xfId="18271" xr:uid="{00000000-0005-0000-0000-0000F2630000}"/>
    <cellStyle name="Normal 3 24 3 4 2" xfId="38191" xr:uid="{00000000-0005-0000-0000-0000F3630000}"/>
    <cellStyle name="Normal 3 24 3 5" xfId="25886" xr:uid="{00000000-0005-0000-0000-0000F4630000}"/>
    <cellStyle name="Normal 3 24 4" xfId="7457" xr:uid="{00000000-0005-0000-0000-0000F5630000}"/>
    <cellStyle name="Normal 3 24 4 2" xfId="13651" xr:uid="{00000000-0005-0000-0000-0000F6630000}"/>
    <cellStyle name="Normal 3 24 4 2 2" xfId="33571" xr:uid="{00000000-0005-0000-0000-0000F7630000}"/>
    <cellStyle name="Normal 3 24 4 3" xfId="19803" xr:uid="{00000000-0005-0000-0000-0000F8630000}"/>
    <cellStyle name="Normal 3 24 4 3 2" xfId="39723" xr:uid="{00000000-0005-0000-0000-0000F9630000}"/>
    <cellStyle name="Normal 3 24 4 4" xfId="27418" xr:uid="{00000000-0005-0000-0000-0000FA630000}"/>
    <cellStyle name="Normal 3 24 5" xfId="10585" xr:uid="{00000000-0005-0000-0000-0000FB630000}"/>
    <cellStyle name="Normal 3 24 5 2" xfId="30505" xr:uid="{00000000-0005-0000-0000-0000FC630000}"/>
    <cellStyle name="Normal 3 24 6" xfId="16737" xr:uid="{00000000-0005-0000-0000-0000FD630000}"/>
    <cellStyle name="Normal 3 24 6 2" xfId="36657" xr:uid="{00000000-0005-0000-0000-0000FE630000}"/>
    <cellStyle name="Normal 3 24 7" xfId="3621" xr:uid="{00000000-0005-0000-0000-0000FF630000}"/>
    <cellStyle name="Normal 3 24 7 2" xfId="24352" xr:uid="{00000000-0005-0000-0000-000000640000}"/>
    <cellStyle name="Normal 3 25" xfId="512" xr:uid="{00000000-0005-0000-0000-000001640000}"/>
    <cellStyle name="Normal 3 25 2" xfId="3622" xr:uid="{00000000-0005-0000-0000-000002640000}"/>
    <cellStyle name="Normal 3 26" xfId="476" xr:uid="{00000000-0005-0000-0000-000003640000}"/>
    <cellStyle name="Normal 3 26 2" xfId="3624" xr:uid="{00000000-0005-0000-0000-000004640000}"/>
    <cellStyle name="Normal 3 26 3" xfId="3625" xr:uid="{00000000-0005-0000-0000-000005640000}"/>
    <cellStyle name="Normal 3 26 4" xfId="3626" xr:uid="{00000000-0005-0000-0000-000006640000}"/>
    <cellStyle name="Normal 3 26 5" xfId="3623" xr:uid="{00000000-0005-0000-0000-000007640000}"/>
    <cellStyle name="Normal 3 27" xfId="554" xr:uid="{00000000-0005-0000-0000-000008640000}"/>
    <cellStyle name="Normal 3 27 2" xfId="3627" xr:uid="{00000000-0005-0000-0000-000009640000}"/>
    <cellStyle name="Normal 3 28" xfId="490" xr:uid="{00000000-0005-0000-0000-00000A640000}"/>
    <cellStyle name="Normal 3 28 2" xfId="4499" xr:uid="{00000000-0005-0000-0000-00000B640000}"/>
    <cellStyle name="Normal 3 29" xfId="556" xr:uid="{00000000-0005-0000-0000-00000C640000}"/>
    <cellStyle name="Normal 3 29 2" xfId="1207" xr:uid="{00000000-0005-0000-0000-00000D640000}"/>
    <cellStyle name="Normal 3 3" xfId="86" xr:uid="{00000000-0005-0000-0000-00000E640000}"/>
    <cellStyle name="Normal 3 3 10" xfId="3628" xr:uid="{00000000-0005-0000-0000-00000F640000}"/>
    <cellStyle name="Normal 3 3 10 2" xfId="24353" xr:uid="{00000000-0005-0000-0000-000010640000}"/>
    <cellStyle name="Normal 3 3 11" xfId="1048" xr:uid="{00000000-0005-0000-0000-000011640000}"/>
    <cellStyle name="Normal 3 3 12" xfId="22712" xr:uid="{00000000-0005-0000-0000-000012640000}"/>
    <cellStyle name="Normal 3 3 12 2" xfId="42623" xr:uid="{00000000-0005-0000-0000-000013640000}"/>
    <cellStyle name="Normal 3 3 13" xfId="23015" xr:uid="{00000000-0005-0000-0000-000014640000}"/>
    <cellStyle name="Normal 3 3 13 2" xfId="42926" xr:uid="{00000000-0005-0000-0000-000015640000}"/>
    <cellStyle name="Normal 3 3 14" xfId="23326" xr:uid="{00000000-0005-0000-0000-000016640000}"/>
    <cellStyle name="Normal 3 3 2" xfId="747" xr:uid="{00000000-0005-0000-0000-000017640000}"/>
    <cellStyle name="Normal 3 3 2 2" xfId="5052" xr:uid="{00000000-0005-0000-0000-000018640000}"/>
    <cellStyle name="Normal 3 3 2 2 2" xfId="6677" xr:uid="{00000000-0005-0000-0000-000019640000}"/>
    <cellStyle name="Normal 3 3 2 2 2 2" xfId="9763" xr:uid="{00000000-0005-0000-0000-00001A640000}"/>
    <cellStyle name="Normal 3 3 2 2 2 2 2" xfId="15956" xr:uid="{00000000-0005-0000-0000-00001B640000}"/>
    <cellStyle name="Normal 3 3 2 2 2 2 2 2" xfId="35876" xr:uid="{00000000-0005-0000-0000-00001C640000}"/>
    <cellStyle name="Normal 3 3 2 2 2 2 3" xfId="22108" xr:uid="{00000000-0005-0000-0000-00001D640000}"/>
    <cellStyle name="Normal 3 3 2 2 2 2 3 2" xfId="42028" xr:uid="{00000000-0005-0000-0000-00001E640000}"/>
    <cellStyle name="Normal 3 3 2 2 2 2 4" xfId="29723" xr:uid="{00000000-0005-0000-0000-00001F640000}"/>
    <cellStyle name="Normal 3 3 2 2 2 3" xfId="12890" xr:uid="{00000000-0005-0000-0000-000020640000}"/>
    <cellStyle name="Normal 3 3 2 2 2 3 2" xfId="32810" xr:uid="{00000000-0005-0000-0000-000021640000}"/>
    <cellStyle name="Normal 3 3 2 2 2 4" xfId="19042" xr:uid="{00000000-0005-0000-0000-000022640000}"/>
    <cellStyle name="Normal 3 3 2 2 2 4 2" xfId="38962" xr:uid="{00000000-0005-0000-0000-000023640000}"/>
    <cellStyle name="Normal 3 3 2 2 2 5" xfId="26657" xr:uid="{00000000-0005-0000-0000-000024640000}"/>
    <cellStyle name="Normal 3 3 2 2 3" xfId="8228" xr:uid="{00000000-0005-0000-0000-000025640000}"/>
    <cellStyle name="Normal 3 3 2 2 3 2" xfId="14422" xr:uid="{00000000-0005-0000-0000-000026640000}"/>
    <cellStyle name="Normal 3 3 2 2 3 2 2" xfId="34342" xr:uid="{00000000-0005-0000-0000-000027640000}"/>
    <cellStyle name="Normal 3 3 2 2 3 3" xfId="20574" xr:uid="{00000000-0005-0000-0000-000028640000}"/>
    <cellStyle name="Normal 3 3 2 2 3 3 2" xfId="40494" xr:uid="{00000000-0005-0000-0000-000029640000}"/>
    <cellStyle name="Normal 3 3 2 2 3 4" xfId="28189" xr:uid="{00000000-0005-0000-0000-00002A640000}"/>
    <cellStyle name="Normal 3 3 2 2 4" xfId="11356" xr:uid="{00000000-0005-0000-0000-00002B640000}"/>
    <cellStyle name="Normal 3 3 2 2 4 2" xfId="31276" xr:uid="{00000000-0005-0000-0000-00002C640000}"/>
    <cellStyle name="Normal 3 3 2 2 5" xfId="17508" xr:uid="{00000000-0005-0000-0000-00002D640000}"/>
    <cellStyle name="Normal 3 3 2 2 5 2" xfId="37428" xr:uid="{00000000-0005-0000-0000-00002E640000}"/>
    <cellStyle name="Normal 3 3 2 2 6" xfId="25123" xr:uid="{00000000-0005-0000-0000-00002F640000}"/>
    <cellStyle name="Normal 3 3 2 3" xfId="5894" xr:uid="{00000000-0005-0000-0000-000030640000}"/>
    <cellStyle name="Normal 3 3 2 3 2" xfId="8994" xr:uid="{00000000-0005-0000-0000-000031640000}"/>
    <cellStyle name="Normal 3 3 2 3 2 2" xfId="15187" xr:uid="{00000000-0005-0000-0000-000032640000}"/>
    <cellStyle name="Normal 3 3 2 3 2 2 2" xfId="35107" xr:uid="{00000000-0005-0000-0000-000033640000}"/>
    <cellStyle name="Normal 3 3 2 3 2 3" xfId="21339" xr:uid="{00000000-0005-0000-0000-000034640000}"/>
    <cellStyle name="Normal 3 3 2 3 2 3 2" xfId="41259" xr:uid="{00000000-0005-0000-0000-000035640000}"/>
    <cellStyle name="Normal 3 3 2 3 2 4" xfId="28954" xr:uid="{00000000-0005-0000-0000-000036640000}"/>
    <cellStyle name="Normal 3 3 2 3 3" xfId="12121" xr:uid="{00000000-0005-0000-0000-000037640000}"/>
    <cellStyle name="Normal 3 3 2 3 3 2" xfId="32041" xr:uid="{00000000-0005-0000-0000-000038640000}"/>
    <cellStyle name="Normal 3 3 2 3 4" xfId="18273" xr:uid="{00000000-0005-0000-0000-000039640000}"/>
    <cellStyle name="Normal 3 3 2 3 4 2" xfId="38193" xr:uid="{00000000-0005-0000-0000-00003A640000}"/>
    <cellStyle name="Normal 3 3 2 3 5" xfId="25888" xr:uid="{00000000-0005-0000-0000-00003B640000}"/>
    <cellStyle name="Normal 3 3 2 4" xfId="7459" xr:uid="{00000000-0005-0000-0000-00003C640000}"/>
    <cellStyle name="Normal 3 3 2 4 2" xfId="13653" xr:uid="{00000000-0005-0000-0000-00003D640000}"/>
    <cellStyle name="Normal 3 3 2 4 2 2" xfId="33573" xr:uid="{00000000-0005-0000-0000-00003E640000}"/>
    <cellStyle name="Normal 3 3 2 4 3" xfId="19805" xr:uid="{00000000-0005-0000-0000-00003F640000}"/>
    <cellStyle name="Normal 3 3 2 4 3 2" xfId="39725" xr:uid="{00000000-0005-0000-0000-000040640000}"/>
    <cellStyle name="Normal 3 3 2 4 4" xfId="27420" xr:uid="{00000000-0005-0000-0000-000041640000}"/>
    <cellStyle name="Normal 3 3 2 5" xfId="10587" xr:uid="{00000000-0005-0000-0000-000042640000}"/>
    <cellStyle name="Normal 3 3 2 5 2" xfId="30507" xr:uid="{00000000-0005-0000-0000-000043640000}"/>
    <cellStyle name="Normal 3 3 2 6" xfId="16739" xr:uid="{00000000-0005-0000-0000-000044640000}"/>
    <cellStyle name="Normal 3 3 2 6 2" xfId="36659" xr:uid="{00000000-0005-0000-0000-000045640000}"/>
    <cellStyle name="Normal 3 3 2 7" xfId="3629" xr:uid="{00000000-0005-0000-0000-000046640000}"/>
    <cellStyle name="Normal 3 3 2 7 2" xfId="24354" xr:uid="{00000000-0005-0000-0000-000047640000}"/>
    <cellStyle name="Normal 3 3 2 8" xfId="23629" xr:uid="{00000000-0005-0000-0000-000048640000}"/>
    <cellStyle name="Normal 3 3 3" xfId="3630" xr:uid="{00000000-0005-0000-0000-000049640000}"/>
    <cellStyle name="Normal 3 3 3 2" xfId="5053" xr:uid="{00000000-0005-0000-0000-00004A640000}"/>
    <cellStyle name="Normal 3 3 3 2 2" xfId="6678" xr:uid="{00000000-0005-0000-0000-00004B640000}"/>
    <cellStyle name="Normal 3 3 3 2 2 2" xfId="9764" xr:uid="{00000000-0005-0000-0000-00004C640000}"/>
    <cellStyle name="Normal 3 3 3 2 2 2 2" xfId="15957" xr:uid="{00000000-0005-0000-0000-00004D640000}"/>
    <cellStyle name="Normal 3 3 3 2 2 2 2 2" xfId="35877" xr:uid="{00000000-0005-0000-0000-00004E640000}"/>
    <cellStyle name="Normal 3 3 3 2 2 2 3" xfId="22109" xr:uid="{00000000-0005-0000-0000-00004F640000}"/>
    <cellStyle name="Normal 3 3 3 2 2 2 3 2" xfId="42029" xr:uid="{00000000-0005-0000-0000-000050640000}"/>
    <cellStyle name="Normal 3 3 3 2 2 2 4" xfId="29724" xr:uid="{00000000-0005-0000-0000-000051640000}"/>
    <cellStyle name="Normal 3 3 3 2 2 3" xfId="12891" xr:uid="{00000000-0005-0000-0000-000052640000}"/>
    <cellStyle name="Normal 3 3 3 2 2 3 2" xfId="32811" xr:uid="{00000000-0005-0000-0000-000053640000}"/>
    <cellStyle name="Normal 3 3 3 2 2 4" xfId="19043" xr:uid="{00000000-0005-0000-0000-000054640000}"/>
    <cellStyle name="Normal 3 3 3 2 2 4 2" xfId="38963" xr:uid="{00000000-0005-0000-0000-000055640000}"/>
    <cellStyle name="Normal 3 3 3 2 2 5" xfId="26658" xr:uid="{00000000-0005-0000-0000-000056640000}"/>
    <cellStyle name="Normal 3 3 3 2 3" xfId="8229" xr:uid="{00000000-0005-0000-0000-000057640000}"/>
    <cellStyle name="Normal 3 3 3 2 3 2" xfId="14423" xr:uid="{00000000-0005-0000-0000-000058640000}"/>
    <cellStyle name="Normal 3 3 3 2 3 2 2" xfId="34343" xr:uid="{00000000-0005-0000-0000-000059640000}"/>
    <cellStyle name="Normal 3 3 3 2 3 3" xfId="20575" xr:uid="{00000000-0005-0000-0000-00005A640000}"/>
    <cellStyle name="Normal 3 3 3 2 3 3 2" xfId="40495" xr:uid="{00000000-0005-0000-0000-00005B640000}"/>
    <cellStyle name="Normal 3 3 3 2 3 4" xfId="28190" xr:uid="{00000000-0005-0000-0000-00005C640000}"/>
    <cellStyle name="Normal 3 3 3 2 4" xfId="11357" xr:uid="{00000000-0005-0000-0000-00005D640000}"/>
    <cellStyle name="Normal 3 3 3 2 4 2" xfId="31277" xr:uid="{00000000-0005-0000-0000-00005E640000}"/>
    <cellStyle name="Normal 3 3 3 2 5" xfId="17509" xr:uid="{00000000-0005-0000-0000-00005F640000}"/>
    <cellStyle name="Normal 3 3 3 2 5 2" xfId="37429" xr:uid="{00000000-0005-0000-0000-000060640000}"/>
    <cellStyle name="Normal 3 3 3 2 6" xfId="25124" xr:uid="{00000000-0005-0000-0000-000061640000}"/>
    <cellStyle name="Normal 3 3 3 3" xfId="5895" xr:uid="{00000000-0005-0000-0000-000062640000}"/>
    <cellStyle name="Normal 3 3 3 3 2" xfId="8995" xr:uid="{00000000-0005-0000-0000-000063640000}"/>
    <cellStyle name="Normal 3 3 3 3 2 2" xfId="15188" xr:uid="{00000000-0005-0000-0000-000064640000}"/>
    <cellStyle name="Normal 3 3 3 3 2 2 2" xfId="35108" xr:uid="{00000000-0005-0000-0000-000065640000}"/>
    <cellStyle name="Normal 3 3 3 3 2 3" xfId="21340" xr:uid="{00000000-0005-0000-0000-000066640000}"/>
    <cellStyle name="Normal 3 3 3 3 2 3 2" xfId="41260" xr:uid="{00000000-0005-0000-0000-000067640000}"/>
    <cellStyle name="Normal 3 3 3 3 2 4" xfId="28955" xr:uid="{00000000-0005-0000-0000-000068640000}"/>
    <cellStyle name="Normal 3 3 3 3 3" xfId="12122" xr:uid="{00000000-0005-0000-0000-000069640000}"/>
    <cellStyle name="Normal 3 3 3 3 3 2" xfId="32042" xr:uid="{00000000-0005-0000-0000-00006A640000}"/>
    <cellStyle name="Normal 3 3 3 3 4" xfId="18274" xr:uid="{00000000-0005-0000-0000-00006B640000}"/>
    <cellStyle name="Normal 3 3 3 3 4 2" xfId="38194" xr:uid="{00000000-0005-0000-0000-00006C640000}"/>
    <cellStyle name="Normal 3 3 3 3 5" xfId="25889" xr:uid="{00000000-0005-0000-0000-00006D640000}"/>
    <cellStyle name="Normal 3 3 3 4" xfId="7460" xr:uid="{00000000-0005-0000-0000-00006E640000}"/>
    <cellStyle name="Normal 3 3 3 4 2" xfId="13654" xr:uid="{00000000-0005-0000-0000-00006F640000}"/>
    <cellStyle name="Normal 3 3 3 4 2 2" xfId="33574" xr:uid="{00000000-0005-0000-0000-000070640000}"/>
    <cellStyle name="Normal 3 3 3 4 3" xfId="19806" xr:uid="{00000000-0005-0000-0000-000071640000}"/>
    <cellStyle name="Normal 3 3 3 4 3 2" xfId="39726" xr:uid="{00000000-0005-0000-0000-000072640000}"/>
    <cellStyle name="Normal 3 3 3 4 4" xfId="27421" xr:uid="{00000000-0005-0000-0000-000073640000}"/>
    <cellStyle name="Normal 3 3 3 5" xfId="10588" xr:uid="{00000000-0005-0000-0000-000074640000}"/>
    <cellStyle name="Normal 3 3 3 5 2" xfId="30508" xr:uid="{00000000-0005-0000-0000-000075640000}"/>
    <cellStyle name="Normal 3 3 3 6" xfId="16740" xr:uid="{00000000-0005-0000-0000-000076640000}"/>
    <cellStyle name="Normal 3 3 3 6 2" xfId="36660" xr:uid="{00000000-0005-0000-0000-000077640000}"/>
    <cellStyle name="Normal 3 3 3 7" xfId="24355" xr:uid="{00000000-0005-0000-0000-000078640000}"/>
    <cellStyle name="Normal 3 3 4" xfId="3631" xr:uid="{00000000-0005-0000-0000-000079640000}"/>
    <cellStyle name="Normal 3 3 5" xfId="5051" xr:uid="{00000000-0005-0000-0000-00007A640000}"/>
    <cellStyle name="Normal 3 3 5 2" xfId="6676" xr:uid="{00000000-0005-0000-0000-00007B640000}"/>
    <cellStyle name="Normal 3 3 5 2 2" xfId="9762" xr:uid="{00000000-0005-0000-0000-00007C640000}"/>
    <cellStyle name="Normal 3 3 5 2 2 2" xfId="15955" xr:uid="{00000000-0005-0000-0000-00007D640000}"/>
    <cellStyle name="Normal 3 3 5 2 2 2 2" xfId="35875" xr:uid="{00000000-0005-0000-0000-00007E640000}"/>
    <cellStyle name="Normal 3 3 5 2 2 3" xfId="22107" xr:uid="{00000000-0005-0000-0000-00007F640000}"/>
    <cellStyle name="Normal 3 3 5 2 2 3 2" xfId="42027" xr:uid="{00000000-0005-0000-0000-000080640000}"/>
    <cellStyle name="Normal 3 3 5 2 2 4" xfId="29722" xr:uid="{00000000-0005-0000-0000-000081640000}"/>
    <cellStyle name="Normal 3 3 5 2 3" xfId="12889" xr:uid="{00000000-0005-0000-0000-000082640000}"/>
    <cellStyle name="Normal 3 3 5 2 3 2" xfId="32809" xr:uid="{00000000-0005-0000-0000-000083640000}"/>
    <cellStyle name="Normal 3 3 5 2 4" xfId="19041" xr:uid="{00000000-0005-0000-0000-000084640000}"/>
    <cellStyle name="Normal 3 3 5 2 4 2" xfId="38961" xr:uid="{00000000-0005-0000-0000-000085640000}"/>
    <cellStyle name="Normal 3 3 5 2 5" xfId="26656" xr:uid="{00000000-0005-0000-0000-000086640000}"/>
    <cellStyle name="Normal 3 3 5 3" xfId="8227" xr:uid="{00000000-0005-0000-0000-000087640000}"/>
    <cellStyle name="Normal 3 3 5 3 2" xfId="14421" xr:uid="{00000000-0005-0000-0000-000088640000}"/>
    <cellStyle name="Normal 3 3 5 3 2 2" xfId="34341" xr:uid="{00000000-0005-0000-0000-000089640000}"/>
    <cellStyle name="Normal 3 3 5 3 3" xfId="20573" xr:uid="{00000000-0005-0000-0000-00008A640000}"/>
    <cellStyle name="Normal 3 3 5 3 3 2" xfId="40493" xr:uid="{00000000-0005-0000-0000-00008B640000}"/>
    <cellStyle name="Normal 3 3 5 3 4" xfId="28188" xr:uid="{00000000-0005-0000-0000-00008C640000}"/>
    <cellStyle name="Normal 3 3 5 4" xfId="11355" xr:uid="{00000000-0005-0000-0000-00008D640000}"/>
    <cellStyle name="Normal 3 3 5 4 2" xfId="31275" xr:uid="{00000000-0005-0000-0000-00008E640000}"/>
    <cellStyle name="Normal 3 3 5 5" xfId="17507" xr:uid="{00000000-0005-0000-0000-00008F640000}"/>
    <cellStyle name="Normal 3 3 5 5 2" xfId="37427" xr:uid="{00000000-0005-0000-0000-000090640000}"/>
    <cellStyle name="Normal 3 3 5 6" xfId="25122" xr:uid="{00000000-0005-0000-0000-000091640000}"/>
    <cellStyle name="Normal 3 3 6" xfId="5893" xr:uid="{00000000-0005-0000-0000-000092640000}"/>
    <cellStyle name="Normal 3 3 6 2" xfId="8993" xr:uid="{00000000-0005-0000-0000-000093640000}"/>
    <cellStyle name="Normal 3 3 6 2 2" xfId="15186" xr:uid="{00000000-0005-0000-0000-000094640000}"/>
    <cellStyle name="Normal 3 3 6 2 2 2" xfId="35106" xr:uid="{00000000-0005-0000-0000-000095640000}"/>
    <cellStyle name="Normal 3 3 6 2 3" xfId="21338" xr:uid="{00000000-0005-0000-0000-000096640000}"/>
    <cellStyle name="Normal 3 3 6 2 3 2" xfId="41258" xr:uid="{00000000-0005-0000-0000-000097640000}"/>
    <cellStyle name="Normal 3 3 6 2 4" xfId="28953" xr:uid="{00000000-0005-0000-0000-000098640000}"/>
    <cellStyle name="Normal 3 3 6 3" xfId="12120" xr:uid="{00000000-0005-0000-0000-000099640000}"/>
    <cellStyle name="Normal 3 3 6 3 2" xfId="32040" xr:uid="{00000000-0005-0000-0000-00009A640000}"/>
    <cellStyle name="Normal 3 3 6 4" xfId="18272" xr:uid="{00000000-0005-0000-0000-00009B640000}"/>
    <cellStyle name="Normal 3 3 6 4 2" xfId="38192" xr:uid="{00000000-0005-0000-0000-00009C640000}"/>
    <cellStyle name="Normal 3 3 6 5" xfId="25887" xr:uid="{00000000-0005-0000-0000-00009D640000}"/>
    <cellStyle name="Normal 3 3 7" xfId="7458" xr:uid="{00000000-0005-0000-0000-00009E640000}"/>
    <cellStyle name="Normal 3 3 7 2" xfId="13652" xr:uid="{00000000-0005-0000-0000-00009F640000}"/>
    <cellStyle name="Normal 3 3 7 2 2" xfId="33572" xr:uid="{00000000-0005-0000-0000-0000A0640000}"/>
    <cellStyle name="Normal 3 3 7 3" xfId="19804" xr:uid="{00000000-0005-0000-0000-0000A1640000}"/>
    <cellStyle name="Normal 3 3 7 3 2" xfId="39724" xr:uid="{00000000-0005-0000-0000-0000A2640000}"/>
    <cellStyle name="Normal 3 3 7 4" xfId="27419" xr:uid="{00000000-0005-0000-0000-0000A3640000}"/>
    <cellStyle name="Normal 3 3 8" xfId="10586" xr:uid="{00000000-0005-0000-0000-0000A4640000}"/>
    <cellStyle name="Normal 3 3 8 2" xfId="30506" xr:uid="{00000000-0005-0000-0000-0000A5640000}"/>
    <cellStyle name="Normal 3 3 9" xfId="16738" xr:uid="{00000000-0005-0000-0000-0000A6640000}"/>
    <cellStyle name="Normal 3 3 9 2" xfId="36658" xr:uid="{00000000-0005-0000-0000-0000A7640000}"/>
    <cellStyle name="Normal 3 30" xfId="575" xr:uid="{00000000-0005-0000-0000-0000A8640000}"/>
    <cellStyle name="Normal 3 30 2" xfId="10115" xr:uid="{00000000-0005-0000-0000-0000A9640000}"/>
    <cellStyle name="Normal 3 31" xfId="607" xr:uid="{00000000-0005-0000-0000-0000AA640000}"/>
    <cellStyle name="Normal 3 4" xfId="99" xr:uid="{00000000-0005-0000-0000-0000AB640000}"/>
    <cellStyle name="Normal 3 4 2" xfId="3633" xr:uid="{00000000-0005-0000-0000-0000AC640000}"/>
    <cellStyle name="Normal 3 4 2 2" xfId="5055" xr:uid="{00000000-0005-0000-0000-0000AD640000}"/>
    <cellStyle name="Normal 3 4 2 2 2" xfId="6680" xr:uid="{00000000-0005-0000-0000-0000AE640000}"/>
    <cellStyle name="Normal 3 4 2 2 2 2" xfId="9766" xr:uid="{00000000-0005-0000-0000-0000AF640000}"/>
    <cellStyle name="Normal 3 4 2 2 2 2 2" xfId="15959" xr:uid="{00000000-0005-0000-0000-0000B0640000}"/>
    <cellStyle name="Normal 3 4 2 2 2 2 2 2" xfId="35879" xr:uid="{00000000-0005-0000-0000-0000B1640000}"/>
    <cellStyle name="Normal 3 4 2 2 2 2 3" xfId="22111" xr:uid="{00000000-0005-0000-0000-0000B2640000}"/>
    <cellStyle name="Normal 3 4 2 2 2 2 3 2" xfId="42031" xr:uid="{00000000-0005-0000-0000-0000B3640000}"/>
    <cellStyle name="Normal 3 4 2 2 2 2 4" xfId="29726" xr:uid="{00000000-0005-0000-0000-0000B4640000}"/>
    <cellStyle name="Normal 3 4 2 2 2 3" xfId="12893" xr:uid="{00000000-0005-0000-0000-0000B5640000}"/>
    <cellStyle name="Normal 3 4 2 2 2 3 2" xfId="32813" xr:uid="{00000000-0005-0000-0000-0000B6640000}"/>
    <cellStyle name="Normal 3 4 2 2 2 4" xfId="19045" xr:uid="{00000000-0005-0000-0000-0000B7640000}"/>
    <cellStyle name="Normal 3 4 2 2 2 4 2" xfId="38965" xr:uid="{00000000-0005-0000-0000-0000B8640000}"/>
    <cellStyle name="Normal 3 4 2 2 2 5" xfId="26660" xr:uid="{00000000-0005-0000-0000-0000B9640000}"/>
    <cellStyle name="Normal 3 4 2 2 3" xfId="8231" xr:uid="{00000000-0005-0000-0000-0000BA640000}"/>
    <cellStyle name="Normal 3 4 2 2 3 2" xfId="14425" xr:uid="{00000000-0005-0000-0000-0000BB640000}"/>
    <cellStyle name="Normal 3 4 2 2 3 2 2" xfId="34345" xr:uid="{00000000-0005-0000-0000-0000BC640000}"/>
    <cellStyle name="Normal 3 4 2 2 3 3" xfId="20577" xr:uid="{00000000-0005-0000-0000-0000BD640000}"/>
    <cellStyle name="Normal 3 4 2 2 3 3 2" xfId="40497" xr:uid="{00000000-0005-0000-0000-0000BE640000}"/>
    <cellStyle name="Normal 3 4 2 2 3 4" xfId="28192" xr:uid="{00000000-0005-0000-0000-0000BF640000}"/>
    <cellStyle name="Normal 3 4 2 2 4" xfId="11359" xr:uid="{00000000-0005-0000-0000-0000C0640000}"/>
    <cellStyle name="Normal 3 4 2 2 4 2" xfId="31279" xr:uid="{00000000-0005-0000-0000-0000C1640000}"/>
    <cellStyle name="Normal 3 4 2 2 5" xfId="17511" xr:uid="{00000000-0005-0000-0000-0000C2640000}"/>
    <cellStyle name="Normal 3 4 2 2 5 2" xfId="37431" xr:uid="{00000000-0005-0000-0000-0000C3640000}"/>
    <cellStyle name="Normal 3 4 2 2 6" xfId="25126" xr:uid="{00000000-0005-0000-0000-0000C4640000}"/>
    <cellStyle name="Normal 3 4 2 3" xfId="5897" xr:uid="{00000000-0005-0000-0000-0000C5640000}"/>
    <cellStyle name="Normal 3 4 2 3 2" xfId="8997" xr:uid="{00000000-0005-0000-0000-0000C6640000}"/>
    <cellStyle name="Normal 3 4 2 3 2 2" xfId="15190" xr:uid="{00000000-0005-0000-0000-0000C7640000}"/>
    <cellStyle name="Normal 3 4 2 3 2 2 2" xfId="35110" xr:uid="{00000000-0005-0000-0000-0000C8640000}"/>
    <cellStyle name="Normal 3 4 2 3 2 3" xfId="21342" xr:uid="{00000000-0005-0000-0000-0000C9640000}"/>
    <cellStyle name="Normal 3 4 2 3 2 3 2" xfId="41262" xr:uid="{00000000-0005-0000-0000-0000CA640000}"/>
    <cellStyle name="Normal 3 4 2 3 2 4" xfId="28957" xr:uid="{00000000-0005-0000-0000-0000CB640000}"/>
    <cellStyle name="Normal 3 4 2 3 3" xfId="12124" xr:uid="{00000000-0005-0000-0000-0000CC640000}"/>
    <cellStyle name="Normal 3 4 2 3 3 2" xfId="32044" xr:uid="{00000000-0005-0000-0000-0000CD640000}"/>
    <cellStyle name="Normal 3 4 2 3 4" xfId="18276" xr:uid="{00000000-0005-0000-0000-0000CE640000}"/>
    <cellStyle name="Normal 3 4 2 3 4 2" xfId="38196" xr:uid="{00000000-0005-0000-0000-0000CF640000}"/>
    <cellStyle name="Normal 3 4 2 3 5" xfId="25891" xr:uid="{00000000-0005-0000-0000-0000D0640000}"/>
    <cellStyle name="Normal 3 4 2 4" xfId="7462" xr:uid="{00000000-0005-0000-0000-0000D1640000}"/>
    <cellStyle name="Normal 3 4 2 4 2" xfId="13656" xr:uid="{00000000-0005-0000-0000-0000D2640000}"/>
    <cellStyle name="Normal 3 4 2 4 2 2" xfId="33576" xr:uid="{00000000-0005-0000-0000-0000D3640000}"/>
    <cellStyle name="Normal 3 4 2 4 3" xfId="19808" xr:uid="{00000000-0005-0000-0000-0000D4640000}"/>
    <cellStyle name="Normal 3 4 2 4 3 2" xfId="39728" xr:uid="{00000000-0005-0000-0000-0000D5640000}"/>
    <cellStyle name="Normal 3 4 2 4 4" xfId="27423" xr:uid="{00000000-0005-0000-0000-0000D6640000}"/>
    <cellStyle name="Normal 3 4 2 5" xfId="10590" xr:uid="{00000000-0005-0000-0000-0000D7640000}"/>
    <cellStyle name="Normal 3 4 2 5 2" xfId="30510" xr:uid="{00000000-0005-0000-0000-0000D8640000}"/>
    <cellStyle name="Normal 3 4 2 6" xfId="16742" xr:uid="{00000000-0005-0000-0000-0000D9640000}"/>
    <cellStyle name="Normal 3 4 2 6 2" xfId="36662" xr:uid="{00000000-0005-0000-0000-0000DA640000}"/>
    <cellStyle name="Normal 3 4 2 7" xfId="24357" xr:uid="{00000000-0005-0000-0000-0000DB640000}"/>
    <cellStyle name="Normal 3 4 3" xfId="5054" xr:uid="{00000000-0005-0000-0000-0000DC640000}"/>
    <cellStyle name="Normal 3 4 3 2" xfId="6679" xr:uid="{00000000-0005-0000-0000-0000DD640000}"/>
    <cellStyle name="Normal 3 4 3 2 2" xfId="9765" xr:uid="{00000000-0005-0000-0000-0000DE640000}"/>
    <cellStyle name="Normal 3 4 3 2 2 2" xfId="15958" xr:uid="{00000000-0005-0000-0000-0000DF640000}"/>
    <cellStyle name="Normal 3 4 3 2 2 2 2" xfId="35878" xr:uid="{00000000-0005-0000-0000-0000E0640000}"/>
    <cellStyle name="Normal 3 4 3 2 2 3" xfId="22110" xr:uid="{00000000-0005-0000-0000-0000E1640000}"/>
    <cellStyle name="Normal 3 4 3 2 2 3 2" xfId="42030" xr:uid="{00000000-0005-0000-0000-0000E2640000}"/>
    <cellStyle name="Normal 3 4 3 2 2 4" xfId="29725" xr:uid="{00000000-0005-0000-0000-0000E3640000}"/>
    <cellStyle name="Normal 3 4 3 2 3" xfId="12892" xr:uid="{00000000-0005-0000-0000-0000E4640000}"/>
    <cellStyle name="Normal 3 4 3 2 3 2" xfId="32812" xr:uid="{00000000-0005-0000-0000-0000E5640000}"/>
    <cellStyle name="Normal 3 4 3 2 4" xfId="19044" xr:uid="{00000000-0005-0000-0000-0000E6640000}"/>
    <cellStyle name="Normal 3 4 3 2 4 2" xfId="38964" xr:uid="{00000000-0005-0000-0000-0000E7640000}"/>
    <cellStyle name="Normal 3 4 3 2 5" xfId="26659" xr:uid="{00000000-0005-0000-0000-0000E8640000}"/>
    <cellStyle name="Normal 3 4 3 3" xfId="8230" xr:uid="{00000000-0005-0000-0000-0000E9640000}"/>
    <cellStyle name="Normal 3 4 3 3 2" xfId="14424" xr:uid="{00000000-0005-0000-0000-0000EA640000}"/>
    <cellStyle name="Normal 3 4 3 3 2 2" xfId="34344" xr:uid="{00000000-0005-0000-0000-0000EB640000}"/>
    <cellStyle name="Normal 3 4 3 3 3" xfId="20576" xr:uid="{00000000-0005-0000-0000-0000EC640000}"/>
    <cellStyle name="Normal 3 4 3 3 3 2" xfId="40496" xr:uid="{00000000-0005-0000-0000-0000ED640000}"/>
    <cellStyle name="Normal 3 4 3 3 4" xfId="28191" xr:uid="{00000000-0005-0000-0000-0000EE640000}"/>
    <cellStyle name="Normal 3 4 3 4" xfId="11358" xr:uid="{00000000-0005-0000-0000-0000EF640000}"/>
    <cellStyle name="Normal 3 4 3 4 2" xfId="31278" xr:uid="{00000000-0005-0000-0000-0000F0640000}"/>
    <cellStyle name="Normal 3 4 3 5" xfId="17510" xr:uid="{00000000-0005-0000-0000-0000F1640000}"/>
    <cellStyle name="Normal 3 4 3 5 2" xfId="37430" xr:uid="{00000000-0005-0000-0000-0000F2640000}"/>
    <cellStyle name="Normal 3 4 3 6" xfId="25125" xr:uid="{00000000-0005-0000-0000-0000F3640000}"/>
    <cellStyle name="Normal 3 4 4" xfId="5896" xr:uid="{00000000-0005-0000-0000-0000F4640000}"/>
    <cellStyle name="Normal 3 4 4 2" xfId="8996" xr:uid="{00000000-0005-0000-0000-0000F5640000}"/>
    <cellStyle name="Normal 3 4 4 2 2" xfId="15189" xr:uid="{00000000-0005-0000-0000-0000F6640000}"/>
    <cellStyle name="Normal 3 4 4 2 2 2" xfId="35109" xr:uid="{00000000-0005-0000-0000-0000F7640000}"/>
    <cellStyle name="Normal 3 4 4 2 3" xfId="21341" xr:uid="{00000000-0005-0000-0000-0000F8640000}"/>
    <cellStyle name="Normal 3 4 4 2 3 2" xfId="41261" xr:uid="{00000000-0005-0000-0000-0000F9640000}"/>
    <cellStyle name="Normal 3 4 4 2 4" xfId="28956" xr:uid="{00000000-0005-0000-0000-0000FA640000}"/>
    <cellStyle name="Normal 3 4 4 3" xfId="12123" xr:uid="{00000000-0005-0000-0000-0000FB640000}"/>
    <cellStyle name="Normal 3 4 4 3 2" xfId="32043" xr:uid="{00000000-0005-0000-0000-0000FC640000}"/>
    <cellStyle name="Normal 3 4 4 4" xfId="18275" xr:uid="{00000000-0005-0000-0000-0000FD640000}"/>
    <cellStyle name="Normal 3 4 4 4 2" xfId="38195" xr:uid="{00000000-0005-0000-0000-0000FE640000}"/>
    <cellStyle name="Normal 3 4 4 5" xfId="25890" xr:uid="{00000000-0005-0000-0000-0000FF640000}"/>
    <cellStyle name="Normal 3 4 5" xfId="7461" xr:uid="{00000000-0005-0000-0000-000000650000}"/>
    <cellStyle name="Normal 3 4 5 2" xfId="13655" xr:uid="{00000000-0005-0000-0000-000001650000}"/>
    <cellStyle name="Normal 3 4 5 2 2" xfId="33575" xr:uid="{00000000-0005-0000-0000-000002650000}"/>
    <cellStyle name="Normal 3 4 5 3" xfId="19807" xr:uid="{00000000-0005-0000-0000-000003650000}"/>
    <cellStyle name="Normal 3 4 5 3 2" xfId="39727" xr:uid="{00000000-0005-0000-0000-000004650000}"/>
    <cellStyle name="Normal 3 4 5 4" xfId="27422" xr:uid="{00000000-0005-0000-0000-000005650000}"/>
    <cellStyle name="Normal 3 4 6" xfId="10589" xr:uid="{00000000-0005-0000-0000-000006650000}"/>
    <cellStyle name="Normal 3 4 6 2" xfId="30509" xr:uid="{00000000-0005-0000-0000-000007650000}"/>
    <cellStyle name="Normal 3 4 7" xfId="16741" xr:uid="{00000000-0005-0000-0000-000008650000}"/>
    <cellStyle name="Normal 3 4 7 2" xfId="36661" xr:uid="{00000000-0005-0000-0000-000009650000}"/>
    <cellStyle name="Normal 3 4 8" xfId="3632" xr:uid="{00000000-0005-0000-0000-00000A650000}"/>
    <cellStyle name="Normal 3 4 8 2" xfId="24356" xr:uid="{00000000-0005-0000-0000-00000B650000}"/>
    <cellStyle name="Normal 3 5" xfId="122" xr:uid="{00000000-0005-0000-0000-00000C650000}"/>
    <cellStyle name="Normal 3 5 2" xfId="3635" xr:uid="{00000000-0005-0000-0000-00000D650000}"/>
    <cellStyle name="Normal 3 5 2 2" xfId="5057" xr:uid="{00000000-0005-0000-0000-00000E650000}"/>
    <cellStyle name="Normal 3 5 2 2 2" xfId="6682" xr:uid="{00000000-0005-0000-0000-00000F650000}"/>
    <cellStyle name="Normal 3 5 2 2 2 2" xfId="9768" xr:uid="{00000000-0005-0000-0000-000010650000}"/>
    <cellStyle name="Normal 3 5 2 2 2 2 2" xfId="15961" xr:uid="{00000000-0005-0000-0000-000011650000}"/>
    <cellStyle name="Normal 3 5 2 2 2 2 2 2" xfId="35881" xr:uid="{00000000-0005-0000-0000-000012650000}"/>
    <cellStyle name="Normal 3 5 2 2 2 2 3" xfId="22113" xr:uid="{00000000-0005-0000-0000-000013650000}"/>
    <cellStyle name="Normal 3 5 2 2 2 2 3 2" xfId="42033" xr:uid="{00000000-0005-0000-0000-000014650000}"/>
    <cellStyle name="Normal 3 5 2 2 2 2 4" xfId="29728" xr:uid="{00000000-0005-0000-0000-000015650000}"/>
    <cellStyle name="Normal 3 5 2 2 2 3" xfId="12895" xr:uid="{00000000-0005-0000-0000-000016650000}"/>
    <cellStyle name="Normal 3 5 2 2 2 3 2" xfId="32815" xr:uid="{00000000-0005-0000-0000-000017650000}"/>
    <cellStyle name="Normal 3 5 2 2 2 4" xfId="19047" xr:uid="{00000000-0005-0000-0000-000018650000}"/>
    <cellStyle name="Normal 3 5 2 2 2 4 2" xfId="38967" xr:uid="{00000000-0005-0000-0000-000019650000}"/>
    <cellStyle name="Normal 3 5 2 2 2 5" xfId="26662" xr:uid="{00000000-0005-0000-0000-00001A650000}"/>
    <cellStyle name="Normal 3 5 2 2 3" xfId="8233" xr:uid="{00000000-0005-0000-0000-00001B650000}"/>
    <cellStyle name="Normal 3 5 2 2 3 2" xfId="14427" xr:uid="{00000000-0005-0000-0000-00001C650000}"/>
    <cellStyle name="Normal 3 5 2 2 3 2 2" xfId="34347" xr:uid="{00000000-0005-0000-0000-00001D650000}"/>
    <cellStyle name="Normal 3 5 2 2 3 3" xfId="20579" xr:uid="{00000000-0005-0000-0000-00001E650000}"/>
    <cellStyle name="Normal 3 5 2 2 3 3 2" xfId="40499" xr:uid="{00000000-0005-0000-0000-00001F650000}"/>
    <cellStyle name="Normal 3 5 2 2 3 4" xfId="28194" xr:uid="{00000000-0005-0000-0000-000020650000}"/>
    <cellStyle name="Normal 3 5 2 2 4" xfId="11361" xr:uid="{00000000-0005-0000-0000-000021650000}"/>
    <cellStyle name="Normal 3 5 2 2 4 2" xfId="31281" xr:uid="{00000000-0005-0000-0000-000022650000}"/>
    <cellStyle name="Normal 3 5 2 2 5" xfId="17513" xr:uid="{00000000-0005-0000-0000-000023650000}"/>
    <cellStyle name="Normal 3 5 2 2 5 2" xfId="37433" xr:uid="{00000000-0005-0000-0000-000024650000}"/>
    <cellStyle name="Normal 3 5 2 2 6" xfId="25128" xr:uid="{00000000-0005-0000-0000-000025650000}"/>
    <cellStyle name="Normal 3 5 2 3" xfId="5899" xr:uid="{00000000-0005-0000-0000-000026650000}"/>
    <cellStyle name="Normal 3 5 2 3 2" xfId="8999" xr:uid="{00000000-0005-0000-0000-000027650000}"/>
    <cellStyle name="Normal 3 5 2 3 2 2" xfId="15192" xr:uid="{00000000-0005-0000-0000-000028650000}"/>
    <cellStyle name="Normal 3 5 2 3 2 2 2" xfId="35112" xr:uid="{00000000-0005-0000-0000-000029650000}"/>
    <cellStyle name="Normal 3 5 2 3 2 3" xfId="21344" xr:uid="{00000000-0005-0000-0000-00002A650000}"/>
    <cellStyle name="Normal 3 5 2 3 2 3 2" xfId="41264" xr:uid="{00000000-0005-0000-0000-00002B650000}"/>
    <cellStyle name="Normal 3 5 2 3 2 4" xfId="28959" xr:uid="{00000000-0005-0000-0000-00002C650000}"/>
    <cellStyle name="Normal 3 5 2 3 3" xfId="12126" xr:uid="{00000000-0005-0000-0000-00002D650000}"/>
    <cellStyle name="Normal 3 5 2 3 3 2" xfId="32046" xr:uid="{00000000-0005-0000-0000-00002E650000}"/>
    <cellStyle name="Normal 3 5 2 3 4" xfId="18278" xr:uid="{00000000-0005-0000-0000-00002F650000}"/>
    <cellStyle name="Normal 3 5 2 3 4 2" xfId="38198" xr:uid="{00000000-0005-0000-0000-000030650000}"/>
    <cellStyle name="Normal 3 5 2 3 5" xfId="25893" xr:uid="{00000000-0005-0000-0000-000031650000}"/>
    <cellStyle name="Normal 3 5 2 4" xfId="7464" xr:uid="{00000000-0005-0000-0000-000032650000}"/>
    <cellStyle name="Normal 3 5 2 4 2" xfId="13658" xr:uid="{00000000-0005-0000-0000-000033650000}"/>
    <cellStyle name="Normal 3 5 2 4 2 2" xfId="33578" xr:uid="{00000000-0005-0000-0000-000034650000}"/>
    <cellStyle name="Normal 3 5 2 4 3" xfId="19810" xr:uid="{00000000-0005-0000-0000-000035650000}"/>
    <cellStyle name="Normal 3 5 2 4 3 2" xfId="39730" xr:uid="{00000000-0005-0000-0000-000036650000}"/>
    <cellStyle name="Normal 3 5 2 4 4" xfId="27425" xr:uid="{00000000-0005-0000-0000-000037650000}"/>
    <cellStyle name="Normal 3 5 2 5" xfId="10592" xr:uid="{00000000-0005-0000-0000-000038650000}"/>
    <cellStyle name="Normal 3 5 2 5 2" xfId="30512" xr:uid="{00000000-0005-0000-0000-000039650000}"/>
    <cellStyle name="Normal 3 5 2 6" xfId="16744" xr:uid="{00000000-0005-0000-0000-00003A650000}"/>
    <cellStyle name="Normal 3 5 2 6 2" xfId="36664" xr:uid="{00000000-0005-0000-0000-00003B650000}"/>
    <cellStyle name="Normal 3 5 2 7" xfId="24359" xr:uid="{00000000-0005-0000-0000-00003C650000}"/>
    <cellStyle name="Normal 3 5 3" xfId="5056" xr:uid="{00000000-0005-0000-0000-00003D650000}"/>
    <cellStyle name="Normal 3 5 3 2" xfId="6681" xr:uid="{00000000-0005-0000-0000-00003E650000}"/>
    <cellStyle name="Normal 3 5 3 2 2" xfId="9767" xr:uid="{00000000-0005-0000-0000-00003F650000}"/>
    <cellStyle name="Normal 3 5 3 2 2 2" xfId="15960" xr:uid="{00000000-0005-0000-0000-000040650000}"/>
    <cellStyle name="Normal 3 5 3 2 2 2 2" xfId="35880" xr:uid="{00000000-0005-0000-0000-000041650000}"/>
    <cellStyle name="Normal 3 5 3 2 2 3" xfId="22112" xr:uid="{00000000-0005-0000-0000-000042650000}"/>
    <cellStyle name="Normal 3 5 3 2 2 3 2" xfId="42032" xr:uid="{00000000-0005-0000-0000-000043650000}"/>
    <cellStyle name="Normal 3 5 3 2 2 4" xfId="29727" xr:uid="{00000000-0005-0000-0000-000044650000}"/>
    <cellStyle name="Normal 3 5 3 2 3" xfId="12894" xr:uid="{00000000-0005-0000-0000-000045650000}"/>
    <cellStyle name="Normal 3 5 3 2 3 2" xfId="32814" xr:uid="{00000000-0005-0000-0000-000046650000}"/>
    <cellStyle name="Normal 3 5 3 2 4" xfId="19046" xr:uid="{00000000-0005-0000-0000-000047650000}"/>
    <cellStyle name="Normal 3 5 3 2 4 2" xfId="38966" xr:uid="{00000000-0005-0000-0000-000048650000}"/>
    <cellStyle name="Normal 3 5 3 2 5" xfId="26661" xr:uid="{00000000-0005-0000-0000-000049650000}"/>
    <cellStyle name="Normal 3 5 3 3" xfId="8232" xr:uid="{00000000-0005-0000-0000-00004A650000}"/>
    <cellStyle name="Normal 3 5 3 3 2" xfId="14426" xr:uid="{00000000-0005-0000-0000-00004B650000}"/>
    <cellStyle name="Normal 3 5 3 3 2 2" xfId="34346" xr:uid="{00000000-0005-0000-0000-00004C650000}"/>
    <cellStyle name="Normal 3 5 3 3 3" xfId="20578" xr:uid="{00000000-0005-0000-0000-00004D650000}"/>
    <cellStyle name="Normal 3 5 3 3 3 2" xfId="40498" xr:uid="{00000000-0005-0000-0000-00004E650000}"/>
    <cellStyle name="Normal 3 5 3 3 4" xfId="28193" xr:uid="{00000000-0005-0000-0000-00004F650000}"/>
    <cellStyle name="Normal 3 5 3 4" xfId="11360" xr:uid="{00000000-0005-0000-0000-000050650000}"/>
    <cellStyle name="Normal 3 5 3 4 2" xfId="31280" xr:uid="{00000000-0005-0000-0000-000051650000}"/>
    <cellStyle name="Normal 3 5 3 5" xfId="17512" xr:uid="{00000000-0005-0000-0000-000052650000}"/>
    <cellStyle name="Normal 3 5 3 5 2" xfId="37432" xr:uid="{00000000-0005-0000-0000-000053650000}"/>
    <cellStyle name="Normal 3 5 3 6" xfId="25127" xr:uid="{00000000-0005-0000-0000-000054650000}"/>
    <cellStyle name="Normal 3 5 4" xfId="5898" xr:uid="{00000000-0005-0000-0000-000055650000}"/>
    <cellStyle name="Normal 3 5 4 2" xfId="8998" xr:uid="{00000000-0005-0000-0000-000056650000}"/>
    <cellStyle name="Normal 3 5 4 2 2" xfId="15191" xr:uid="{00000000-0005-0000-0000-000057650000}"/>
    <cellStyle name="Normal 3 5 4 2 2 2" xfId="35111" xr:uid="{00000000-0005-0000-0000-000058650000}"/>
    <cellStyle name="Normal 3 5 4 2 3" xfId="21343" xr:uid="{00000000-0005-0000-0000-000059650000}"/>
    <cellStyle name="Normal 3 5 4 2 3 2" xfId="41263" xr:uid="{00000000-0005-0000-0000-00005A650000}"/>
    <cellStyle name="Normal 3 5 4 2 4" xfId="28958" xr:uid="{00000000-0005-0000-0000-00005B650000}"/>
    <cellStyle name="Normal 3 5 4 3" xfId="12125" xr:uid="{00000000-0005-0000-0000-00005C650000}"/>
    <cellStyle name="Normal 3 5 4 3 2" xfId="32045" xr:uid="{00000000-0005-0000-0000-00005D650000}"/>
    <cellStyle name="Normal 3 5 4 4" xfId="18277" xr:uid="{00000000-0005-0000-0000-00005E650000}"/>
    <cellStyle name="Normal 3 5 4 4 2" xfId="38197" xr:uid="{00000000-0005-0000-0000-00005F650000}"/>
    <cellStyle name="Normal 3 5 4 5" xfId="25892" xr:uid="{00000000-0005-0000-0000-000060650000}"/>
    <cellStyle name="Normal 3 5 5" xfId="7463" xr:uid="{00000000-0005-0000-0000-000061650000}"/>
    <cellStyle name="Normal 3 5 5 2" xfId="13657" xr:uid="{00000000-0005-0000-0000-000062650000}"/>
    <cellStyle name="Normal 3 5 5 2 2" xfId="33577" xr:uid="{00000000-0005-0000-0000-000063650000}"/>
    <cellStyle name="Normal 3 5 5 3" xfId="19809" xr:uid="{00000000-0005-0000-0000-000064650000}"/>
    <cellStyle name="Normal 3 5 5 3 2" xfId="39729" xr:uid="{00000000-0005-0000-0000-000065650000}"/>
    <cellStyle name="Normal 3 5 5 4" xfId="27424" xr:uid="{00000000-0005-0000-0000-000066650000}"/>
    <cellStyle name="Normal 3 5 6" xfId="10591" xr:uid="{00000000-0005-0000-0000-000067650000}"/>
    <cellStyle name="Normal 3 5 6 2" xfId="30511" xr:uid="{00000000-0005-0000-0000-000068650000}"/>
    <cellStyle name="Normal 3 5 7" xfId="16743" xr:uid="{00000000-0005-0000-0000-000069650000}"/>
    <cellStyle name="Normal 3 5 7 2" xfId="36663" xr:uid="{00000000-0005-0000-0000-00006A650000}"/>
    <cellStyle name="Normal 3 5 8" xfId="3634" xr:uid="{00000000-0005-0000-0000-00006B650000}"/>
    <cellStyle name="Normal 3 5 8 2" xfId="24358" xr:uid="{00000000-0005-0000-0000-00006C650000}"/>
    <cellStyle name="Normal 3 6" xfId="120" xr:uid="{00000000-0005-0000-0000-00006D650000}"/>
    <cellStyle name="Normal 3 6 2" xfId="5058" xr:uid="{00000000-0005-0000-0000-00006E650000}"/>
    <cellStyle name="Normal 3 6 2 2" xfId="6683" xr:uid="{00000000-0005-0000-0000-00006F650000}"/>
    <cellStyle name="Normal 3 6 2 2 2" xfId="9769" xr:uid="{00000000-0005-0000-0000-000070650000}"/>
    <cellStyle name="Normal 3 6 2 2 2 2" xfId="15962" xr:uid="{00000000-0005-0000-0000-000071650000}"/>
    <cellStyle name="Normal 3 6 2 2 2 2 2" xfId="35882" xr:uid="{00000000-0005-0000-0000-000072650000}"/>
    <cellStyle name="Normal 3 6 2 2 2 3" xfId="22114" xr:uid="{00000000-0005-0000-0000-000073650000}"/>
    <cellStyle name="Normal 3 6 2 2 2 3 2" xfId="42034" xr:uid="{00000000-0005-0000-0000-000074650000}"/>
    <cellStyle name="Normal 3 6 2 2 2 4" xfId="29729" xr:uid="{00000000-0005-0000-0000-000075650000}"/>
    <cellStyle name="Normal 3 6 2 2 3" xfId="12896" xr:uid="{00000000-0005-0000-0000-000076650000}"/>
    <cellStyle name="Normal 3 6 2 2 3 2" xfId="32816" xr:uid="{00000000-0005-0000-0000-000077650000}"/>
    <cellStyle name="Normal 3 6 2 2 4" xfId="19048" xr:uid="{00000000-0005-0000-0000-000078650000}"/>
    <cellStyle name="Normal 3 6 2 2 4 2" xfId="38968" xr:uid="{00000000-0005-0000-0000-000079650000}"/>
    <cellStyle name="Normal 3 6 2 2 5" xfId="26663" xr:uid="{00000000-0005-0000-0000-00007A650000}"/>
    <cellStyle name="Normal 3 6 2 3" xfId="8234" xr:uid="{00000000-0005-0000-0000-00007B650000}"/>
    <cellStyle name="Normal 3 6 2 3 2" xfId="14428" xr:uid="{00000000-0005-0000-0000-00007C650000}"/>
    <cellStyle name="Normal 3 6 2 3 2 2" xfId="34348" xr:uid="{00000000-0005-0000-0000-00007D650000}"/>
    <cellStyle name="Normal 3 6 2 3 3" xfId="20580" xr:uid="{00000000-0005-0000-0000-00007E650000}"/>
    <cellStyle name="Normal 3 6 2 3 3 2" xfId="40500" xr:uid="{00000000-0005-0000-0000-00007F650000}"/>
    <cellStyle name="Normal 3 6 2 3 4" xfId="28195" xr:uid="{00000000-0005-0000-0000-000080650000}"/>
    <cellStyle name="Normal 3 6 2 4" xfId="11362" xr:uid="{00000000-0005-0000-0000-000081650000}"/>
    <cellStyle name="Normal 3 6 2 4 2" xfId="31282" xr:uid="{00000000-0005-0000-0000-000082650000}"/>
    <cellStyle name="Normal 3 6 2 5" xfId="17514" xr:uid="{00000000-0005-0000-0000-000083650000}"/>
    <cellStyle name="Normal 3 6 2 5 2" xfId="37434" xr:uid="{00000000-0005-0000-0000-000084650000}"/>
    <cellStyle name="Normal 3 6 2 6" xfId="25129" xr:uid="{00000000-0005-0000-0000-000085650000}"/>
    <cellStyle name="Normal 3 6 3" xfId="5900" xr:uid="{00000000-0005-0000-0000-000086650000}"/>
    <cellStyle name="Normal 3 6 3 2" xfId="9000" xr:uid="{00000000-0005-0000-0000-000087650000}"/>
    <cellStyle name="Normal 3 6 3 2 2" xfId="15193" xr:uid="{00000000-0005-0000-0000-000088650000}"/>
    <cellStyle name="Normal 3 6 3 2 2 2" xfId="35113" xr:uid="{00000000-0005-0000-0000-000089650000}"/>
    <cellStyle name="Normal 3 6 3 2 3" xfId="21345" xr:uid="{00000000-0005-0000-0000-00008A650000}"/>
    <cellStyle name="Normal 3 6 3 2 3 2" xfId="41265" xr:uid="{00000000-0005-0000-0000-00008B650000}"/>
    <cellStyle name="Normal 3 6 3 2 4" xfId="28960" xr:uid="{00000000-0005-0000-0000-00008C650000}"/>
    <cellStyle name="Normal 3 6 3 3" xfId="12127" xr:uid="{00000000-0005-0000-0000-00008D650000}"/>
    <cellStyle name="Normal 3 6 3 3 2" xfId="32047" xr:uid="{00000000-0005-0000-0000-00008E650000}"/>
    <cellStyle name="Normal 3 6 3 4" xfId="18279" xr:uid="{00000000-0005-0000-0000-00008F650000}"/>
    <cellStyle name="Normal 3 6 3 4 2" xfId="38199" xr:uid="{00000000-0005-0000-0000-000090650000}"/>
    <cellStyle name="Normal 3 6 3 5" xfId="25894" xr:uid="{00000000-0005-0000-0000-000091650000}"/>
    <cellStyle name="Normal 3 6 4" xfId="7465" xr:uid="{00000000-0005-0000-0000-000092650000}"/>
    <cellStyle name="Normal 3 6 4 2" xfId="13659" xr:uid="{00000000-0005-0000-0000-000093650000}"/>
    <cellStyle name="Normal 3 6 4 2 2" xfId="33579" xr:uid="{00000000-0005-0000-0000-000094650000}"/>
    <cellStyle name="Normal 3 6 4 3" xfId="19811" xr:uid="{00000000-0005-0000-0000-000095650000}"/>
    <cellStyle name="Normal 3 6 4 3 2" xfId="39731" xr:uid="{00000000-0005-0000-0000-000096650000}"/>
    <cellStyle name="Normal 3 6 4 4" xfId="27426" xr:uid="{00000000-0005-0000-0000-000097650000}"/>
    <cellStyle name="Normal 3 6 5" xfId="10593" xr:uid="{00000000-0005-0000-0000-000098650000}"/>
    <cellStyle name="Normal 3 6 5 2" xfId="30513" xr:uid="{00000000-0005-0000-0000-000099650000}"/>
    <cellStyle name="Normal 3 6 6" xfId="16745" xr:uid="{00000000-0005-0000-0000-00009A650000}"/>
    <cellStyle name="Normal 3 6 6 2" xfId="36665" xr:uid="{00000000-0005-0000-0000-00009B650000}"/>
    <cellStyle name="Normal 3 6 7" xfId="3636" xr:uid="{00000000-0005-0000-0000-00009C650000}"/>
    <cellStyle name="Normal 3 6 7 2" xfId="24360" xr:uid="{00000000-0005-0000-0000-00009D650000}"/>
    <cellStyle name="Normal 3 7" xfId="199" xr:uid="{00000000-0005-0000-0000-00009E650000}"/>
    <cellStyle name="Normal 3 7 2" xfId="5059" xr:uid="{00000000-0005-0000-0000-00009F650000}"/>
    <cellStyle name="Normal 3 7 2 2" xfId="6684" xr:uid="{00000000-0005-0000-0000-0000A0650000}"/>
    <cellStyle name="Normal 3 7 2 2 2" xfId="9770" xr:uid="{00000000-0005-0000-0000-0000A1650000}"/>
    <cellStyle name="Normal 3 7 2 2 2 2" xfId="15963" xr:uid="{00000000-0005-0000-0000-0000A2650000}"/>
    <cellStyle name="Normal 3 7 2 2 2 2 2" xfId="35883" xr:uid="{00000000-0005-0000-0000-0000A3650000}"/>
    <cellStyle name="Normal 3 7 2 2 2 3" xfId="22115" xr:uid="{00000000-0005-0000-0000-0000A4650000}"/>
    <cellStyle name="Normal 3 7 2 2 2 3 2" xfId="42035" xr:uid="{00000000-0005-0000-0000-0000A5650000}"/>
    <cellStyle name="Normal 3 7 2 2 2 4" xfId="29730" xr:uid="{00000000-0005-0000-0000-0000A6650000}"/>
    <cellStyle name="Normal 3 7 2 2 3" xfId="12897" xr:uid="{00000000-0005-0000-0000-0000A7650000}"/>
    <cellStyle name="Normal 3 7 2 2 3 2" xfId="32817" xr:uid="{00000000-0005-0000-0000-0000A8650000}"/>
    <cellStyle name="Normal 3 7 2 2 4" xfId="19049" xr:uid="{00000000-0005-0000-0000-0000A9650000}"/>
    <cellStyle name="Normal 3 7 2 2 4 2" xfId="38969" xr:uid="{00000000-0005-0000-0000-0000AA650000}"/>
    <cellStyle name="Normal 3 7 2 2 5" xfId="26664" xr:uid="{00000000-0005-0000-0000-0000AB650000}"/>
    <cellStyle name="Normal 3 7 2 3" xfId="8235" xr:uid="{00000000-0005-0000-0000-0000AC650000}"/>
    <cellStyle name="Normal 3 7 2 3 2" xfId="14429" xr:uid="{00000000-0005-0000-0000-0000AD650000}"/>
    <cellStyle name="Normal 3 7 2 3 2 2" xfId="34349" xr:uid="{00000000-0005-0000-0000-0000AE650000}"/>
    <cellStyle name="Normal 3 7 2 3 3" xfId="20581" xr:uid="{00000000-0005-0000-0000-0000AF650000}"/>
    <cellStyle name="Normal 3 7 2 3 3 2" xfId="40501" xr:uid="{00000000-0005-0000-0000-0000B0650000}"/>
    <cellStyle name="Normal 3 7 2 3 4" xfId="28196" xr:uid="{00000000-0005-0000-0000-0000B1650000}"/>
    <cellStyle name="Normal 3 7 2 4" xfId="11363" xr:uid="{00000000-0005-0000-0000-0000B2650000}"/>
    <cellStyle name="Normal 3 7 2 4 2" xfId="31283" xr:uid="{00000000-0005-0000-0000-0000B3650000}"/>
    <cellStyle name="Normal 3 7 2 5" xfId="17515" xr:uid="{00000000-0005-0000-0000-0000B4650000}"/>
    <cellStyle name="Normal 3 7 2 5 2" xfId="37435" xr:uid="{00000000-0005-0000-0000-0000B5650000}"/>
    <cellStyle name="Normal 3 7 2 6" xfId="25130" xr:uid="{00000000-0005-0000-0000-0000B6650000}"/>
    <cellStyle name="Normal 3 7 3" xfId="5901" xr:uid="{00000000-0005-0000-0000-0000B7650000}"/>
    <cellStyle name="Normal 3 7 3 2" xfId="9001" xr:uid="{00000000-0005-0000-0000-0000B8650000}"/>
    <cellStyle name="Normal 3 7 3 2 2" xfId="15194" xr:uid="{00000000-0005-0000-0000-0000B9650000}"/>
    <cellStyle name="Normal 3 7 3 2 2 2" xfId="35114" xr:uid="{00000000-0005-0000-0000-0000BA650000}"/>
    <cellStyle name="Normal 3 7 3 2 3" xfId="21346" xr:uid="{00000000-0005-0000-0000-0000BB650000}"/>
    <cellStyle name="Normal 3 7 3 2 3 2" xfId="41266" xr:uid="{00000000-0005-0000-0000-0000BC650000}"/>
    <cellStyle name="Normal 3 7 3 2 4" xfId="28961" xr:uid="{00000000-0005-0000-0000-0000BD650000}"/>
    <cellStyle name="Normal 3 7 3 3" xfId="12128" xr:uid="{00000000-0005-0000-0000-0000BE650000}"/>
    <cellStyle name="Normal 3 7 3 3 2" xfId="32048" xr:uid="{00000000-0005-0000-0000-0000BF650000}"/>
    <cellStyle name="Normal 3 7 3 4" xfId="18280" xr:uid="{00000000-0005-0000-0000-0000C0650000}"/>
    <cellStyle name="Normal 3 7 3 4 2" xfId="38200" xr:uid="{00000000-0005-0000-0000-0000C1650000}"/>
    <cellStyle name="Normal 3 7 3 5" xfId="25895" xr:uid="{00000000-0005-0000-0000-0000C2650000}"/>
    <cellStyle name="Normal 3 7 4" xfId="7466" xr:uid="{00000000-0005-0000-0000-0000C3650000}"/>
    <cellStyle name="Normal 3 7 4 2" xfId="13660" xr:uid="{00000000-0005-0000-0000-0000C4650000}"/>
    <cellStyle name="Normal 3 7 4 2 2" xfId="33580" xr:uid="{00000000-0005-0000-0000-0000C5650000}"/>
    <cellStyle name="Normal 3 7 4 3" xfId="19812" xr:uid="{00000000-0005-0000-0000-0000C6650000}"/>
    <cellStyle name="Normal 3 7 4 3 2" xfId="39732" xr:uid="{00000000-0005-0000-0000-0000C7650000}"/>
    <cellStyle name="Normal 3 7 4 4" xfId="27427" xr:uid="{00000000-0005-0000-0000-0000C8650000}"/>
    <cellStyle name="Normal 3 7 5" xfId="10594" xr:uid="{00000000-0005-0000-0000-0000C9650000}"/>
    <cellStyle name="Normal 3 7 5 2" xfId="30514" xr:uid="{00000000-0005-0000-0000-0000CA650000}"/>
    <cellStyle name="Normal 3 7 6" xfId="16746" xr:uid="{00000000-0005-0000-0000-0000CB650000}"/>
    <cellStyle name="Normal 3 7 6 2" xfId="36666" xr:uid="{00000000-0005-0000-0000-0000CC650000}"/>
    <cellStyle name="Normal 3 7 7" xfId="3637" xr:uid="{00000000-0005-0000-0000-0000CD650000}"/>
    <cellStyle name="Normal 3 7 7 2" xfId="24361" xr:uid="{00000000-0005-0000-0000-0000CE650000}"/>
    <cellStyle name="Normal 3 8" xfId="197" xr:uid="{00000000-0005-0000-0000-0000CF650000}"/>
    <cellStyle name="Normal 3 8 2" xfId="5060" xr:uid="{00000000-0005-0000-0000-0000D0650000}"/>
    <cellStyle name="Normal 3 8 2 2" xfId="6685" xr:uid="{00000000-0005-0000-0000-0000D1650000}"/>
    <cellStyle name="Normal 3 8 2 2 2" xfId="9771" xr:uid="{00000000-0005-0000-0000-0000D2650000}"/>
    <cellStyle name="Normal 3 8 2 2 2 2" xfId="15964" xr:uid="{00000000-0005-0000-0000-0000D3650000}"/>
    <cellStyle name="Normal 3 8 2 2 2 2 2" xfId="35884" xr:uid="{00000000-0005-0000-0000-0000D4650000}"/>
    <cellStyle name="Normal 3 8 2 2 2 3" xfId="22116" xr:uid="{00000000-0005-0000-0000-0000D5650000}"/>
    <cellStyle name="Normal 3 8 2 2 2 3 2" xfId="42036" xr:uid="{00000000-0005-0000-0000-0000D6650000}"/>
    <cellStyle name="Normal 3 8 2 2 2 4" xfId="29731" xr:uid="{00000000-0005-0000-0000-0000D7650000}"/>
    <cellStyle name="Normal 3 8 2 2 3" xfId="12898" xr:uid="{00000000-0005-0000-0000-0000D8650000}"/>
    <cellStyle name="Normal 3 8 2 2 3 2" xfId="32818" xr:uid="{00000000-0005-0000-0000-0000D9650000}"/>
    <cellStyle name="Normal 3 8 2 2 4" xfId="19050" xr:uid="{00000000-0005-0000-0000-0000DA650000}"/>
    <cellStyle name="Normal 3 8 2 2 4 2" xfId="38970" xr:uid="{00000000-0005-0000-0000-0000DB650000}"/>
    <cellStyle name="Normal 3 8 2 2 5" xfId="26665" xr:uid="{00000000-0005-0000-0000-0000DC650000}"/>
    <cellStyle name="Normal 3 8 2 3" xfId="8236" xr:uid="{00000000-0005-0000-0000-0000DD650000}"/>
    <cellStyle name="Normal 3 8 2 3 2" xfId="14430" xr:uid="{00000000-0005-0000-0000-0000DE650000}"/>
    <cellStyle name="Normal 3 8 2 3 2 2" xfId="34350" xr:uid="{00000000-0005-0000-0000-0000DF650000}"/>
    <cellStyle name="Normal 3 8 2 3 3" xfId="20582" xr:uid="{00000000-0005-0000-0000-0000E0650000}"/>
    <cellStyle name="Normal 3 8 2 3 3 2" xfId="40502" xr:uid="{00000000-0005-0000-0000-0000E1650000}"/>
    <cellStyle name="Normal 3 8 2 3 4" xfId="28197" xr:uid="{00000000-0005-0000-0000-0000E2650000}"/>
    <cellStyle name="Normal 3 8 2 4" xfId="11364" xr:uid="{00000000-0005-0000-0000-0000E3650000}"/>
    <cellStyle name="Normal 3 8 2 4 2" xfId="31284" xr:uid="{00000000-0005-0000-0000-0000E4650000}"/>
    <cellStyle name="Normal 3 8 2 5" xfId="17516" xr:uid="{00000000-0005-0000-0000-0000E5650000}"/>
    <cellStyle name="Normal 3 8 2 5 2" xfId="37436" xr:uid="{00000000-0005-0000-0000-0000E6650000}"/>
    <cellStyle name="Normal 3 8 2 6" xfId="25131" xr:uid="{00000000-0005-0000-0000-0000E7650000}"/>
    <cellStyle name="Normal 3 8 3" xfId="5902" xr:uid="{00000000-0005-0000-0000-0000E8650000}"/>
    <cellStyle name="Normal 3 8 3 2" xfId="9002" xr:uid="{00000000-0005-0000-0000-0000E9650000}"/>
    <cellStyle name="Normal 3 8 3 2 2" xfId="15195" xr:uid="{00000000-0005-0000-0000-0000EA650000}"/>
    <cellStyle name="Normal 3 8 3 2 2 2" xfId="35115" xr:uid="{00000000-0005-0000-0000-0000EB650000}"/>
    <cellStyle name="Normal 3 8 3 2 3" xfId="21347" xr:uid="{00000000-0005-0000-0000-0000EC650000}"/>
    <cellStyle name="Normal 3 8 3 2 3 2" xfId="41267" xr:uid="{00000000-0005-0000-0000-0000ED650000}"/>
    <cellStyle name="Normal 3 8 3 2 4" xfId="28962" xr:uid="{00000000-0005-0000-0000-0000EE650000}"/>
    <cellStyle name="Normal 3 8 3 3" xfId="12129" xr:uid="{00000000-0005-0000-0000-0000EF650000}"/>
    <cellStyle name="Normal 3 8 3 3 2" xfId="32049" xr:uid="{00000000-0005-0000-0000-0000F0650000}"/>
    <cellStyle name="Normal 3 8 3 4" xfId="18281" xr:uid="{00000000-0005-0000-0000-0000F1650000}"/>
    <cellStyle name="Normal 3 8 3 4 2" xfId="38201" xr:uid="{00000000-0005-0000-0000-0000F2650000}"/>
    <cellStyle name="Normal 3 8 3 5" xfId="25896" xr:uid="{00000000-0005-0000-0000-0000F3650000}"/>
    <cellStyle name="Normal 3 8 4" xfId="7467" xr:uid="{00000000-0005-0000-0000-0000F4650000}"/>
    <cellStyle name="Normal 3 8 4 2" xfId="13661" xr:uid="{00000000-0005-0000-0000-0000F5650000}"/>
    <cellStyle name="Normal 3 8 4 2 2" xfId="33581" xr:uid="{00000000-0005-0000-0000-0000F6650000}"/>
    <cellStyle name="Normal 3 8 4 3" xfId="19813" xr:uid="{00000000-0005-0000-0000-0000F7650000}"/>
    <cellStyle name="Normal 3 8 4 3 2" xfId="39733" xr:uid="{00000000-0005-0000-0000-0000F8650000}"/>
    <cellStyle name="Normal 3 8 4 4" xfId="27428" xr:uid="{00000000-0005-0000-0000-0000F9650000}"/>
    <cellStyle name="Normal 3 8 5" xfId="10595" xr:uid="{00000000-0005-0000-0000-0000FA650000}"/>
    <cellStyle name="Normal 3 8 5 2" xfId="30515" xr:uid="{00000000-0005-0000-0000-0000FB650000}"/>
    <cellStyle name="Normal 3 8 6" xfId="16747" xr:uid="{00000000-0005-0000-0000-0000FC650000}"/>
    <cellStyle name="Normal 3 8 6 2" xfId="36667" xr:uid="{00000000-0005-0000-0000-0000FD650000}"/>
    <cellStyle name="Normal 3 8 7" xfId="3638" xr:uid="{00000000-0005-0000-0000-0000FE650000}"/>
    <cellStyle name="Normal 3 8 7 2" xfId="24362" xr:uid="{00000000-0005-0000-0000-0000FF650000}"/>
    <cellStyle name="Normal 3 9" xfId="158" xr:uid="{00000000-0005-0000-0000-000000660000}"/>
    <cellStyle name="Normal 3 9 2" xfId="5061" xr:uid="{00000000-0005-0000-0000-000001660000}"/>
    <cellStyle name="Normal 3 9 2 2" xfId="6686" xr:uid="{00000000-0005-0000-0000-000002660000}"/>
    <cellStyle name="Normal 3 9 2 2 2" xfId="9772" xr:uid="{00000000-0005-0000-0000-000003660000}"/>
    <cellStyle name="Normal 3 9 2 2 2 2" xfId="15965" xr:uid="{00000000-0005-0000-0000-000004660000}"/>
    <cellStyle name="Normal 3 9 2 2 2 2 2" xfId="35885" xr:uid="{00000000-0005-0000-0000-000005660000}"/>
    <cellStyle name="Normal 3 9 2 2 2 3" xfId="22117" xr:uid="{00000000-0005-0000-0000-000006660000}"/>
    <cellStyle name="Normal 3 9 2 2 2 3 2" xfId="42037" xr:uid="{00000000-0005-0000-0000-000007660000}"/>
    <cellStyle name="Normal 3 9 2 2 2 4" xfId="29732" xr:uid="{00000000-0005-0000-0000-000008660000}"/>
    <cellStyle name="Normal 3 9 2 2 3" xfId="12899" xr:uid="{00000000-0005-0000-0000-000009660000}"/>
    <cellStyle name="Normal 3 9 2 2 3 2" xfId="32819" xr:uid="{00000000-0005-0000-0000-00000A660000}"/>
    <cellStyle name="Normal 3 9 2 2 4" xfId="19051" xr:uid="{00000000-0005-0000-0000-00000B660000}"/>
    <cellStyle name="Normal 3 9 2 2 4 2" xfId="38971" xr:uid="{00000000-0005-0000-0000-00000C660000}"/>
    <cellStyle name="Normal 3 9 2 2 5" xfId="26666" xr:uid="{00000000-0005-0000-0000-00000D660000}"/>
    <cellStyle name="Normal 3 9 2 3" xfId="8237" xr:uid="{00000000-0005-0000-0000-00000E660000}"/>
    <cellStyle name="Normal 3 9 2 3 2" xfId="14431" xr:uid="{00000000-0005-0000-0000-00000F660000}"/>
    <cellStyle name="Normal 3 9 2 3 2 2" xfId="34351" xr:uid="{00000000-0005-0000-0000-000010660000}"/>
    <cellStyle name="Normal 3 9 2 3 3" xfId="20583" xr:uid="{00000000-0005-0000-0000-000011660000}"/>
    <cellStyle name="Normal 3 9 2 3 3 2" xfId="40503" xr:uid="{00000000-0005-0000-0000-000012660000}"/>
    <cellStyle name="Normal 3 9 2 3 4" xfId="28198" xr:uid="{00000000-0005-0000-0000-000013660000}"/>
    <cellStyle name="Normal 3 9 2 4" xfId="11365" xr:uid="{00000000-0005-0000-0000-000014660000}"/>
    <cellStyle name="Normal 3 9 2 4 2" xfId="31285" xr:uid="{00000000-0005-0000-0000-000015660000}"/>
    <cellStyle name="Normal 3 9 2 5" xfId="17517" xr:uid="{00000000-0005-0000-0000-000016660000}"/>
    <cellStyle name="Normal 3 9 2 5 2" xfId="37437" xr:uid="{00000000-0005-0000-0000-000017660000}"/>
    <cellStyle name="Normal 3 9 2 6" xfId="25132" xr:uid="{00000000-0005-0000-0000-000018660000}"/>
    <cellStyle name="Normal 3 9 3" xfId="5903" xr:uid="{00000000-0005-0000-0000-000019660000}"/>
    <cellStyle name="Normal 3 9 3 2" xfId="9003" xr:uid="{00000000-0005-0000-0000-00001A660000}"/>
    <cellStyle name="Normal 3 9 3 2 2" xfId="15196" xr:uid="{00000000-0005-0000-0000-00001B660000}"/>
    <cellStyle name="Normal 3 9 3 2 2 2" xfId="35116" xr:uid="{00000000-0005-0000-0000-00001C660000}"/>
    <cellStyle name="Normal 3 9 3 2 3" xfId="21348" xr:uid="{00000000-0005-0000-0000-00001D660000}"/>
    <cellStyle name="Normal 3 9 3 2 3 2" xfId="41268" xr:uid="{00000000-0005-0000-0000-00001E660000}"/>
    <cellStyle name="Normal 3 9 3 2 4" xfId="28963" xr:uid="{00000000-0005-0000-0000-00001F660000}"/>
    <cellStyle name="Normal 3 9 3 3" xfId="12130" xr:uid="{00000000-0005-0000-0000-000020660000}"/>
    <cellStyle name="Normal 3 9 3 3 2" xfId="32050" xr:uid="{00000000-0005-0000-0000-000021660000}"/>
    <cellStyle name="Normal 3 9 3 4" xfId="18282" xr:uid="{00000000-0005-0000-0000-000022660000}"/>
    <cellStyle name="Normal 3 9 3 4 2" xfId="38202" xr:uid="{00000000-0005-0000-0000-000023660000}"/>
    <cellStyle name="Normal 3 9 3 5" xfId="25897" xr:uid="{00000000-0005-0000-0000-000024660000}"/>
    <cellStyle name="Normal 3 9 4" xfId="7468" xr:uid="{00000000-0005-0000-0000-000025660000}"/>
    <cellStyle name="Normal 3 9 4 2" xfId="13662" xr:uid="{00000000-0005-0000-0000-000026660000}"/>
    <cellStyle name="Normal 3 9 4 2 2" xfId="33582" xr:uid="{00000000-0005-0000-0000-000027660000}"/>
    <cellStyle name="Normal 3 9 4 3" xfId="19814" xr:uid="{00000000-0005-0000-0000-000028660000}"/>
    <cellStyle name="Normal 3 9 4 3 2" xfId="39734" xr:uid="{00000000-0005-0000-0000-000029660000}"/>
    <cellStyle name="Normal 3 9 4 4" xfId="27429" xr:uid="{00000000-0005-0000-0000-00002A660000}"/>
    <cellStyle name="Normal 3 9 5" xfId="10596" xr:uid="{00000000-0005-0000-0000-00002B660000}"/>
    <cellStyle name="Normal 3 9 5 2" xfId="30516" xr:uid="{00000000-0005-0000-0000-00002C660000}"/>
    <cellStyle name="Normal 3 9 6" xfId="16748" xr:uid="{00000000-0005-0000-0000-00002D660000}"/>
    <cellStyle name="Normal 3 9 6 2" xfId="36668" xr:uid="{00000000-0005-0000-0000-00002E660000}"/>
    <cellStyle name="Normal 3 9 7" xfId="3639" xr:uid="{00000000-0005-0000-0000-00002F660000}"/>
    <cellStyle name="Normal 3 9 7 2" xfId="24363" xr:uid="{00000000-0005-0000-0000-000030660000}"/>
    <cellStyle name="Normal 3_GRCW" xfId="24" xr:uid="{00000000-0005-0000-0000-000031660000}"/>
    <cellStyle name="Normal 30" xfId="671" xr:uid="{00000000-0005-0000-0000-000032660000}"/>
    <cellStyle name="Normal 31" xfId="3640" xr:uid="{00000000-0005-0000-0000-000033660000}"/>
    <cellStyle name="Normal 31 2" xfId="3641" xr:uid="{00000000-0005-0000-0000-000034660000}"/>
    <cellStyle name="Normal 32" xfId="3642" xr:uid="{00000000-0005-0000-0000-000035660000}"/>
    <cellStyle name="Normal 32 2" xfId="3643" xr:uid="{00000000-0005-0000-0000-000036660000}"/>
    <cellStyle name="Normal 33" xfId="3644" xr:uid="{00000000-0005-0000-0000-000037660000}"/>
    <cellStyle name="Normal 33 2" xfId="3645" xr:uid="{00000000-0005-0000-0000-000038660000}"/>
    <cellStyle name="Normal 34" xfId="3646" xr:uid="{00000000-0005-0000-0000-000039660000}"/>
    <cellStyle name="Normal 34 10" xfId="3647" xr:uid="{00000000-0005-0000-0000-00003A660000}"/>
    <cellStyle name="Normal 34 10 2" xfId="3648" xr:uid="{00000000-0005-0000-0000-00003B660000}"/>
    <cellStyle name="Normal 34 11" xfId="3649" xr:uid="{00000000-0005-0000-0000-00003C660000}"/>
    <cellStyle name="Normal 34 11 2" xfId="3650" xr:uid="{00000000-0005-0000-0000-00003D660000}"/>
    <cellStyle name="Normal 34 12" xfId="3651" xr:uid="{00000000-0005-0000-0000-00003E660000}"/>
    <cellStyle name="Normal 34 2" xfId="3652" xr:uid="{00000000-0005-0000-0000-00003F660000}"/>
    <cellStyle name="Normal 34 2 2" xfId="3653" xr:uid="{00000000-0005-0000-0000-000040660000}"/>
    <cellStyle name="Normal 34 2 2 2" xfId="3654" xr:uid="{00000000-0005-0000-0000-000041660000}"/>
    <cellStyle name="Normal 34 2 2 2 2" xfId="3655" xr:uid="{00000000-0005-0000-0000-000042660000}"/>
    <cellStyle name="Normal 34 2 2 3" xfId="3656" xr:uid="{00000000-0005-0000-0000-000043660000}"/>
    <cellStyle name="Normal 34 2 3" xfId="3657" xr:uid="{00000000-0005-0000-0000-000044660000}"/>
    <cellStyle name="Normal 34 2 3 2" xfId="3658" xr:uid="{00000000-0005-0000-0000-000045660000}"/>
    <cellStyle name="Normal 34 2 4" xfId="3659" xr:uid="{00000000-0005-0000-0000-000046660000}"/>
    <cellStyle name="Normal 34 2 4 2" xfId="3660" xr:uid="{00000000-0005-0000-0000-000047660000}"/>
    <cellStyle name="Normal 34 2 5" xfId="3661" xr:uid="{00000000-0005-0000-0000-000048660000}"/>
    <cellStyle name="Normal 34 3" xfId="3662" xr:uid="{00000000-0005-0000-0000-000049660000}"/>
    <cellStyle name="Normal 34 3 2" xfId="3663" xr:uid="{00000000-0005-0000-0000-00004A660000}"/>
    <cellStyle name="Normal 34 3 2 2" xfId="3664" xr:uid="{00000000-0005-0000-0000-00004B660000}"/>
    <cellStyle name="Normal 34 3 2 2 2" xfId="3665" xr:uid="{00000000-0005-0000-0000-00004C660000}"/>
    <cellStyle name="Normal 34 3 2 3" xfId="3666" xr:uid="{00000000-0005-0000-0000-00004D660000}"/>
    <cellStyle name="Normal 34 3 3" xfId="3667" xr:uid="{00000000-0005-0000-0000-00004E660000}"/>
    <cellStyle name="Normal 34 3 3 2" xfId="3668" xr:uid="{00000000-0005-0000-0000-00004F660000}"/>
    <cellStyle name="Normal 34 3 4" xfId="3669" xr:uid="{00000000-0005-0000-0000-000050660000}"/>
    <cellStyle name="Normal 34 3 4 2" xfId="3670" xr:uid="{00000000-0005-0000-0000-000051660000}"/>
    <cellStyle name="Normal 34 3 5" xfId="3671" xr:uid="{00000000-0005-0000-0000-000052660000}"/>
    <cellStyle name="Normal 34 4" xfId="3672" xr:uid="{00000000-0005-0000-0000-000053660000}"/>
    <cellStyle name="Normal 34 4 2" xfId="3673" xr:uid="{00000000-0005-0000-0000-000054660000}"/>
    <cellStyle name="Normal 34 4 2 2" xfId="3674" xr:uid="{00000000-0005-0000-0000-000055660000}"/>
    <cellStyle name="Normal 34 4 2 2 2" xfId="3675" xr:uid="{00000000-0005-0000-0000-000056660000}"/>
    <cellStyle name="Normal 34 4 2 3" xfId="3676" xr:uid="{00000000-0005-0000-0000-000057660000}"/>
    <cellStyle name="Normal 34 4 3" xfId="3677" xr:uid="{00000000-0005-0000-0000-000058660000}"/>
    <cellStyle name="Normal 34 4 3 2" xfId="3678" xr:uid="{00000000-0005-0000-0000-000059660000}"/>
    <cellStyle name="Normal 34 4 4" xfId="3679" xr:uid="{00000000-0005-0000-0000-00005A660000}"/>
    <cellStyle name="Normal 34 4 4 2" xfId="3680" xr:uid="{00000000-0005-0000-0000-00005B660000}"/>
    <cellStyle name="Normal 34 4 5" xfId="3681" xr:uid="{00000000-0005-0000-0000-00005C660000}"/>
    <cellStyle name="Normal 34 5" xfId="3682" xr:uid="{00000000-0005-0000-0000-00005D660000}"/>
    <cellStyle name="Normal 34 5 2" xfId="3683" xr:uid="{00000000-0005-0000-0000-00005E660000}"/>
    <cellStyle name="Normal 34 5 2 2" xfId="3684" xr:uid="{00000000-0005-0000-0000-00005F660000}"/>
    <cellStyle name="Normal 34 5 2 2 2" xfId="3685" xr:uid="{00000000-0005-0000-0000-000060660000}"/>
    <cellStyle name="Normal 34 5 2 3" xfId="3686" xr:uid="{00000000-0005-0000-0000-000061660000}"/>
    <cellStyle name="Normal 34 5 3" xfId="3687" xr:uid="{00000000-0005-0000-0000-000062660000}"/>
    <cellStyle name="Normal 34 5 3 2" xfId="3688" xr:uid="{00000000-0005-0000-0000-000063660000}"/>
    <cellStyle name="Normal 34 5 4" xfId="3689" xr:uid="{00000000-0005-0000-0000-000064660000}"/>
    <cellStyle name="Normal 34 5 4 2" xfId="3690" xr:uid="{00000000-0005-0000-0000-000065660000}"/>
    <cellStyle name="Normal 34 5 5" xfId="3691" xr:uid="{00000000-0005-0000-0000-000066660000}"/>
    <cellStyle name="Normal 34 6" xfId="3692" xr:uid="{00000000-0005-0000-0000-000067660000}"/>
    <cellStyle name="Normal 34 6 2" xfId="3693" xr:uid="{00000000-0005-0000-0000-000068660000}"/>
    <cellStyle name="Normal 34 6 2 2" xfId="3694" xr:uid="{00000000-0005-0000-0000-000069660000}"/>
    <cellStyle name="Normal 34 6 2 2 2" xfId="3695" xr:uid="{00000000-0005-0000-0000-00006A660000}"/>
    <cellStyle name="Normal 34 6 2 3" xfId="3696" xr:uid="{00000000-0005-0000-0000-00006B660000}"/>
    <cellStyle name="Normal 34 6 3" xfId="3697" xr:uid="{00000000-0005-0000-0000-00006C660000}"/>
    <cellStyle name="Normal 34 6 3 2" xfId="3698" xr:uid="{00000000-0005-0000-0000-00006D660000}"/>
    <cellStyle name="Normal 34 6 4" xfId="3699" xr:uid="{00000000-0005-0000-0000-00006E660000}"/>
    <cellStyle name="Normal 34 6 4 2" xfId="3700" xr:uid="{00000000-0005-0000-0000-00006F660000}"/>
    <cellStyle name="Normal 34 6 5" xfId="3701" xr:uid="{00000000-0005-0000-0000-000070660000}"/>
    <cellStyle name="Normal 34 7" xfId="3702" xr:uid="{00000000-0005-0000-0000-000071660000}"/>
    <cellStyle name="Normal 34 7 2" xfId="3703" xr:uid="{00000000-0005-0000-0000-000072660000}"/>
    <cellStyle name="Normal 34 7 2 2" xfId="3704" xr:uid="{00000000-0005-0000-0000-000073660000}"/>
    <cellStyle name="Normal 34 7 2 2 2" xfId="3705" xr:uid="{00000000-0005-0000-0000-000074660000}"/>
    <cellStyle name="Normal 34 7 2 3" xfId="3706" xr:uid="{00000000-0005-0000-0000-000075660000}"/>
    <cellStyle name="Normal 34 7 3" xfId="3707" xr:uid="{00000000-0005-0000-0000-000076660000}"/>
    <cellStyle name="Normal 34 7 3 2" xfId="3708" xr:uid="{00000000-0005-0000-0000-000077660000}"/>
    <cellStyle name="Normal 34 7 4" xfId="3709" xr:uid="{00000000-0005-0000-0000-000078660000}"/>
    <cellStyle name="Normal 34 8" xfId="3710" xr:uid="{00000000-0005-0000-0000-000079660000}"/>
    <cellStyle name="Normal 34 8 2" xfId="3711" xr:uid="{00000000-0005-0000-0000-00007A660000}"/>
    <cellStyle name="Normal 34 8 2 2" xfId="3712" xr:uid="{00000000-0005-0000-0000-00007B660000}"/>
    <cellStyle name="Normal 34 8 2 2 2" xfId="3713" xr:uid="{00000000-0005-0000-0000-00007C660000}"/>
    <cellStyle name="Normal 34 8 2 3" xfId="3714" xr:uid="{00000000-0005-0000-0000-00007D660000}"/>
    <cellStyle name="Normal 34 8 3" xfId="3715" xr:uid="{00000000-0005-0000-0000-00007E660000}"/>
    <cellStyle name="Normal 34 8 3 2" xfId="3716" xr:uid="{00000000-0005-0000-0000-00007F660000}"/>
    <cellStyle name="Normal 34 8 4" xfId="3717" xr:uid="{00000000-0005-0000-0000-000080660000}"/>
    <cellStyle name="Normal 34 9" xfId="3718" xr:uid="{00000000-0005-0000-0000-000081660000}"/>
    <cellStyle name="Normal 34 9 2" xfId="3719" xr:uid="{00000000-0005-0000-0000-000082660000}"/>
    <cellStyle name="Normal 34 9 2 2" xfId="3720" xr:uid="{00000000-0005-0000-0000-000083660000}"/>
    <cellStyle name="Normal 34 9 3" xfId="3721" xr:uid="{00000000-0005-0000-0000-000084660000}"/>
    <cellStyle name="Normal 35" xfId="3722" xr:uid="{00000000-0005-0000-0000-000085660000}"/>
    <cellStyle name="Normal 35 10" xfId="3723" xr:uid="{00000000-0005-0000-0000-000086660000}"/>
    <cellStyle name="Normal 35 10 2" xfId="3724" xr:uid="{00000000-0005-0000-0000-000087660000}"/>
    <cellStyle name="Normal 35 11" xfId="3725" xr:uid="{00000000-0005-0000-0000-000088660000}"/>
    <cellStyle name="Normal 35 11 2" xfId="3726" xr:uid="{00000000-0005-0000-0000-000089660000}"/>
    <cellStyle name="Normal 35 12" xfId="3727" xr:uid="{00000000-0005-0000-0000-00008A660000}"/>
    <cellStyle name="Normal 35 2" xfId="3728" xr:uid="{00000000-0005-0000-0000-00008B660000}"/>
    <cellStyle name="Normal 35 2 2" xfId="3729" xr:uid="{00000000-0005-0000-0000-00008C660000}"/>
    <cellStyle name="Normal 35 2 2 2" xfId="3730" xr:uid="{00000000-0005-0000-0000-00008D660000}"/>
    <cellStyle name="Normal 35 2 2 2 2" xfId="3731" xr:uid="{00000000-0005-0000-0000-00008E660000}"/>
    <cellStyle name="Normal 35 2 2 3" xfId="3732" xr:uid="{00000000-0005-0000-0000-00008F660000}"/>
    <cellStyle name="Normal 35 2 3" xfId="3733" xr:uid="{00000000-0005-0000-0000-000090660000}"/>
    <cellStyle name="Normal 35 2 3 2" xfId="3734" xr:uid="{00000000-0005-0000-0000-000091660000}"/>
    <cellStyle name="Normal 35 2 4" xfId="3735" xr:uid="{00000000-0005-0000-0000-000092660000}"/>
    <cellStyle name="Normal 35 2 4 2" xfId="3736" xr:uid="{00000000-0005-0000-0000-000093660000}"/>
    <cellStyle name="Normal 35 2 5" xfId="3737" xr:uid="{00000000-0005-0000-0000-000094660000}"/>
    <cellStyle name="Normal 35 3" xfId="3738" xr:uid="{00000000-0005-0000-0000-000095660000}"/>
    <cellStyle name="Normal 35 3 2" xfId="3739" xr:uid="{00000000-0005-0000-0000-000096660000}"/>
    <cellStyle name="Normal 35 3 2 2" xfId="3740" xr:uid="{00000000-0005-0000-0000-000097660000}"/>
    <cellStyle name="Normal 35 3 2 2 2" xfId="3741" xr:uid="{00000000-0005-0000-0000-000098660000}"/>
    <cellStyle name="Normal 35 3 2 3" xfId="3742" xr:uid="{00000000-0005-0000-0000-000099660000}"/>
    <cellStyle name="Normal 35 3 3" xfId="3743" xr:uid="{00000000-0005-0000-0000-00009A660000}"/>
    <cellStyle name="Normal 35 3 3 2" xfId="3744" xr:uid="{00000000-0005-0000-0000-00009B660000}"/>
    <cellStyle name="Normal 35 3 4" xfId="3745" xr:uid="{00000000-0005-0000-0000-00009C660000}"/>
    <cellStyle name="Normal 35 3 4 2" xfId="3746" xr:uid="{00000000-0005-0000-0000-00009D660000}"/>
    <cellStyle name="Normal 35 3 5" xfId="3747" xr:uid="{00000000-0005-0000-0000-00009E660000}"/>
    <cellStyle name="Normal 35 4" xfId="3748" xr:uid="{00000000-0005-0000-0000-00009F660000}"/>
    <cellStyle name="Normal 35 4 2" xfId="3749" xr:uid="{00000000-0005-0000-0000-0000A0660000}"/>
    <cellStyle name="Normal 35 4 2 2" xfId="3750" xr:uid="{00000000-0005-0000-0000-0000A1660000}"/>
    <cellStyle name="Normal 35 4 2 2 2" xfId="3751" xr:uid="{00000000-0005-0000-0000-0000A2660000}"/>
    <cellStyle name="Normal 35 4 2 3" xfId="3752" xr:uid="{00000000-0005-0000-0000-0000A3660000}"/>
    <cellStyle name="Normal 35 4 3" xfId="3753" xr:uid="{00000000-0005-0000-0000-0000A4660000}"/>
    <cellStyle name="Normal 35 4 3 2" xfId="3754" xr:uid="{00000000-0005-0000-0000-0000A5660000}"/>
    <cellStyle name="Normal 35 4 4" xfId="3755" xr:uid="{00000000-0005-0000-0000-0000A6660000}"/>
    <cellStyle name="Normal 35 4 4 2" xfId="3756" xr:uid="{00000000-0005-0000-0000-0000A7660000}"/>
    <cellStyle name="Normal 35 4 5" xfId="3757" xr:uid="{00000000-0005-0000-0000-0000A8660000}"/>
    <cellStyle name="Normal 35 5" xfId="3758" xr:uid="{00000000-0005-0000-0000-0000A9660000}"/>
    <cellStyle name="Normal 35 5 2" xfId="3759" xr:uid="{00000000-0005-0000-0000-0000AA660000}"/>
    <cellStyle name="Normal 35 5 2 2" xfId="3760" xr:uid="{00000000-0005-0000-0000-0000AB660000}"/>
    <cellStyle name="Normal 35 5 2 2 2" xfId="3761" xr:uid="{00000000-0005-0000-0000-0000AC660000}"/>
    <cellStyle name="Normal 35 5 2 3" xfId="3762" xr:uid="{00000000-0005-0000-0000-0000AD660000}"/>
    <cellStyle name="Normal 35 5 3" xfId="3763" xr:uid="{00000000-0005-0000-0000-0000AE660000}"/>
    <cellStyle name="Normal 35 5 3 2" xfId="3764" xr:uid="{00000000-0005-0000-0000-0000AF660000}"/>
    <cellStyle name="Normal 35 5 4" xfId="3765" xr:uid="{00000000-0005-0000-0000-0000B0660000}"/>
    <cellStyle name="Normal 35 5 4 2" xfId="3766" xr:uid="{00000000-0005-0000-0000-0000B1660000}"/>
    <cellStyle name="Normal 35 5 5" xfId="3767" xr:uid="{00000000-0005-0000-0000-0000B2660000}"/>
    <cellStyle name="Normal 35 6" xfId="3768" xr:uid="{00000000-0005-0000-0000-0000B3660000}"/>
    <cellStyle name="Normal 35 6 2" xfId="3769" xr:uid="{00000000-0005-0000-0000-0000B4660000}"/>
    <cellStyle name="Normal 35 6 2 2" xfId="3770" xr:uid="{00000000-0005-0000-0000-0000B5660000}"/>
    <cellStyle name="Normal 35 6 2 2 2" xfId="3771" xr:uid="{00000000-0005-0000-0000-0000B6660000}"/>
    <cellStyle name="Normal 35 6 2 3" xfId="3772" xr:uid="{00000000-0005-0000-0000-0000B7660000}"/>
    <cellStyle name="Normal 35 6 3" xfId="3773" xr:uid="{00000000-0005-0000-0000-0000B8660000}"/>
    <cellStyle name="Normal 35 6 3 2" xfId="3774" xr:uid="{00000000-0005-0000-0000-0000B9660000}"/>
    <cellStyle name="Normal 35 6 4" xfId="3775" xr:uid="{00000000-0005-0000-0000-0000BA660000}"/>
    <cellStyle name="Normal 35 6 4 2" xfId="3776" xr:uid="{00000000-0005-0000-0000-0000BB660000}"/>
    <cellStyle name="Normal 35 6 5" xfId="3777" xr:uid="{00000000-0005-0000-0000-0000BC660000}"/>
    <cellStyle name="Normal 35 7" xfId="3778" xr:uid="{00000000-0005-0000-0000-0000BD660000}"/>
    <cellStyle name="Normal 35 7 2" xfId="3779" xr:uid="{00000000-0005-0000-0000-0000BE660000}"/>
    <cellStyle name="Normal 35 7 2 2" xfId="3780" xr:uid="{00000000-0005-0000-0000-0000BF660000}"/>
    <cellStyle name="Normal 35 7 2 2 2" xfId="3781" xr:uid="{00000000-0005-0000-0000-0000C0660000}"/>
    <cellStyle name="Normal 35 7 2 3" xfId="3782" xr:uid="{00000000-0005-0000-0000-0000C1660000}"/>
    <cellStyle name="Normal 35 7 3" xfId="3783" xr:uid="{00000000-0005-0000-0000-0000C2660000}"/>
    <cellStyle name="Normal 35 7 3 2" xfId="3784" xr:uid="{00000000-0005-0000-0000-0000C3660000}"/>
    <cellStyle name="Normal 35 7 4" xfId="3785" xr:uid="{00000000-0005-0000-0000-0000C4660000}"/>
    <cellStyle name="Normal 35 8" xfId="3786" xr:uid="{00000000-0005-0000-0000-0000C5660000}"/>
    <cellStyle name="Normal 35 8 2" xfId="3787" xr:uid="{00000000-0005-0000-0000-0000C6660000}"/>
    <cellStyle name="Normal 35 8 2 2" xfId="3788" xr:uid="{00000000-0005-0000-0000-0000C7660000}"/>
    <cellStyle name="Normal 35 8 2 2 2" xfId="3789" xr:uid="{00000000-0005-0000-0000-0000C8660000}"/>
    <cellStyle name="Normal 35 8 2 3" xfId="3790" xr:uid="{00000000-0005-0000-0000-0000C9660000}"/>
    <cellStyle name="Normal 35 8 3" xfId="3791" xr:uid="{00000000-0005-0000-0000-0000CA660000}"/>
    <cellStyle name="Normal 35 8 3 2" xfId="3792" xr:uid="{00000000-0005-0000-0000-0000CB660000}"/>
    <cellStyle name="Normal 35 8 4" xfId="3793" xr:uid="{00000000-0005-0000-0000-0000CC660000}"/>
    <cellStyle name="Normal 35 9" xfId="3794" xr:uid="{00000000-0005-0000-0000-0000CD660000}"/>
    <cellStyle name="Normal 35 9 2" xfId="3795" xr:uid="{00000000-0005-0000-0000-0000CE660000}"/>
    <cellStyle name="Normal 35 9 2 2" xfId="3796" xr:uid="{00000000-0005-0000-0000-0000CF660000}"/>
    <cellStyle name="Normal 35 9 3" xfId="3797" xr:uid="{00000000-0005-0000-0000-0000D0660000}"/>
    <cellStyle name="Normal 36" xfId="3798" xr:uid="{00000000-0005-0000-0000-0000D1660000}"/>
    <cellStyle name="Normal 36 2" xfId="3799" xr:uid="{00000000-0005-0000-0000-0000D2660000}"/>
    <cellStyle name="Normal 37" xfId="3800" xr:uid="{00000000-0005-0000-0000-0000D3660000}"/>
    <cellStyle name="Normal 37 2" xfId="3801" xr:uid="{00000000-0005-0000-0000-0000D4660000}"/>
    <cellStyle name="Normal 38" xfId="3802" xr:uid="{00000000-0005-0000-0000-0000D5660000}"/>
    <cellStyle name="Normal 38 2" xfId="3803" xr:uid="{00000000-0005-0000-0000-0000D6660000}"/>
    <cellStyle name="Normal 38 2 2" xfId="3804" xr:uid="{00000000-0005-0000-0000-0000D7660000}"/>
    <cellStyle name="Normal 38 2 2 2" xfId="3805" xr:uid="{00000000-0005-0000-0000-0000D8660000}"/>
    <cellStyle name="Normal 38 2 3" xfId="3806" xr:uid="{00000000-0005-0000-0000-0000D9660000}"/>
    <cellStyle name="Normal 38 3" xfId="3807" xr:uid="{00000000-0005-0000-0000-0000DA660000}"/>
    <cellStyle name="Normal 38 3 2" xfId="3808" xr:uid="{00000000-0005-0000-0000-0000DB660000}"/>
    <cellStyle name="Normal 38 4" xfId="3809" xr:uid="{00000000-0005-0000-0000-0000DC660000}"/>
    <cellStyle name="Normal 38 4 2" xfId="3810" xr:uid="{00000000-0005-0000-0000-0000DD660000}"/>
    <cellStyle name="Normal 38 5" xfId="3811" xr:uid="{00000000-0005-0000-0000-0000DE660000}"/>
    <cellStyle name="Normal 39" xfId="3812" xr:uid="{00000000-0005-0000-0000-0000DF660000}"/>
    <cellStyle name="Normal 39 2" xfId="3813" xr:uid="{00000000-0005-0000-0000-0000E0660000}"/>
    <cellStyle name="Normal 4" xfId="6" xr:uid="{00000000-0005-0000-0000-0000E1660000}"/>
    <cellStyle name="Normal 4 10" xfId="254" xr:uid="{00000000-0005-0000-0000-0000E2660000}"/>
    <cellStyle name="Normal 4 10 2" xfId="3814" xr:uid="{00000000-0005-0000-0000-0000E3660000}"/>
    <cellStyle name="Normal 4 11" xfId="270" xr:uid="{00000000-0005-0000-0000-0000E4660000}"/>
    <cellStyle name="Normal 4 12" xfId="284" xr:uid="{00000000-0005-0000-0000-0000E5660000}"/>
    <cellStyle name="Normal 4 12 2" xfId="3816" xr:uid="{00000000-0005-0000-0000-0000E6660000}"/>
    <cellStyle name="Normal 4 12 3" xfId="3815" xr:uid="{00000000-0005-0000-0000-0000E7660000}"/>
    <cellStyle name="Normal 4 13" xfId="296" xr:uid="{00000000-0005-0000-0000-0000E8660000}"/>
    <cellStyle name="Normal 4 13 2" xfId="3818" xr:uid="{00000000-0005-0000-0000-0000E9660000}"/>
    <cellStyle name="Normal 4 13 3" xfId="3817" xr:uid="{00000000-0005-0000-0000-0000EA660000}"/>
    <cellStyle name="Normal 4 14" xfId="308" xr:uid="{00000000-0005-0000-0000-0000EB660000}"/>
    <cellStyle name="Normal 4 14 2" xfId="4500" xr:uid="{00000000-0005-0000-0000-0000EC660000}"/>
    <cellStyle name="Normal 4 15" xfId="271" xr:uid="{00000000-0005-0000-0000-0000ED660000}"/>
    <cellStyle name="Normal 4 16" xfId="339" xr:uid="{00000000-0005-0000-0000-0000EE660000}"/>
    <cellStyle name="Normal 4 16 2" xfId="10116" xr:uid="{00000000-0005-0000-0000-0000EF660000}"/>
    <cellStyle name="Normal 4 17" xfId="346" xr:uid="{00000000-0005-0000-0000-0000F0660000}"/>
    <cellStyle name="Normal 4 17 2" xfId="1058" xr:uid="{00000000-0005-0000-0000-0000F1660000}"/>
    <cellStyle name="Normal 4 18" xfId="373" xr:uid="{00000000-0005-0000-0000-0000F2660000}"/>
    <cellStyle name="Normal 4 19" xfId="415" xr:uid="{00000000-0005-0000-0000-0000F3660000}"/>
    <cellStyle name="Normal 4 2" xfId="95" xr:uid="{00000000-0005-0000-0000-0000F4660000}"/>
    <cellStyle name="Normal 4 2 10" xfId="3820" xr:uid="{00000000-0005-0000-0000-0000F5660000}"/>
    <cellStyle name="Normal 4 2 10 2" xfId="5062" xr:uid="{00000000-0005-0000-0000-0000F6660000}"/>
    <cellStyle name="Normal 4 2 10 2 2" xfId="6687" xr:uid="{00000000-0005-0000-0000-0000F7660000}"/>
    <cellStyle name="Normal 4 2 10 2 2 2" xfId="9773" xr:uid="{00000000-0005-0000-0000-0000F8660000}"/>
    <cellStyle name="Normal 4 2 10 2 2 2 2" xfId="15966" xr:uid="{00000000-0005-0000-0000-0000F9660000}"/>
    <cellStyle name="Normal 4 2 10 2 2 2 2 2" xfId="35886" xr:uid="{00000000-0005-0000-0000-0000FA660000}"/>
    <cellStyle name="Normal 4 2 10 2 2 2 3" xfId="22118" xr:uid="{00000000-0005-0000-0000-0000FB660000}"/>
    <cellStyle name="Normal 4 2 10 2 2 2 3 2" xfId="42038" xr:uid="{00000000-0005-0000-0000-0000FC660000}"/>
    <cellStyle name="Normal 4 2 10 2 2 2 4" xfId="29733" xr:uid="{00000000-0005-0000-0000-0000FD660000}"/>
    <cellStyle name="Normal 4 2 10 2 2 3" xfId="12900" xr:uid="{00000000-0005-0000-0000-0000FE660000}"/>
    <cellStyle name="Normal 4 2 10 2 2 3 2" xfId="32820" xr:uid="{00000000-0005-0000-0000-0000FF660000}"/>
    <cellStyle name="Normal 4 2 10 2 2 4" xfId="19052" xr:uid="{00000000-0005-0000-0000-000000670000}"/>
    <cellStyle name="Normal 4 2 10 2 2 4 2" xfId="38972" xr:uid="{00000000-0005-0000-0000-000001670000}"/>
    <cellStyle name="Normal 4 2 10 2 2 5" xfId="26667" xr:uid="{00000000-0005-0000-0000-000002670000}"/>
    <cellStyle name="Normal 4 2 10 2 3" xfId="8238" xr:uid="{00000000-0005-0000-0000-000003670000}"/>
    <cellStyle name="Normal 4 2 10 2 3 2" xfId="14432" xr:uid="{00000000-0005-0000-0000-000004670000}"/>
    <cellStyle name="Normal 4 2 10 2 3 2 2" xfId="34352" xr:uid="{00000000-0005-0000-0000-000005670000}"/>
    <cellStyle name="Normal 4 2 10 2 3 3" xfId="20584" xr:uid="{00000000-0005-0000-0000-000006670000}"/>
    <cellStyle name="Normal 4 2 10 2 3 3 2" xfId="40504" xr:uid="{00000000-0005-0000-0000-000007670000}"/>
    <cellStyle name="Normal 4 2 10 2 3 4" xfId="28199" xr:uid="{00000000-0005-0000-0000-000008670000}"/>
    <cellStyle name="Normal 4 2 10 2 4" xfId="11366" xr:uid="{00000000-0005-0000-0000-000009670000}"/>
    <cellStyle name="Normal 4 2 10 2 4 2" xfId="31286" xr:uid="{00000000-0005-0000-0000-00000A670000}"/>
    <cellStyle name="Normal 4 2 10 2 5" xfId="17518" xr:uid="{00000000-0005-0000-0000-00000B670000}"/>
    <cellStyle name="Normal 4 2 10 2 5 2" xfId="37438" xr:uid="{00000000-0005-0000-0000-00000C670000}"/>
    <cellStyle name="Normal 4 2 10 2 6" xfId="25133" xr:uid="{00000000-0005-0000-0000-00000D670000}"/>
    <cellStyle name="Normal 4 2 10 3" xfId="5904" xr:uid="{00000000-0005-0000-0000-00000E670000}"/>
    <cellStyle name="Normal 4 2 10 3 2" xfId="9004" xr:uid="{00000000-0005-0000-0000-00000F670000}"/>
    <cellStyle name="Normal 4 2 10 3 2 2" xfId="15197" xr:uid="{00000000-0005-0000-0000-000010670000}"/>
    <cellStyle name="Normal 4 2 10 3 2 2 2" xfId="35117" xr:uid="{00000000-0005-0000-0000-000011670000}"/>
    <cellStyle name="Normal 4 2 10 3 2 3" xfId="21349" xr:uid="{00000000-0005-0000-0000-000012670000}"/>
    <cellStyle name="Normal 4 2 10 3 2 3 2" xfId="41269" xr:uid="{00000000-0005-0000-0000-000013670000}"/>
    <cellStyle name="Normal 4 2 10 3 2 4" xfId="28964" xr:uid="{00000000-0005-0000-0000-000014670000}"/>
    <cellStyle name="Normal 4 2 10 3 3" xfId="12131" xr:uid="{00000000-0005-0000-0000-000015670000}"/>
    <cellStyle name="Normal 4 2 10 3 3 2" xfId="32051" xr:uid="{00000000-0005-0000-0000-000016670000}"/>
    <cellStyle name="Normal 4 2 10 3 4" xfId="18283" xr:uid="{00000000-0005-0000-0000-000017670000}"/>
    <cellStyle name="Normal 4 2 10 3 4 2" xfId="38203" xr:uid="{00000000-0005-0000-0000-000018670000}"/>
    <cellStyle name="Normal 4 2 10 3 5" xfId="25898" xr:uid="{00000000-0005-0000-0000-000019670000}"/>
    <cellStyle name="Normal 4 2 10 4" xfId="7469" xr:uid="{00000000-0005-0000-0000-00001A670000}"/>
    <cellStyle name="Normal 4 2 10 4 2" xfId="13663" xr:uid="{00000000-0005-0000-0000-00001B670000}"/>
    <cellStyle name="Normal 4 2 10 4 2 2" xfId="33583" xr:uid="{00000000-0005-0000-0000-00001C670000}"/>
    <cellStyle name="Normal 4 2 10 4 3" xfId="19815" xr:uid="{00000000-0005-0000-0000-00001D670000}"/>
    <cellStyle name="Normal 4 2 10 4 3 2" xfId="39735" xr:uid="{00000000-0005-0000-0000-00001E670000}"/>
    <cellStyle name="Normal 4 2 10 4 4" xfId="27430" xr:uid="{00000000-0005-0000-0000-00001F670000}"/>
    <cellStyle name="Normal 4 2 10 5" xfId="10597" xr:uid="{00000000-0005-0000-0000-000020670000}"/>
    <cellStyle name="Normal 4 2 10 5 2" xfId="30517" xr:uid="{00000000-0005-0000-0000-000021670000}"/>
    <cellStyle name="Normal 4 2 10 6" xfId="16749" xr:uid="{00000000-0005-0000-0000-000022670000}"/>
    <cellStyle name="Normal 4 2 10 6 2" xfId="36669" xr:uid="{00000000-0005-0000-0000-000023670000}"/>
    <cellStyle name="Normal 4 2 10 7" xfId="24364" xr:uid="{00000000-0005-0000-0000-000024670000}"/>
    <cellStyle name="Normal 4 2 11" xfId="3821" xr:uid="{00000000-0005-0000-0000-000025670000}"/>
    <cellStyle name="Normal 4 2 11 2" xfId="5063" xr:uid="{00000000-0005-0000-0000-000026670000}"/>
    <cellStyle name="Normal 4 2 11 2 2" xfId="6688" xr:uid="{00000000-0005-0000-0000-000027670000}"/>
    <cellStyle name="Normal 4 2 11 2 2 2" xfId="9774" xr:uid="{00000000-0005-0000-0000-000028670000}"/>
    <cellStyle name="Normal 4 2 11 2 2 2 2" xfId="15967" xr:uid="{00000000-0005-0000-0000-000029670000}"/>
    <cellStyle name="Normal 4 2 11 2 2 2 2 2" xfId="35887" xr:uid="{00000000-0005-0000-0000-00002A670000}"/>
    <cellStyle name="Normal 4 2 11 2 2 2 3" xfId="22119" xr:uid="{00000000-0005-0000-0000-00002B670000}"/>
    <cellStyle name="Normal 4 2 11 2 2 2 3 2" xfId="42039" xr:uid="{00000000-0005-0000-0000-00002C670000}"/>
    <cellStyle name="Normal 4 2 11 2 2 2 4" xfId="29734" xr:uid="{00000000-0005-0000-0000-00002D670000}"/>
    <cellStyle name="Normal 4 2 11 2 2 3" xfId="12901" xr:uid="{00000000-0005-0000-0000-00002E670000}"/>
    <cellStyle name="Normal 4 2 11 2 2 3 2" xfId="32821" xr:uid="{00000000-0005-0000-0000-00002F670000}"/>
    <cellStyle name="Normal 4 2 11 2 2 4" xfId="19053" xr:uid="{00000000-0005-0000-0000-000030670000}"/>
    <cellStyle name="Normal 4 2 11 2 2 4 2" xfId="38973" xr:uid="{00000000-0005-0000-0000-000031670000}"/>
    <cellStyle name="Normal 4 2 11 2 2 5" xfId="26668" xr:uid="{00000000-0005-0000-0000-000032670000}"/>
    <cellStyle name="Normal 4 2 11 2 3" xfId="8239" xr:uid="{00000000-0005-0000-0000-000033670000}"/>
    <cellStyle name="Normal 4 2 11 2 3 2" xfId="14433" xr:uid="{00000000-0005-0000-0000-000034670000}"/>
    <cellStyle name="Normal 4 2 11 2 3 2 2" xfId="34353" xr:uid="{00000000-0005-0000-0000-000035670000}"/>
    <cellStyle name="Normal 4 2 11 2 3 3" xfId="20585" xr:uid="{00000000-0005-0000-0000-000036670000}"/>
    <cellStyle name="Normal 4 2 11 2 3 3 2" xfId="40505" xr:uid="{00000000-0005-0000-0000-000037670000}"/>
    <cellStyle name="Normal 4 2 11 2 3 4" xfId="28200" xr:uid="{00000000-0005-0000-0000-000038670000}"/>
    <cellStyle name="Normal 4 2 11 2 4" xfId="11367" xr:uid="{00000000-0005-0000-0000-000039670000}"/>
    <cellStyle name="Normal 4 2 11 2 4 2" xfId="31287" xr:uid="{00000000-0005-0000-0000-00003A670000}"/>
    <cellStyle name="Normal 4 2 11 2 5" xfId="17519" xr:uid="{00000000-0005-0000-0000-00003B670000}"/>
    <cellStyle name="Normal 4 2 11 2 5 2" xfId="37439" xr:uid="{00000000-0005-0000-0000-00003C670000}"/>
    <cellStyle name="Normal 4 2 11 2 6" xfId="25134" xr:uid="{00000000-0005-0000-0000-00003D670000}"/>
    <cellStyle name="Normal 4 2 11 3" xfId="5905" xr:uid="{00000000-0005-0000-0000-00003E670000}"/>
    <cellStyle name="Normal 4 2 11 3 2" xfId="9005" xr:uid="{00000000-0005-0000-0000-00003F670000}"/>
    <cellStyle name="Normal 4 2 11 3 2 2" xfId="15198" xr:uid="{00000000-0005-0000-0000-000040670000}"/>
    <cellStyle name="Normal 4 2 11 3 2 2 2" xfId="35118" xr:uid="{00000000-0005-0000-0000-000041670000}"/>
    <cellStyle name="Normal 4 2 11 3 2 3" xfId="21350" xr:uid="{00000000-0005-0000-0000-000042670000}"/>
    <cellStyle name="Normal 4 2 11 3 2 3 2" xfId="41270" xr:uid="{00000000-0005-0000-0000-000043670000}"/>
    <cellStyle name="Normal 4 2 11 3 2 4" xfId="28965" xr:uid="{00000000-0005-0000-0000-000044670000}"/>
    <cellStyle name="Normal 4 2 11 3 3" xfId="12132" xr:uid="{00000000-0005-0000-0000-000045670000}"/>
    <cellStyle name="Normal 4 2 11 3 3 2" xfId="32052" xr:uid="{00000000-0005-0000-0000-000046670000}"/>
    <cellStyle name="Normal 4 2 11 3 4" xfId="18284" xr:uid="{00000000-0005-0000-0000-000047670000}"/>
    <cellStyle name="Normal 4 2 11 3 4 2" xfId="38204" xr:uid="{00000000-0005-0000-0000-000048670000}"/>
    <cellStyle name="Normal 4 2 11 3 5" xfId="25899" xr:uid="{00000000-0005-0000-0000-000049670000}"/>
    <cellStyle name="Normal 4 2 11 4" xfId="7470" xr:uid="{00000000-0005-0000-0000-00004A670000}"/>
    <cellStyle name="Normal 4 2 11 4 2" xfId="13664" xr:uid="{00000000-0005-0000-0000-00004B670000}"/>
    <cellStyle name="Normal 4 2 11 4 2 2" xfId="33584" xr:uid="{00000000-0005-0000-0000-00004C670000}"/>
    <cellStyle name="Normal 4 2 11 4 3" xfId="19816" xr:uid="{00000000-0005-0000-0000-00004D670000}"/>
    <cellStyle name="Normal 4 2 11 4 3 2" xfId="39736" xr:uid="{00000000-0005-0000-0000-00004E670000}"/>
    <cellStyle name="Normal 4 2 11 4 4" xfId="27431" xr:uid="{00000000-0005-0000-0000-00004F670000}"/>
    <cellStyle name="Normal 4 2 11 5" xfId="10598" xr:uid="{00000000-0005-0000-0000-000050670000}"/>
    <cellStyle name="Normal 4 2 11 5 2" xfId="30518" xr:uid="{00000000-0005-0000-0000-000051670000}"/>
    <cellStyle name="Normal 4 2 11 6" xfId="16750" xr:uid="{00000000-0005-0000-0000-000052670000}"/>
    <cellStyle name="Normal 4 2 11 6 2" xfId="36670" xr:uid="{00000000-0005-0000-0000-000053670000}"/>
    <cellStyle name="Normal 4 2 11 7" xfId="24365" xr:uid="{00000000-0005-0000-0000-000054670000}"/>
    <cellStyle name="Normal 4 2 12" xfId="3822" xr:uid="{00000000-0005-0000-0000-000055670000}"/>
    <cellStyle name="Normal 4 2 12 2" xfId="5064" xr:uid="{00000000-0005-0000-0000-000056670000}"/>
    <cellStyle name="Normal 4 2 12 2 2" xfId="6689" xr:uid="{00000000-0005-0000-0000-000057670000}"/>
    <cellStyle name="Normal 4 2 12 2 2 2" xfId="9775" xr:uid="{00000000-0005-0000-0000-000058670000}"/>
    <cellStyle name="Normal 4 2 12 2 2 2 2" xfId="15968" xr:uid="{00000000-0005-0000-0000-000059670000}"/>
    <cellStyle name="Normal 4 2 12 2 2 2 2 2" xfId="35888" xr:uid="{00000000-0005-0000-0000-00005A670000}"/>
    <cellStyle name="Normal 4 2 12 2 2 2 3" xfId="22120" xr:uid="{00000000-0005-0000-0000-00005B670000}"/>
    <cellStyle name="Normal 4 2 12 2 2 2 3 2" xfId="42040" xr:uid="{00000000-0005-0000-0000-00005C670000}"/>
    <cellStyle name="Normal 4 2 12 2 2 2 4" xfId="29735" xr:uid="{00000000-0005-0000-0000-00005D670000}"/>
    <cellStyle name="Normal 4 2 12 2 2 3" xfId="12902" xr:uid="{00000000-0005-0000-0000-00005E670000}"/>
    <cellStyle name="Normal 4 2 12 2 2 3 2" xfId="32822" xr:uid="{00000000-0005-0000-0000-00005F670000}"/>
    <cellStyle name="Normal 4 2 12 2 2 4" xfId="19054" xr:uid="{00000000-0005-0000-0000-000060670000}"/>
    <cellStyle name="Normal 4 2 12 2 2 4 2" xfId="38974" xr:uid="{00000000-0005-0000-0000-000061670000}"/>
    <cellStyle name="Normal 4 2 12 2 2 5" xfId="26669" xr:uid="{00000000-0005-0000-0000-000062670000}"/>
    <cellStyle name="Normal 4 2 12 2 3" xfId="8240" xr:uid="{00000000-0005-0000-0000-000063670000}"/>
    <cellStyle name="Normal 4 2 12 2 3 2" xfId="14434" xr:uid="{00000000-0005-0000-0000-000064670000}"/>
    <cellStyle name="Normal 4 2 12 2 3 2 2" xfId="34354" xr:uid="{00000000-0005-0000-0000-000065670000}"/>
    <cellStyle name="Normal 4 2 12 2 3 3" xfId="20586" xr:uid="{00000000-0005-0000-0000-000066670000}"/>
    <cellStyle name="Normal 4 2 12 2 3 3 2" xfId="40506" xr:uid="{00000000-0005-0000-0000-000067670000}"/>
    <cellStyle name="Normal 4 2 12 2 3 4" xfId="28201" xr:uid="{00000000-0005-0000-0000-000068670000}"/>
    <cellStyle name="Normal 4 2 12 2 4" xfId="11368" xr:uid="{00000000-0005-0000-0000-000069670000}"/>
    <cellStyle name="Normal 4 2 12 2 4 2" xfId="31288" xr:uid="{00000000-0005-0000-0000-00006A670000}"/>
    <cellStyle name="Normal 4 2 12 2 5" xfId="17520" xr:uid="{00000000-0005-0000-0000-00006B670000}"/>
    <cellStyle name="Normal 4 2 12 2 5 2" xfId="37440" xr:uid="{00000000-0005-0000-0000-00006C670000}"/>
    <cellStyle name="Normal 4 2 12 2 6" xfId="25135" xr:uid="{00000000-0005-0000-0000-00006D670000}"/>
    <cellStyle name="Normal 4 2 12 3" xfId="5906" xr:uid="{00000000-0005-0000-0000-00006E670000}"/>
    <cellStyle name="Normal 4 2 12 3 2" xfId="9006" xr:uid="{00000000-0005-0000-0000-00006F670000}"/>
    <cellStyle name="Normal 4 2 12 3 2 2" xfId="15199" xr:uid="{00000000-0005-0000-0000-000070670000}"/>
    <cellStyle name="Normal 4 2 12 3 2 2 2" xfId="35119" xr:uid="{00000000-0005-0000-0000-000071670000}"/>
    <cellStyle name="Normal 4 2 12 3 2 3" xfId="21351" xr:uid="{00000000-0005-0000-0000-000072670000}"/>
    <cellStyle name="Normal 4 2 12 3 2 3 2" xfId="41271" xr:uid="{00000000-0005-0000-0000-000073670000}"/>
    <cellStyle name="Normal 4 2 12 3 2 4" xfId="28966" xr:uid="{00000000-0005-0000-0000-000074670000}"/>
    <cellStyle name="Normal 4 2 12 3 3" xfId="12133" xr:uid="{00000000-0005-0000-0000-000075670000}"/>
    <cellStyle name="Normal 4 2 12 3 3 2" xfId="32053" xr:uid="{00000000-0005-0000-0000-000076670000}"/>
    <cellStyle name="Normal 4 2 12 3 4" xfId="18285" xr:uid="{00000000-0005-0000-0000-000077670000}"/>
    <cellStyle name="Normal 4 2 12 3 4 2" xfId="38205" xr:uid="{00000000-0005-0000-0000-000078670000}"/>
    <cellStyle name="Normal 4 2 12 3 5" xfId="25900" xr:uid="{00000000-0005-0000-0000-000079670000}"/>
    <cellStyle name="Normal 4 2 12 4" xfId="7471" xr:uid="{00000000-0005-0000-0000-00007A670000}"/>
    <cellStyle name="Normal 4 2 12 4 2" xfId="13665" xr:uid="{00000000-0005-0000-0000-00007B670000}"/>
    <cellStyle name="Normal 4 2 12 4 2 2" xfId="33585" xr:uid="{00000000-0005-0000-0000-00007C670000}"/>
    <cellStyle name="Normal 4 2 12 4 3" xfId="19817" xr:uid="{00000000-0005-0000-0000-00007D670000}"/>
    <cellStyle name="Normal 4 2 12 4 3 2" xfId="39737" xr:uid="{00000000-0005-0000-0000-00007E670000}"/>
    <cellStyle name="Normal 4 2 12 4 4" xfId="27432" xr:uid="{00000000-0005-0000-0000-00007F670000}"/>
    <cellStyle name="Normal 4 2 12 5" xfId="10599" xr:uid="{00000000-0005-0000-0000-000080670000}"/>
    <cellStyle name="Normal 4 2 12 5 2" xfId="30519" xr:uid="{00000000-0005-0000-0000-000081670000}"/>
    <cellStyle name="Normal 4 2 12 6" xfId="16751" xr:uid="{00000000-0005-0000-0000-000082670000}"/>
    <cellStyle name="Normal 4 2 12 6 2" xfId="36671" xr:uid="{00000000-0005-0000-0000-000083670000}"/>
    <cellStyle name="Normal 4 2 12 7" xfId="24366" xr:uid="{00000000-0005-0000-0000-000084670000}"/>
    <cellStyle name="Normal 4 2 13" xfId="3823" xr:uid="{00000000-0005-0000-0000-000085670000}"/>
    <cellStyle name="Normal 4 2 13 2" xfId="5065" xr:uid="{00000000-0005-0000-0000-000086670000}"/>
    <cellStyle name="Normal 4 2 13 2 2" xfId="6690" xr:uid="{00000000-0005-0000-0000-000087670000}"/>
    <cellStyle name="Normal 4 2 13 2 2 2" xfId="9776" xr:uid="{00000000-0005-0000-0000-000088670000}"/>
    <cellStyle name="Normal 4 2 13 2 2 2 2" xfId="15969" xr:uid="{00000000-0005-0000-0000-000089670000}"/>
    <cellStyle name="Normal 4 2 13 2 2 2 2 2" xfId="35889" xr:uid="{00000000-0005-0000-0000-00008A670000}"/>
    <cellStyle name="Normal 4 2 13 2 2 2 3" xfId="22121" xr:uid="{00000000-0005-0000-0000-00008B670000}"/>
    <cellStyle name="Normal 4 2 13 2 2 2 3 2" xfId="42041" xr:uid="{00000000-0005-0000-0000-00008C670000}"/>
    <cellStyle name="Normal 4 2 13 2 2 2 4" xfId="29736" xr:uid="{00000000-0005-0000-0000-00008D670000}"/>
    <cellStyle name="Normal 4 2 13 2 2 3" xfId="12903" xr:uid="{00000000-0005-0000-0000-00008E670000}"/>
    <cellStyle name="Normal 4 2 13 2 2 3 2" xfId="32823" xr:uid="{00000000-0005-0000-0000-00008F670000}"/>
    <cellStyle name="Normal 4 2 13 2 2 4" xfId="19055" xr:uid="{00000000-0005-0000-0000-000090670000}"/>
    <cellStyle name="Normal 4 2 13 2 2 4 2" xfId="38975" xr:uid="{00000000-0005-0000-0000-000091670000}"/>
    <cellStyle name="Normal 4 2 13 2 2 5" xfId="26670" xr:uid="{00000000-0005-0000-0000-000092670000}"/>
    <cellStyle name="Normal 4 2 13 2 3" xfId="8241" xr:uid="{00000000-0005-0000-0000-000093670000}"/>
    <cellStyle name="Normal 4 2 13 2 3 2" xfId="14435" xr:uid="{00000000-0005-0000-0000-000094670000}"/>
    <cellStyle name="Normal 4 2 13 2 3 2 2" xfId="34355" xr:uid="{00000000-0005-0000-0000-000095670000}"/>
    <cellStyle name="Normal 4 2 13 2 3 3" xfId="20587" xr:uid="{00000000-0005-0000-0000-000096670000}"/>
    <cellStyle name="Normal 4 2 13 2 3 3 2" xfId="40507" xr:uid="{00000000-0005-0000-0000-000097670000}"/>
    <cellStyle name="Normal 4 2 13 2 3 4" xfId="28202" xr:uid="{00000000-0005-0000-0000-000098670000}"/>
    <cellStyle name="Normal 4 2 13 2 4" xfId="11369" xr:uid="{00000000-0005-0000-0000-000099670000}"/>
    <cellStyle name="Normal 4 2 13 2 4 2" xfId="31289" xr:uid="{00000000-0005-0000-0000-00009A670000}"/>
    <cellStyle name="Normal 4 2 13 2 5" xfId="17521" xr:uid="{00000000-0005-0000-0000-00009B670000}"/>
    <cellStyle name="Normal 4 2 13 2 5 2" xfId="37441" xr:uid="{00000000-0005-0000-0000-00009C670000}"/>
    <cellStyle name="Normal 4 2 13 2 6" xfId="25136" xr:uid="{00000000-0005-0000-0000-00009D670000}"/>
    <cellStyle name="Normal 4 2 13 3" xfId="5907" xr:uid="{00000000-0005-0000-0000-00009E670000}"/>
    <cellStyle name="Normal 4 2 13 3 2" xfId="9007" xr:uid="{00000000-0005-0000-0000-00009F670000}"/>
    <cellStyle name="Normal 4 2 13 3 2 2" xfId="15200" xr:uid="{00000000-0005-0000-0000-0000A0670000}"/>
    <cellStyle name="Normal 4 2 13 3 2 2 2" xfId="35120" xr:uid="{00000000-0005-0000-0000-0000A1670000}"/>
    <cellStyle name="Normal 4 2 13 3 2 3" xfId="21352" xr:uid="{00000000-0005-0000-0000-0000A2670000}"/>
    <cellStyle name="Normal 4 2 13 3 2 3 2" xfId="41272" xr:uid="{00000000-0005-0000-0000-0000A3670000}"/>
    <cellStyle name="Normal 4 2 13 3 2 4" xfId="28967" xr:uid="{00000000-0005-0000-0000-0000A4670000}"/>
    <cellStyle name="Normal 4 2 13 3 3" xfId="12134" xr:uid="{00000000-0005-0000-0000-0000A5670000}"/>
    <cellStyle name="Normal 4 2 13 3 3 2" xfId="32054" xr:uid="{00000000-0005-0000-0000-0000A6670000}"/>
    <cellStyle name="Normal 4 2 13 3 4" xfId="18286" xr:uid="{00000000-0005-0000-0000-0000A7670000}"/>
    <cellStyle name="Normal 4 2 13 3 4 2" xfId="38206" xr:uid="{00000000-0005-0000-0000-0000A8670000}"/>
    <cellStyle name="Normal 4 2 13 3 5" xfId="25901" xr:uid="{00000000-0005-0000-0000-0000A9670000}"/>
    <cellStyle name="Normal 4 2 13 4" xfId="7472" xr:uid="{00000000-0005-0000-0000-0000AA670000}"/>
    <cellStyle name="Normal 4 2 13 4 2" xfId="13666" xr:uid="{00000000-0005-0000-0000-0000AB670000}"/>
    <cellStyle name="Normal 4 2 13 4 2 2" xfId="33586" xr:uid="{00000000-0005-0000-0000-0000AC670000}"/>
    <cellStyle name="Normal 4 2 13 4 3" xfId="19818" xr:uid="{00000000-0005-0000-0000-0000AD670000}"/>
    <cellStyle name="Normal 4 2 13 4 3 2" xfId="39738" xr:uid="{00000000-0005-0000-0000-0000AE670000}"/>
    <cellStyle name="Normal 4 2 13 4 4" xfId="27433" xr:uid="{00000000-0005-0000-0000-0000AF670000}"/>
    <cellStyle name="Normal 4 2 13 5" xfId="10600" xr:uid="{00000000-0005-0000-0000-0000B0670000}"/>
    <cellStyle name="Normal 4 2 13 5 2" xfId="30520" xr:uid="{00000000-0005-0000-0000-0000B1670000}"/>
    <cellStyle name="Normal 4 2 13 6" xfId="16752" xr:uid="{00000000-0005-0000-0000-0000B2670000}"/>
    <cellStyle name="Normal 4 2 13 6 2" xfId="36672" xr:uid="{00000000-0005-0000-0000-0000B3670000}"/>
    <cellStyle name="Normal 4 2 13 7" xfId="24367" xr:uid="{00000000-0005-0000-0000-0000B4670000}"/>
    <cellStyle name="Normal 4 2 14" xfId="3824" xr:uid="{00000000-0005-0000-0000-0000B5670000}"/>
    <cellStyle name="Normal 4 2 14 2" xfId="5066" xr:uid="{00000000-0005-0000-0000-0000B6670000}"/>
    <cellStyle name="Normal 4 2 14 2 2" xfId="6691" xr:uid="{00000000-0005-0000-0000-0000B7670000}"/>
    <cellStyle name="Normal 4 2 14 2 2 2" xfId="9777" xr:uid="{00000000-0005-0000-0000-0000B8670000}"/>
    <cellStyle name="Normal 4 2 14 2 2 2 2" xfId="15970" xr:uid="{00000000-0005-0000-0000-0000B9670000}"/>
    <cellStyle name="Normal 4 2 14 2 2 2 2 2" xfId="35890" xr:uid="{00000000-0005-0000-0000-0000BA670000}"/>
    <cellStyle name="Normal 4 2 14 2 2 2 3" xfId="22122" xr:uid="{00000000-0005-0000-0000-0000BB670000}"/>
    <cellStyle name="Normal 4 2 14 2 2 2 3 2" xfId="42042" xr:uid="{00000000-0005-0000-0000-0000BC670000}"/>
    <cellStyle name="Normal 4 2 14 2 2 2 4" xfId="29737" xr:uid="{00000000-0005-0000-0000-0000BD670000}"/>
    <cellStyle name="Normal 4 2 14 2 2 3" xfId="12904" xr:uid="{00000000-0005-0000-0000-0000BE670000}"/>
    <cellStyle name="Normal 4 2 14 2 2 3 2" xfId="32824" xr:uid="{00000000-0005-0000-0000-0000BF670000}"/>
    <cellStyle name="Normal 4 2 14 2 2 4" xfId="19056" xr:uid="{00000000-0005-0000-0000-0000C0670000}"/>
    <cellStyle name="Normal 4 2 14 2 2 4 2" xfId="38976" xr:uid="{00000000-0005-0000-0000-0000C1670000}"/>
    <cellStyle name="Normal 4 2 14 2 2 5" xfId="26671" xr:uid="{00000000-0005-0000-0000-0000C2670000}"/>
    <cellStyle name="Normal 4 2 14 2 3" xfId="8242" xr:uid="{00000000-0005-0000-0000-0000C3670000}"/>
    <cellStyle name="Normal 4 2 14 2 3 2" xfId="14436" xr:uid="{00000000-0005-0000-0000-0000C4670000}"/>
    <cellStyle name="Normal 4 2 14 2 3 2 2" xfId="34356" xr:uid="{00000000-0005-0000-0000-0000C5670000}"/>
    <cellStyle name="Normal 4 2 14 2 3 3" xfId="20588" xr:uid="{00000000-0005-0000-0000-0000C6670000}"/>
    <cellStyle name="Normal 4 2 14 2 3 3 2" xfId="40508" xr:uid="{00000000-0005-0000-0000-0000C7670000}"/>
    <cellStyle name="Normal 4 2 14 2 3 4" xfId="28203" xr:uid="{00000000-0005-0000-0000-0000C8670000}"/>
    <cellStyle name="Normal 4 2 14 2 4" xfId="11370" xr:uid="{00000000-0005-0000-0000-0000C9670000}"/>
    <cellStyle name="Normal 4 2 14 2 4 2" xfId="31290" xr:uid="{00000000-0005-0000-0000-0000CA670000}"/>
    <cellStyle name="Normal 4 2 14 2 5" xfId="17522" xr:uid="{00000000-0005-0000-0000-0000CB670000}"/>
    <cellStyle name="Normal 4 2 14 2 5 2" xfId="37442" xr:uid="{00000000-0005-0000-0000-0000CC670000}"/>
    <cellStyle name="Normal 4 2 14 2 6" xfId="25137" xr:uid="{00000000-0005-0000-0000-0000CD670000}"/>
    <cellStyle name="Normal 4 2 14 3" xfId="5908" xr:uid="{00000000-0005-0000-0000-0000CE670000}"/>
    <cellStyle name="Normal 4 2 14 3 2" xfId="9008" xr:uid="{00000000-0005-0000-0000-0000CF670000}"/>
    <cellStyle name="Normal 4 2 14 3 2 2" xfId="15201" xr:uid="{00000000-0005-0000-0000-0000D0670000}"/>
    <cellStyle name="Normal 4 2 14 3 2 2 2" xfId="35121" xr:uid="{00000000-0005-0000-0000-0000D1670000}"/>
    <cellStyle name="Normal 4 2 14 3 2 3" xfId="21353" xr:uid="{00000000-0005-0000-0000-0000D2670000}"/>
    <cellStyle name="Normal 4 2 14 3 2 3 2" xfId="41273" xr:uid="{00000000-0005-0000-0000-0000D3670000}"/>
    <cellStyle name="Normal 4 2 14 3 2 4" xfId="28968" xr:uid="{00000000-0005-0000-0000-0000D4670000}"/>
    <cellStyle name="Normal 4 2 14 3 3" xfId="12135" xr:uid="{00000000-0005-0000-0000-0000D5670000}"/>
    <cellStyle name="Normal 4 2 14 3 3 2" xfId="32055" xr:uid="{00000000-0005-0000-0000-0000D6670000}"/>
    <cellStyle name="Normal 4 2 14 3 4" xfId="18287" xr:uid="{00000000-0005-0000-0000-0000D7670000}"/>
    <cellStyle name="Normal 4 2 14 3 4 2" xfId="38207" xr:uid="{00000000-0005-0000-0000-0000D8670000}"/>
    <cellStyle name="Normal 4 2 14 3 5" xfId="25902" xr:uid="{00000000-0005-0000-0000-0000D9670000}"/>
    <cellStyle name="Normal 4 2 14 4" xfId="7473" xr:uid="{00000000-0005-0000-0000-0000DA670000}"/>
    <cellStyle name="Normal 4 2 14 4 2" xfId="13667" xr:uid="{00000000-0005-0000-0000-0000DB670000}"/>
    <cellStyle name="Normal 4 2 14 4 2 2" xfId="33587" xr:uid="{00000000-0005-0000-0000-0000DC670000}"/>
    <cellStyle name="Normal 4 2 14 4 3" xfId="19819" xr:uid="{00000000-0005-0000-0000-0000DD670000}"/>
    <cellStyle name="Normal 4 2 14 4 3 2" xfId="39739" xr:uid="{00000000-0005-0000-0000-0000DE670000}"/>
    <cellStyle name="Normal 4 2 14 4 4" xfId="27434" xr:uid="{00000000-0005-0000-0000-0000DF670000}"/>
    <cellStyle name="Normal 4 2 14 5" xfId="10601" xr:uid="{00000000-0005-0000-0000-0000E0670000}"/>
    <cellStyle name="Normal 4 2 14 5 2" xfId="30521" xr:uid="{00000000-0005-0000-0000-0000E1670000}"/>
    <cellStyle name="Normal 4 2 14 6" xfId="16753" xr:uid="{00000000-0005-0000-0000-0000E2670000}"/>
    <cellStyle name="Normal 4 2 14 6 2" xfId="36673" xr:uid="{00000000-0005-0000-0000-0000E3670000}"/>
    <cellStyle name="Normal 4 2 14 7" xfId="24368" xr:uid="{00000000-0005-0000-0000-0000E4670000}"/>
    <cellStyle name="Normal 4 2 15" xfId="3825" xr:uid="{00000000-0005-0000-0000-0000E5670000}"/>
    <cellStyle name="Normal 4 2 15 2" xfId="5067" xr:uid="{00000000-0005-0000-0000-0000E6670000}"/>
    <cellStyle name="Normal 4 2 15 2 2" xfId="6692" xr:uid="{00000000-0005-0000-0000-0000E7670000}"/>
    <cellStyle name="Normal 4 2 15 2 2 2" xfId="9778" xr:uid="{00000000-0005-0000-0000-0000E8670000}"/>
    <cellStyle name="Normal 4 2 15 2 2 2 2" xfId="15971" xr:uid="{00000000-0005-0000-0000-0000E9670000}"/>
    <cellStyle name="Normal 4 2 15 2 2 2 2 2" xfId="35891" xr:uid="{00000000-0005-0000-0000-0000EA670000}"/>
    <cellStyle name="Normal 4 2 15 2 2 2 3" xfId="22123" xr:uid="{00000000-0005-0000-0000-0000EB670000}"/>
    <cellStyle name="Normal 4 2 15 2 2 2 3 2" xfId="42043" xr:uid="{00000000-0005-0000-0000-0000EC670000}"/>
    <cellStyle name="Normal 4 2 15 2 2 2 4" xfId="29738" xr:uid="{00000000-0005-0000-0000-0000ED670000}"/>
    <cellStyle name="Normal 4 2 15 2 2 3" xfId="12905" xr:uid="{00000000-0005-0000-0000-0000EE670000}"/>
    <cellStyle name="Normal 4 2 15 2 2 3 2" xfId="32825" xr:uid="{00000000-0005-0000-0000-0000EF670000}"/>
    <cellStyle name="Normal 4 2 15 2 2 4" xfId="19057" xr:uid="{00000000-0005-0000-0000-0000F0670000}"/>
    <cellStyle name="Normal 4 2 15 2 2 4 2" xfId="38977" xr:uid="{00000000-0005-0000-0000-0000F1670000}"/>
    <cellStyle name="Normal 4 2 15 2 2 5" xfId="26672" xr:uid="{00000000-0005-0000-0000-0000F2670000}"/>
    <cellStyle name="Normal 4 2 15 2 3" xfId="8243" xr:uid="{00000000-0005-0000-0000-0000F3670000}"/>
    <cellStyle name="Normal 4 2 15 2 3 2" xfId="14437" xr:uid="{00000000-0005-0000-0000-0000F4670000}"/>
    <cellStyle name="Normal 4 2 15 2 3 2 2" xfId="34357" xr:uid="{00000000-0005-0000-0000-0000F5670000}"/>
    <cellStyle name="Normal 4 2 15 2 3 3" xfId="20589" xr:uid="{00000000-0005-0000-0000-0000F6670000}"/>
    <cellStyle name="Normal 4 2 15 2 3 3 2" xfId="40509" xr:uid="{00000000-0005-0000-0000-0000F7670000}"/>
    <cellStyle name="Normal 4 2 15 2 3 4" xfId="28204" xr:uid="{00000000-0005-0000-0000-0000F8670000}"/>
    <cellStyle name="Normal 4 2 15 2 4" xfId="11371" xr:uid="{00000000-0005-0000-0000-0000F9670000}"/>
    <cellStyle name="Normal 4 2 15 2 4 2" xfId="31291" xr:uid="{00000000-0005-0000-0000-0000FA670000}"/>
    <cellStyle name="Normal 4 2 15 2 5" xfId="17523" xr:uid="{00000000-0005-0000-0000-0000FB670000}"/>
    <cellStyle name="Normal 4 2 15 2 5 2" xfId="37443" xr:uid="{00000000-0005-0000-0000-0000FC670000}"/>
    <cellStyle name="Normal 4 2 15 2 6" xfId="25138" xr:uid="{00000000-0005-0000-0000-0000FD670000}"/>
    <cellStyle name="Normal 4 2 15 3" xfId="5909" xr:uid="{00000000-0005-0000-0000-0000FE670000}"/>
    <cellStyle name="Normal 4 2 15 3 2" xfId="9009" xr:uid="{00000000-0005-0000-0000-0000FF670000}"/>
    <cellStyle name="Normal 4 2 15 3 2 2" xfId="15202" xr:uid="{00000000-0005-0000-0000-000000680000}"/>
    <cellStyle name="Normal 4 2 15 3 2 2 2" xfId="35122" xr:uid="{00000000-0005-0000-0000-000001680000}"/>
    <cellStyle name="Normal 4 2 15 3 2 3" xfId="21354" xr:uid="{00000000-0005-0000-0000-000002680000}"/>
    <cellStyle name="Normal 4 2 15 3 2 3 2" xfId="41274" xr:uid="{00000000-0005-0000-0000-000003680000}"/>
    <cellStyle name="Normal 4 2 15 3 2 4" xfId="28969" xr:uid="{00000000-0005-0000-0000-000004680000}"/>
    <cellStyle name="Normal 4 2 15 3 3" xfId="12136" xr:uid="{00000000-0005-0000-0000-000005680000}"/>
    <cellStyle name="Normal 4 2 15 3 3 2" xfId="32056" xr:uid="{00000000-0005-0000-0000-000006680000}"/>
    <cellStyle name="Normal 4 2 15 3 4" xfId="18288" xr:uid="{00000000-0005-0000-0000-000007680000}"/>
    <cellStyle name="Normal 4 2 15 3 4 2" xfId="38208" xr:uid="{00000000-0005-0000-0000-000008680000}"/>
    <cellStyle name="Normal 4 2 15 3 5" xfId="25903" xr:uid="{00000000-0005-0000-0000-000009680000}"/>
    <cellStyle name="Normal 4 2 15 4" xfId="7474" xr:uid="{00000000-0005-0000-0000-00000A680000}"/>
    <cellStyle name="Normal 4 2 15 4 2" xfId="13668" xr:uid="{00000000-0005-0000-0000-00000B680000}"/>
    <cellStyle name="Normal 4 2 15 4 2 2" xfId="33588" xr:uid="{00000000-0005-0000-0000-00000C680000}"/>
    <cellStyle name="Normal 4 2 15 4 3" xfId="19820" xr:uid="{00000000-0005-0000-0000-00000D680000}"/>
    <cellStyle name="Normal 4 2 15 4 3 2" xfId="39740" xr:uid="{00000000-0005-0000-0000-00000E680000}"/>
    <cellStyle name="Normal 4 2 15 4 4" xfId="27435" xr:uid="{00000000-0005-0000-0000-00000F680000}"/>
    <cellStyle name="Normal 4 2 15 5" xfId="10602" xr:uid="{00000000-0005-0000-0000-000010680000}"/>
    <cellStyle name="Normal 4 2 15 5 2" xfId="30522" xr:uid="{00000000-0005-0000-0000-000011680000}"/>
    <cellStyle name="Normal 4 2 15 6" xfId="16754" xr:uid="{00000000-0005-0000-0000-000012680000}"/>
    <cellStyle name="Normal 4 2 15 6 2" xfId="36674" xr:uid="{00000000-0005-0000-0000-000013680000}"/>
    <cellStyle name="Normal 4 2 15 7" xfId="24369" xr:uid="{00000000-0005-0000-0000-000014680000}"/>
    <cellStyle name="Normal 4 2 16" xfId="3826" xr:uid="{00000000-0005-0000-0000-000015680000}"/>
    <cellStyle name="Normal 4 2 16 2" xfId="5068" xr:uid="{00000000-0005-0000-0000-000016680000}"/>
    <cellStyle name="Normal 4 2 16 2 2" xfId="6693" xr:uid="{00000000-0005-0000-0000-000017680000}"/>
    <cellStyle name="Normal 4 2 16 2 2 2" xfId="9779" xr:uid="{00000000-0005-0000-0000-000018680000}"/>
    <cellStyle name="Normal 4 2 16 2 2 2 2" xfId="15972" xr:uid="{00000000-0005-0000-0000-000019680000}"/>
    <cellStyle name="Normal 4 2 16 2 2 2 2 2" xfId="35892" xr:uid="{00000000-0005-0000-0000-00001A680000}"/>
    <cellStyle name="Normal 4 2 16 2 2 2 3" xfId="22124" xr:uid="{00000000-0005-0000-0000-00001B680000}"/>
    <cellStyle name="Normal 4 2 16 2 2 2 3 2" xfId="42044" xr:uid="{00000000-0005-0000-0000-00001C680000}"/>
    <cellStyle name="Normal 4 2 16 2 2 2 4" xfId="29739" xr:uid="{00000000-0005-0000-0000-00001D680000}"/>
    <cellStyle name="Normal 4 2 16 2 2 3" xfId="12906" xr:uid="{00000000-0005-0000-0000-00001E680000}"/>
    <cellStyle name="Normal 4 2 16 2 2 3 2" xfId="32826" xr:uid="{00000000-0005-0000-0000-00001F680000}"/>
    <cellStyle name="Normal 4 2 16 2 2 4" xfId="19058" xr:uid="{00000000-0005-0000-0000-000020680000}"/>
    <cellStyle name="Normal 4 2 16 2 2 4 2" xfId="38978" xr:uid="{00000000-0005-0000-0000-000021680000}"/>
    <cellStyle name="Normal 4 2 16 2 2 5" xfId="26673" xr:uid="{00000000-0005-0000-0000-000022680000}"/>
    <cellStyle name="Normal 4 2 16 2 3" xfId="8244" xr:uid="{00000000-0005-0000-0000-000023680000}"/>
    <cellStyle name="Normal 4 2 16 2 3 2" xfId="14438" xr:uid="{00000000-0005-0000-0000-000024680000}"/>
    <cellStyle name="Normal 4 2 16 2 3 2 2" xfId="34358" xr:uid="{00000000-0005-0000-0000-000025680000}"/>
    <cellStyle name="Normal 4 2 16 2 3 3" xfId="20590" xr:uid="{00000000-0005-0000-0000-000026680000}"/>
    <cellStyle name="Normal 4 2 16 2 3 3 2" xfId="40510" xr:uid="{00000000-0005-0000-0000-000027680000}"/>
    <cellStyle name="Normal 4 2 16 2 3 4" xfId="28205" xr:uid="{00000000-0005-0000-0000-000028680000}"/>
    <cellStyle name="Normal 4 2 16 2 4" xfId="11372" xr:uid="{00000000-0005-0000-0000-000029680000}"/>
    <cellStyle name="Normal 4 2 16 2 4 2" xfId="31292" xr:uid="{00000000-0005-0000-0000-00002A680000}"/>
    <cellStyle name="Normal 4 2 16 2 5" xfId="17524" xr:uid="{00000000-0005-0000-0000-00002B680000}"/>
    <cellStyle name="Normal 4 2 16 2 5 2" xfId="37444" xr:uid="{00000000-0005-0000-0000-00002C680000}"/>
    <cellStyle name="Normal 4 2 16 2 6" xfId="25139" xr:uid="{00000000-0005-0000-0000-00002D680000}"/>
    <cellStyle name="Normal 4 2 16 3" xfId="5910" xr:uid="{00000000-0005-0000-0000-00002E680000}"/>
    <cellStyle name="Normal 4 2 16 3 2" xfId="9010" xr:uid="{00000000-0005-0000-0000-00002F680000}"/>
    <cellStyle name="Normal 4 2 16 3 2 2" xfId="15203" xr:uid="{00000000-0005-0000-0000-000030680000}"/>
    <cellStyle name="Normal 4 2 16 3 2 2 2" xfId="35123" xr:uid="{00000000-0005-0000-0000-000031680000}"/>
    <cellStyle name="Normal 4 2 16 3 2 3" xfId="21355" xr:uid="{00000000-0005-0000-0000-000032680000}"/>
    <cellStyle name="Normal 4 2 16 3 2 3 2" xfId="41275" xr:uid="{00000000-0005-0000-0000-000033680000}"/>
    <cellStyle name="Normal 4 2 16 3 2 4" xfId="28970" xr:uid="{00000000-0005-0000-0000-000034680000}"/>
    <cellStyle name="Normal 4 2 16 3 3" xfId="12137" xr:uid="{00000000-0005-0000-0000-000035680000}"/>
    <cellStyle name="Normal 4 2 16 3 3 2" xfId="32057" xr:uid="{00000000-0005-0000-0000-000036680000}"/>
    <cellStyle name="Normal 4 2 16 3 4" xfId="18289" xr:uid="{00000000-0005-0000-0000-000037680000}"/>
    <cellStyle name="Normal 4 2 16 3 4 2" xfId="38209" xr:uid="{00000000-0005-0000-0000-000038680000}"/>
    <cellStyle name="Normal 4 2 16 3 5" xfId="25904" xr:uid="{00000000-0005-0000-0000-000039680000}"/>
    <cellStyle name="Normal 4 2 16 4" xfId="7475" xr:uid="{00000000-0005-0000-0000-00003A680000}"/>
    <cellStyle name="Normal 4 2 16 4 2" xfId="13669" xr:uid="{00000000-0005-0000-0000-00003B680000}"/>
    <cellStyle name="Normal 4 2 16 4 2 2" xfId="33589" xr:uid="{00000000-0005-0000-0000-00003C680000}"/>
    <cellStyle name="Normal 4 2 16 4 3" xfId="19821" xr:uid="{00000000-0005-0000-0000-00003D680000}"/>
    <cellStyle name="Normal 4 2 16 4 3 2" xfId="39741" xr:uid="{00000000-0005-0000-0000-00003E680000}"/>
    <cellStyle name="Normal 4 2 16 4 4" xfId="27436" xr:uid="{00000000-0005-0000-0000-00003F680000}"/>
    <cellStyle name="Normal 4 2 16 5" xfId="10603" xr:uid="{00000000-0005-0000-0000-000040680000}"/>
    <cellStyle name="Normal 4 2 16 5 2" xfId="30523" xr:uid="{00000000-0005-0000-0000-000041680000}"/>
    <cellStyle name="Normal 4 2 16 6" xfId="16755" xr:uid="{00000000-0005-0000-0000-000042680000}"/>
    <cellStyle name="Normal 4 2 16 6 2" xfId="36675" xr:uid="{00000000-0005-0000-0000-000043680000}"/>
    <cellStyle name="Normal 4 2 16 7" xfId="24370" xr:uid="{00000000-0005-0000-0000-000044680000}"/>
    <cellStyle name="Normal 4 2 17" xfId="3827" xr:uid="{00000000-0005-0000-0000-000045680000}"/>
    <cellStyle name="Normal 4 2 17 2" xfId="5069" xr:uid="{00000000-0005-0000-0000-000046680000}"/>
    <cellStyle name="Normal 4 2 17 2 2" xfId="6694" xr:uid="{00000000-0005-0000-0000-000047680000}"/>
    <cellStyle name="Normal 4 2 17 2 2 2" xfId="9780" xr:uid="{00000000-0005-0000-0000-000048680000}"/>
    <cellStyle name="Normal 4 2 17 2 2 2 2" xfId="15973" xr:uid="{00000000-0005-0000-0000-000049680000}"/>
    <cellStyle name="Normal 4 2 17 2 2 2 2 2" xfId="35893" xr:uid="{00000000-0005-0000-0000-00004A680000}"/>
    <cellStyle name="Normal 4 2 17 2 2 2 3" xfId="22125" xr:uid="{00000000-0005-0000-0000-00004B680000}"/>
    <cellStyle name="Normal 4 2 17 2 2 2 3 2" xfId="42045" xr:uid="{00000000-0005-0000-0000-00004C680000}"/>
    <cellStyle name="Normal 4 2 17 2 2 2 4" xfId="29740" xr:uid="{00000000-0005-0000-0000-00004D680000}"/>
    <cellStyle name="Normal 4 2 17 2 2 3" xfId="12907" xr:uid="{00000000-0005-0000-0000-00004E680000}"/>
    <cellStyle name="Normal 4 2 17 2 2 3 2" xfId="32827" xr:uid="{00000000-0005-0000-0000-00004F680000}"/>
    <cellStyle name="Normal 4 2 17 2 2 4" xfId="19059" xr:uid="{00000000-0005-0000-0000-000050680000}"/>
    <cellStyle name="Normal 4 2 17 2 2 4 2" xfId="38979" xr:uid="{00000000-0005-0000-0000-000051680000}"/>
    <cellStyle name="Normal 4 2 17 2 2 5" xfId="26674" xr:uid="{00000000-0005-0000-0000-000052680000}"/>
    <cellStyle name="Normal 4 2 17 2 3" xfId="8245" xr:uid="{00000000-0005-0000-0000-000053680000}"/>
    <cellStyle name="Normal 4 2 17 2 3 2" xfId="14439" xr:uid="{00000000-0005-0000-0000-000054680000}"/>
    <cellStyle name="Normal 4 2 17 2 3 2 2" xfId="34359" xr:uid="{00000000-0005-0000-0000-000055680000}"/>
    <cellStyle name="Normal 4 2 17 2 3 3" xfId="20591" xr:uid="{00000000-0005-0000-0000-000056680000}"/>
    <cellStyle name="Normal 4 2 17 2 3 3 2" xfId="40511" xr:uid="{00000000-0005-0000-0000-000057680000}"/>
    <cellStyle name="Normal 4 2 17 2 3 4" xfId="28206" xr:uid="{00000000-0005-0000-0000-000058680000}"/>
    <cellStyle name="Normal 4 2 17 2 4" xfId="11373" xr:uid="{00000000-0005-0000-0000-000059680000}"/>
    <cellStyle name="Normal 4 2 17 2 4 2" xfId="31293" xr:uid="{00000000-0005-0000-0000-00005A680000}"/>
    <cellStyle name="Normal 4 2 17 2 5" xfId="17525" xr:uid="{00000000-0005-0000-0000-00005B680000}"/>
    <cellStyle name="Normal 4 2 17 2 5 2" xfId="37445" xr:uid="{00000000-0005-0000-0000-00005C680000}"/>
    <cellStyle name="Normal 4 2 17 2 6" xfId="25140" xr:uid="{00000000-0005-0000-0000-00005D680000}"/>
    <cellStyle name="Normal 4 2 17 3" xfId="5911" xr:uid="{00000000-0005-0000-0000-00005E680000}"/>
    <cellStyle name="Normal 4 2 17 3 2" xfId="9011" xr:uid="{00000000-0005-0000-0000-00005F680000}"/>
    <cellStyle name="Normal 4 2 17 3 2 2" xfId="15204" xr:uid="{00000000-0005-0000-0000-000060680000}"/>
    <cellStyle name="Normal 4 2 17 3 2 2 2" xfId="35124" xr:uid="{00000000-0005-0000-0000-000061680000}"/>
    <cellStyle name="Normal 4 2 17 3 2 3" xfId="21356" xr:uid="{00000000-0005-0000-0000-000062680000}"/>
    <cellStyle name="Normal 4 2 17 3 2 3 2" xfId="41276" xr:uid="{00000000-0005-0000-0000-000063680000}"/>
    <cellStyle name="Normal 4 2 17 3 2 4" xfId="28971" xr:uid="{00000000-0005-0000-0000-000064680000}"/>
    <cellStyle name="Normal 4 2 17 3 3" xfId="12138" xr:uid="{00000000-0005-0000-0000-000065680000}"/>
    <cellStyle name="Normal 4 2 17 3 3 2" xfId="32058" xr:uid="{00000000-0005-0000-0000-000066680000}"/>
    <cellStyle name="Normal 4 2 17 3 4" xfId="18290" xr:uid="{00000000-0005-0000-0000-000067680000}"/>
    <cellStyle name="Normal 4 2 17 3 4 2" xfId="38210" xr:uid="{00000000-0005-0000-0000-000068680000}"/>
    <cellStyle name="Normal 4 2 17 3 5" xfId="25905" xr:uid="{00000000-0005-0000-0000-000069680000}"/>
    <cellStyle name="Normal 4 2 17 4" xfId="7476" xr:uid="{00000000-0005-0000-0000-00006A680000}"/>
    <cellStyle name="Normal 4 2 17 4 2" xfId="13670" xr:uid="{00000000-0005-0000-0000-00006B680000}"/>
    <cellStyle name="Normal 4 2 17 4 2 2" xfId="33590" xr:uid="{00000000-0005-0000-0000-00006C680000}"/>
    <cellStyle name="Normal 4 2 17 4 3" xfId="19822" xr:uid="{00000000-0005-0000-0000-00006D680000}"/>
    <cellStyle name="Normal 4 2 17 4 3 2" xfId="39742" xr:uid="{00000000-0005-0000-0000-00006E680000}"/>
    <cellStyle name="Normal 4 2 17 4 4" xfId="27437" xr:uid="{00000000-0005-0000-0000-00006F680000}"/>
    <cellStyle name="Normal 4 2 17 5" xfId="10604" xr:uid="{00000000-0005-0000-0000-000070680000}"/>
    <cellStyle name="Normal 4 2 17 5 2" xfId="30524" xr:uid="{00000000-0005-0000-0000-000071680000}"/>
    <cellStyle name="Normal 4 2 17 6" xfId="16756" xr:uid="{00000000-0005-0000-0000-000072680000}"/>
    <cellStyle name="Normal 4 2 17 6 2" xfId="36676" xr:uid="{00000000-0005-0000-0000-000073680000}"/>
    <cellStyle name="Normal 4 2 17 7" xfId="24371" xr:uid="{00000000-0005-0000-0000-000074680000}"/>
    <cellStyle name="Normal 4 2 18" xfId="3828" xr:uid="{00000000-0005-0000-0000-000075680000}"/>
    <cellStyle name="Normal 4 2 18 2" xfId="5070" xr:uid="{00000000-0005-0000-0000-000076680000}"/>
    <cellStyle name="Normal 4 2 18 2 2" xfId="6695" xr:uid="{00000000-0005-0000-0000-000077680000}"/>
    <cellStyle name="Normal 4 2 18 2 2 2" xfId="9781" xr:uid="{00000000-0005-0000-0000-000078680000}"/>
    <cellStyle name="Normal 4 2 18 2 2 2 2" xfId="15974" xr:uid="{00000000-0005-0000-0000-000079680000}"/>
    <cellStyle name="Normal 4 2 18 2 2 2 2 2" xfId="35894" xr:uid="{00000000-0005-0000-0000-00007A680000}"/>
    <cellStyle name="Normal 4 2 18 2 2 2 3" xfId="22126" xr:uid="{00000000-0005-0000-0000-00007B680000}"/>
    <cellStyle name="Normal 4 2 18 2 2 2 3 2" xfId="42046" xr:uid="{00000000-0005-0000-0000-00007C680000}"/>
    <cellStyle name="Normal 4 2 18 2 2 2 4" xfId="29741" xr:uid="{00000000-0005-0000-0000-00007D680000}"/>
    <cellStyle name="Normal 4 2 18 2 2 3" xfId="12908" xr:uid="{00000000-0005-0000-0000-00007E680000}"/>
    <cellStyle name="Normal 4 2 18 2 2 3 2" xfId="32828" xr:uid="{00000000-0005-0000-0000-00007F680000}"/>
    <cellStyle name="Normal 4 2 18 2 2 4" xfId="19060" xr:uid="{00000000-0005-0000-0000-000080680000}"/>
    <cellStyle name="Normal 4 2 18 2 2 4 2" xfId="38980" xr:uid="{00000000-0005-0000-0000-000081680000}"/>
    <cellStyle name="Normal 4 2 18 2 2 5" xfId="26675" xr:uid="{00000000-0005-0000-0000-000082680000}"/>
    <cellStyle name="Normal 4 2 18 2 3" xfId="8246" xr:uid="{00000000-0005-0000-0000-000083680000}"/>
    <cellStyle name="Normal 4 2 18 2 3 2" xfId="14440" xr:uid="{00000000-0005-0000-0000-000084680000}"/>
    <cellStyle name="Normal 4 2 18 2 3 2 2" xfId="34360" xr:uid="{00000000-0005-0000-0000-000085680000}"/>
    <cellStyle name="Normal 4 2 18 2 3 3" xfId="20592" xr:uid="{00000000-0005-0000-0000-000086680000}"/>
    <cellStyle name="Normal 4 2 18 2 3 3 2" xfId="40512" xr:uid="{00000000-0005-0000-0000-000087680000}"/>
    <cellStyle name="Normal 4 2 18 2 3 4" xfId="28207" xr:uid="{00000000-0005-0000-0000-000088680000}"/>
    <cellStyle name="Normal 4 2 18 2 4" xfId="11374" xr:uid="{00000000-0005-0000-0000-000089680000}"/>
    <cellStyle name="Normal 4 2 18 2 4 2" xfId="31294" xr:uid="{00000000-0005-0000-0000-00008A680000}"/>
    <cellStyle name="Normal 4 2 18 2 5" xfId="17526" xr:uid="{00000000-0005-0000-0000-00008B680000}"/>
    <cellStyle name="Normal 4 2 18 2 5 2" xfId="37446" xr:uid="{00000000-0005-0000-0000-00008C680000}"/>
    <cellStyle name="Normal 4 2 18 2 6" xfId="25141" xr:uid="{00000000-0005-0000-0000-00008D680000}"/>
    <cellStyle name="Normal 4 2 18 3" xfId="5912" xr:uid="{00000000-0005-0000-0000-00008E680000}"/>
    <cellStyle name="Normal 4 2 18 3 2" xfId="9012" xr:uid="{00000000-0005-0000-0000-00008F680000}"/>
    <cellStyle name="Normal 4 2 18 3 2 2" xfId="15205" xr:uid="{00000000-0005-0000-0000-000090680000}"/>
    <cellStyle name="Normal 4 2 18 3 2 2 2" xfId="35125" xr:uid="{00000000-0005-0000-0000-000091680000}"/>
    <cellStyle name="Normal 4 2 18 3 2 3" xfId="21357" xr:uid="{00000000-0005-0000-0000-000092680000}"/>
    <cellStyle name="Normal 4 2 18 3 2 3 2" xfId="41277" xr:uid="{00000000-0005-0000-0000-000093680000}"/>
    <cellStyle name="Normal 4 2 18 3 2 4" xfId="28972" xr:uid="{00000000-0005-0000-0000-000094680000}"/>
    <cellStyle name="Normal 4 2 18 3 3" xfId="12139" xr:uid="{00000000-0005-0000-0000-000095680000}"/>
    <cellStyle name="Normal 4 2 18 3 3 2" xfId="32059" xr:uid="{00000000-0005-0000-0000-000096680000}"/>
    <cellStyle name="Normal 4 2 18 3 4" xfId="18291" xr:uid="{00000000-0005-0000-0000-000097680000}"/>
    <cellStyle name="Normal 4 2 18 3 4 2" xfId="38211" xr:uid="{00000000-0005-0000-0000-000098680000}"/>
    <cellStyle name="Normal 4 2 18 3 5" xfId="25906" xr:uid="{00000000-0005-0000-0000-000099680000}"/>
    <cellStyle name="Normal 4 2 18 4" xfId="7477" xr:uid="{00000000-0005-0000-0000-00009A680000}"/>
    <cellStyle name="Normal 4 2 18 4 2" xfId="13671" xr:uid="{00000000-0005-0000-0000-00009B680000}"/>
    <cellStyle name="Normal 4 2 18 4 2 2" xfId="33591" xr:uid="{00000000-0005-0000-0000-00009C680000}"/>
    <cellStyle name="Normal 4 2 18 4 3" xfId="19823" xr:uid="{00000000-0005-0000-0000-00009D680000}"/>
    <cellStyle name="Normal 4 2 18 4 3 2" xfId="39743" xr:uid="{00000000-0005-0000-0000-00009E680000}"/>
    <cellStyle name="Normal 4 2 18 4 4" xfId="27438" xr:uid="{00000000-0005-0000-0000-00009F680000}"/>
    <cellStyle name="Normal 4 2 18 5" xfId="10605" xr:uid="{00000000-0005-0000-0000-0000A0680000}"/>
    <cellStyle name="Normal 4 2 18 5 2" xfId="30525" xr:uid="{00000000-0005-0000-0000-0000A1680000}"/>
    <cellStyle name="Normal 4 2 18 6" xfId="16757" xr:uid="{00000000-0005-0000-0000-0000A2680000}"/>
    <cellStyle name="Normal 4 2 18 6 2" xfId="36677" xr:uid="{00000000-0005-0000-0000-0000A3680000}"/>
    <cellStyle name="Normal 4 2 18 7" xfId="24372" xr:uid="{00000000-0005-0000-0000-0000A4680000}"/>
    <cellStyle name="Normal 4 2 19" xfId="3829" xr:uid="{00000000-0005-0000-0000-0000A5680000}"/>
    <cellStyle name="Normal 4 2 19 2" xfId="5071" xr:uid="{00000000-0005-0000-0000-0000A6680000}"/>
    <cellStyle name="Normal 4 2 19 2 2" xfId="6696" xr:uid="{00000000-0005-0000-0000-0000A7680000}"/>
    <cellStyle name="Normal 4 2 19 2 2 2" xfId="9782" xr:uid="{00000000-0005-0000-0000-0000A8680000}"/>
    <cellStyle name="Normal 4 2 19 2 2 2 2" xfId="15975" xr:uid="{00000000-0005-0000-0000-0000A9680000}"/>
    <cellStyle name="Normal 4 2 19 2 2 2 2 2" xfId="35895" xr:uid="{00000000-0005-0000-0000-0000AA680000}"/>
    <cellStyle name="Normal 4 2 19 2 2 2 3" xfId="22127" xr:uid="{00000000-0005-0000-0000-0000AB680000}"/>
    <cellStyle name="Normal 4 2 19 2 2 2 3 2" xfId="42047" xr:uid="{00000000-0005-0000-0000-0000AC680000}"/>
    <cellStyle name="Normal 4 2 19 2 2 2 4" xfId="29742" xr:uid="{00000000-0005-0000-0000-0000AD680000}"/>
    <cellStyle name="Normal 4 2 19 2 2 3" xfId="12909" xr:uid="{00000000-0005-0000-0000-0000AE680000}"/>
    <cellStyle name="Normal 4 2 19 2 2 3 2" xfId="32829" xr:uid="{00000000-0005-0000-0000-0000AF680000}"/>
    <cellStyle name="Normal 4 2 19 2 2 4" xfId="19061" xr:uid="{00000000-0005-0000-0000-0000B0680000}"/>
    <cellStyle name="Normal 4 2 19 2 2 4 2" xfId="38981" xr:uid="{00000000-0005-0000-0000-0000B1680000}"/>
    <cellStyle name="Normal 4 2 19 2 2 5" xfId="26676" xr:uid="{00000000-0005-0000-0000-0000B2680000}"/>
    <cellStyle name="Normal 4 2 19 2 3" xfId="8247" xr:uid="{00000000-0005-0000-0000-0000B3680000}"/>
    <cellStyle name="Normal 4 2 19 2 3 2" xfId="14441" xr:uid="{00000000-0005-0000-0000-0000B4680000}"/>
    <cellStyle name="Normal 4 2 19 2 3 2 2" xfId="34361" xr:uid="{00000000-0005-0000-0000-0000B5680000}"/>
    <cellStyle name="Normal 4 2 19 2 3 3" xfId="20593" xr:uid="{00000000-0005-0000-0000-0000B6680000}"/>
    <cellStyle name="Normal 4 2 19 2 3 3 2" xfId="40513" xr:uid="{00000000-0005-0000-0000-0000B7680000}"/>
    <cellStyle name="Normal 4 2 19 2 3 4" xfId="28208" xr:uid="{00000000-0005-0000-0000-0000B8680000}"/>
    <cellStyle name="Normal 4 2 19 2 4" xfId="11375" xr:uid="{00000000-0005-0000-0000-0000B9680000}"/>
    <cellStyle name="Normal 4 2 19 2 4 2" xfId="31295" xr:uid="{00000000-0005-0000-0000-0000BA680000}"/>
    <cellStyle name="Normal 4 2 19 2 5" xfId="17527" xr:uid="{00000000-0005-0000-0000-0000BB680000}"/>
    <cellStyle name="Normal 4 2 19 2 5 2" xfId="37447" xr:uid="{00000000-0005-0000-0000-0000BC680000}"/>
    <cellStyle name="Normal 4 2 19 2 6" xfId="25142" xr:uid="{00000000-0005-0000-0000-0000BD680000}"/>
    <cellStyle name="Normal 4 2 19 3" xfId="5913" xr:uid="{00000000-0005-0000-0000-0000BE680000}"/>
    <cellStyle name="Normal 4 2 19 3 2" xfId="9013" xr:uid="{00000000-0005-0000-0000-0000BF680000}"/>
    <cellStyle name="Normal 4 2 19 3 2 2" xfId="15206" xr:uid="{00000000-0005-0000-0000-0000C0680000}"/>
    <cellStyle name="Normal 4 2 19 3 2 2 2" xfId="35126" xr:uid="{00000000-0005-0000-0000-0000C1680000}"/>
    <cellStyle name="Normal 4 2 19 3 2 3" xfId="21358" xr:uid="{00000000-0005-0000-0000-0000C2680000}"/>
    <cellStyle name="Normal 4 2 19 3 2 3 2" xfId="41278" xr:uid="{00000000-0005-0000-0000-0000C3680000}"/>
    <cellStyle name="Normal 4 2 19 3 2 4" xfId="28973" xr:uid="{00000000-0005-0000-0000-0000C4680000}"/>
    <cellStyle name="Normal 4 2 19 3 3" xfId="12140" xr:uid="{00000000-0005-0000-0000-0000C5680000}"/>
    <cellStyle name="Normal 4 2 19 3 3 2" xfId="32060" xr:uid="{00000000-0005-0000-0000-0000C6680000}"/>
    <cellStyle name="Normal 4 2 19 3 4" xfId="18292" xr:uid="{00000000-0005-0000-0000-0000C7680000}"/>
    <cellStyle name="Normal 4 2 19 3 4 2" xfId="38212" xr:uid="{00000000-0005-0000-0000-0000C8680000}"/>
    <cellStyle name="Normal 4 2 19 3 5" xfId="25907" xr:uid="{00000000-0005-0000-0000-0000C9680000}"/>
    <cellStyle name="Normal 4 2 19 4" xfId="7478" xr:uid="{00000000-0005-0000-0000-0000CA680000}"/>
    <cellStyle name="Normal 4 2 19 4 2" xfId="13672" xr:uid="{00000000-0005-0000-0000-0000CB680000}"/>
    <cellStyle name="Normal 4 2 19 4 2 2" xfId="33592" xr:uid="{00000000-0005-0000-0000-0000CC680000}"/>
    <cellStyle name="Normal 4 2 19 4 3" xfId="19824" xr:uid="{00000000-0005-0000-0000-0000CD680000}"/>
    <cellStyle name="Normal 4 2 19 4 3 2" xfId="39744" xr:uid="{00000000-0005-0000-0000-0000CE680000}"/>
    <cellStyle name="Normal 4 2 19 4 4" xfId="27439" xr:uid="{00000000-0005-0000-0000-0000CF680000}"/>
    <cellStyle name="Normal 4 2 19 5" xfId="10606" xr:uid="{00000000-0005-0000-0000-0000D0680000}"/>
    <cellStyle name="Normal 4 2 19 5 2" xfId="30526" xr:uid="{00000000-0005-0000-0000-0000D1680000}"/>
    <cellStyle name="Normal 4 2 19 6" xfId="16758" xr:uid="{00000000-0005-0000-0000-0000D2680000}"/>
    <cellStyle name="Normal 4 2 19 6 2" xfId="36678" xr:uid="{00000000-0005-0000-0000-0000D3680000}"/>
    <cellStyle name="Normal 4 2 19 7" xfId="24373" xr:uid="{00000000-0005-0000-0000-0000D4680000}"/>
    <cellStyle name="Normal 4 2 2" xfId="3830" xr:uid="{00000000-0005-0000-0000-0000D5680000}"/>
    <cellStyle name="Normal 4 2 2 10" xfId="16759" xr:uid="{00000000-0005-0000-0000-0000D6680000}"/>
    <cellStyle name="Normal 4 2 2 10 2" xfId="36679" xr:uid="{00000000-0005-0000-0000-0000D7680000}"/>
    <cellStyle name="Normal 4 2 2 11" xfId="24374" xr:uid="{00000000-0005-0000-0000-0000D8680000}"/>
    <cellStyle name="Normal 4 2 2 2" xfId="3831" xr:uid="{00000000-0005-0000-0000-0000D9680000}"/>
    <cellStyle name="Normal 4 2 2 2 2" xfId="5073" xr:uid="{00000000-0005-0000-0000-0000DA680000}"/>
    <cellStyle name="Normal 4 2 2 2 2 2" xfId="6698" xr:uid="{00000000-0005-0000-0000-0000DB680000}"/>
    <cellStyle name="Normal 4 2 2 2 2 2 2" xfId="9784" xr:uid="{00000000-0005-0000-0000-0000DC680000}"/>
    <cellStyle name="Normal 4 2 2 2 2 2 2 2" xfId="15977" xr:uid="{00000000-0005-0000-0000-0000DD680000}"/>
    <cellStyle name="Normal 4 2 2 2 2 2 2 2 2" xfId="35897" xr:uid="{00000000-0005-0000-0000-0000DE680000}"/>
    <cellStyle name="Normal 4 2 2 2 2 2 2 3" xfId="22129" xr:uid="{00000000-0005-0000-0000-0000DF680000}"/>
    <cellStyle name="Normal 4 2 2 2 2 2 2 3 2" xfId="42049" xr:uid="{00000000-0005-0000-0000-0000E0680000}"/>
    <cellStyle name="Normal 4 2 2 2 2 2 2 4" xfId="29744" xr:uid="{00000000-0005-0000-0000-0000E1680000}"/>
    <cellStyle name="Normal 4 2 2 2 2 2 3" xfId="12911" xr:uid="{00000000-0005-0000-0000-0000E2680000}"/>
    <cellStyle name="Normal 4 2 2 2 2 2 3 2" xfId="32831" xr:uid="{00000000-0005-0000-0000-0000E3680000}"/>
    <cellStyle name="Normal 4 2 2 2 2 2 4" xfId="19063" xr:uid="{00000000-0005-0000-0000-0000E4680000}"/>
    <cellStyle name="Normal 4 2 2 2 2 2 4 2" xfId="38983" xr:uid="{00000000-0005-0000-0000-0000E5680000}"/>
    <cellStyle name="Normal 4 2 2 2 2 2 5" xfId="26678" xr:uid="{00000000-0005-0000-0000-0000E6680000}"/>
    <cellStyle name="Normal 4 2 2 2 2 3" xfId="8249" xr:uid="{00000000-0005-0000-0000-0000E7680000}"/>
    <cellStyle name="Normal 4 2 2 2 2 3 2" xfId="14443" xr:uid="{00000000-0005-0000-0000-0000E8680000}"/>
    <cellStyle name="Normal 4 2 2 2 2 3 2 2" xfId="34363" xr:uid="{00000000-0005-0000-0000-0000E9680000}"/>
    <cellStyle name="Normal 4 2 2 2 2 3 3" xfId="20595" xr:uid="{00000000-0005-0000-0000-0000EA680000}"/>
    <cellStyle name="Normal 4 2 2 2 2 3 3 2" xfId="40515" xr:uid="{00000000-0005-0000-0000-0000EB680000}"/>
    <cellStyle name="Normal 4 2 2 2 2 3 4" xfId="28210" xr:uid="{00000000-0005-0000-0000-0000EC680000}"/>
    <cellStyle name="Normal 4 2 2 2 2 4" xfId="11377" xr:uid="{00000000-0005-0000-0000-0000ED680000}"/>
    <cellStyle name="Normal 4 2 2 2 2 4 2" xfId="31297" xr:uid="{00000000-0005-0000-0000-0000EE680000}"/>
    <cellStyle name="Normal 4 2 2 2 2 5" xfId="17529" xr:uid="{00000000-0005-0000-0000-0000EF680000}"/>
    <cellStyle name="Normal 4 2 2 2 2 5 2" xfId="37449" xr:uid="{00000000-0005-0000-0000-0000F0680000}"/>
    <cellStyle name="Normal 4 2 2 2 2 6" xfId="25144" xr:uid="{00000000-0005-0000-0000-0000F1680000}"/>
    <cellStyle name="Normal 4 2 2 2 3" xfId="5915" xr:uid="{00000000-0005-0000-0000-0000F2680000}"/>
    <cellStyle name="Normal 4 2 2 2 3 2" xfId="9015" xr:uid="{00000000-0005-0000-0000-0000F3680000}"/>
    <cellStyle name="Normal 4 2 2 2 3 2 2" xfId="15208" xr:uid="{00000000-0005-0000-0000-0000F4680000}"/>
    <cellStyle name="Normal 4 2 2 2 3 2 2 2" xfId="35128" xr:uid="{00000000-0005-0000-0000-0000F5680000}"/>
    <cellStyle name="Normal 4 2 2 2 3 2 3" xfId="21360" xr:uid="{00000000-0005-0000-0000-0000F6680000}"/>
    <cellStyle name="Normal 4 2 2 2 3 2 3 2" xfId="41280" xr:uid="{00000000-0005-0000-0000-0000F7680000}"/>
    <cellStyle name="Normal 4 2 2 2 3 2 4" xfId="28975" xr:uid="{00000000-0005-0000-0000-0000F8680000}"/>
    <cellStyle name="Normal 4 2 2 2 3 3" xfId="12142" xr:uid="{00000000-0005-0000-0000-0000F9680000}"/>
    <cellStyle name="Normal 4 2 2 2 3 3 2" xfId="32062" xr:uid="{00000000-0005-0000-0000-0000FA680000}"/>
    <cellStyle name="Normal 4 2 2 2 3 4" xfId="18294" xr:uid="{00000000-0005-0000-0000-0000FB680000}"/>
    <cellStyle name="Normal 4 2 2 2 3 4 2" xfId="38214" xr:uid="{00000000-0005-0000-0000-0000FC680000}"/>
    <cellStyle name="Normal 4 2 2 2 3 5" xfId="25909" xr:uid="{00000000-0005-0000-0000-0000FD680000}"/>
    <cellStyle name="Normal 4 2 2 2 4" xfId="7480" xr:uid="{00000000-0005-0000-0000-0000FE680000}"/>
    <cellStyle name="Normal 4 2 2 2 4 2" xfId="13674" xr:uid="{00000000-0005-0000-0000-0000FF680000}"/>
    <cellStyle name="Normal 4 2 2 2 4 2 2" xfId="33594" xr:uid="{00000000-0005-0000-0000-000000690000}"/>
    <cellStyle name="Normal 4 2 2 2 4 3" xfId="19826" xr:uid="{00000000-0005-0000-0000-000001690000}"/>
    <cellStyle name="Normal 4 2 2 2 4 3 2" xfId="39746" xr:uid="{00000000-0005-0000-0000-000002690000}"/>
    <cellStyle name="Normal 4 2 2 2 4 4" xfId="27441" xr:uid="{00000000-0005-0000-0000-000003690000}"/>
    <cellStyle name="Normal 4 2 2 2 5" xfId="10608" xr:uid="{00000000-0005-0000-0000-000004690000}"/>
    <cellStyle name="Normal 4 2 2 2 5 2" xfId="30528" xr:uid="{00000000-0005-0000-0000-000005690000}"/>
    <cellStyle name="Normal 4 2 2 2 6" xfId="16760" xr:uid="{00000000-0005-0000-0000-000006690000}"/>
    <cellStyle name="Normal 4 2 2 2 6 2" xfId="36680" xr:uid="{00000000-0005-0000-0000-000007690000}"/>
    <cellStyle name="Normal 4 2 2 2 7" xfId="24375" xr:uid="{00000000-0005-0000-0000-000008690000}"/>
    <cellStyle name="Normal 4 2 2 3" xfId="3832" xr:uid="{00000000-0005-0000-0000-000009690000}"/>
    <cellStyle name="Normal 4 2 2 3 2" xfId="5074" xr:uid="{00000000-0005-0000-0000-00000A690000}"/>
    <cellStyle name="Normal 4 2 2 3 2 2" xfId="6699" xr:uid="{00000000-0005-0000-0000-00000B690000}"/>
    <cellStyle name="Normal 4 2 2 3 2 2 2" xfId="9785" xr:uid="{00000000-0005-0000-0000-00000C690000}"/>
    <cellStyle name="Normal 4 2 2 3 2 2 2 2" xfId="15978" xr:uid="{00000000-0005-0000-0000-00000D690000}"/>
    <cellStyle name="Normal 4 2 2 3 2 2 2 2 2" xfId="35898" xr:uid="{00000000-0005-0000-0000-00000E690000}"/>
    <cellStyle name="Normal 4 2 2 3 2 2 2 3" xfId="22130" xr:uid="{00000000-0005-0000-0000-00000F690000}"/>
    <cellStyle name="Normal 4 2 2 3 2 2 2 3 2" xfId="42050" xr:uid="{00000000-0005-0000-0000-000010690000}"/>
    <cellStyle name="Normal 4 2 2 3 2 2 2 4" xfId="29745" xr:uid="{00000000-0005-0000-0000-000011690000}"/>
    <cellStyle name="Normal 4 2 2 3 2 2 3" xfId="12912" xr:uid="{00000000-0005-0000-0000-000012690000}"/>
    <cellStyle name="Normal 4 2 2 3 2 2 3 2" xfId="32832" xr:uid="{00000000-0005-0000-0000-000013690000}"/>
    <cellStyle name="Normal 4 2 2 3 2 2 4" xfId="19064" xr:uid="{00000000-0005-0000-0000-000014690000}"/>
    <cellStyle name="Normal 4 2 2 3 2 2 4 2" xfId="38984" xr:uid="{00000000-0005-0000-0000-000015690000}"/>
    <cellStyle name="Normal 4 2 2 3 2 2 5" xfId="26679" xr:uid="{00000000-0005-0000-0000-000016690000}"/>
    <cellStyle name="Normal 4 2 2 3 2 3" xfId="8250" xr:uid="{00000000-0005-0000-0000-000017690000}"/>
    <cellStyle name="Normal 4 2 2 3 2 3 2" xfId="14444" xr:uid="{00000000-0005-0000-0000-000018690000}"/>
    <cellStyle name="Normal 4 2 2 3 2 3 2 2" xfId="34364" xr:uid="{00000000-0005-0000-0000-000019690000}"/>
    <cellStyle name="Normal 4 2 2 3 2 3 3" xfId="20596" xr:uid="{00000000-0005-0000-0000-00001A690000}"/>
    <cellStyle name="Normal 4 2 2 3 2 3 3 2" xfId="40516" xr:uid="{00000000-0005-0000-0000-00001B690000}"/>
    <cellStyle name="Normal 4 2 2 3 2 3 4" xfId="28211" xr:uid="{00000000-0005-0000-0000-00001C690000}"/>
    <cellStyle name="Normal 4 2 2 3 2 4" xfId="11378" xr:uid="{00000000-0005-0000-0000-00001D690000}"/>
    <cellStyle name="Normal 4 2 2 3 2 4 2" xfId="31298" xr:uid="{00000000-0005-0000-0000-00001E690000}"/>
    <cellStyle name="Normal 4 2 2 3 2 5" xfId="17530" xr:uid="{00000000-0005-0000-0000-00001F690000}"/>
    <cellStyle name="Normal 4 2 2 3 2 5 2" xfId="37450" xr:uid="{00000000-0005-0000-0000-000020690000}"/>
    <cellStyle name="Normal 4 2 2 3 2 6" xfId="25145" xr:uid="{00000000-0005-0000-0000-000021690000}"/>
    <cellStyle name="Normal 4 2 2 3 3" xfId="5916" xr:uid="{00000000-0005-0000-0000-000022690000}"/>
    <cellStyle name="Normal 4 2 2 3 3 2" xfId="9016" xr:uid="{00000000-0005-0000-0000-000023690000}"/>
    <cellStyle name="Normal 4 2 2 3 3 2 2" xfId="15209" xr:uid="{00000000-0005-0000-0000-000024690000}"/>
    <cellStyle name="Normal 4 2 2 3 3 2 2 2" xfId="35129" xr:uid="{00000000-0005-0000-0000-000025690000}"/>
    <cellStyle name="Normal 4 2 2 3 3 2 3" xfId="21361" xr:uid="{00000000-0005-0000-0000-000026690000}"/>
    <cellStyle name="Normal 4 2 2 3 3 2 3 2" xfId="41281" xr:uid="{00000000-0005-0000-0000-000027690000}"/>
    <cellStyle name="Normal 4 2 2 3 3 2 4" xfId="28976" xr:uid="{00000000-0005-0000-0000-000028690000}"/>
    <cellStyle name="Normal 4 2 2 3 3 3" xfId="12143" xr:uid="{00000000-0005-0000-0000-000029690000}"/>
    <cellStyle name="Normal 4 2 2 3 3 3 2" xfId="32063" xr:uid="{00000000-0005-0000-0000-00002A690000}"/>
    <cellStyle name="Normal 4 2 2 3 3 4" xfId="18295" xr:uid="{00000000-0005-0000-0000-00002B690000}"/>
    <cellStyle name="Normal 4 2 2 3 3 4 2" xfId="38215" xr:uid="{00000000-0005-0000-0000-00002C690000}"/>
    <cellStyle name="Normal 4 2 2 3 3 5" xfId="25910" xr:uid="{00000000-0005-0000-0000-00002D690000}"/>
    <cellStyle name="Normal 4 2 2 3 4" xfId="7481" xr:uid="{00000000-0005-0000-0000-00002E690000}"/>
    <cellStyle name="Normal 4 2 2 3 4 2" xfId="13675" xr:uid="{00000000-0005-0000-0000-00002F690000}"/>
    <cellStyle name="Normal 4 2 2 3 4 2 2" xfId="33595" xr:uid="{00000000-0005-0000-0000-000030690000}"/>
    <cellStyle name="Normal 4 2 2 3 4 3" xfId="19827" xr:uid="{00000000-0005-0000-0000-000031690000}"/>
    <cellStyle name="Normal 4 2 2 3 4 3 2" xfId="39747" xr:uid="{00000000-0005-0000-0000-000032690000}"/>
    <cellStyle name="Normal 4 2 2 3 4 4" xfId="27442" xr:uid="{00000000-0005-0000-0000-000033690000}"/>
    <cellStyle name="Normal 4 2 2 3 5" xfId="10609" xr:uid="{00000000-0005-0000-0000-000034690000}"/>
    <cellStyle name="Normal 4 2 2 3 5 2" xfId="30529" xr:uid="{00000000-0005-0000-0000-000035690000}"/>
    <cellStyle name="Normal 4 2 2 3 6" xfId="16761" xr:uid="{00000000-0005-0000-0000-000036690000}"/>
    <cellStyle name="Normal 4 2 2 3 6 2" xfId="36681" xr:uid="{00000000-0005-0000-0000-000037690000}"/>
    <cellStyle name="Normal 4 2 2 3 7" xfId="24376" xr:uid="{00000000-0005-0000-0000-000038690000}"/>
    <cellStyle name="Normal 4 2 2 4" xfId="3833" xr:uid="{00000000-0005-0000-0000-000039690000}"/>
    <cellStyle name="Normal 4 2 2 4 2" xfId="5075" xr:uid="{00000000-0005-0000-0000-00003A690000}"/>
    <cellStyle name="Normal 4 2 2 4 2 2" xfId="6700" xr:uid="{00000000-0005-0000-0000-00003B690000}"/>
    <cellStyle name="Normal 4 2 2 4 2 2 2" xfId="9786" xr:uid="{00000000-0005-0000-0000-00003C690000}"/>
    <cellStyle name="Normal 4 2 2 4 2 2 2 2" xfId="15979" xr:uid="{00000000-0005-0000-0000-00003D690000}"/>
    <cellStyle name="Normal 4 2 2 4 2 2 2 2 2" xfId="35899" xr:uid="{00000000-0005-0000-0000-00003E690000}"/>
    <cellStyle name="Normal 4 2 2 4 2 2 2 3" xfId="22131" xr:uid="{00000000-0005-0000-0000-00003F690000}"/>
    <cellStyle name="Normal 4 2 2 4 2 2 2 3 2" xfId="42051" xr:uid="{00000000-0005-0000-0000-000040690000}"/>
    <cellStyle name="Normal 4 2 2 4 2 2 2 4" xfId="29746" xr:uid="{00000000-0005-0000-0000-000041690000}"/>
    <cellStyle name="Normal 4 2 2 4 2 2 3" xfId="12913" xr:uid="{00000000-0005-0000-0000-000042690000}"/>
    <cellStyle name="Normal 4 2 2 4 2 2 3 2" xfId="32833" xr:uid="{00000000-0005-0000-0000-000043690000}"/>
    <cellStyle name="Normal 4 2 2 4 2 2 4" xfId="19065" xr:uid="{00000000-0005-0000-0000-000044690000}"/>
    <cellStyle name="Normal 4 2 2 4 2 2 4 2" xfId="38985" xr:uid="{00000000-0005-0000-0000-000045690000}"/>
    <cellStyle name="Normal 4 2 2 4 2 2 5" xfId="26680" xr:uid="{00000000-0005-0000-0000-000046690000}"/>
    <cellStyle name="Normal 4 2 2 4 2 3" xfId="8251" xr:uid="{00000000-0005-0000-0000-000047690000}"/>
    <cellStyle name="Normal 4 2 2 4 2 3 2" xfId="14445" xr:uid="{00000000-0005-0000-0000-000048690000}"/>
    <cellStyle name="Normal 4 2 2 4 2 3 2 2" xfId="34365" xr:uid="{00000000-0005-0000-0000-000049690000}"/>
    <cellStyle name="Normal 4 2 2 4 2 3 3" xfId="20597" xr:uid="{00000000-0005-0000-0000-00004A690000}"/>
    <cellStyle name="Normal 4 2 2 4 2 3 3 2" xfId="40517" xr:uid="{00000000-0005-0000-0000-00004B690000}"/>
    <cellStyle name="Normal 4 2 2 4 2 3 4" xfId="28212" xr:uid="{00000000-0005-0000-0000-00004C690000}"/>
    <cellStyle name="Normal 4 2 2 4 2 4" xfId="11379" xr:uid="{00000000-0005-0000-0000-00004D690000}"/>
    <cellStyle name="Normal 4 2 2 4 2 4 2" xfId="31299" xr:uid="{00000000-0005-0000-0000-00004E690000}"/>
    <cellStyle name="Normal 4 2 2 4 2 5" xfId="17531" xr:uid="{00000000-0005-0000-0000-00004F690000}"/>
    <cellStyle name="Normal 4 2 2 4 2 5 2" xfId="37451" xr:uid="{00000000-0005-0000-0000-000050690000}"/>
    <cellStyle name="Normal 4 2 2 4 2 6" xfId="25146" xr:uid="{00000000-0005-0000-0000-000051690000}"/>
    <cellStyle name="Normal 4 2 2 4 3" xfId="5917" xr:uid="{00000000-0005-0000-0000-000052690000}"/>
    <cellStyle name="Normal 4 2 2 4 3 2" xfId="9017" xr:uid="{00000000-0005-0000-0000-000053690000}"/>
    <cellStyle name="Normal 4 2 2 4 3 2 2" xfId="15210" xr:uid="{00000000-0005-0000-0000-000054690000}"/>
    <cellStyle name="Normal 4 2 2 4 3 2 2 2" xfId="35130" xr:uid="{00000000-0005-0000-0000-000055690000}"/>
    <cellStyle name="Normal 4 2 2 4 3 2 3" xfId="21362" xr:uid="{00000000-0005-0000-0000-000056690000}"/>
    <cellStyle name="Normal 4 2 2 4 3 2 3 2" xfId="41282" xr:uid="{00000000-0005-0000-0000-000057690000}"/>
    <cellStyle name="Normal 4 2 2 4 3 2 4" xfId="28977" xr:uid="{00000000-0005-0000-0000-000058690000}"/>
    <cellStyle name="Normal 4 2 2 4 3 3" xfId="12144" xr:uid="{00000000-0005-0000-0000-000059690000}"/>
    <cellStyle name="Normal 4 2 2 4 3 3 2" xfId="32064" xr:uid="{00000000-0005-0000-0000-00005A690000}"/>
    <cellStyle name="Normal 4 2 2 4 3 4" xfId="18296" xr:uid="{00000000-0005-0000-0000-00005B690000}"/>
    <cellStyle name="Normal 4 2 2 4 3 4 2" xfId="38216" xr:uid="{00000000-0005-0000-0000-00005C690000}"/>
    <cellStyle name="Normal 4 2 2 4 3 5" xfId="25911" xr:uid="{00000000-0005-0000-0000-00005D690000}"/>
    <cellStyle name="Normal 4 2 2 4 4" xfId="7482" xr:uid="{00000000-0005-0000-0000-00005E690000}"/>
    <cellStyle name="Normal 4 2 2 4 4 2" xfId="13676" xr:uid="{00000000-0005-0000-0000-00005F690000}"/>
    <cellStyle name="Normal 4 2 2 4 4 2 2" xfId="33596" xr:uid="{00000000-0005-0000-0000-000060690000}"/>
    <cellStyle name="Normal 4 2 2 4 4 3" xfId="19828" xr:uid="{00000000-0005-0000-0000-000061690000}"/>
    <cellStyle name="Normal 4 2 2 4 4 3 2" xfId="39748" xr:uid="{00000000-0005-0000-0000-000062690000}"/>
    <cellStyle name="Normal 4 2 2 4 4 4" xfId="27443" xr:uid="{00000000-0005-0000-0000-000063690000}"/>
    <cellStyle name="Normal 4 2 2 4 5" xfId="10610" xr:uid="{00000000-0005-0000-0000-000064690000}"/>
    <cellStyle name="Normal 4 2 2 4 5 2" xfId="30530" xr:uid="{00000000-0005-0000-0000-000065690000}"/>
    <cellStyle name="Normal 4 2 2 4 6" xfId="16762" xr:uid="{00000000-0005-0000-0000-000066690000}"/>
    <cellStyle name="Normal 4 2 2 4 6 2" xfId="36682" xr:uid="{00000000-0005-0000-0000-000067690000}"/>
    <cellStyle name="Normal 4 2 2 4 7" xfId="24377" xr:uid="{00000000-0005-0000-0000-000068690000}"/>
    <cellStyle name="Normal 4 2 2 5" xfId="3834" xr:uid="{00000000-0005-0000-0000-000069690000}"/>
    <cellStyle name="Normal 4 2 2 5 2" xfId="5076" xr:uid="{00000000-0005-0000-0000-00006A690000}"/>
    <cellStyle name="Normal 4 2 2 5 2 2" xfId="6701" xr:uid="{00000000-0005-0000-0000-00006B690000}"/>
    <cellStyle name="Normal 4 2 2 5 2 2 2" xfId="9787" xr:uid="{00000000-0005-0000-0000-00006C690000}"/>
    <cellStyle name="Normal 4 2 2 5 2 2 2 2" xfId="15980" xr:uid="{00000000-0005-0000-0000-00006D690000}"/>
    <cellStyle name="Normal 4 2 2 5 2 2 2 2 2" xfId="35900" xr:uid="{00000000-0005-0000-0000-00006E690000}"/>
    <cellStyle name="Normal 4 2 2 5 2 2 2 3" xfId="22132" xr:uid="{00000000-0005-0000-0000-00006F690000}"/>
    <cellStyle name="Normal 4 2 2 5 2 2 2 3 2" xfId="42052" xr:uid="{00000000-0005-0000-0000-000070690000}"/>
    <cellStyle name="Normal 4 2 2 5 2 2 2 4" xfId="29747" xr:uid="{00000000-0005-0000-0000-000071690000}"/>
    <cellStyle name="Normal 4 2 2 5 2 2 3" xfId="12914" xr:uid="{00000000-0005-0000-0000-000072690000}"/>
    <cellStyle name="Normal 4 2 2 5 2 2 3 2" xfId="32834" xr:uid="{00000000-0005-0000-0000-000073690000}"/>
    <cellStyle name="Normal 4 2 2 5 2 2 4" xfId="19066" xr:uid="{00000000-0005-0000-0000-000074690000}"/>
    <cellStyle name="Normal 4 2 2 5 2 2 4 2" xfId="38986" xr:uid="{00000000-0005-0000-0000-000075690000}"/>
    <cellStyle name="Normal 4 2 2 5 2 2 5" xfId="26681" xr:uid="{00000000-0005-0000-0000-000076690000}"/>
    <cellStyle name="Normal 4 2 2 5 2 3" xfId="8252" xr:uid="{00000000-0005-0000-0000-000077690000}"/>
    <cellStyle name="Normal 4 2 2 5 2 3 2" xfId="14446" xr:uid="{00000000-0005-0000-0000-000078690000}"/>
    <cellStyle name="Normal 4 2 2 5 2 3 2 2" xfId="34366" xr:uid="{00000000-0005-0000-0000-000079690000}"/>
    <cellStyle name="Normal 4 2 2 5 2 3 3" xfId="20598" xr:uid="{00000000-0005-0000-0000-00007A690000}"/>
    <cellStyle name="Normal 4 2 2 5 2 3 3 2" xfId="40518" xr:uid="{00000000-0005-0000-0000-00007B690000}"/>
    <cellStyle name="Normal 4 2 2 5 2 3 4" xfId="28213" xr:uid="{00000000-0005-0000-0000-00007C690000}"/>
    <cellStyle name="Normal 4 2 2 5 2 4" xfId="11380" xr:uid="{00000000-0005-0000-0000-00007D690000}"/>
    <cellStyle name="Normal 4 2 2 5 2 4 2" xfId="31300" xr:uid="{00000000-0005-0000-0000-00007E690000}"/>
    <cellStyle name="Normal 4 2 2 5 2 5" xfId="17532" xr:uid="{00000000-0005-0000-0000-00007F690000}"/>
    <cellStyle name="Normal 4 2 2 5 2 5 2" xfId="37452" xr:uid="{00000000-0005-0000-0000-000080690000}"/>
    <cellStyle name="Normal 4 2 2 5 2 6" xfId="25147" xr:uid="{00000000-0005-0000-0000-000081690000}"/>
    <cellStyle name="Normal 4 2 2 5 3" xfId="5918" xr:uid="{00000000-0005-0000-0000-000082690000}"/>
    <cellStyle name="Normal 4 2 2 5 3 2" xfId="9018" xr:uid="{00000000-0005-0000-0000-000083690000}"/>
    <cellStyle name="Normal 4 2 2 5 3 2 2" xfId="15211" xr:uid="{00000000-0005-0000-0000-000084690000}"/>
    <cellStyle name="Normal 4 2 2 5 3 2 2 2" xfId="35131" xr:uid="{00000000-0005-0000-0000-000085690000}"/>
    <cellStyle name="Normal 4 2 2 5 3 2 3" xfId="21363" xr:uid="{00000000-0005-0000-0000-000086690000}"/>
    <cellStyle name="Normal 4 2 2 5 3 2 3 2" xfId="41283" xr:uid="{00000000-0005-0000-0000-000087690000}"/>
    <cellStyle name="Normal 4 2 2 5 3 2 4" xfId="28978" xr:uid="{00000000-0005-0000-0000-000088690000}"/>
    <cellStyle name="Normal 4 2 2 5 3 3" xfId="12145" xr:uid="{00000000-0005-0000-0000-000089690000}"/>
    <cellStyle name="Normal 4 2 2 5 3 3 2" xfId="32065" xr:uid="{00000000-0005-0000-0000-00008A690000}"/>
    <cellStyle name="Normal 4 2 2 5 3 4" xfId="18297" xr:uid="{00000000-0005-0000-0000-00008B690000}"/>
    <cellStyle name="Normal 4 2 2 5 3 4 2" xfId="38217" xr:uid="{00000000-0005-0000-0000-00008C690000}"/>
    <cellStyle name="Normal 4 2 2 5 3 5" xfId="25912" xr:uid="{00000000-0005-0000-0000-00008D690000}"/>
    <cellStyle name="Normal 4 2 2 5 4" xfId="7483" xr:uid="{00000000-0005-0000-0000-00008E690000}"/>
    <cellStyle name="Normal 4 2 2 5 4 2" xfId="13677" xr:uid="{00000000-0005-0000-0000-00008F690000}"/>
    <cellStyle name="Normal 4 2 2 5 4 2 2" xfId="33597" xr:uid="{00000000-0005-0000-0000-000090690000}"/>
    <cellStyle name="Normal 4 2 2 5 4 3" xfId="19829" xr:uid="{00000000-0005-0000-0000-000091690000}"/>
    <cellStyle name="Normal 4 2 2 5 4 3 2" xfId="39749" xr:uid="{00000000-0005-0000-0000-000092690000}"/>
    <cellStyle name="Normal 4 2 2 5 4 4" xfId="27444" xr:uid="{00000000-0005-0000-0000-000093690000}"/>
    <cellStyle name="Normal 4 2 2 5 5" xfId="10611" xr:uid="{00000000-0005-0000-0000-000094690000}"/>
    <cellStyle name="Normal 4 2 2 5 5 2" xfId="30531" xr:uid="{00000000-0005-0000-0000-000095690000}"/>
    <cellStyle name="Normal 4 2 2 5 6" xfId="16763" xr:uid="{00000000-0005-0000-0000-000096690000}"/>
    <cellStyle name="Normal 4 2 2 5 6 2" xfId="36683" xr:uid="{00000000-0005-0000-0000-000097690000}"/>
    <cellStyle name="Normal 4 2 2 5 7" xfId="24378" xr:uid="{00000000-0005-0000-0000-000098690000}"/>
    <cellStyle name="Normal 4 2 2 6" xfId="5072" xr:uid="{00000000-0005-0000-0000-000099690000}"/>
    <cellStyle name="Normal 4 2 2 6 2" xfId="6697" xr:uid="{00000000-0005-0000-0000-00009A690000}"/>
    <cellStyle name="Normal 4 2 2 6 2 2" xfId="9783" xr:uid="{00000000-0005-0000-0000-00009B690000}"/>
    <cellStyle name="Normal 4 2 2 6 2 2 2" xfId="15976" xr:uid="{00000000-0005-0000-0000-00009C690000}"/>
    <cellStyle name="Normal 4 2 2 6 2 2 2 2" xfId="35896" xr:uid="{00000000-0005-0000-0000-00009D690000}"/>
    <cellStyle name="Normal 4 2 2 6 2 2 3" xfId="22128" xr:uid="{00000000-0005-0000-0000-00009E690000}"/>
    <cellStyle name="Normal 4 2 2 6 2 2 3 2" xfId="42048" xr:uid="{00000000-0005-0000-0000-00009F690000}"/>
    <cellStyle name="Normal 4 2 2 6 2 2 4" xfId="29743" xr:uid="{00000000-0005-0000-0000-0000A0690000}"/>
    <cellStyle name="Normal 4 2 2 6 2 3" xfId="12910" xr:uid="{00000000-0005-0000-0000-0000A1690000}"/>
    <cellStyle name="Normal 4 2 2 6 2 3 2" xfId="32830" xr:uid="{00000000-0005-0000-0000-0000A2690000}"/>
    <cellStyle name="Normal 4 2 2 6 2 4" xfId="19062" xr:uid="{00000000-0005-0000-0000-0000A3690000}"/>
    <cellStyle name="Normal 4 2 2 6 2 4 2" xfId="38982" xr:uid="{00000000-0005-0000-0000-0000A4690000}"/>
    <cellStyle name="Normal 4 2 2 6 2 5" xfId="26677" xr:uid="{00000000-0005-0000-0000-0000A5690000}"/>
    <cellStyle name="Normal 4 2 2 6 3" xfId="8248" xr:uid="{00000000-0005-0000-0000-0000A6690000}"/>
    <cellStyle name="Normal 4 2 2 6 3 2" xfId="14442" xr:uid="{00000000-0005-0000-0000-0000A7690000}"/>
    <cellStyle name="Normal 4 2 2 6 3 2 2" xfId="34362" xr:uid="{00000000-0005-0000-0000-0000A8690000}"/>
    <cellStyle name="Normal 4 2 2 6 3 3" xfId="20594" xr:uid="{00000000-0005-0000-0000-0000A9690000}"/>
    <cellStyle name="Normal 4 2 2 6 3 3 2" xfId="40514" xr:uid="{00000000-0005-0000-0000-0000AA690000}"/>
    <cellStyle name="Normal 4 2 2 6 3 4" xfId="28209" xr:uid="{00000000-0005-0000-0000-0000AB690000}"/>
    <cellStyle name="Normal 4 2 2 6 4" xfId="11376" xr:uid="{00000000-0005-0000-0000-0000AC690000}"/>
    <cellStyle name="Normal 4 2 2 6 4 2" xfId="31296" xr:uid="{00000000-0005-0000-0000-0000AD690000}"/>
    <cellStyle name="Normal 4 2 2 6 5" xfId="17528" xr:uid="{00000000-0005-0000-0000-0000AE690000}"/>
    <cellStyle name="Normal 4 2 2 6 5 2" xfId="37448" xr:uid="{00000000-0005-0000-0000-0000AF690000}"/>
    <cellStyle name="Normal 4 2 2 6 6" xfId="25143" xr:uid="{00000000-0005-0000-0000-0000B0690000}"/>
    <cellStyle name="Normal 4 2 2 7" xfId="5914" xr:uid="{00000000-0005-0000-0000-0000B1690000}"/>
    <cellStyle name="Normal 4 2 2 7 2" xfId="9014" xr:uid="{00000000-0005-0000-0000-0000B2690000}"/>
    <cellStyle name="Normal 4 2 2 7 2 2" xfId="15207" xr:uid="{00000000-0005-0000-0000-0000B3690000}"/>
    <cellStyle name="Normal 4 2 2 7 2 2 2" xfId="35127" xr:uid="{00000000-0005-0000-0000-0000B4690000}"/>
    <cellStyle name="Normal 4 2 2 7 2 3" xfId="21359" xr:uid="{00000000-0005-0000-0000-0000B5690000}"/>
    <cellStyle name="Normal 4 2 2 7 2 3 2" xfId="41279" xr:uid="{00000000-0005-0000-0000-0000B6690000}"/>
    <cellStyle name="Normal 4 2 2 7 2 4" xfId="28974" xr:uid="{00000000-0005-0000-0000-0000B7690000}"/>
    <cellStyle name="Normal 4 2 2 7 3" xfId="12141" xr:uid="{00000000-0005-0000-0000-0000B8690000}"/>
    <cellStyle name="Normal 4 2 2 7 3 2" xfId="32061" xr:uid="{00000000-0005-0000-0000-0000B9690000}"/>
    <cellStyle name="Normal 4 2 2 7 4" xfId="18293" xr:uid="{00000000-0005-0000-0000-0000BA690000}"/>
    <cellStyle name="Normal 4 2 2 7 4 2" xfId="38213" xr:uid="{00000000-0005-0000-0000-0000BB690000}"/>
    <cellStyle name="Normal 4 2 2 7 5" xfId="25908" xr:uid="{00000000-0005-0000-0000-0000BC690000}"/>
    <cellStyle name="Normal 4 2 2 8" xfId="7479" xr:uid="{00000000-0005-0000-0000-0000BD690000}"/>
    <cellStyle name="Normal 4 2 2 8 2" xfId="13673" xr:uid="{00000000-0005-0000-0000-0000BE690000}"/>
    <cellStyle name="Normal 4 2 2 8 2 2" xfId="33593" xr:uid="{00000000-0005-0000-0000-0000BF690000}"/>
    <cellStyle name="Normal 4 2 2 8 3" xfId="19825" xr:uid="{00000000-0005-0000-0000-0000C0690000}"/>
    <cellStyle name="Normal 4 2 2 8 3 2" xfId="39745" xr:uid="{00000000-0005-0000-0000-0000C1690000}"/>
    <cellStyle name="Normal 4 2 2 8 4" xfId="27440" xr:uid="{00000000-0005-0000-0000-0000C2690000}"/>
    <cellStyle name="Normal 4 2 2 9" xfId="10607" xr:uid="{00000000-0005-0000-0000-0000C3690000}"/>
    <cellStyle name="Normal 4 2 2 9 2" xfId="30527" xr:uid="{00000000-0005-0000-0000-0000C4690000}"/>
    <cellStyle name="Normal 4 2 20" xfId="3835" xr:uid="{00000000-0005-0000-0000-0000C5690000}"/>
    <cellStyle name="Normal 4 2 20 2" xfId="5077" xr:uid="{00000000-0005-0000-0000-0000C6690000}"/>
    <cellStyle name="Normal 4 2 20 2 2" xfId="6702" xr:uid="{00000000-0005-0000-0000-0000C7690000}"/>
    <cellStyle name="Normal 4 2 20 2 2 2" xfId="9788" xr:uid="{00000000-0005-0000-0000-0000C8690000}"/>
    <cellStyle name="Normal 4 2 20 2 2 2 2" xfId="15981" xr:uid="{00000000-0005-0000-0000-0000C9690000}"/>
    <cellStyle name="Normal 4 2 20 2 2 2 2 2" xfId="35901" xr:uid="{00000000-0005-0000-0000-0000CA690000}"/>
    <cellStyle name="Normal 4 2 20 2 2 2 3" xfId="22133" xr:uid="{00000000-0005-0000-0000-0000CB690000}"/>
    <cellStyle name="Normal 4 2 20 2 2 2 3 2" xfId="42053" xr:uid="{00000000-0005-0000-0000-0000CC690000}"/>
    <cellStyle name="Normal 4 2 20 2 2 2 4" xfId="29748" xr:uid="{00000000-0005-0000-0000-0000CD690000}"/>
    <cellStyle name="Normal 4 2 20 2 2 3" xfId="12915" xr:uid="{00000000-0005-0000-0000-0000CE690000}"/>
    <cellStyle name="Normal 4 2 20 2 2 3 2" xfId="32835" xr:uid="{00000000-0005-0000-0000-0000CF690000}"/>
    <cellStyle name="Normal 4 2 20 2 2 4" xfId="19067" xr:uid="{00000000-0005-0000-0000-0000D0690000}"/>
    <cellStyle name="Normal 4 2 20 2 2 4 2" xfId="38987" xr:uid="{00000000-0005-0000-0000-0000D1690000}"/>
    <cellStyle name="Normal 4 2 20 2 2 5" xfId="26682" xr:uid="{00000000-0005-0000-0000-0000D2690000}"/>
    <cellStyle name="Normal 4 2 20 2 3" xfId="8253" xr:uid="{00000000-0005-0000-0000-0000D3690000}"/>
    <cellStyle name="Normal 4 2 20 2 3 2" xfId="14447" xr:uid="{00000000-0005-0000-0000-0000D4690000}"/>
    <cellStyle name="Normal 4 2 20 2 3 2 2" xfId="34367" xr:uid="{00000000-0005-0000-0000-0000D5690000}"/>
    <cellStyle name="Normal 4 2 20 2 3 3" xfId="20599" xr:uid="{00000000-0005-0000-0000-0000D6690000}"/>
    <cellStyle name="Normal 4 2 20 2 3 3 2" xfId="40519" xr:uid="{00000000-0005-0000-0000-0000D7690000}"/>
    <cellStyle name="Normal 4 2 20 2 3 4" xfId="28214" xr:uid="{00000000-0005-0000-0000-0000D8690000}"/>
    <cellStyle name="Normal 4 2 20 2 4" xfId="11381" xr:uid="{00000000-0005-0000-0000-0000D9690000}"/>
    <cellStyle name="Normal 4 2 20 2 4 2" xfId="31301" xr:uid="{00000000-0005-0000-0000-0000DA690000}"/>
    <cellStyle name="Normal 4 2 20 2 5" xfId="17533" xr:uid="{00000000-0005-0000-0000-0000DB690000}"/>
    <cellStyle name="Normal 4 2 20 2 5 2" xfId="37453" xr:uid="{00000000-0005-0000-0000-0000DC690000}"/>
    <cellStyle name="Normal 4 2 20 2 6" xfId="25148" xr:uid="{00000000-0005-0000-0000-0000DD690000}"/>
    <cellStyle name="Normal 4 2 20 3" xfId="5919" xr:uid="{00000000-0005-0000-0000-0000DE690000}"/>
    <cellStyle name="Normal 4 2 20 3 2" xfId="9019" xr:uid="{00000000-0005-0000-0000-0000DF690000}"/>
    <cellStyle name="Normal 4 2 20 3 2 2" xfId="15212" xr:uid="{00000000-0005-0000-0000-0000E0690000}"/>
    <cellStyle name="Normal 4 2 20 3 2 2 2" xfId="35132" xr:uid="{00000000-0005-0000-0000-0000E1690000}"/>
    <cellStyle name="Normal 4 2 20 3 2 3" xfId="21364" xr:uid="{00000000-0005-0000-0000-0000E2690000}"/>
    <cellStyle name="Normal 4 2 20 3 2 3 2" xfId="41284" xr:uid="{00000000-0005-0000-0000-0000E3690000}"/>
    <cellStyle name="Normal 4 2 20 3 2 4" xfId="28979" xr:uid="{00000000-0005-0000-0000-0000E4690000}"/>
    <cellStyle name="Normal 4 2 20 3 3" xfId="12146" xr:uid="{00000000-0005-0000-0000-0000E5690000}"/>
    <cellStyle name="Normal 4 2 20 3 3 2" xfId="32066" xr:uid="{00000000-0005-0000-0000-0000E6690000}"/>
    <cellStyle name="Normal 4 2 20 3 4" xfId="18298" xr:uid="{00000000-0005-0000-0000-0000E7690000}"/>
    <cellStyle name="Normal 4 2 20 3 4 2" xfId="38218" xr:uid="{00000000-0005-0000-0000-0000E8690000}"/>
    <cellStyle name="Normal 4 2 20 3 5" xfId="25913" xr:uid="{00000000-0005-0000-0000-0000E9690000}"/>
    <cellStyle name="Normal 4 2 20 4" xfId="7484" xr:uid="{00000000-0005-0000-0000-0000EA690000}"/>
    <cellStyle name="Normal 4 2 20 4 2" xfId="13678" xr:uid="{00000000-0005-0000-0000-0000EB690000}"/>
    <cellStyle name="Normal 4 2 20 4 2 2" xfId="33598" xr:uid="{00000000-0005-0000-0000-0000EC690000}"/>
    <cellStyle name="Normal 4 2 20 4 3" xfId="19830" xr:uid="{00000000-0005-0000-0000-0000ED690000}"/>
    <cellStyle name="Normal 4 2 20 4 3 2" xfId="39750" xr:uid="{00000000-0005-0000-0000-0000EE690000}"/>
    <cellStyle name="Normal 4 2 20 4 4" xfId="27445" xr:uid="{00000000-0005-0000-0000-0000EF690000}"/>
    <cellStyle name="Normal 4 2 20 5" xfId="10612" xr:uid="{00000000-0005-0000-0000-0000F0690000}"/>
    <cellStyle name="Normal 4 2 20 5 2" xfId="30532" xr:uid="{00000000-0005-0000-0000-0000F1690000}"/>
    <cellStyle name="Normal 4 2 20 6" xfId="16764" xr:uid="{00000000-0005-0000-0000-0000F2690000}"/>
    <cellStyle name="Normal 4 2 20 6 2" xfId="36684" xr:uid="{00000000-0005-0000-0000-0000F3690000}"/>
    <cellStyle name="Normal 4 2 20 7" xfId="24379" xr:uid="{00000000-0005-0000-0000-0000F4690000}"/>
    <cellStyle name="Normal 4 2 21" xfId="3836" xr:uid="{00000000-0005-0000-0000-0000F5690000}"/>
    <cellStyle name="Normal 4 2 21 2" xfId="5078" xr:uid="{00000000-0005-0000-0000-0000F6690000}"/>
    <cellStyle name="Normal 4 2 21 2 2" xfId="6703" xr:uid="{00000000-0005-0000-0000-0000F7690000}"/>
    <cellStyle name="Normal 4 2 21 2 2 2" xfId="9789" xr:uid="{00000000-0005-0000-0000-0000F8690000}"/>
    <cellStyle name="Normal 4 2 21 2 2 2 2" xfId="15982" xr:uid="{00000000-0005-0000-0000-0000F9690000}"/>
    <cellStyle name="Normal 4 2 21 2 2 2 2 2" xfId="35902" xr:uid="{00000000-0005-0000-0000-0000FA690000}"/>
    <cellStyle name="Normal 4 2 21 2 2 2 3" xfId="22134" xr:uid="{00000000-0005-0000-0000-0000FB690000}"/>
    <cellStyle name="Normal 4 2 21 2 2 2 3 2" xfId="42054" xr:uid="{00000000-0005-0000-0000-0000FC690000}"/>
    <cellStyle name="Normal 4 2 21 2 2 2 4" xfId="29749" xr:uid="{00000000-0005-0000-0000-0000FD690000}"/>
    <cellStyle name="Normal 4 2 21 2 2 3" xfId="12916" xr:uid="{00000000-0005-0000-0000-0000FE690000}"/>
    <cellStyle name="Normal 4 2 21 2 2 3 2" xfId="32836" xr:uid="{00000000-0005-0000-0000-0000FF690000}"/>
    <cellStyle name="Normal 4 2 21 2 2 4" xfId="19068" xr:uid="{00000000-0005-0000-0000-0000006A0000}"/>
    <cellStyle name="Normal 4 2 21 2 2 4 2" xfId="38988" xr:uid="{00000000-0005-0000-0000-0000016A0000}"/>
    <cellStyle name="Normal 4 2 21 2 2 5" xfId="26683" xr:uid="{00000000-0005-0000-0000-0000026A0000}"/>
    <cellStyle name="Normal 4 2 21 2 3" xfId="8254" xr:uid="{00000000-0005-0000-0000-0000036A0000}"/>
    <cellStyle name="Normal 4 2 21 2 3 2" xfId="14448" xr:uid="{00000000-0005-0000-0000-0000046A0000}"/>
    <cellStyle name="Normal 4 2 21 2 3 2 2" xfId="34368" xr:uid="{00000000-0005-0000-0000-0000056A0000}"/>
    <cellStyle name="Normal 4 2 21 2 3 3" xfId="20600" xr:uid="{00000000-0005-0000-0000-0000066A0000}"/>
    <cellStyle name="Normal 4 2 21 2 3 3 2" xfId="40520" xr:uid="{00000000-0005-0000-0000-0000076A0000}"/>
    <cellStyle name="Normal 4 2 21 2 3 4" xfId="28215" xr:uid="{00000000-0005-0000-0000-0000086A0000}"/>
    <cellStyle name="Normal 4 2 21 2 4" xfId="11382" xr:uid="{00000000-0005-0000-0000-0000096A0000}"/>
    <cellStyle name="Normal 4 2 21 2 4 2" xfId="31302" xr:uid="{00000000-0005-0000-0000-00000A6A0000}"/>
    <cellStyle name="Normal 4 2 21 2 5" xfId="17534" xr:uid="{00000000-0005-0000-0000-00000B6A0000}"/>
    <cellStyle name="Normal 4 2 21 2 5 2" xfId="37454" xr:uid="{00000000-0005-0000-0000-00000C6A0000}"/>
    <cellStyle name="Normal 4 2 21 2 6" xfId="25149" xr:uid="{00000000-0005-0000-0000-00000D6A0000}"/>
    <cellStyle name="Normal 4 2 21 3" xfId="5920" xr:uid="{00000000-0005-0000-0000-00000E6A0000}"/>
    <cellStyle name="Normal 4 2 21 3 2" xfId="9020" xr:uid="{00000000-0005-0000-0000-00000F6A0000}"/>
    <cellStyle name="Normal 4 2 21 3 2 2" xfId="15213" xr:uid="{00000000-0005-0000-0000-0000106A0000}"/>
    <cellStyle name="Normal 4 2 21 3 2 2 2" xfId="35133" xr:uid="{00000000-0005-0000-0000-0000116A0000}"/>
    <cellStyle name="Normal 4 2 21 3 2 3" xfId="21365" xr:uid="{00000000-0005-0000-0000-0000126A0000}"/>
    <cellStyle name="Normal 4 2 21 3 2 3 2" xfId="41285" xr:uid="{00000000-0005-0000-0000-0000136A0000}"/>
    <cellStyle name="Normal 4 2 21 3 2 4" xfId="28980" xr:uid="{00000000-0005-0000-0000-0000146A0000}"/>
    <cellStyle name="Normal 4 2 21 3 3" xfId="12147" xr:uid="{00000000-0005-0000-0000-0000156A0000}"/>
    <cellStyle name="Normal 4 2 21 3 3 2" xfId="32067" xr:uid="{00000000-0005-0000-0000-0000166A0000}"/>
    <cellStyle name="Normal 4 2 21 3 4" xfId="18299" xr:uid="{00000000-0005-0000-0000-0000176A0000}"/>
    <cellStyle name="Normal 4 2 21 3 4 2" xfId="38219" xr:uid="{00000000-0005-0000-0000-0000186A0000}"/>
    <cellStyle name="Normal 4 2 21 3 5" xfId="25914" xr:uid="{00000000-0005-0000-0000-0000196A0000}"/>
    <cellStyle name="Normal 4 2 21 4" xfId="7485" xr:uid="{00000000-0005-0000-0000-00001A6A0000}"/>
    <cellStyle name="Normal 4 2 21 4 2" xfId="13679" xr:uid="{00000000-0005-0000-0000-00001B6A0000}"/>
    <cellStyle name="Normal 4 2 21 4 2 2" xfId="33599" xr:uid="{00000000-0005-0000-0000-00001C6A0000}"/>
    <cellStyle name="Normal 4 2 21 4 3" xfId="19831" xr:uid="{00000000-0005-0000-0000-00001D6A0000}"/>
    <cellStyle name="Normal 4 2 21 4 3 2" xfId="39751" xr:uid="{00000000-0005-0000-0000-00001E6A0000}"/>
    <cellStyle name="Normal 4 2 21 4 4" xfId="27446" xr:uid="{00000000-0005-0000-0000-00001F6A0000}"/>
    <cellStyle name="Normal 4 2 21 5" xfId="10613" xr:uid="{00000000-0005-0000-0000-0000206A0000}"/>
    <cellStyle name="Normal 4 2 21 5 2" xfId="30533" xr:uid="{00000000-0005-0000-0000-0000216A0000}"/>
    <cellStyle name="Normal 4 2 21 6" xfId="16765" xr:uid="{00000000-0005-0000-0000-0000226A0000}"/>
    <cellStyle name="Normal 4 2 21 6 2" xfId="36685" xr:uid="{00000000-0005-0000-0000-0000236A0000}"/>
    <cellStyle name="Normal 4 2 21 7" xfId="24380" xr:uid="{00000000-0005-0000-0000-0000246A0000}"/>
    <cellStyle name="Normal 4 2 22" xfId="3837" xr:uid="{00000000-0005-0000-0000-0000256A0000}"/>
    <cellStyle name="Normal 4 2 22 2" xfId="5079" xr:uid="{00000000-0005-0000-0000-0000266A0000}"/>
    <cellStyle name="Normal 4 2 22 2 2" xfId="6704" xr:uid="{00000000-0005-0000-0000-0000276A0000}"/>
    <cellStyle name="Normal 4 2 22 2 2 2" xfId="9790" xr:uid="{00000000-0005-0000-0000-0000286A0000}"/>
    <cellStyle name="Normal 4 2 22 2 2 2 2" xfId="15983" xr:uid="{00000000-0005-0000-0000-0000296A0000}"/>
    <cellStyle name="Normal 4 2 22 2 2 2 2 2" xfId="35903" xr:uid="{00000000-0005-0000-0000-00002A6A0000}"/>
    <cellStyle name="Normal 4 2 22 2 2 2 3" xfId="22135" xr:uid="{00000000-0005-0000-0000-00002B6A0000}"/>
    <cellStyle name="Normal 4 2 22 2 2 2 3 2" xfId="42055" xr:uid="{00000000-0005-0000-0000-00002C6A0000}"/>
    <cellStyle name="Normal 4 2 22 2 2 2 4" xfId="29750" xr:uid="{00000000-0005-0000-0000-00002D6A0000}"/>
    <cellStyle name="Normal 4 2 22 2 2 3" xfId="12917" xr:uid="{00000000-0005-0000-0000-00002E6A0000}"/>
    <cellStyle name="Normal 4 2 22 2 2 3 2" xfId="32837" xr:uid="{00000000-0005-0000-0000-00002F6A0000}"/>
    <cellStyle name="Normal 4 2 22 2 2 4" xfId="19069" xr:uid="{00000000-0005-0000-0000-0000306A0000}"/>
    <cellStyle name="Normal 4 2 22 2 2 4 2" xfId="38989" xr:uid="{00000000-0005-0000-0000-0000316A0000}"/>
    <cellStyle name="Normal 4 2 22 2 2 5" xfId="26684" xr:uid="{00000000-0005-0000-0000-0000326A0000}"/>
    <cellStyle name="Normal 4 2 22 2 3" xfId="8255" xr:uid="{00000000-0005-0000-0000-0000336A0000}"/>
    <cellStyle name="Normal 4 2 22 2 3 2" xfId="14449" xr:uid="{00000000-0005-0000-0000-0000346A0000}"/>
    <cellStyle name="Normal 4 2 22 2 3 2 2" xfId="34369" xr:uid="{00000000-0005-0000-0000-0000356A0000}"/>
    <cellStyle name="Normal 4 2 22 2 3 3" xfId="20601" xr:uid="{00000000-0005-0000-0000-0000366A0000}"/>
    <cellStyle name="Normal 4 2 22 2 3 3 2" xfId="40521" xr:uid="{00000000-0005-0000-0000-0000376A0000}"/>
    <cellStyle name="Normal 4 2 22 2 3 4" xfId="28216" xr:uid="{00000000-0005-0000-0000-0000386A0000}"/>
    <cellStyle name="Normal 4 2 22 2 4" xfId="11383" xr:uid="{00000000-0005-0000-0000-0000396A0000}"/>
    <cellStyle name="Normal 4 2 22 2 4 2" xfId="31303" xr:uid="{00000000-0005-0000-0000-00003A6A0000}"/>
    <cellStyle name="Normal 4 2 22 2 5" xfId="17535" xr:uid="{00000000-0005-0000-0000-00003B6A0000}"/>
    <cellStyle name="Normal 4 2 22 2 5 2" xfId="37455" xr:uid="{00000000-0005-0000-0000-00003C6A0000}"/>
    <cellStyle name="Normal 4 2 22 2 6" xfId="25150" xr:uid="{00000000-0005-0000-0000-00003D6A0000}"/>
    <cellStyle name="Normal 4 2 22 3" xfId="5921" xr:uid="{00000000-0005-0000-0000-00003E6A0000}"/>
    <cellStyle name="Normal 4 2 22 3 2" xfId="9021" xr:uid="{00000000-0005-0000-0000-00003F6A0000}"/>
    <cellStyle name="Normal 4 2 22 3 2 2" xfId="15214" xr:uid="{00000000-0005-0000-0000-0000406A0000}"/>
    <cellStyle name="Normal 4 2 22 3 2 2 2" xfId="35134" xr:uid="{00000000-0005-0000-0000-0000416A0000}"/>
    <cellStyle name="Normal 4 2 22 3 2 3" xfId="21366" xr:uid="{00000000-0005-0000-0000-0000426A0000}"/>
    <cellStyle name="Normal 4 2 22 3 2 3 2" xfId="41286" xr:uid="{00000000-0005-0000-0000-0000436A0000}"/>
    <cellStyle name="Normal 4 2 22 3 2 4" xfId="28981" xr:uid="{00000000-0005-0000-0000-0000446A0000}"/>
    <cellStyle name="Normal 4 2 22 3 3" xfId="12148" xr:uid="{00000000-0005-0000-0000-0000456A0000}"/>
    <cellStyle name="Normal 4 2 22 3 3 2" xfId="32068" xr:uid="{00000000-0005-0000-0000-0000466A0000}"/>
    <cellStyle name="Normal 4 2 22 3 4" xfId="18300" xr:uid="{00000000-0005-0000-0000-0000476A0000}"/>
    <cellStyle name="Normal 4 2 22 3 4 2" xfId="38220" xr:uid="{00000000-0005-0000-0000-0000486A0000}"/>
    <cellStyle name="Normal 4 2 22 3 5" xfId="25915" xr:uid="{00000000-0005-0000-0000-0000496A0000}"/>
    <cellStyle name="Normal 4 2 22 4" xfId="7486" xr:uid="{00000000-0005-0000-0000-00004A6A0000}"/>
    <cellStyle name="Normal 4 2 22 4 2" xfId="13680" xr:uid="{00000000-0005-0000-0000-00004B6A0000}"/>
    <cellStyle name="Normal 4 2 22 4 2 2" xfId="33600" xr:uid="{00000000-0005-0000-0000-00004C6A0000}"/>
    <cellStyle name="Normal 4 2 22 4 3" xfId="19832" xr:uid="{00000000-0005-0000-0000-00004D6A0000}"/>
    <cellStyle name="Normal 4 2 22 4 3 2" xfId="39752" xr:uid="{00000000-0005-0000-0000-00004E6A0000}"/>
    <cellStyle name="Normal 4 2 22 4 4" xfId="27447" xr:uid="{00000000-0005-0000-0000-00004F6A0000}"/>
    <cellStyle name="Normal 4 2 22 5" xfId="10614" xr:uid="{00000000-0005-0000-0000-0000506A0000}"/>
    <cellStyle name="Normal 4 2 22 5 2" xfId="30534" xr:uid="{00000000-0005-0000-0000-0000516A0000}"/>
    <cellStyle name="Normal 4 2 22 6" xfId="16766" xr:uid="{00000000-0005-0000-0000-0000526A0000}"/>
    <cellStyle name="Normal 4 2 22 6 2" xfId="36686" xr:uid="{00000000-0005-0000-0000-0000536A0000}"/>
    <cellStyle name="Normal 4 2 22 7" xfId="24381" xr:uid="{00000000-0005-0000-0000-0000546A0000}"/>
    <cellStyle name="Normal 4 2 23" xfId="3838" xr:uid="{00000000-0005-0000-0000-0000556A0000}"/>
    <cellStyle name="Normal 4 2 23 2" xfId="5080" xr:uid="{00000000-0005-0000-0000-0000566A0000}"/>
    <cellStyle name="Normal 4 2 23 2 2" xfId="6705" xr:uid="{00000000-0005-0000-0000-0000576A0000}"/>
    <cellStyle name="Normal 4 2 23 2 2 2" xfId="9791" xr:uid="{00000000-0005-0000-0000-0000586A0000}"/>
    <cellStyle name="Normal 4 2 23 2 2 2 2" xfId="15984" xr:uid="{00000000-0005-0000-0000-0000596A0000}"/>
    <cellStyle name="Normal 4 2 23 2 2 2 2 2" xfId="35904" xr:uid="{00000000-0005-0000-0000-00005A6A0000}"/>
    <cellStyle name="Normal 4 2 23 2 2 2 3" xfId="22136" xr:uid="{00000000-0005-0000-0000-00005B6A0000}"/>
    <cellStyle name="Normal 4 2 23 2 2 2 3 2" xfId="42056" xr:uid="{00000000-0005-0000-0000-00005C6A0000}"/>
    <cellStyle name="Normal 4 2 23 2 2 2 4" xfId="29751" xr:uid="{00000000-0005-0000-0000-00005D6A0000}"/>
    <cellStyle name="Normal 4 2 23 2 2 3" xfId="12918" xr:uid="{00000000-0005-0000-0000-00005E6A0000}"/>
    <cellStyle name="Normal 4 2 23 2 2 3 2" xfId="32838" xr:uid="{00000000-0005-0000-0000-00005F6A0000}"/>
    <cellStyle name="Normal 4 2 23 2 2 4" xfId="19070" xr:uid="{00000000-0005-0000-0000-0000606A0000}"/>
    <cellStyle name="Normal 4 2 23 2 2 4 2" xfId="38990" xr:uid="{00000000-0005-0000-0000-0000616A0000}"/>
    <cellStyle name="Normal 4 2 23 2 2 5" xfId="26685" xr:uid="{00000000-0005-0000-0000-0000626A0000}"/>
    <cellStyle name="Normal 4 2 23 2 3" xfId="8256" xr:uid="{00000000-0005-0000-0000-0000636A0000}"/>
    <cellStyle name="Normal 4 2 23 2 3 2" xfId="14450" xr:uid="{00000000-0005-0000-0000-0000646A0000}"/>
    <cellStyle name="Normal 4 2 23 2 3 2 2" xfId="34370" xr:uid="{00000000-0005-0000-0000-0000656A0000}"/>
    <cellStyle name="Normal 4 2 23 2 3 3" xfId="20602" xr:uid="{00000000-0005-0000-0000-0000666A0000}"/>
    <cellStyle name="Normal 4 2 23 2 3 3 2" xfId="40522" xr:uid="{00000000-0005-0000-0000-0000676A0000}"/>
    <cellStyle name="Normal 4 2 23 2 3 4" xfId="28217" xr:uid="{00000000-0005-0000-0000-0000686A0000}"/>
    <cellStyle name="Normal 4 2 23 2 4" xfId="11384" xr:uid="{00000000-0005-0000-0000-0000696A0000}"/>
    <cellStyle name="Normal 4 2 23 2 4 2" xfId="31304" xr:uid="{00000000-0005-0000-0000-00006A6A0000}"/>
    <cellStyle name="Normal 4 2 23 2 5" xfId="17536" xr:uid="{00000000-0005-0000-0000-00006B6A0000}"/>
    <cellStyle name="Normal 4 2 23 2 5 2" xfId="37456" xr:uid="{00000000-0005-0000-0000-00006C6A0000}"/>
    <cellStyle name="Normal 4 2 23 2 6" xfId="25151" xr:uid="{00000000-0005-0000-0000-00006D6A0000}"/>
    <cellStyle name="Normal 4 2 23 3" xfId="5922" xr:uid="{00000000-0005-0000-0000-00006E6A0000}"/>
    <cellStyle name="Normal 4 2 23 3 2" xfId="9022" xr:uid="{00000000-0005-0000-0000-00006F6A0000}"/>
    <cellStyle name="Normal 4 2 23 3 2 2" xfId="15215" xr:uid="{00000000-0005-0000-0000-0000706A0000}"/>
    <cellStyle name="Normal 4 2 23 3 2 2 2" xfId="35135" xr:uid="{00000000-0005-0000-0000-0000716A0000}"/>
    <cellStyle name="Normal 4 2 23 3 2 3" xfId="21367" xr:uid="{00000000-0005-0000-0000-0000726A0000}"/>
    <cellStyle name="Normal 4 2 23 3 2 3 2" xfId="41287" xr:uid="{00000000-0005-0000-0000-0000736A0000}"/>
    <cellStyle name="Normal 4 2 23 3 2 4" xfId="28982" xr:uid="{00000000-0005-0000-0000-0000746A0000}"/>
    <cellStyle name="Normal 4 2 23 3 3" xfId="12149" xr:uid="{00000000-0005-0000-0000-0000756A0000}"/>
    <cellStyle name="Normal 4 2 23 3 3 2" xfId="32069" xr:uid="{00000000-0005-0000-0000-0000766A0000}"/>
    <cellStyle name="Normal 4 2 23 3 4" xfId="18301" xr:uid="{00000000-0005-0000-0000-0000776A0000}"/>
    <cellStyle name="Normal 4 2 23 3 4 2" xfId="38221" xr:uid="{00000000-0005-0000-0000-0000786A0000}"/>
    <cellStyle name="Normal 4 2 23 3 5" xfId="25916" xr:uid="{00000000-0005-0000-0000-0000796A0000}"/>
    <cellStyle name="Normal 4 2 23 4" xfId="7487" xr:uid="{00000000-0005-0000-0000-00007A6A0000}"/>
    <cellStyle name="Normal 4 2 23 4 2" xfId="13681" xr:uid="{00000000-0005-0000-0000-00007B6A0000}"/>
    <cellStyle name="Normal 4 2 23 4 2 2" xfId="33601" xr:uid="{00000000-0005-0000-0000-00007C6A0000}"/>
    <cellStyle name="Normal 4 2 23 4 3" xfId="19833" xr:uid="{00000000-0005-0000-0000-00007D6A0000}"/>
    <cellStyle name="Normal 4 2 23 4 3 2" xfId="39753" xr:uid="{00000000-0005-0000-0000-00007E6A0000}"/>
    <cellStyle name="Normal 4 2 23 4 4" xfId="27448" xr:uid="{00000000-0005-0000-0000-00007F6A0000}"/>
    <cellStyle name="Normal 4 2 23 5" xfId="10615" xr:uid="{00000000-0005-0000-0000-0000806A0000}"/>
    <cellStyle name="Normal 4 2 23 5 2" xfId="30535" xr:uid="{00000000-0005-0000-0000-0000816A0000}"/>
    <cellStyle name="Normal 4 2 23 6" xfId="16767" xr:uid="{00000000-0005-0000-0000-0000826A0000}"/>
    <cellStyle name="Normal 4 2 23 6 2" xfId="36687" xr:uid="{00000000-0005-0000-0000-0000836A0000}"/>
    <cellStyle name="Normal 4 2 23 7" xfId="24382" xr:uid="{00000000-0005-0000-0000-0000846A0000}"/>
    <cellStyle name="Normal 4 2 24" xfId="3839" xr:uid="{00000000-0005-0000-0000-0000856A0000}"/>
    <cellStyle name="Normal 4 2 24 2" xfId="5081" xr:uid="{00000000-0005-0000-0000-0000866A0000}"/>
    <cellStyle name="Normal 4 2 24 2 2" xfId="6706" xr:uid="{00000000-0005-0000-0000-0000876A0000}"/>
    <cellStyle name="Normal 4 2 24 2 2 2" xfId="9792" xr:uid="{00000000-0005-0000-0000-0000886A0000}"/>
    <cellStyle name="Normal 4 2 24 2 2 2 2" xfId="15985" xr:uid="{00000000-0005-0000-0000-0000896A0000}"/>
    <cellStyle name="Normal 4 2 24 2 2 2 2 2" xfId="35905" xr:uid="{00000000-0005-0000-0000-00008A6A0000}"/>
    <cellStyle name="Normal 4 2 24 2 2 2 3" xfId="22137" xr:uid="{00000000-0005-0000-0000-00008B6A0000}"/>
    <cellStyle name="Normal 4 2 24 2 2 2 3 2" xfId="42057" xr:uid="{00000000-0005-0000-0000-00008C6A0000}"/>
    <cellStyle name="Normal 4 2 24 2 2 2 4" xfId="29752" xr:uid="{00000000-0005-0000-0000-00008D6A0000}"/>
    <cellStyle name="Normal 4 2 24 2 2 3" xfId="12919" xr:uid="{00000000-0005-0000-0000-00008E6A0000}"/>
    <cellStyle name="Normal 4 2 24 2 2 3 2" xfId="32839" xr:uid="{00000000-0005-0000-0000-00008F6A0000}"/>
    <cellStyle name="Normal 4 2 24 2 2 4" xfId="19071" xr:uid="{00000000-0005-0000-0000-0000906A0000}"/>
    <cellStyle name="Normal 4 2 24 2 2 4 2" xfId="38991" xr:uid="{00000000-0005-0000-0000-0000916A0000}"/>
    <cellStyle name="Normal 4 2 24 2 2 5" xfId="26686" xr:uid="{00000000-0005-0000-0000-0000926A0000}"/>
    <cellStyle name="Normal 4 2 24 2 3" xfId="8257" xr:uid="{00000000-0005-0000-0000-0000936A0000}"/>
    <cellStyle name="Normal 4 2 24 2 3 2" xfId="14451" xr:uid="{00000000-0005-0000-0000-0000946A0000}"/>
    <cellStyle name="Normal 4 2 24 2 3 2 2" xfId="34371" xr:uid="{00000000-0005-0000-0000-0000956A0000}"/>
    <cellStyle name="Normal 4 2 24 2 3 3" xfId="20603" xr:uid="{00000000-0005-0000-0000-0000966A0000}"/>
    <cellStyle name="Normal 4 2 24 2 3 3 2" xfId="40523" xr:uid="{00000000-0005-0000-0000-0000976A0000}"/>
    <cellStyle name="Normal 4 2 24 2 3 4" xfId="28218" xr:uid="{00000000-0005-0000-0000-0000986A0000}"/>
    <cellStyle name="Normal 4 2 24 2 4" xfId="11385" xr:uid="{00000000-0005-0000-0000-0000996A0000}"/>
    <cellStyle name="Normal 4 2 24 2 4 2" xfId="31305" xr:uid="{00000000-0005-0000-0000-00009A6A0000}"/>
    <cellStyle name="Normal 4 2 24 2 5" xfId="17537" xr:uid="{00000000-0005-0000-0000-00009B6A0000}"/>
    <cellStyle name="Normal 4 2 24 2 5 2" xfId="37457" xr:uid="{00000000-0005-0000-0000-00009C6A0000}"/>
    <cellStyle name="Normal 4 2 24 2 6" xfId="25152" xr:uid="{00000000-0005-0000-0000-00009D6A0000}"/>
    <cellStyle name="Normal 4 2 24 3" xfId="5923" xr:uid="{00000000-0005-0000-0000-00009E6A0000}"/>
    <cellStyle name="Normal 4 2 24 3 2" xfId="9023" xr:uid="{00000000-0005-0000-0000-00009F6A0000}"/>
    <cellStyle name="Normal 4 2 24 3 2 2" xfId="15216" xr:uid="{00000000-0005-0000-0000-0000A06A0000}"/>
    <cellStyle name="Normal 4 2 24 3 2 2 2" xfId="35136" xr:uid="{00000000-0005-0000-0000-0000A16A0000}"/>
    <cellStyle name="Normal 4 2 24 3 2 3" xfId="21368" xr:uid="{00000000-0005-0000-0000-0000A26A0000}"/>
    <cellStyle name="Normal 4 2 24 3 2 3 2" xfId="41288" xr:uid="{00000000-0005-0000-0000-0000A36A0000}"/>
    <cellStyle name="Normal 4 2 24 3 2 4" xfId="28983" xr:uid="{00000000-0005-0000-0000-0000A46A0000}"/>
    <cellStyle name="Normal 4 2 24 3 3" xfId="12150" xr:uid="{00000000-0005-0000-0000-0000A56A0000}"/>
    <cellStyle name="Normal 4 2 24 3 3 2" xfId="32070" xr:uid="{00000000-0005-0000-0000-0000A66A0000}"/>
    <cellStyle name="Normal 4 2 24 3 4" xfId="18302" xr:uid="{00000000-0005-0000-0000-0000A76A0000}"/>
    <cellStyle name="Normal 4 2 24 3 4 2" xfId="38222" xr:uid="{00000000-0005-0000-0000-0000A86A0000}"/>
    <cellStyle name="Normal 4 2 24 3 5" xfId="25917" xr:uid="{00000000-0005-0000-0000-0000A96A0000}"/>
    <cellStyle name="Normal 4 2 24 4" xfId="7488" xr:uid="{00000000-0005-0000-0000-0000AA6A0000}"/>
    <cellStyle name="Normal 4 2 24 4 2" xfId="13682" xr:uid="{00000000-0005-0000-0000-0000AB6A0000}"/>
    <cellStyle name="Normal 4 2 24 4 2 2" xfId="33602" xr:uid="{00000000-0005-0000-0000-0000AC6A0000}"/>
    <cellStyle name="Normal 4 2 24 4 3" xfId="19834" xr:uid="{00000000-0005-0000-0000-0000AD6A0000}"/>
    <cellStyle name="Normal 4 2 24 4 3 2" xfId="39754" xr:uid="{00000000-0005-0000-0000-0000AE6A0000}"/>
    <cellStyle name="Normal 4 2 24 4 4" xfId="27449" xr:uid="{00000000-0005-0000-0000-0000AF6A0000}"/>
    <cellStyle name="Normal 4 2 24 5" xfId="10616" xr:uid="{00000000-0005-0000-0000-0000B06A0000}"/>
    <cellStyle name="Normal 4 2 24 5 2" xfId="30536" xr:uid="{00000000-0005-0000-0000-0000B16A0000}"/>
    <cellStyle name="Normal 4 2 24 6" xfId="16768" xr:uid="{00000000-0005-0000-0000-0000B26A0000}"/>
    <cellStyle name="Normal 4 2 24 6 2" xfId="36688" xr:uid="{00000000-0005-0000-0000-0000B36A0000}"/>
    <cellStyle name="Normal 4 2 24 7" xfId="24383" xr:uid="{00000000-0005-0000-0000-0000B46A0000}"/>
    <cellStyle name="Normal 4 2 25" xfId="3840" xr:uid="{00000000-0005-0000-0000-0000B56A0000}"/>
    <cellStyle name="Normal 4 2 26" xfId="3841" xr:uid="{00000000-0005-0000-0000-0000B66A0000}"/>
    <cellStyle name="Normal 4 2 26 2" xfId="3842" xr:uid="{00000000-0005-0000-0000-0000B76A0000}"/>
    <cellStyle name="Normal 4 2 27" xfId="3843" xr:uid="{00000000-0005-0000-0000-0000B86A0000}"/>
    <cellStyle name="Normal 4 2 27 2" xfId="3844" xr:uid="{00000000-0005-0000-0000-0000B96A0000}"/>
    <cellStyle name="Normal 4 2 28" xfId="10142" xr:uid="{00000000-0005-0000-0000-0000BA6A0000}"/>
    <cellStyle name="Normal 4 2 29" xfId="3819" xr:uid="{00000000-0005-0000-0000-0000BB6A0000}"/>
    <cellStyle name="Normal 4 2 3" xfId="3845" xr:uid="{00000000-0005-0000-0000-0000BC6A0000}"/>
    <cellStyle name="Normal 4 2 3 2" xfId="3846" xr:uid="{00000000-0005-0000-0000-0000BD6A0000}"/>
    <cellStyle name="Normal 4 2 3 2 2" xfId="5083" xr:uid="{00000000-0005-0000-0000-0000BE6A0000}"/>
    <cellStyle name="Normal 4 2 3 2 2 2" xfId="6708" xr:uid="{00000000-0005-0000-0000-0000BF6A0000}"/>
    <cellStyle name="Normal 4 2 3 2 2 2 2" xfId="9794" xr:uid="{00000000-0005-0000-0000-0000C06A0000}"/>
    <cellStyle name="Normal 4 2 3 2 2 2 2 2" xfId="15987" xr:uid="{00000000-0005-0000-0000-0000C16A0000}"/>
    <cellStyle name="Normal 4 2 3 2 2 2 2 2 2" xfId="35907" xr:uid="{00000000-0005-0000-0000-0000C26A0000}"/>
    <cellStyle name="Normal 4 2 3 2 2 2 2 3" xfId="22139" xr:uid="{00000000-0005-0000-0000-0000C36A0000}"/>
    <cellStyle name="Normal 4 2 3 2 2 2 2 3 2" xfId="42059" xr:uid="{00000000-0005-0000-0000-0000C46A0000}"/>
    <cellStyle name="Normal 4 2 3 2 2 2 2 4" xfId="29754" xr:uid="{00000000-0005-0000-0000-0000C56A0000}"/>
    <cellStyle name="Normal 4 2 3 2 2 2 3" xfId="12921" xr:uid="{00000000-0005-0000-0000-0000C66A0000}"/>
    <cellStyle name="Normal 4 2 3 2 2 2 3 2" xfId="32841" xr:uid="{00000000-0005-0000-0000-0000C76A0000}"/>
    <cellStyle name="Normal 4 2 3 2 2 2 4" xfId="19073" xr:uid="{00000000-0005-0000-0000-0000C86A0000}"/>
    <cellStyle name="Normal 4 2 3 2 2 2 4 2" xfId="38993" xr:uid="{00000000-0005-0000-0000-0000C96A0000}"/>
    <cellStyle name="Normal 4 2 3 2 2 2 5" xfId="26688" xr:uid="{00000000-0005-0000-0000-0000CA6A0000}"/>
    <cellStyle name="Normal 4 2 3 2 2 3" xfId="8259" xr:uid="{00000000-0005-0000-0000-0000CB6A0000}"/>
    <cellStyle name="Normal 4 2 3 2 2 3 2" xfId="14453" xr:uid="{00000000-0005-0000-0000-0000CC6A0000}"/>
    <cellStyle name="Normal 4 2 3 2 2 3 2 2" xfId="34373" xr:uid="{00000000-0005-0000-0000-0000CD6A0000}"/>
    <cellStyle name="Normal 4 2 3 2 2 3 3" xfId="20605" xr:uid="{00000000-0005-0000-0000-0000CE6A0000}"/>
    <cellStyle name="Normal 4 2 3 2 2 3 3 2" xfId="40525" xr:uid="{00000000-0005-0000-0000-0000CF6A0000}"/>
    <cellStyle name="Normal 4 2 3 2 2 3 4" xfId="28220" xr:uid="{00000000-0005-0000-0000-0000D06A0000}"/>
    <cellStyle name="Normal 4 2 3 2 2 4" xfId="11387" xr:uid="{00000000-0005-0000-0000-0000D16A0000}"/>
    <cellStyle name="Normal 4 2 3 2 2 4 2" xfId="31307" xr:uid="{00000000-0005-0000-0000-0000D26A0000}"/>
    <cellStyle name="Normal 4 2 3 2 2 5" xfId="17539" xr:uid="{00000000-0005-0000-0000-0000D36A0000}"/>
    <cellStyle name="Normal 4 2 3 2 2 5 2" xfId="37459" xr:uid="{00000000-0005-0000-0000-0000D46A0000}"/>
    <cellStyle name="Normal 4 2 3 2 2 6" xfId="25154" xr:uid="{00000000-0005-0000-0000-0000D56A0000}"/>
    <cellStyle name="Normal 4 2 3 2 3" xfId="5925" xr:uid="{00000000-0005-0000-0000-0000D66A0000}"/>
    <cellStyle name="Normal 4 2 3 2 3 2" xfId="9025" xr:uid="{00000000-0005-0000-0000-0000D76A0000}"/>
    <cellStyle name="Normal 4 2 3 2 3 2 2" xfId="15218" xr:uid="{00000000-0005-0000-0000-0000D86A0000}"/>
    <cellStyle name="Normal 4 2 3 2 3 2 2 2" xfId="35138" xr:uid="{00000000-0005-0000-0000-0000D96A0000}"/>
    <cellStyle name="Normal 4 2 3 2 3 2 3" xfId="21370" xr:uid="{00000000-0005-0000-0000-0000DA6A0000}"/>
    <cellStyle name="Normal 4 2 3 2 3 2 3 2" xfId="41290" xr:uid="{00000000-0005-0000-0000-0000DB6A0000}"/>
    <cellStyle name="Normal 4 2 3 2 3 2 4" xfId="28985" xr:uid="{00000000-0005-0000-0000-0000DC6A0000}"/>
    <cellStyle name="Normal 4 2 3 2 3 3" xfId="12152" xr:uid="{00000000-0005-0000-0000-0000DD6A0000}"/>
    <cellStyle name="Normal 4 2 3 2 3 3 2" xfId="32072" xr:uid="{00000000-0005-0000-0000-0000DE6A0000}"/>
    <cellStyle name="Normal 4 2 3 2 3 4" xfId="18304" xr:uid="{00000000-0005-0000-0000-0000DF6A0000}"/>
    <cellStyle name="Normal 4 2 3 2 3 4 2" xfId="38224" xr:uid="{00000000-0005-0000-0000-0000E06A0000}"/>
    <cellStyle name="Normal 4 2 3 2 3 5" xfId="25919" xr:uid="{00000000-0005-0000-0000-0000E16A0000}"/>
    <cellStyle name="Normal 4 2 3 2 4" xfId="7490" xr:uid="{00000000-0005-0000-0000-0000E26A0000}"/>
    <cellStyle name="Normal 4 2 3 2 4 2" xfId="13684" xr:uid="{00000000-0005-0000-0000-0000E36A0000}"/>
    <cellStyle name="Normal 4 2 3 2 4 2 2" xfId="33604" xr:uid="{00000000-0005-0000-0000-0000E46A0000}"/>
    <cellStyle name="Normal 4 2 3 2 4 3" xfId="19836" xr:uid="{00000000-0005-0000-0000-0000E56A0000}"/>
    <cellStyle name="Normal 4 2 3 2 4 3 2" xfId="39756" xr:uid="{00000000-0005-0000-0000-0000E66A0000}"/>
    <cellStyle name="Normal 4 2 3 2 4 4" xfId="27451" xr:uid="{00000000-0005-0000-0000-0000E76A0000}"/>
    <cellStyle name="Normal 4 2 3 2 5" xfId="10618" xr:uid="{00000000-0005-0000-0000-0000E86A0000}"/>
    <cellStyle name="Normal 4 2 3 2 5 2" xfId="30538" xr:uid="{00000000-0005-0000-0000-0000E96A0000}"/>
    <cellStyle name="Normal 4 2 3 2 6" xfId="16770" xr:uid="{00000000-0005-0000-0000-0000EA6A0000}"/>
    <cellStyle name="Normal 4 2 3 2 6 2" xfId="36690" xr:uid="{00000000-0005-0000-0000-0000EB6A0000}"/>
    <cellStyle name="Normal 4 2 3 2 7" xfId="24385" xr:uid="{00000000-0005-0000-0000-0000EC6A0000}"/>
    <cellStyle name="Normal 4 2 3 3" xfId="5082" xr:uid="{00000000-0005-0000-0000-0000ED6A0000}"/>
    <cellStyle name="Normal 4 2 3 3 2" xfId="6707" xr:uid="{00000000-0005-0000-0000-0000EE6A0000}"/>
    <cellStyle name="Normal 4 2 3 3 2 2" xfId="9793" xr:uid="{00000000-0005-0000-0000-0000EF6A0000}"/>
    <cellStyle name="Normal 4 2 3 3 2 2 2" xfId="15986" xr:uid="{00000000-0005-0000-0000-0000F06A0000}"/>
    <cellStyle name="Normal 4 2 3 3 2 2 2 2" xfId="35906" xr:uid="{00000000-0005-0000-0000-0000F16A0000}"/>
    <cellStyle name="Normal 4 2 3 3 2 2 3" xfId="22138" xr:uid="{00000000-0005-0000-0000-0000F26A0000}"/>
    <cellStyle name="Normal 4 2 3 3 2 2 3 2" xfId="42058" xr:uid="{00000000-0005-0000-0000-0000F36A0000}"/>
    <cellStyle name="Normal 4 2 3 3 2 2 4" xfId="29753" xr:uid="{00000000-0005-0000-0000-0000F46A0000}"/>
    <cellStyle name="Normal 4 2 3 3 2 3" xfId="12920" xr:uid="{00000000-0005-0000-0000-0000F56A0000}"/>
    <cellStyle name="Normal 4 2 3 3 2 3 2" xfId="32840" xr:uid="{00000000-0005-0000-0000-0000F66A0000}"/>
    <cellStyle name="Normal 4 2 3 3 2 4" xfId="19072" xr:uid="{00000000-0005-0000-0000-0000F76A0000}"/>
    <cellStyle name="Normal 4 2 3 3 2 4 2" xfId="38992" xr:uid="{00000000-0005-0000-0000-0000F86A0000}"/>
    <cellStyle name="Normal 4 2 3 3 2 5" xfId="26687" xr:uid="{00000000-0005-0000-0000-0000F96A0000}"/>
    <cellStyle name="Normal 4 2 3 3 3" xfId="8258" xr:uid="{00000000-0005-0000-0000-0000FA6A0000}"/>
    <cellStyle name="Normal 4 2 3 3 3 2" xfId="14452" xr:uid="{00000000-0005-0000-0000-0000FB6A0000}"/>
    <cellStyle name="Normal 4 2 3 3 3 2 2" xfId="34372" xr:uid="{00000000-0005-0000-0000-0000FC6A0000}"/>
    <cellStyle name="Normal 4 2 3 3 3 3" xfId="20604" xr:uid="{00000000-0005-0000-0000-0000FD6A0000}"/>
    <cellStyle name="Normal 4 2 3 3 3 3 2" xfId="40524" xr:uid="{00000000-0005-0000-0000-0000FE6A0000}"/>
    <cellStyle name="Normal 4 2 3 3 3 4" xfId="28219" xr:uid="{00000000-0005-0000-0000-0000FF6A0000}"/>
    <cellStyle name="Normal 4 2 3 3 4" xfId="11386" xr:uid="{00000000-0005-0000-0000-0000006B0000}"/>
    <cellStyle name="Normal 4 2 3 3 4 2" xfId="31306" xr:uid="{00000000-0005-0000-0000-0000016B0000}"/>
    <cellStyle name="Normal 4 2 3 3 5" xfId="17538" xr:uid="{00000000-0005-0000-0000-0000026B0000}"/>
    <cellStyle name="Normal 4 2 3 3 5 2" xfId="37458" xr:uid="{00000000-0005-0000-0000-0000036B0000}"/>
    <cellStyle name="Normal 4 2 3 3 6" xfId="25153" xr:uid="{00000000-0005-0000-0000-0000046B0000}"/>
    <cellStyle name="Normal 4 2 3 4" xfId="5924" xr:uid="{00000000-0005-0000-0000-0000056B0000}"/>
    <cellStyle name="Normal 4 2 3 4 2" xfId="9024" xr:uid="{00000000-0005-0000-0000-0000066B0000}"/>
    <cellStyle name="Normal 4 2 3 4 2 2" xfId="15217" xr:uid="{00000000-0005-0000-0000-0000076B0000}"/>
    <cellStyle name="Normal 4 2 3 4 2 2 2" xfId="35137" xr:uid="{00000000-0005-0000-0000-0000086B0000}"/>
    <cellStyle name="Normal 4 2 3 4 2 3" xfId="21369" xr:uid="{00000000-0005-0000-0000-0000096B0000}"/>
    <cellStyle name="Normal 4 2 3 4 2 3 2" xfId="41289" xr:uid="{00000000-0005-0000-0000-00000A6B0000}"/>
    <cellStyle name="Normal 4 2 3 4 2 4" xfId="28984" xr:uid="{00000000-0005-0000-0000-00000B6B0000}"/>
    <cellStyle name="Normal 4 2 3 4 3" xfId="12151" xr:uid="{00000000-0005-0000-0000-00000C6B0000}"/>
    <cellStyle name="Normal 4 2 3 4 3 2" xfId="32071" xr:uid="{00000000-0005-0000-0000-00000D6B0000}"/>
    <cellStyle name="Normal 4 2 3 4 4" xfId="18303" xr:uid="{00000000-0005-0000-0000-00000E6B0000}"/>
    <cellStyle name="Normal 4 2 3 4 4 2" xfId="38223" xr:uid="{00000000-0005-0000-0000-00000F6B0000}"/>
    <cellStyle name="Normal 4 2 3 4 5" xfId="25918" xr:uid="{00000000-0005-0000-0000-0000106B0000}"/>
    <cellStyle name="Normal 4 2 3 5" xfId="7489" xr:uid="{00000000-0005-0000-0000-0000116B0000}"/>
    <cellStyle name="Normal 4 2 3 5 2" xfId="13683" xr:uid="{00000000-0005-0000-0000-0000126B0000}"/>
    <cellStyle name="Normal 4 2 3 5 2 2" xfId="33603" xr:uid="{00000000-0005-0000-0000-0000136B0000}"/>
    <cellStyle name="Normal 4 2 3 5 3" xfId="19835" xr:uid="{00000000-0005-0000-0000-0000146B0000}"/>
    <cellStyle name="Normal 4 2 3 5 3 2" xfId="39755" xr:uid="{00000000-0005-0000-0000-0000156B0000}"/>
    <cellStyle name="Normal 4 2 3 5 4" xfId="27450" xr:uid="{00000000-0005-0000-0000-0000166B0000}"/>
    <cellStyle name="Normal 4 2 3 6" xfId="10617" xr:uid="{00000000-0005-0000-0000-0000176B0000}"/>
    <cellStyle name="Normal 4 2 3 6 2" xfId="30537" xr:uid="{00000000-0005-0000-0000-0000186B0000}"/>
    <cellStyle name="Normal 4 2 3 7" xfId="16769" xr:uid="{00000000-0005-0000-0000-0000196B0000}"/>
    <cellStyle name="Normal 4 2 3 7 2" xfId="36689" xr:uid="{00000000-0005-0000-0000-00001A6B0000}"/>
    <cellStyle name="Normal 4 2 3 8" xfId="24384" xr:uid="{00000000-0005-0000-0000-00001B6B0000}"/>
    <cellStyle name="Normal 4 2 4" xfId="3847" xr:uid="{00000000-0005-0000-0000-00001C6B0000}"/>
    <cellStyle name="Normal 4 2 4 2" xfId="3848" xr:uid="{00000000-0005-0000-0000-00001D6B0000}"/>
    <cellStyle name="Normal 4 2 4 2 2" xfId="5085" xr:uid="{00000000-0005-0000-0000-00001E6B0000}"/>
    <cellStyle name="Normal 4 2 4 2 2 2" xfId="6710" xr:uid="{00000000-0005-0000-0000-00001F6B0000}"/>
    <cellStyle name="Normal 4 2 4 2 2 2 2" xfId="9796" xr:uid="{00000000-0005-0000-0000-0000206B0000}"/>
    <cellStyle name="Normal 4 2 4 2 2 2 2 2" xfId="15989" xr:uid="{00000000-0005-0000-0000-0000216B0000}"/>
    <cellStyle name="Normal 4 2 4 2 2 2 2 2 2" xfId="35909" xr:uid="{00000000-0005-0000-0000-0000226B0000}"/>
    <cellStyle name="Normal 4 2 4 2 2 2 2 3" xfId="22141" xr:uid="{00000000-0005-0000-0000-0000236B0000}"/>
    <cellStyle name="Normal 4 2 4 2 2 2 2 3 2" xfId="42061" xr:uid="{00000000-0005-0000-0000-0000246B0000}"/>
    <cellStyle name="Normal 4 2 4 2 2 2 2 4" xfId="29756" xr:uid="{00000000-0005-0000-0000-0000256B0000}"/>
    <cellStyle name="Normal 4 2 4 2 2 2 3" xfId="12923" xr:uid="{00000000-0005-0000-0000-0000266B0000}"/>
    <cellStyle name="Normal 4 2 4 2 2 2 3 2" xfId="32843" xr:uid="{00000000-0005-0000-0000-0000276B0000}"/>
    <cellStyle name="Normal 4 2 4 2 2 2 4" xfId="19075" xr:uid="{00000000-0005-0000-0000-0000286B0000}"/>
    <cellStyle name="Normal 4 2 4 2 2 2 4 2" xfId="38995" xr:uid="{00000000-0005-0000-0000-0000296B0000}"/>
    <cellStyle name="Normal 4 2 4 2 2 2 5" xfId="26690" xr:uid="{00000000-0005-0000-0000-00002A6B0000}"/>
    <cellStyle name="Normal 4 2 4 2 2 3" xfId="8261" xr:uid="{00000000-0005-0000-0000-00002B6B0000}"/>
    <cellStyle name="Normal 4 2 4 2 2 3 2" xfId="14455" xr:uid="{00000000-0005-0000-0000-00002C6B0000}"/>
    <cellStyle name="Normal 4 2 4 2 2 3 2 2" xfId="34375" xr:uid="{00000000-0005-0000-0000-00002D6B0000}"/>
    <cellStyle name="Normal 4 2 4 2 2 3 3" xfId="20607" xr:uid="{00000000-0005-0000-0000-00002E6B0000}"/>
    <cellStyle name="Normal 4 2 4 2 2 3 3 2" xfId="40527" xr:uid="{00000000-0005-0000-0000-00002F6B0000}"/>
    <cellStyle name="Normal 4 2 4 2 2 3 4" xfId="28222" xr:uid="{00000000-0005-0000-0000-0000306B0000}"/>
    <cellStyle name="Normal 4 2 4 2 2 4" xfId="11389" xr:uid="{00000000-0005-0000-0000-0000316B0000}"/>
    <cellStyle name="Normal 4 2 4 2 2 4 2" xfId="31309" xr:uid="{00000000-0005-0000-0000-0000326B0000}"/>
    <cellStyle name="Normal 4 2 4 2 2 5" xfId="17541" xr:uid="{00000000-0005-0000-0000-0000336B0000}"/>
    <cellStyle name="Normal 4 2 4 2 2 5 2" xfId="37461" xr:uid="{00000000-0005-0000-0000-0000346B0000}"/>
    <cellStyle name="Normal 4 2 4 2 2 6" xfId="25156" xr:uid="{00000000-0005-0000-0000-0000356B0000}"/>
    <cellStyle name="Normal 4 2 4 2 3" xfId="5927" xr:uid="{00000000-0005-0000-0000-0000366B0000}"/>
    <cellStyle name="Normal 4 2 4 2 3 2" xfId="9027" xr:uid="{00000000-0005-0000-0000-0000376B0000}"/>
    <cellStyle name="Normal 4 2 4 2 3 2 2" xfId="15220" xr:uid="{00000000-0005-0000-0000-0000386B0000}"/>
    <cellStyle name="Normal 4 2 4 2 3 2 2 2" xfId="35140" xr:uid="{00000000-0005-0000-0000-0000396B0000}"/>
    <cellStyle name="Normal 4 2 4 2 3 2 3" xfId="21372" xr:uid="{00000000-0005-0000-0000-00003A6B0000}"/>
    <cellStyle name="Normal 4 2 4 2 3 2 3 2" xfId="41292" xr:uid="{00000000-0005-0000-0000-00003B6B0000}"/>
    <cellStyle name="Normal 4 2 4 2 3 2 4" xfId="28987" xr:uid="{00000000-0005-0000-0000-00003C6B0000}"/>
    <cellStyle name="Normal 4 2 4 2 3 3" xfId="12154" xr:uid="{00000000-0005-0000-0000-00003D6B0000}"/>
    <cellStyle name="Normal 4 2 4 2 3 3 2" xfId="32074" xr:uid="{00000000-0005-0000-0000-00003E6B0000}"/>
    <cellStyle name="Normal 4 2 4 2 3 4" xfId="18306" xr:uid="{00000000-0005-0000-0000-00003F6B0000}"/>
    <cellStyle name="Normal 4 2 4 2 3 4 2" xfId="38226" xr:uid="{00000000-0005-0000-0000-0000406B0000}"/>
    <cellStyle name="Normal 4 2 4 2 3 5" xfId="25921" xr:uid="{00000000-0005-0000-0000-0000416B0000}"/>
    <cellStyle name="Normal 4 2 4 2 4" xfId="7492" xr:uid="{00000000-0005-0000-0000-0000426B0000}"/>
    <cellStyle name="Normal 4 2 4 2 4 2" xfId="13686" xr:uid="{00000000-0005-0000-0000-0000436B0000}"/>
    <cellStyle name="Normal 4 2 4 2 4 2 2" xfId="33606" xr:uid="{00000000-0005-0000-0000-0000446B0000}"/>
    <cellStyle name="Normal 4 2 4 2 4 3" xfId="19838" xr:uid="{00000000-0005-0000-0000-0000456B0000}"/>
    <cellStyle name="Normal 4 2 4 2 4 3 2" xfId="39758" xr:uid="{00000000-0005-0000-0000-0000466B0000}"/>
    <cellStyle name="Normal 4 2 4 2 4 4" xfId="27453" xr:uid="{00000000-0005-0000-0000-0000476B0000}"/>
    <cellStyle name="Normal 4 2 4 2 5" xfId="10620" xr:uid="{00000000-0005-0000-0000-0000486B0000}"/>
    <cellStyle name="Normal 4 2 4 2 5 2" xfId="30540" xr:uid="{00000000-0005-0000-0000-0000496B0000}"/>
    <cellStyle name="Normal 4 2 4 2 6" xfId="16772" xr:uid="{00000000-0005-0000-0000-00004A6B0000}"/>
    <cellStyle name="Normal 4 2 4 2 6 2" xfId="36692" xr:uid="{00000000-0005-0000-0000-00004B6B0000}"/>
    <cellStyle name="Normal 4 2 4 2 7" xfId="24387" xr:uid="{00000000-0005-0000-0000-00004C6B0000}"/>
    <cellStyle name="Normal 4 2 4 3" xfId="5084" xr:uid="{00000000-0005-0000-0000-00004D6B0000}"/>
    <cellStyle name="Normal 4 2 4 3 2" xfId="6709" xr:uid="{00000000-0005-0000-0000-00004E6B0000}"/>
    <cellStyle name="Normal 4 2 4 3 2 2" xfId="9795" xr:uid="{00000000-0005-0000-0000-00004F6B0000}"/>
    <cellStyle name="Normal 4 2 4 3 2 2 2" xfId="15988" xr:uid="{00000000-0005-0000-0000-0000506B0000}"/>
    <cellStyle name="Normal 4 2 4 3 2 2 2 2" xfId="35908" xr:uid="{00000000-0005-0000-0000-0000516B0000}"/>
    <cellStyle name="Normal 4 2 4 3 2 2 3" xfId="22140" xr:uid="{00000000-0005-0000-0000-0000526B0000}"/>
    <cellStyle name="Normal 4 2 4 3 2 2 3 2" xfId="42060" xr:uid="{00000000-0005-0000-0000-0000536B0000}"/>
    <cellStyle name="Normal 4 2 4 3 2 2 4" xfId="29755" xr:uid="{00000000-0005-0000-0000-0000546B0000}"/>
    <cellStyle name="Normal 4 2 4 3 2 3" xfId="12922" xr:uid="{00000000-0005-0000-0000-0000556B0000}"/>
    <cellStyle name="Normal 4 2 4 3 2 3 2" xfId="32842" xr:uid="{00000000-0005-0000-0000-0000566B0000}"/>
    <cellStyle name="Normal 4 2 4 3 2 4" xfId="19074" xr:uid="{00000000-0005-0000-0000-0000576B0000}"/>
    <cellStyle name="Normal 4 2 4 3 2 4 2" xfId="38994" xr:uid="{00000000-0005-0000-0000-0000586B0000}"/>
    <cellStyle name="Normal 4 2 4 3 2 5" xfId="26689" xr:uid="{00000000-0005-0000-0000-0000596B0000}"/>
    <cellStyle name="Normal 4 2 4 3 3" xfId="8260" xr:uid="{00000000-0005-0000-0000-00005A6B0000}"/>
    <cellStyle name="Normal 4 2 4 3 3 2" xfId="14454" xr:uid="{00000000-0005-0000-0000-00005B6B0000}"/>
    <cellStyle name="Normal 4 2 4 3 3 2 2" xfId="34374" xr:uid="{00000000-0005-0000-0000-00005C6B0000}"/>
    <cellStyle name="Normal 4 2 4 3 3 3" xfId="20606" xr:uid="{00000000-0005-0000-0000-00005D6B0000}"/>
    <cellStyle name="Normal 4 2 4 3 3 3 2" xfId="40526" xr:uid="{00000000-0005-0000-0000-00005E6B0000}"/>
    <cellStyle name="Normal 4 2 4 3 3 4" xfId="28221" xr:uid="{00000000-0005-0000-0000-00005F6B0000}"/>
    <cellStyle name="Normal 4 2 4 3 4" xfId="11388" xr:uid="{00000000-0005-0000-0000-0000606B0000}"/>
    <cellStyle name="Normal 4 2 4 3 4 2" xfId="31308" xr:uid="{00000000-0005-0000-0000-0000616B0000}"/>
    <cellStyle name="Normal 4 2 4 3 5" xfId="17540" xr:uid="{00000000-0005-0000-0000-0000626B0000}"/>
    <cellStyle name="Normal 4 2 4 3 5 2" xfId="37460" xr:uid="{00000000-0005-0000-0000-0000636B0000}"/>
    <cellStyle name="Normal 4 2 4 3 6" xfId="25155" xr:uid="{00000000-0005-0000-0000-0000646B0000}"/>
    <cellStyle name="Normal 4 2 4 4" xfId="5926" xr:uid="{00000000-0005-0000-0000-0000656B0000}"/>
    <cellStyle name="Normal 4 2 4 4 2" xfId="9026" xr:uid="{00000000-0005-0000-0000-0000666B0000}"/>
    <cellStyle name="Normal 4 2 4 4 2 2" xfId="15219" xr:uid="{00000000-0005-0000-0000-0000676B0000}"/>
    <cellStyle name="Normal 4 2 4 4 2 2 2" xfId="35139" xr:uid="{00000000-0005-0000-0000-0000686B0000}"/>
    <cellStyle name="Normal 4 2 4 4 2 3" xfId="21371" xr:uid="{00000000-0005-0000-0000-0000696B0000}"/>
    <cellStyle name="Normal 4 2 4 4 2 3 2" xfId="41291" xr:uid="{00000000-0005-0000-0000-00006A6B0000}"/>
    <cellStyle name="Normal 4 2 4 4 2 4" xfId="28986" xr:uid="{00000000-0005-0000-0000-00006B6B0000}"/>
    <cellStyle name="Normal 4 2 4 4 3" xfId="12153" xr:uid="{00000000-0005-0000-0000-00006C6B0000}"/>
    <cellStyle name="Normal 4 2 4 4 3 2" xfId="32073" xr:uid="{00000000-0005-0000-0000-00006D6B0000}"/>
    <cellStyle name="Normal 4 2 4 4 4" xfId="18305" xr:uid="{00000000-0005-0000-0000-00006E6B0000}"/>
    <cellStyle name="Normal 4 2 4 4 4 2" xfId="38225" xr:uid="{00000000-0005-0000-0000-00006F6B0000}"/>
    <cellStyle name="Normal 4 2 4 4 5" xfId="25920" xr:uid="{00000000-0005-0000-0000-0000706B0000}"/>
    <cellStyle name="Normal 4 2 4 5" xfId="7491" xr:uid="{00000000-0005-0000-0000-0000716B0000}"/>
    <cellStyle name="Normal 4 2 4 5 2" xfId="13685" xr:uid="{00000000-0005-0000-0000-0000726B0000}"/>
    <cellStyle name="Normal 4 2 4 5 2 2" xfId="33605" xr:uid="{00000000-0005-0000-0000-0000736B0000}"/>
    <cellStyle name="Normal 4 2 4 5 3" xfId="19837" xr:uid="{00000000-0005-0000-0000-0000746B0000}"/>
    <cellStyle name="Normal 4 2 4 5 3 2" xfId="39757" xr:uid="{00000000-0005-0000-0000-0000756B0000}"/>
    <cellStyle name="Normal 4 2 4 5 4" xfId="27452" xr:uid="{00000000-0005-0000-0000-0000766B0000}"/>
    <cellStyle name="Normal 4 2 4 6" xfId="10619" xr:uid="{00000000-0005-0000-0000-0000776B0000}"/>
    <cellStyle name="Normal 4 2 4 6 2" xfId="30539" xr:uid="{00000000-0005-0000-0000-0000786B0000}"/>
    <cellStyle name="Normal 4 2 4 7" xfId="16771" xr:uid="{00000000-0005-0000-0000-0000796B0000}"/>
    <cellStyle name="Normal 4 2 4 7 2" xfId="36691" xr:uid="{00000000-0005-0000-0000-00007A6B0000}"/>
    <cellStyle name="Normal 4 2 4 8" xfId="24386" xr:uid="{00000000-0005-0000-0000-00007B6B0000}"/>
    <cellStyle name="Normal 4 2 5" xfId="3849" xr:uid="{00000000-0005-0000-0000-00007C6B0000}"/>
    <cellStyle name="Normal 4 2 5 2" xfId="3850" xr:uid="{00000000-0005-0000-0000-00007D6B0000}"/>
    <cellStyle name="Normal 4 2 5 2 2" xfId="5087" xr:uid="{00000000-0005-0000-0000-00007E6B0000}"/>
    <cellStyle name="Normal 4 2 5 2 2 2" xfId="6712" xr:uid="{00000000-0005-0000-0000-00007F6B0000}"/>
    <cellStyle name="Normal 4 2 5 2 2 2 2" xfId="9798" xr:uid="{00000000-0005-0000-0000-0000806B0000}"/>
    <cellStyle name="Normal 4 2 5 2 2 2 2 2" xfId="15991" xr:uid="{00000000-0005-0000-0000-0000816B0000}"/>
    <cellStyle name="Normal 4 2 5 2 2 2 2 2 2" xfId="35911" xr:uid="{00000000-0005-0000-0000-0000826B0000}"/>
    <cellStyle name="Normal 4 2 5 2 2 2 2 3" xfId="22143" xr:uid="{00000000-0005-0000-0000-0000836B0000}"/>
    <cellStyle name="Normal 4 2 5 2 2 2 2 3 2" xfId="42063" xr:uid="{00000000-0005-0000-0000-0000846B0000}"/>
    <cellStyle name="Normal 4 2 5 2 2 2 2 4" xfId="29758" xr:uid="{00000000-0005-0000-0000-0000856B0000}"/>
    <cellStyle name="Normal 4 2 5 2 2 2 3" xfId="12925" xr:uid="{00000000-0005-0000-0000-0000866B0000}"/>
    <cellStyle name="Normal 4 2 5 2 2 2 3 2" xfId="32845" xr:uid="{00000000-0005-0000-0000-0000876B0000}"/>
    <cellStyle name="Normal 4 2 5 2 2 2 4" xfId="19077" xr:uid="{00000000-0005-0000-0000-0000886B0000}"/>
    <cellStyle name="Normal 4 2 5 2 2 2 4 2" xfId="38997" xr:uid="{00000000-0005-0000-0000-0000896B0000}"/>
    <cellStyle name="Normal 4 2 5 2 2 2 5" xfId="26692" xr:uid="{00000000-0005-0000-0000-00008A6B0000}"/>
    <cellStyle name="Normal 4 2 5 2 2 3" xfId="8263" xr:uid="{00000000-0005-0000-0000-00008B6B0000}"/>
    <cellStyle name="Normal 4 2 5 2 2 3 2" xfId="14457" xr:uid="{00000000-0005-0000-0000-00008C6B0000}"/>
    <cellStyle name="Normal 4 2 5 2 2 3 2 2" xfId="34377" xr:uid="{00000000-0005-0000-0000-00008D6B0000}"/>
    <cellStyle name="Normal 4 2 5 2 2 3 3" xfId="20609" xr:uid="{00000000-0005-0000-0000-00008E6B0000}"/>
    <cellStyle name="Normal 4 2 5 2 2 3 3 2" xfId="40529" xr:uid="{00000000-0005-0000-0000-00008F6B0000}"/>
    <cellStyle name="Normal 4 2 5 2 2 3 4" xfId="28224" xr:uid="{00000000-0005-0000-0000-0000906B0000}"/>
    <cellStyle name="Normal 4 2 5 2 2 4" xfId="11391" xr:uid="{00000000-0005-0000-0000-0000916B0000}"/>
    <cellStyle name="Normal 4 2 5 2 2 4 2" xfId="31311" xr:uid="{00000000-0005-0000-0000-0000926B0000}"/>
    <cellStyle name="Normal 4 2 5 2 2 5" xfId="17543" xr:uid="{00000000-0005-0000-0000-0000936B0000}"/>
    <cellStyle name="Normal 4 2 5 2 2 5 2" xfId="37463" xr:uid="{00000000-0005-0000-0000-0000946B0000}"/>
    <cellStyle name="Normal 4 2 5 2 2 6" xfId="25158" xr:uid="{00000000-0005-0000-0000-0000956B0000}"/>
    <cellStyle name="Normal 4 2 5 2 3" xfId="5929" xr:uid="{00000000-0005-0000-0000-0000966B0000}"/>
    <cellStyle name="Normal 4 2 5 2 3 2" xfId="9029" xr:uid="{00000000-0005-0000-0000-0000976B0000}"/>
    <cellStyle name="Normal 4 2 5 2 3 2 2" xfId="15222" xr:uid="{00000000-0005-0000-0000-0000986B0000}"/>
    <cellStyle name="Normal 4 2 5 2 3 2 2 2" xfId="35142" xr:uid="{00000000-0005-0000-0000-0000996B0000}"/>
    <cellStyle name="Normal 4 2 5 2 3 2 3" xfId="21374" xr:uid="{00000000-0005-0000-0000-00009A6B0000}"/>
    <cellStyle name="Normal 4 2 5 2 3 2 3 2" xfId="41294" xr:uid="{00000000-0005-0000-0000-00009B6B0000}"/>
    <cellStyle name="Normal 4 2 5 2 3 2 4" xfId="28989" xr:uid="{00000000-0005-0000-0000-00009C6B0000}"/>
    <cellStyle name="Normal 4 2 5 2 3 3" xfId="12156" xr:uid="{00000000-0005-0000-0000-00009D6B0000}"/>
    <cellStyle name="Normal 4 2 5 2 3 3 2" xfId="32076" xr:uid="{00000000-0005-0000-0000-00009E6B0000}"/>
    <cellStyle name="Normal 4 2 5 2 3 4" xfId="18308" xr:uid="{00000000-0005-0000-0000-00009F6B0000}"/>
    <cellStyle name="Normal 4 2 5 2 3 4 2" xfId="38228" xr:uid="{00000000-0005-0000-0000-0000A06B0000}"/>
    <cellStyle name="Normal 4 2 5 2 3 5" xfId="25923" xr:uid="{00000000-0005-0000-0000-0000A16B0000}"/>
    <cellStyle name="Normal 4 2 5 2 4" xfId="7494" xr:uid="{00000000-0005-0000-0000-0000A26B0000}"/>
    <cellStyle name="Normal 4 2 5 2 4 2" xfId="13688" xr:uid="{00000000-0005-0000-0000-0000A36B0000}"/>
    <cellStyle name="Normal 4 2 5 2 4 2 2" xfId="33608" xr:uid="{00000000-0005-0000-0000-0000A46B0000}"/>
    <cellStyle name="Normal 4 2 5 2 4 3" xfId="19840" xr:uid="{00000000-0005-0000-0000-0000A56B0000}"/>
    <cellStyle name="Normal 4 2 5 2 4 3 2" xfId="39760" xr:uid="{00000000-0005-0000-0000-0000A66B0000}"/>
    <cellStyle name="Normal 4 2 5 2 4 4" xfId="27455" xr:uid="{00000000-0005-0000-0000-0000A76B0000}"/>
    <cellStyle name="Normal 4 2 5 2 5" xfId="10622" xr:uid="{00000000-0005-0000-0000-0000A86B0000}"/>
    <cellStyle name="Normal 4 2 5 2 5 2" xfId="30542" xr:uid="{00000000-0005-0000-0000-0000A96B0000}"/>
    <cellStyle name="Normal 4 2 5 2 6" xfId="16774" xr:uid="{00000000-0005-0000-0000-0000AA6B0000}"/>
    <cellStyle name="Normal 4 2 5 2 6 2" xfId="36694" xr:uid="{00000000-0005-0000-0000-0000AB6B0000}"/>
    <cellStyle name="Normal 4 2 5 2 7" xfId="24389" xr:uid="{00000000-0005-0000-0000-0000AC6B0000}"/>
    <cellStyle name="Normal 4 2 5 3" xfId="5086" xr:uid="{00000000-0005-0000-0000-0000AD6B0000}"/>
    <cellStyle name="Normal 4 2 5 3 2" xfId="6711" xr:uid="{00000000-0005-0000-0000-0000AE6B0000}"/>
    <cellStyle name="Normal 4 2 5 3 2 2" xfId="9797" xr:uid="{00000000-0005-0000-0000-0000AF6B0000}"/>
    <cellStyle name="Normal 4 2 5 3 2 2 2" xfId="15990" xr:uid="{00000000-0005-0000-0000-0000B06B0000}"/>
    <cellStyle name="Normal 4 2 5 3 2 2 2 2" xfId="35910" xr:uid="{00000000-0005-0000-0000-0000B16B0000}"/>
    <cellStyle name="Normal 4 2 5 3 2 2 3" xfId="22142" xr:uid="{00000000-0005-0000-0000-0000B26B0000}"/>
    <cellStyle name="Normal 4 2 5 3 2 2 3 2" xfId="42062" xr:uid="{00000000-0005-0000-0000-0000B36B0000}"/>
    <cellStyle name="Normal 4 2 5 3 2 2 4" xfId="29757" xr:uid="{00000000-0005-0000-0000-0000B46B0000}"/>
    <cellStyle name="Normal 4 2 5 3 2 3" xfId="12924" xr:uid="{00000000-0005-0000-0000-0000B56B0000}"/>
    <cellStyle name="Normal 4 2 5 3 2 3 2" xfId="32844" xr:uid="{00000000-0005-0000-0000-0000B66B0000}"/>
    <cellStyle name="Normal 4 2 5 3 2 4" xfId="19076" xr:uid="{00000000-0005-0000-0000-0000B76B0000}"/>
    <cellStyle name="Normal 4 2 5 3 2 4 2" xfId="38996" xr:uid="{00000000-0005-0000-0000-0000B86B0000}"/>
    <cellStyle name="Normal 4 2 5 3 2 5" xfId="26691" xr:uid="{00000000-0005-0000-0000-0000B96B0000}"/>
    <cellStyle name="Normal 4 2 5 3 3" xfId="8262" xr:uid="{00000000-0005-0000-0000-0000BA6B0000}"/>
    <cellStyle name="Normal 4 2 5 3 3 2" xfId="14456" xr:uid="{00000000-0005-0000-0000-0000BB6B0000}"/>
    <cellStyle name="Normal 4 2 5 3 3 2 2" xfId="34376" xr:uid="{00000000-0005-0000-0000-0000BC6B0000}"/>
    <cellStyle name="Normal 4 2 5 3 3 3" xfId="20608" xr:uid="{00000000-0005-0000-0000-0000BD6B0000}"/>
    <cellStyle name="Normal 4 2 5 3 3 3 2" xfId="40528" xr:uid="{00000000-0005-0000-0000-0000BE6B0000}"/>
    <cellStyle name="Normal 4 2 5 3 3 4" xfId="28223" xr:uid="{00000000-0005-0000-0000-0000BF6B0000}"/>
    <cellStyle name="Normal 4 2 5 3 4" xfId="11390" xr:uid="{00000000-0005-0000-0000-0000C06B0000}"/>
    <cellStyle name="Normal 4 2 5 3 4 2" xfId="31310" xr:uid="{00000000-0005-0000-0000-0000C16B0000}"/>
    <cellStyle name="Normal 4 2 5 3 5" xfId="17542" xr:uid="{00000000-0005-0000-0000-0000C26B0000}"/>
    <cellStyle name="Normal 4 2 5 3 5 2" xfId="37462" xr:uid="{00000000-0005-0000-0000-0000C36B0000}"/>
    <cellStyle name="Normal 4 2 5 3 6" xfId="25157" xr:uid="{00000000-0005-0000-0000-0000C46B0000}"/>
    <cellStyle name="Normal 4 2 5 4" xfId="5928" xr:uid="{00000000-0005-0000-0000-0000C56B0000}"/>
    <cellStyle name="Normal 4 2 5 4 2" xfId="9028" xr:uid="{00000000-0005-0000-0000-0000C66B0000}"/>
    <cellStyle name="Normal 4 2 5 4 2 2" xfId="15221" xr:uid="{00000000-0005-0000-0000-0000C76B0000}"/>
    <cellStyle name="Normal 4 2 5 4 2 2 2" xfId="35141" xr:uid="{00000000-0005-0000-0000-0000C86B0000}"/>
    <cellStyle name="Normal 4 2 5 4 2 3" xfId="21373" xr:uid="{00000000-0005-0000-0000-0000C96B0000}"/>
    <cellStyle name="Normal 4 2 5 4 2 3 2" xfId="41293" xr:uid="{00000000-0005-0000-0000-0000CA6B0000}"/>
    <cellStyle name="Normal 4 2 5 4 2 4" xfId="28988" xr:uid="{00000000-0005-0000-0000-0000CB6B0000}"/>
    <cellStyle name="Normal 4 2 5 4 3" xfId="12155" xr:uid="{00000000-0005-0000-0000-0000CC6B0000}"/>
    <cellStyle name="Normal 4 2 5 4 3 2" xfId="32075" xr:uid="{00000000-0005-0000-0000-0000CD6B0000}"/>
    <cellStyle name="Normal 4 2 5 4 4" xfId="18307" xr:uid="{00000000-0005-0000-0000-0000CE6B0000}"/>
    <cellStyle name="Normal 4 2 5 4 4 2" xfId="38227" xr:uid="{00000000-0005-0000-0000-0000CF6B0000}"/>
    <cellStyle name="Normal 4 2 5 4 5" xfId="25922" xr:uid="{00000000-0005-0000-0000-0000D06B0000}"/>
    <cellStyle name="Normal 4 2 5 5" xfId="7493" xr:uid="{00000000-0005-0000-0000-0000D16B0000}"/>
    <cellStyle name="Normal 4 2 5 5 2" xfId="13687" xr:uid="{00000000-0005-0000-0000-0000D26B0000}"/>
    <cellStyle name="Normal 4 2 5 5 2 2" xfId="33607" xr:uid="{00000000-0005-0000-0000-0000D36B0000}"/>
    <cellStyle name="Normal 4 2 5 5 3" xfId="19839" xr:uid="{00000000-0005-0000-0000-0000D46B0000}"/>
    <cellStyle name="Normal 4 2 5 5 3 2" xfId="39759" xr:uid="{00000000-0005-0000-0000-0000D56B0000}"/>
    <cellStyle name="Normal 4 2 5 5 4" xfId="27454" xr:uid="{00000000-0005-0000-0000-0000D66B0000}"/>
    <cellStyle name="Normal 4 2 5 6" xfId="10621" xr:uid="{00000000-0005-0000-0000-0000D76B0000}"/>
    <cellStyle name="Normal 4 2 5 6 2" xfId="30541" xr:uid="{00000000-0005-0000-0000-0000D86B0000}"/>
    <cellStyle name="Normal 4 2 5 7" xfId="16773" xr:uid="{00000000-0005-0000-0000-0000D96B0000}"/>
    <cellStyle name="Normal 4 2 5 7 2" xfId="36693" xr:uid="{00000000-0005-0000-0000-0000DA6B0000}"/>
    <cellStyle name="Normal 4 2 5 8" xfId="24388" xr:uid="{00000000-0005-0000-0000-0000DB6B0000}"/>
    <cellStyle name="Normal 4 2 6" xfId="3851" xr:uid="{00000000-0005-0000-0000-0000DC6B0000}"/>
    <cellStyle name="Normal 4 2 6 2" xfId="5088" xr:uid="{00000000-0005-0000-0000-0000DD6B0000}"/>
    <cellStyle name="Normal 4 2 6 2 2" xfId="6713" xr:uid="{00000000-0005-0000-0000-0000DE6B0000}"/>
    <cellStyle name="Normal 4 2 6 2 2 2" xfId="9799" xr:uid="{00000000-0005-0000-0000-0000DF6B0000}"/>
    <cellStyle name="Normal 4 2 6 2 2 2 2" xfId="15992" xr:uid="{00000000-0005-0000-0000-0000E06B0000}"/>
    <cellStyle name="Normal 4 2 6 2 2 2 2 2" xfId="35912" xr:uid="{00000000-0005-0000-0000-0000E16B0000}"/>
    <cellStyle name="Normal 4 2 6 2 2 2 3" xfId="22144" xr:uid="{00000000-0005-0000-0000-0000E26B0000}"/>
    <cellStyle name="Normal 4 2 6 2 2 2 3 2" xfId="42064" xr:uid="{00000000-0005-0000-0000-0000E36B0000}"/>
    <cellStyle name="Normal 4 2 6 2 2 2 4" xfId="29759" xr:uid="{00000000-0005-0000-0000-0000E46B0000}"/>
    <cellStyle name="Normal 4 2 6 2 2 3" xfId="12926" xr:uid="{00000000-0005-0000-0000-0000E56B0000}"/>
    <cellStyle name="Normal 4 2 6 2 2 3 2" xfId="32846" xr:uid="{00000000-0005-0000-0000-0000E66B0000}"/>
    <cellStyle name="Normal 4 2 6 2 2 4" xfId="19078" xr:uid="{00000000-0005-0000-0000-0000E76B0000}"/>
    <cellStyle name="Normal 4 2 6 2 2 4 2" xfId="38998" xr:uid="{00000000-0005-0000-0000-0000E86B0000}"/>
    <cellStyle name="Normal 4 2 6 2 2 5" xfId="26693" xr:uid="{00000000-0005-0000-0000-0000E96B0000}"/>
    <cellStyle name="Normal 4 2 6 2 3" xfId="8264" xr:uid="{00000000-0005-0000-0000-0000EA6B0000}"/>
    <cellStyle name="Normal 4 2 6 2 3 2" xfId="14458" xr:uid="{00000000-0005-0000-0000-0000EB6B0000}"/>
    <cellStyle name="Normal 4 2 6 2 3 2 2" xfId="34378" xr:uid="{00000000-0005-0000-0000-0000EC6B0000}"/>
    <cellStyle name="Normal 4 2 6 2 3 3" xfId="20610" xr:uid="{00000000-0005-0000-0000-0000ED6B0000}"/>
    <cellStyle name="Normal 4 2 6 2 3 3 2" xfId="40530" xr:uid="{00000000-0005-0000-0000-0000EE6B0000}"/>
    <cellStyle name="Normal 4 2 6 2 3 4" xfId="28225" xr:uid="{00000000-0005-0000-0000-0000EF6B0000}"/>
    <cellStyle name="Normal 4 2 6 2 4" xfId="11392" xr:uid="{00000000-0005-0000-0000-0000F06B0000}"/>
    <cellStyle name="Normal 4 2 6 2 4 2" xfId="31312" xr:uid="{00000000-0005-0000-0000-0000F16B0000}"/>
    <cellStyle name="Normal 4 2 6 2 5" xfId="17544" xr:uid="{00000000-0005-0000-0000-0000F26B0000}"/>
    <cellStyle name="Normal 4 2 6 2 5 2" xfId="37464" xr:uid="{00000000-0005-0000-0000-0000F36B0000}"/>
    <cellStyle name="Normal 4 2 6 2 6" xfId="25159" xr:uid="{00000000-0005-0000-0000-0000F46B0000}"/>
    <cellStyle name="Normal 4 2 6 3" xfId="5930" xr:uid="{00000000-0005-0000-0000-0000F56B0000}"/>
    <cellStyle name="Normal 4 2 6 3 2" xfId="9030" xr:uid="{00000000-0005-0000-0000-0000F66B0000}"/>
    <cellStyle name="Normal 4 2 6 3 2 2" xfId="15223" xr:uid="{00000000-0005-0000-0000-0000F76B0000}"/>
    <cellStyle name="Normal 4 2 6 3 2 2 2" xfId="35143" xr:uid="{00000000-0005-0000-0000-0000F86B0000}"/>
    <cellStyle name="Normal 4 2 6 3 2 3" xfId="21375" xr:uid="{00000000-0005-0000-0000-0000F96B0000}"/>
    <cellStyle name="Normal 4 2 6 3 2 3 2" xfId="41295" xr:uid="{00000000-0005-0000-0000-0000FA6B0000}"/>
    <cellStyle name="Normal 4 2 6 3 2 4" xfId="28990" xr:uid="{00000000-0005-0000-0000-0000FB6B0000}"/>
    <cellStyle name="Normal 4 2 6 3 3" xfId="12157" xr:uid="{00000000-0005-0000-0000-0000FC6B0000}"/>
    <cellStyle name="Normal 4 2 6 3 3 2" xfId="32077" xr:uid="{00000000-0005-0000-0000-0000FD6B0000}"/>
    <cellStyle name="Normal 4 2 6 3 4" xfId="18309" xr:uid="{00000000-0005-0000-0000-0000FE6B0000}"/>
    <cellStyle name="Normal 4 2 6 3 4 2" xfId="38229" xr:uid="{00000000-0005-0000-0000-0000FF6B0000}"/>
    <cellStyle name="Normal 4 2 6 3 5" xfId="25924" xr:uid="{00000000-0005-0000-0000-0000006C0000}"/>
    <cellStyle name="Normal 4 2 6 4" xfId="7495" xr:uid="{00000000-0005-0000-0000-0000016C0000}"/>
    <cellStyle name="Normal 4 2 6 4 2" xfId="13689" xr:uid="{00000000-0005-0000-0000-0000026C0000}"/>
    <cellStyle name="Normal 4 2 6 4 2 2" xfId="33609" xr:uid="{00000000-0005-0000-0000-0000036C0000}"/>
    <cellStyle name="Normal 4 2 6 4 3" xfId="19841" xr:uid="{00000000-0005-0000-0000-0000046C0000}"/>
    <cellStyle name="Normal 4 2 6 4 3 2" xfId="39761" xr:uid="{00000000-0005-0000-0000-0000056C0000}"/>
    <cellStyle name="Normal 4 2 6 4 4" xfId="27456" xr:uid="{00000000-0005-0000-0000-0000066C0000}"/>
    <cellStyle name="Normal 4 2 6 5" xfId="10623" xr:uid="{00000000-0005-0000-0000-0000076C0000}"/>
    <cellStyle name="Normal 4 2 6 5 2" xfId="30543" xr:uid="{00000000-0005-0000-0000-0000086C0000}"/>
    <cellStyle name="Normal 4 2 6 6" xfId="16775" xr:uid="{00000000-0005-0000-0000-0000096C0000}"/>
    <cellStyle name="Normal 4 2 6 6 2" xfId="36695" xr:uid="{00000000-0005-0000-0000-00000A6C0000}"/>
    <cellStyle name="Normal 4 2 6 7" xfId="24390" xr:uid="{00000000-0005-0000-0000-00000B6C0000}"/>
    <cellStyle name="Normal 4 2 7" xfId="3852" xr:uid="{00000000-0005-0000-0000-00000C6C0000}"/>
    <cellStyle name="Normal 4 2 7 2" xfId="5089" xr:uid="{00000000-0005-0000-0000-00000D6C0000}"/>
    <cellStyle name="Normal 4 2 7 2 2" xfId="6714" xr:uid="{00000000-0005-0000-0000-00000E6C0000}"/>
    <cellStyle name="Normal 4 2 7 2 2 2" xfId="9800" xr:uid="{00000000-0005-0000-0000-00000F6C0000}"/>
    <cellStyle name="Normal 4 2 7 2 2 2 2" xfId="15993" xr:uid="{00000000-0005-0000-0000-0000106C0000}"/>
    <cellStyle name="Normal 4 2 7 2 2 2 2 2" xfId="35913" xr:uid="{00000000-0005-0000-0000-0000116C0000}"/>
    <cellStyle name="Normal 4 2 7 2 2 2 3" xfId="22145" xr:uid="{00000000-0005-0000-0000-0000126C0000}"/>
    <cellStyle name="Normal 4 2 7 2 2 2 3 2" xfId="42065" xr:uid="{00000000-0005-0000-0000-0000136C0000}"/>
    <cellStyle name="Normal 4 2 7 2 2 2 4" xfId="29760" xr:uid="{00000000-0005-0000-0000-0000146C0000}"/>
    <cellStyle name="Normal 4 2 7 2 2 3" xfId="12927" xr:uid="{00000000-0005-0000-0000-0000156C0000}"/>
    <cellStyle name="Normal 4 2 7 2 2 3 2" xfId="32847" xr:uid="{00000000-0005-0000-0000-0000166C0000}"/>
    <cellStyle name="Normal 4 2 7 2 2 4" xfId="19079" xr:uid="{00000000-0005-0000-0000-0000176C0000}"/>
    <cellStyle name="Normal 4 2 7 2 2 4 2" xfId="38999" xr:uid="{00000000-0005-0000-0000-0000186C0000}"/>
    <cellStyle name="Normal 4 2 7 2 2 5" xfId="26694" xr:uid="{00000000-0005-0000-0000-0000196C0000}"/>
    <cellStyle name="Normal 4 2 7 2 3" xfId="8265" xr:uid="{00000000-0005-0000-0000-00001A6C0000}"/>
    <cellStyle name="Normal 4 2 7 2 3 2" xfId="14459" xr:uid="{00000000-0005-0000-0000-00001B6C0000}"/>
    <cellStyle name="Normal 4 2 7 2 3 2 2" xfId="34379" xr:uid="{00000000-0005-0000-0000-00001C6C0000}"/>
    <cellStyle name="Normal 4 2 7 2 3 3" xfId="20611" xr:uid="{00000000-0005-0000-0000-00001D6C0000}"/>
    <cellStyle name="Normal 4 2 7 2 3 3 2" xfId="40531" xr:uid="{00000000-0005-0000-0000-00001E6C0000}"/>
    <cellStyle name="Normal 4 2 7 2 3 4" xfId="28226" xr:uid="{00000000-0005-0000-0000-00001F6C0000}"/>
    <cellStyle name="Normal 4 2 7 2 4" xfId="11393" xr:uid="{00000000-0005-0000-0000-0000206C0000}"/>
    <cellStyle name="Normal 4 2 7 2 4 2" xfId="31313" xr:uid="{00000000-0005-0000-0000-0000216C0000}"/>
    <cellStyle name="Normal 4 2 7 2 5" xfId="17545" xr:uid="{00000000-0005-0000-0000-0000226C0000}"/>
    <cellStyle name="Normal 4 2 7 2 5 2" xfId="37465" xr:uid="{00000000-0005-0000-0000-0000236C0000}"/>
    <cellStyle name="Normal 4 2 7 2 6" xfId="25160" xr:uid="{00000000-0005-0000-0000-0000246C0000}"/>
    <cellStyle name="Normal 4 2 7 3" xfId="5931" xr:uid="{00000000-0005-0000-0000-0000256C0000}"/>
    <cellStyle name="Normal 4 2 7 3 2" xfId="9031" xr:uid="{00000000-0005-0000-0000-0000266C0000}"/>
    <cellStyle name="Normal 4 2 7 3 2 2" xfId="15224" xr:uid="{00000000-0005-0000-0000-0000276C0000}"/>
    <cellStyle name="Normal 4 2 7 3 2 2 2" xfId="35144" xr:uid="{00000000-0005-0000-0000-0000286C0000}"/>
    <cellStyle name="Normal 4 2 7 3 2 3" xfId="21376" xr:uid="{00000000-0005-0000-0000-0000296C0000}"/>
    <cellStyle name="Normal 4 2 7 3 2 3 2" xfId="41296" xr:uid="{00000000-0005-0000-0000-00002A6C0000}"/>
    <cellStyle name="Normal 4 2 7 3 2 4" xfId="28991" xr:uid="{00000000-0005-0000-0000-00002B6C0000}"/>
    <cellStyle name="Normal 4 2 7 3 3" xfId="12158" xr:uid="{00000000-0005-0000-0000-00002C6C0000}"/>
    <cellStyle name="Normal 4 2 7 3 3 2" xfId="32078" xr:uid="{00000000-0005-0000-0000-00002D6C0000}"/>
    <cellStyle name="Normal 4 2 7 3 4" xfId="18310" xr:uid="{00000000-0005-0000-0000-00002E6C0000}"/>
    <cellStyle name="Normal 4 2 7 3 4 2" xfId="38230" xr:uid="{00000000-0005-0000-0000-00002F6C0000}"/>
    <cellStyle name="Normal 4 2 7 3 5" xfId="25925" xr:uid="{00000000-0005-0000-0000-0000306C0000}"/>
    <cellStyle name="Normal 4 2 7 4" xfId="7496" xr:uid="{00000000-0005-0000-0000-0000316C0000}"/>
    <cellStyle name="Normal 4 2 7 4 2" xfId="13690" xr:uid="{00000000-0005-0000-0000-0000326C0000}"/>
    <cellStyle name="Normal 4 2 7 4 2 2" xfId="33610" xr:uid="{00000000-0005-0000-0000-0000336C0000}"/>
    <cellStyle name="Normal 4 2 7 4 3" xfId="19842" xr:uid="{00000000-0005-0000-0000-0000346C0000}"/>
    <cellStyle name="Normal 4 2 7 4 3 2" xfId="39762" xr:uid="{00000000-0005-0000-0000-0000356C0000}"/>
    <cellStyle name="Normal 4 2 7 4 4" xfId="27457" xr:uid="{00000000-0005-0000-0000-0000366C0000}"/>
    <cellStyle name="Normal 4 2 7 5" xfId="10624" xr:uid="{00000000-0005-0000-0000-0000376C0000}"/>
    <cellStyle name="Normal 4 2 7 5 2" xfId="30544" xr:uid="{00000000-0005-0000-0000-0000386C0000}"/>
    <cellStyle name="Normal 4 2 7 6" xfId="16776" xr:uid="{00000000-0005-0000-0000-0000396C0000}"/>
    <cellStyle name="Normal 4 2 7 6 2" xfId="36696" xr:uid="{00000000-0005-0000-0000-00003A6C0000}"/>
    <cellStyle name="Normal 4 2 7 7" xfId="24391" xr:uid="{00000000-0005-0000-0000-00003B6C0000}"/>
    <cellStyle name="Normal 4 2 8" xfId="3853" xr:uid="{00000000-0005-0000-0000-00003C6C0000}"/>
    <cellStyle name="Normal 4 2 8 2" xfId="5090" xr:uid="{00000000-0005-0000-0000-00003D6C0000}"/>
    <cellStyle name="Normal 4 2 8 2 2" xfId="6715" xr:uid="{00000000-0005-0000-0000-00003E6C0000}"/>
    <cellStyle name="Normal 4 2 8 2 2 2" xfId="9801" xr:uid="{00000000-0005-0000-0000-00003F6C0000}"/>
    <cellStyle name="Normal 4 2 8 2 2 2 2" xfId="15994" xr:uid="{00000000-0005-0000-0000-0000406C0000}"/>
    <cellStyle name="Normal 4 2 8 2 2 2 2 2" xfId="35914" xr:uid="{00000000-0005-0000-0000-0000416C0000}"/>
    <cellStyle name="Normal 4 2 8 2 2 2 3" xfId="22146" xr:uid="{00000000-0005-0000-0000-0000426C0000}"/>
    <cellStyle name="Normal 4 2 8 2 2 2 3 2" xfId="42066" xr:uid="{00000000-0005-0000-0000-0000436C0000}"/>
    <cellStyle name="Normal 4 2 8 2 2 2 4" xfId="29761" xr:uid="{00000000-0005-0000-0000-0000446C0000}"/>
    <cellStyle name="Normal 4 2 8 2 2 3" xfId="12928" xr:uid="{00000000-0005-0000-0000-0000456C0000}"/>
    <cellStyle name="Normal 4 2 8 2 2 3 2" xfId="32848" xr:uid="{00000000-0005-0000-0000-0000466C0000}"/>
    <cellStyle name="Normal 4 2 8 2 2 4" xfId="19080" xr:uid="{00000000-0005-0000-0000-0000476C0000}"/>
    <cellStyle name="Normal 4 2 8 2 2 4 2" xfId="39000" xr:uid="{00000000-0005-0000-0000-0000486C0000}"/>
    <cellStyle name="Normal 4 2 8 2 2 5" xfId="26695" xr:uid="{00000000-0005-0000-0000-0000496C0000}"/>
    <cellStyle name="Normal 4 2 8 2 3" xfId="8266" xr:uid="{00000000-0005-0000-0000-00004A6C0000}"/>
    <cellStyle name="Normal 4 2 8 2 3 2" xfId="14460" xr:uid="{00000000-0005-0000-0000-00004B6C0000}"/>
    <cellStyle name="Normal 4 2 8 2 3 2 2" xfId="34380" xr:uid="{00000000-0005-0000-0000-00004C6C0000}"/>
    <cellStyle name="Normal 4 2 8 2 3 3" xfId="20612" xr:uid="{00000000-0005-0000-0000-00004D6C0000}"/>
    <cellStyle name="Normal 4 2 8 2 3 3 2" xfId="40532" xr:uid="{00000000-0005-0000-0000-00004E6C0000}"/>
    <cellStyle name="Normal 4 2 8 2 3 4" xfId="28227" xr:uid="{00000000-0005-0000-0000-00004F6C0000}"/>
    <cellStyle name="Normal 4 2 8 2 4" xfId="11394" xr:uid="{00000000-0005-0000-0000-0000506C0000}"/>
    <cellStyle name="Normal 4 2 8 2 4 2" xfId="31314" xr:uid="{00000000-0005-0000-0000-0000516C0000}"/>
    <cellStyle name="Normal 4 2 8 2 5" xfId="17546" xr:uid="{00000000-0005-0000-0000-0000526C0000}"/>
    <cellStyle name="Normal 4 2 8 2 5 2" xfId="37466" xr:uid="{00000000-0005-0000-0000-0000536C0000}"/>
    <cellStyle name="Normal 4 2 8 2 6" xfId="25161" xr:uid="{00000000-0005-0000-0000-0000546C0000}"/>
    <cellStyle name="Normal 4 2 8 3" xfId="5932" xr:uid="{00000000-0005-0000-0000-0000556C0000}"/>
    <cellStyle name="Normal 4 2 8 3 2" xfId="9032" xr:uid="{00000000-0005-0000-0000-0000566C0000}"/>
    <cellStyle name="Normal 4 2 8 3 2 2" xfId="15225" xr:uid="{00000000-0005-0000-0000-0000576C0000}"/>
    <cellStyle name="Normal 4 2 8 3 2 2 2" xfId="35145" xr:uid="{00000000-0005-0000-0000-0000586C0000}"/>
    <cellStyle name="Normal 4 2 8 3 2 3" xfId="21377" xr:uid="{00000000-0005-0000-0000-0000596C0000}"/>
    <cellStyle name="Normal 4 2 8 3 2 3 2" xfId="41297" xr:uid="{00000000-0005-0000-0000-00005A6C0000}"/>
    <cellStyle name="Normal 4 2 8 3 2 4" xfId="28992" xr:uid="{00000000-0005-0000-0000-00005B6C0000}"/>
    <cellStyle name="Normal 4 2 8 3 3" xfId="12159" xr:uid="{00000000-0005-0000-0000-00005C6C0000}"/>
    <cellStyle name="Normal 4 2 8 3 3 2" xfId="32079" xr:uid="{00000000-0005-0000-0000-00005D6C0000}"/>
    <cellStyle name="Normal 4 2 8 3 4" xfId="18311" xr:uid="{00000000-0005-0000-0000-00005E6C0000}"/>
    <cellStyle name="Normal 4 2 8 3 4 2" xfId="38231" xr:uid="{00000000-0005-0000-0000-00005F6C0000}"/>
    <cellStyle name="Normal 4 2 8 3 5" xfId="25926" xr:uid="{00000000-0005-0000-0000-0000606C0000}"/>
    <cellStyle name="Normal 4 2 8 4" xfId="7497" xr:uid="{00000000-0005-0000-0000-0000616C0000}"/>
    <cellStyle name="Normal 4 2 8 4 2" xfId="13691" xr:uid="{00000000-0005-0000-0000-0000626C0000}"/>
    <cellStyle name="Normal 4 2 8 4 2 2" xfId="33611" xr:uid="{00000000-0005-0000-0000-0000636C0000}"/>
    <cellStyle name="Normal 4 2 8 4 3" xfId="19843" xr:uid="{00000000-0005-0000-0000-0000646C0000}"/>
    <cellStyle name="Normal 4 2 8 4 3 2" xfId="39763" xr:uid="{00000000-0005-0000-0000-0000656C0000}"/>
    <cellStyle name="Normal 4 2 8 4 4" xfId="27458" xr:uid="{00000000-0005-0000-0000-0000666C0000}"/>
    <cellStyle name="Normal 4 2 8 5" xfId="10625" xr:uid="{00000000-0005-0000-0000-0000676C0000}"/>
    <cellStyle name="Normal 4 2 8 5 2" xfId="30545" xr:uid="{00000000-0005-0000-0000-0000686C0000}"/>
    <cellStyle name="Normal 4 2 8 6" xfId="16777" xr:uid="{00000000-0005-0000-0000-0000696C0000}"/>
    <cellStyle name="Normal 4 2 8 6 2" xfId="36697" xr:uid="{00000000-0005-0000-0000-00006A6C0000}"/>
    <cellStyle name="Normal 4 2 8 7" xfId="24392" xr:uid="{00000000-0005-0000-0000-00006B6C0000}"/>
    <cellStyle name="Normal 4 2 9" xfId="3854" xr:uid="{00000000-0005-0000-0000-00006C6C0000}"/>
    <cellStyle name="Normal 4 2 9 2" xfId="5091" xr:uid="{00000000-0005-0000-0000-00006D6C0000}"/>
    <cellStyle name="Normal 4 2 9 2 2" xfId="6716" xr:uid="{00000000-0005-0000-0000-00006E6C0000}"/>
    <cellStyle name="Normal 4 2 9 2 2 2" xfId="9802" xr:uid="{00000000-0005-0000-0000-00006F6C0000}"/>
    <cellStyle name="Normal 4 2 9 2 2 2 2" xfId="15995" xr:uid="{00000000-0005-0000-0000-0000706C0000}"/>
    <cellStyle name="Normal 4 2 9 2 2 2 2 2" xfId="35915" xr:uid="{00000000-0005-0000-0000-0000716C0000}"/>
    <cellStyle name="Normal 4 2 9 2 2 2 3" xfId="22147" xr:uid="{00000000-0005-0000-0000-0000726C0000}"/>
    <cellStyle name="Normal 4 2 9 2 2 2 3 2" xfId="42067" xr:uid="{00000000-0005-0000-0000-0000736C0000}"/>
    <cellStyle name="Normal 4 2 9 2 2 2 4" xfId="29762" xr:uid="{00000000-0005-0000-0000-0000746C0000}"/>
    <cellStyle name="Normal 4 2 9 2 2 3" xfId="12929" xr:uid="{00000000-0005-0000-0000-0000756C0000}"/>
    <cellStyle name="Normal 4 2 9 2 2 3 2" xfId="32849" xr:uid="{00000000-0005-0000-0000-0000766C0000}"/>
    <cellStyle name="Normal 4 2 9 2 2 4" xfId="19081" xr:uid="{00000000-0005-0000-0000-0000776C0000}"/>
    <cellStyle name="Normal 4 2 9 2 2 4 2" xfId="39001" xr:uid="{00000000-0005-0000-0000-0000786C0000}"/>
    <cellStyle name="Normal 4 2 9 2 2 5" xfId="26696" xr:uid="{00000000-0005-0000-0000-0000796C0000}"/>
    <cellStyle name="Normal 4 2 9 2 3" xfId="8267" xr:uid="{00000000-0005-0000-0000-00007A6C0000}"/>
    <cellStyle name="Normal 4 2 9 2 3 2" xfId="14461" xr:uid="{00000000-0005-0000-0000-00007B6C0000}"/>
    <cellStyle name="Normal 4 2 9 2 3 2 2" xfId="34381" xr:uid="{00000000-0005-0000-0000-00007C6C0000}"/>
    <cellStyle name="Normal 4 2 9 2 3 3" xfId="20613" xr:uid="{00000000-0005-0000-0000-00007D6C0000}"/>
    <cellStyle name="Normal 4 2 9 2 3 3 2" xfId="40533" xr:uid="{00000000-0005-0000-0000-00007E6C0000}"/>
    <cellStyle name="Normal 4 2 9 2 3 4" xfId="28228" xr:uid="{00000000-0005-0000-0000-00007F6C0000}"/>
    <cellStyle name="Normal 4 2 9 2 4" xfId="11395" xr:uid="{00000000-0005-0000-0000-0000806C0000}"/>
    <cellStyle name="Normal 4 2 9 2 4 2" xfId="31315" xr:uid="{00000000-0005-0000-0000-0000816C0000}"/>
    <cellStyle name="Normal 4 2 9 2 5" xfId="17547" xr:uid="{00000000-0005-0000-0000-0000826C0000}"/>
    <cellStyle name="Normal 4 2 9 2 5 2" xfId="37467" xr:uid="{00000000-0005-0000-0000-0000836C0000}"/>
    <cellStyle name="Normal 4 2 9 2 6" xfId="25162" xr:uid="{00000000-0005-0000-0000-0000846C0000}"/>
    <cellStyle name="Normal 4 2 9 3" xfId="5933" xr:uid="{00000000-0005-0000-0000-0000856C0000}"/>
    <cellStyle name="Normal 4 2 9 3 2" xfId="9033" xr:uid="{00000000-0005-0000-0000-0000866C0000}"/>
    <cellStyle name="Normal 4 2 9 3 2 2" xfId="15226" xr:uid="{00000000-0005-0000-0000-0000876C0000}"/>
    <cellStyle name="Normal 4 2 9 3 2 2 2" xfId="35146" xr:uid="{00000000-0005-0000-0000-0000886C0000}"/>
    <cellStyle name="Normal 4 2 9 3 2 3" xfId="21378" xr:uid="{00000000-0005-0000-0000-0000896C0000}"/>
    <cellStyle name="Normal 4 2 9 3 2 3 2" xfId="41298" xr:uid="{00000000-0005-0000-0000-00008A6C0000}"/>
    <cellStyle name="Normal 4 2 9 3 2 4" xfId="28993" xr:uid="{00000000-0005-0000-0000-00008B6C0000}"/>
    <cellStyle name="Normal 4 2 9 3 3" xfId="12160" xr:uid="{00000000-0005-0000-0000-00008C6C0000}"/>
    <cellStyle name="Normal 4 2 9 3 3 2" xfId="32080" xr:uid="{00000000-0005-0000-0000-00008D6C0000}"/>
    <cellStyle name="Normal 4 2 9 3 4" xfId="18312" xr:uid="{00000000-0005-0000-0000-00008E6C0000}"/>
    <cellStyle name="Normal 4 2 9 3 4 2" xfId="38232" xr:uid="{00000000-0005-0000-0000-00008F6C0000}"/>
    <cellStyle name="Normal 4 2 9 3 5" xfId="25927" xr:uid="{00000000-0005-0000-0000-0000906C0000}"/>
    <cellStyle name="Normal 4 2 9 4" xfId="7498" xr:uid="{00000000-0005-0000-0000-0000916C0000}"/>
    <cellStyle name="Normal 4 2 9 4 2" xfId="13692" xr:uid="{00000000-0005-0000-0000-0000926C0000}"/>
    <cellStyle name="Normal 4 2 9 4 2 2" xfId="33612" xr:uid="{00000000-0005-0000-0000-0000936C0000}"/>
    <cellStyle name="Normal 4 2 9 4 3" xfId="19844" xr:uid="{00000000-0005-0000-0000-0000946C0000}"/>
    <cellStyle name="Normal 4 2 9 4 3 2" xfId="39764" xr:uid="{00000000-0005-0000-0000-0000956C0000}"/>
    <cellStyle name="Normal 4 2 9 4 4" xfId="27459" xr:uid="{00000000-0005-0000-0000-0000966C0000}"/>
    <cellStyle name="Normal 4 2 9 5" xfId="10626" xr:uid="{00000000-0005-0000-0000-0000976C0000}"/>
    <cellStyle name="Normal 4 2 9 5 2" xfId="30546" xr:uid="{00000000-0005-0000-0000-0000986C0000}"/>
    <cellStyle name="Normal 4 2 9 6" xfId="16778" xr:uid="{00000000-0005-0000-0000-0000996C0000}"/>
    <cellStyle name="Normal 4 2 9 6 2" xfId="36698" xr:uid="{00000000-0005-0000-0000-00009A6C0000}"/>
    <cellStyle name="Normal 4 2 9 7" xfId="24393" xr:uid="{00000000-0005-0000-0000-00009B6C0000}"/>
    <cellStyle name="Normal 4 20" xfId="442" xr:uid="{00000000-0005-0000-0000-00009C6C0000}"/>
    <cellStyle name="Normal 4 21" xfId="468" xr:uid="{00000000-0005-0000-0000-00009D6C0000}"/>
    <cellStyle name="Normal 4 22" xfId="491" xr:uid="{00000000-0005-0000-0000-00009E6C0000}"/>
    <cellStyle name="Normal 4 23" xfId="508" xr:uid="{00000000-0005-0000-0000-00009F6C0000}"/>
    <cellStyle name="Normal 4 24" xfId="529" xr:uid="{00000000-0005-0000-0000-0000A06C0000}"/>
    <cellStyle name="Normal 4 25" xfId="580" xr:uid="{00000000-0005-0000-0000-0000A16C0000}"/>
    <cellStyle name="Normal 4 26" xfId="612" xr:uid="{00000000-0005-0000-0000-0000A26C0000}"/>
    <cellStyle name="Normal 4 27" xfId="638" xr:uid="{00000000-0005-0000-0000-0000A36C0000}"/>
    <cellStyle name="Normal 4 28" xfId="663" xr:uid="{00000000-0005-0000-0000-0000A46C0000}"/>
    <cellStyle name="Normal 4 29" xfId="687" xr:uid="{00000000-0005-0000-0000-0000A56C0000}"/>
    <cellStyle name="Normal 4 3" xfId="130" xr:uid="{00000000-0005-0000-0000-0000A66C0000}"/>
    <cellStyle name="Normal 4 3 10" xfId="10627" xr:uid="{00000000-0005-0000-0000-0000A76C0000}"/>
    <cellStyle name="Normal 4 3 10 2" xfId="30547" xr:uid="{00000000-0005-0000-0000-0000A86C0000}"/>
    <cellStyle name="Normal 4 3 11" xfId="16779" xr:uid="{00000000-0005-0000-0000-0000A96C0000}"/>
    <cellStyle name="Normal 4 3 11 2" xfId="36699" xr:uid="{00000000-0005-0000-0000-0000AA6C0000}"/>
    <cellStyle name="Normal 4 3 12" xfId="3855" xr:uid="{00000000-0005-0000-0000-0000AB6C0000}"/>
    <cellStyle name="Normal 4 3 12 2" xfId="24394" xr:uid="{00000000-0005-0000-0000-0000AC6C0000}"/>
    <cellStyle name="Normal 4 3 2" xfId="3856" xr:uid="{00000000-0005-0000-0000-0000AD6C0000}"/>
    <cellStyle name="Normal 4 3 2 10" xfId="16780" xr:uid="{00000000-0005-0000-0000-0000AE6C0000}"/>
    <cellStyle name="Normal 4 3 2 10 2" xfId="36700" xr:uid="{00000000-0005-0000-0000-0000AF6C0000}"/>
    <cellStyle name="Normal 4 3 2 11" xfId="24395" xr:uid="{00000000-0005-0000-0000-0000B06C0000}"/>
    <cellStyle name="Normal 4 3 2 2" xfId="3857" xr:uid="{00000000-0005-0000-0000-0000B16C0000}"/>
    <cellStyle name="Normal 4 3 2 2 10" xfId="24396" xr:uid="{00000000-0005-0000-0000-0000B26C0000}"/>
    <cellStyle name="Normal 4 3 2 2 2" xfId="3858" xr:uid="{00000000-0005-0000-0000-0000B36C0000}"/>
    <cellStyle name="Normal 4 3 2 2 2 2" xfId="3859" xr:uid="{00000000-0005-0000-0000-0000B46C0000}"/>
    <cellStyle name="Normal 4 3 2 2 2 2 2" xfId="5096" xr:uid="{00000000-0005-0000-0000-0000B56C0000}"/>
    <cellStyle name="Normal 4 3 2 2 2 2 2 2" xfId="6721" xr:uid="{00000000-0005-0000-0000-0000B66C0000}"/>
    <cellStyle name="Normal 4 3 2 2 2 2 2 2 2" xfId="9807" xr:uid="{00000000-0005-0000-0000-0000B76C0000}"/>
    <cellStyle name="Normal 4 3 2 2 2 2 2 2 2 2" xfId="16000" xr:uid="{00000000-0005-0000-0000-0000B86C0000}"/>
    <cellStyle name="Normal 4 3 2 2 2 2 2 2 2 2 2" xfId="35920" xr:uid="{00000000-0005-0000-0000-0000B96C0000}"/>
    <cellStyle name="Normal 4 3 2 2 2 2 2 2 2 3" xfId="22152" xr:uid="{00000000-0005-0000-0000-0000BA6C0000}"/>
    <cellStyle name="Normal 4 3 2 2 2 2 2 2 2 3 2" xfId="42072" xr:uid="{00000000-0005-0000-0000-0000BB6C0000}"/>
    <cellStyle name="Normal 4 3 2 2 2 2 2 2 2 4" xfId="29767" xr:uid="{00000000-0005-0000-0000-0000BC6C0000}"/>
    <cellStyle name="Normal 4 3 2 2 2 2 2 2 3" xfId="12934" xr:uid="{00000000-0005-0000-0000-0000BD6C0000}"/>
    <cellStyle name="Normal 4 3 2 2 2 2 2 2 3 2" xfId="32854" xr:uid="{00000000-0005-0000-0000-0000BE6C0000}"/>
    <cellStyle name="Normal 4 3 2 2 2 2 2 2 4" xfId="19086" xr:uid="{00000000-0005-0000-0000-0000BF6C0000}"/>
    <cellStyle name="Normal 4 3 2 2 2 2 2 2 4 2" xfId="39006" xr:uid="{00000000-0005-0000-0000-0000C06C0000}"/>
    <cellStyle name="Normal 4 3 2 2 2 2 2 2 5" xfId="26701" xr:uid="{00000000-0005-0000-0000-0000C16C0000}"/>
    <cellStyle name="Normal 4 3 2 2 2 2 2 3" xfId="8272" xr:uid="{00000000-0005-0000-0000-0000C26C0000}"/>
    <cellStyle name="Normal 4 3 2 2 2 2 2 3 2" xfId="14466" xr:uid="{00000000-0005-0000-0000-0000C36C0000}"/>
    <cellStyle name="Normal 4 3 2 2 2 2 2 3 2 2" xfId="34386" xr:uid="{00000000-0005-0000-0000-0000C46C0000}"/>
    <cellStyle name="Normal 4 3 2 2 2 2 2 3 3" xfId="20618" xr:uid="{00000000-0005-0000-0000-0000C56C0000}"/>
    <cellStyle name="Normal 4 3 2 2 2 2 2 3 3 2" xfId="40538" xr:uid="{00000000-0005-0000-0000-0000C66C0000}"/>
    <cellStyle name="Normal 4 3 2 2 2 2 2 3 4" xfId="28233" xr:uid="{00000000-0005-0000-0000-0000C76C0000}"/>
    <cellStyle name="Normal 4 3 2 2 2 2 2 4" xfId="11400" xr:uid="{00000000-0005-0000-0000-0000C86C0000}"/>
    <cellStyle name="Normal 4 3 2 2 2 2 2 4 2" xfId="31320" xr:uid="{00000000-0005-0000-0000-0000C96C0000}"/>
    <cellStyle name="Normal 4 3 2 2 2 2 2 5" xfId="17552" xr:uid="{00000000-0005-0000-0000-0000CA6C0000}"/>
    <cellStyle name="Normal 4 3 2 2 2 2 2 5 2" xfId="37472" xr:uid="{00000000-0005-0000-0000-0000CB6C0000}"/>
    <cellStyle name="Normal 4 3 2 2 2 2 2 6" xfId="25167" xr:uid="{00000000-0005-0000-0000-0000CC6C0000}"/>
    <cellStyle name="Normal 4 3 2 2 2 2 3" xfId="5938" xr:uid="{00000000-0005-0000-0000-0000CD6C0000}"/>
    <cellStyle name="Normal 4 3 2 2 2 2 3 2" xfId="9038" xr:uid="{00000000-0005-0000-0000-0000CE6C0000}"/>
    <cellStyle name="Normal 4 3 2 2 2 2 3 2 2" xfId="15231" xr:uid="{00000000-0005-0000-0000-0000CF6C0000}"/>
    <cellStyle name="Normal 4 3 2 2 2 2 3 2 2 2" xfId="35151" xr:uid="{00000000-0005-0000-0000-0000D06C0000}"/>
    <cellStyle name="Normal 4 3 2 2 2 2 3 2 3" xfId="21383" xr:uid="{00000000-0005-0000-0000-0000D16C0000}"/>
    <cellStyle name="Normal 4 3 2 2 2 2 3 2 3 2" xfId="41303" xr:uid="{00000000-0005-0000-0000-0000D26C0000}"/>
    <cellStyle name="Normal 4 3 2 2 2 2 3 2 4" xfId="28998" xr:uid="{00000000-0005-0000-0000-0000D36C0000}"/>
    <cellStyle name="Normal 4 3 2 2 2 2 3 3" xfId="12165" xr:uid="{00000000-0005-0000-0000-0000D46C0000}"/>
    <cellStyle name="Normal 4 3 2 2 2 2 3 3 2" xfId="32085" xr:uid="{00000000-0005-0000-0000-0000D56C0000}"/>
    <cellStyle name="Normal 4 3 2 2 2 2 3 4" xfId="18317" xr:uid="{00000000-0005-0000-0000-0000D66C0000}"/>
    <cellStyle name="Normal 4 3 2 2 2 2 3 4 2" xfId="38237" xr:uid="{00000000-0005-0000-0000-0000D76C0000}"/>
    <cellStyle name="Normal 4 3 2 2 2 2 3 5" xfId="25932" xr:uid="{00000000-0005-0000-0000-0000D86C0000}"/>
    <cellStyle name="Normal 4 3 2 2 2 2 4" xfId="7503" xr:uid="{00000000-0005-0000-0000-0000D96C0000}"/>
    <cellStyle name="Normal 4 3 2 2 2 2 4 2" xfId="13697" xr:uid="{00000000-0005-0000-0000-0000DA6C0000}"/>
    <cellStyle name="Normal 4 3 2 2 2 2 4 2 2" xfId="33617" xr:uid="{00000000-0005-0000-0000-0000DB6C0000}"/>
    <cellStyle name="Normal 4 3 2 2 2 2 4 3" xfId="19849" xr:uid="{00000000-0005-0000-0000-0000DC6C0000}"/>
    <cellStyle name="Normal 4 3 2 2 2 2 4 3 2" xfId="39769" xr:uid="{00000000-0005-0000-0000-0000DD6C0000}"/>
    <cellStyle name="Normal 4 3 2 2 2 2 4 4" xfId="27464" xr:uid="{00000000-0005-0000-0000-0000DE6C0000}"/>
    <cellStyle name="Normal 4 3 2 2 2 2 5" xfId="10631" xr:uid="{00000000-0005-0000-0000-0000DF6C0000}"/>
    <cellStyle name="Normal 4 3 2 2 2 2 5 2" xfId="30551" xr:uid="{00000000-0005-0000-0000-0000E06C0000}"/>
    <cellStyle name="Normal 4 3 2 2 2 2 6" xfId="16783" xr:uid="{00000000-0005-0000-0000-0000E16C0000}"/>
    <cellStyle name="Normal 4 3 2 2 2 2 6 2" xfId="36703" xr:uid="{00000000-0005-0000-0000-0000E26C0000}"/>
    <cellStyle name="Normal 4 3 2 2 2 2 7" xfId="24398" xr:uid="{00000000-0005-0000-0000-0000E36C0000}"/>
    <cellStyle name="Normal 4 3 2 2 2 3" xfId="5095" xr:uid="{00000000-0005-0000-0000-0000E46C0000}"/>
    <cellStyle name="Normal 4 3 2 2 2 3 2" xfId="6720" xr:uid="{00000000-0005-0000-0000-0000E56C0000}"/>
    <cellStyle name="Normal 4 3 2 2 2 3 2 2" xfId="9806" xr:uid="{00000000-0005-0000-0000-0000E66C0000}"/>
    <cellStyle name="Normal 4 3 2 2 2 3 2 2 2" xfId="15999" xr:uid="{00000000-0005-0000-0000-0000E76C0000}"/>
    <cellStyle name="Normal 4 3 2 2 2 3 2 2 2 2" xfId="35919" xr:uid="{00000000-0005-0000-0000-0000E86C0000}"/>
    <cellStyle name="Normal 4 3 2 2 2 3 2 2 3" xfId="22151" xr:uid="{00000000-0005-0000-0000-0000E96C0000}"/>
    <cellStyle name="Normal 4 3 2 2 2 3 2 2 3 2" xfId="42071" xr:uid="{00000000-0005-0000-0000-0000EA6C0000}"/>
    <cellStyle name="Normal 4 3 2 2 2 3 2 2 4" xfId="29766" xr:uid="{00000000-0005-0000-0000-0000EB6C0000}"/>
    <cellStyle name="Normal 4 3 2 2 2 3 2 3" xfId="12933" xr:uid="{00000000-0005-0000-0000-0000EC6C0000}"/>
    <cellStyle name="Normal 4 3 2 2 2 3 2 3 2" xfId="32853" xr:uid="{00000000-0005-0000-0000-0000ED6C0000}"/>
    <cellStyle name="Normal 4 3 2 2 2 3 2 4" xfId="19085" xr:uid="{00000000-0005-0000-0000-0000EE6C0000}"/>
    <cellStyle name="Normal 4 3 2 2 2 3 2 4 2" xfId="39005" xr:uid="{00000000-0005-0000-0000-0000EF6C0000}"/>
    <cellStyle name="Normal 4 3 2 2 2 3 2 5" xfId="26700" xr:uid="{00000000-0005-0000-0000-0000F06C0000}"/>
    <cellStyle name="Normal 4 3 2 2 2 3 3" xfId="8271" xr:uid="{00000000-0005-0000-0000-0000F16C0000}"/>
    <cellStyle name="Normal 4 3 2 2 2 3 3 2" xfId="14465" xr:uid="{00000000-0005-0000-0000-0000F26C0000}"/>
    <cellStyle name="Normal 4 3 2 2 2 3 3 2 2" xfId="34385" xr:uid="{00000000-0005-0000-0000-0000F36C0000}"/>
    <cellStyle name="Normal 4 3 2 2 2 3 3 3" xfId="20617" xr:uid="{00000000-0005-0000-0000-0000F46C0000}"/>
    <cellStyle name="Normal 4 3 2 2 2 3 3 3 2" xfId="40537" xr:uid="{00000000-0005-0000-0000-0000F56C0000}"/>
    <cellStyle name="Normal 4 3 2 2 2 3 3 4" xfId="28232" xr:uid="{00000000-0005-0000-0000-0000F66C0000}"/>
    <cellStyle name="Normal 4 3 2 2 2 3 4" xfId="11399" xr:uid="{00000000-0005-0000-0000-0000F76C0000}"/>
    <cellStyle name="Normal 4 3 2 2 2 3 4 2" xfId="31319" xr:uid="{00000000-0005-0000-0000-0000F86C0000}"/>
    <cellStyle name="Normal 4 3 2 2 2 3 5" xfId="17551" xr:uid="{00000000-0005-0000-0000-0000F96C0000}"/>
    <cellStyle name="Normal 4 3 2 2 2 3 5 2" xfId="37471" xr:uid="{00000000-0005-0000-0000-0000FA6C0000}"/>
    <cellStyle name="Normal 4 3 2 2 2 3 6" xfId="25166" xr:uid="{00000000-0005-0000-0000-0000FB6C0000}"/>
    <cellStyle name="Normal 4 3 2 2 2 4" xfId="5937" xr:uid="{00000000-0005-0000-0000-0000FC6C0000}"/>
    <cellStyle name="Normal 4 3 2 2 2 4 2" xfId="9037" xr:uid="{00000000-0005-0000-0000-0000FD6C0000}"/>
    <cellStyle name="Normal 4 3 2 2 2 4 2 2" xfId="15230" xr:uid="{00000000-0005-0000-0000-0000FE6C0000}"/>
    <cellStyle name="Normal 4 3 2 2 2 4 2 2 2" xfId="35150" xr:uid="{00000000-0005-0000-0000-0000FF6C0000}"/>
    <cellStyle name="Normal 4 3 2 2 2 4 2 3" xfId="21382" xr:uid="{00000000-0005-0000-0000-0000006D0000}"/>
    <cellStyle name="Normal 4 3 2 2 2 4 2 3 2" xfId="41302" xr:uid="{00000000-0005-0000-0000-0000016D0000}"/>
    <cellStyle name="Normal 4 3 2 2 2 4 2 4" xfId="28997" xr:uid="{00000000-0005-0000-0000-0000026D0000}"/>
    <cellStyle name="Normal 4 3 2 2 2 4 3" xfId="12164" xr:uid="{00000000-0005-0000-0000-0000036D0000}"/>
    <cellStyle name="Normal 4 3 2 2 2 4 3 2" xfId="32084" xr:uid="{00000000-0005-0000-0000-0000046D0000}"/>
    <cellStyle name="Normal 4 3 2 2 2 4 4" xfId="18316" xr:uid="{00000000-0005-0000-0000-0000056D0000}"/>
    <cellStyle name="Normal 4 3 2 2 2 4 4 2" xfId="38236" xr:uid="{00000000-0005-0000-0000-0000066D0000}"/>
    <cellStyle name="Normal 4 3 2 2 2 4 5" xfId="25931" xr:uid="{00000000-0005-0000-0000-0000076D0000}"/>
    <cellStyle name="Normal 4 3 2 2 2 5" xfId="7502" xr:uid="{00000000-0005-0000-0000-0000086D0000}"/>
    <cellStyle name="Normal 4 3 2 2 2 5 2" xfId="13696" xr:uid="{00000000-0005-0000-0000-0000096D0000}"/>
    <cellStyle name="Normal 4 3 2 2 2 5 2 2" xfId="33616" xr:uid="{00000000-0005-0000-0000-00000A6D0000}"/>
    <cellStyle name="Normal 4 3 2 2 2 5 3" xfId="19848" xr:uid="{00000000-0005-0000-0000-00000B6D0000}"/>
    <cellStyle name="Normal 4 3 2 2 2 5 3 2" xfId="39768" xr:uid="{00000000-0005-0000-0000-00000C6D0000}"/>
    <cellStyle name="Normal 4 3 2 2 2 5 4" xfId="27463" xr:uid="{00000000-0005-0000-0000-00000D6D0000}"/>
    <cellStyle name="Normal 4 3 2 2 2 6" xfId="10630" xr:uid="{00000000-0005-0000-0000-00000E6D0000}"/>
    <cellStyle name="Normal 4 3 2 2 2 6 2" xfId="30550" xr:uid="{00000000-0005-0000-0000-00000F6D0000}"/>
    <cellStyle name="Normal 4 3 2 2 2 7" xfId="16782" xr:uid="{00000000-0005-0000-0000-0000106D0000}"/>
    <cellStyle name="Normal 4 3 2 2 2 7 2" xfId="36702" xr:uid="{00000000-0005-0000-0000-0000116D0000}"/>
    <cellStyle name="Normal 4 3 2 2 2 8" xfId="24397" xr:uid="{00000000-0005-0000-0000-0000126D0000}"/>
    <cellStyle name="Normal 4 3 2 2 3" xfId="3860" xr:uid="{00000000-0005-0000-0000-0000136D0000}"/>
    <cellStyle name="Normal 4 3 2 2 3 2" xfId="3861" xr:uid="{00000000-0005-0000-0000-0000146D0000}"/>
    <cellStyle name="Normal 4 3 2 2 3 2 2" xfId="5098" xr:uid="{00000000-0005-0000-0000-0000156D0000}"/>
    <cellStyle name="Normal 4 3 2 2 3 2 2 2" xfId="6723" xr:uid="{00000000-0005-0000-0000-0000166D0000}"/>
    <cellStyle name="Normal 4 3 2 2 3 2 2 2 2" xfId="9809" xr:uid="{00000000-0005-0000-0000-0000176D0000}"/>
    <cellStyle name="Normal 4 3 2 2 3 2 2 2 2 2" xfId="16002" xr:uid="{00000000-0005-0000-0000-0000186D0000}"/>
    <cellStyle name="Normal 4 3 2 2 3 2 2 2 2 2 2" xfId="35922" xr:uid="{00000000-0005-0000-0000-0000196D0000}"/>
    <cellStyle name="Normal 4 3 2 2 3 2 2 2 2 3" xfId="22154" xr:uid="{00000000-0005-0000-0000-00001A6D0000}"/>
    <cellStyle name="Normal 4 3 2 2 3 2 2 2 2 3 2" xfId="42074" xr:uid="{00000000-0005-0000-0000-00001B6D0000}"/>
    <cellStyle name="Normal 4 3 2 2 3 2 2 2 2 4" xfId="29769" xr:uid="{00000000-0005-0000-0000-00001C6D0000}"/>
    <cellStyle name="Normal 4 3 2 2 3 2 2 2 3" xfId="12936" xr:uid="{00000000-0005-0000-0000-00001D6D0000}"/>
    <cellStyle name="Normal 4 3 2 2 3 2 2 2 3 2" xfId="32856" xr:uid="{00000000-0005-0000-0000-00001E6D0000}"/>
    <cellStyle name="Normal 4 3 2 2 3 2 2 2 4" xfId="19088" xr:uid="{00000000-0005-0000-0000-00001F6D0000}"/>
    <cellStyle name="Normal 4 3 2 2 3 2 2 2 4 2" xfId="39008" xr:uid="{00000000-0005-0000-0000-0000206D0000}"/>
    <cellStyle name="Normal 4 3 2 2 3 2 2 2 5" xfId="26703" xr:uid="{00000000-0005-0000-0000-0000216D0000}"/>
    <cellStyle name="Normal 4 3 2 2 3 2 2 3" xfId="8274" xr:uid="{00000000-0005-0000-0000-0000226D0000}"/>
    <cellStyle name="Normal 4 3 2 2 3 2 2 3 2" xfId="14468" xr:uid="{00000000-0005-0000-0000-0000236D0000}"/>
    <cellStyle name="Normal 4 3 2 2 3 2 2 3 2 2" xfId="34388" xr:uid="{00000000-0005-0000-0000-0000246D0000}"/>
    <cellStyle name="Normal 4 3 2 2 3 2 2 3 3" xfId="20620" xr:uid="{00000000-0005-0000-0000-0000256D0000}"/>
    <cellStyle name="Normal 4 3 2 2 3 2 2 3 3 2" xfId="40540" xr:uid="{00000000-0005-0000-0000-0000266D0000}"/>
    <cellStyle name="Normal 4 3 2 2 3 2 2 3 4" xfId="28235" xr:uid="{00000000-0005-0000-0000-0000276D0000}"/>
    <cellStyle name="Normal 4 3 2 2 3 2 2 4" xfId="11402" xr:uid="{00000000-0005-0000-0000-0000286D0000}"/>
    <cellStyle name="Normal 4 3 2 2 3 2 2 4 2" xfId="31322" xr:uid="{00000000-0005-0000-0000-0000296D0000}"/>
    <cellStyle name="Normal 4 3 2 2 3 2 2 5" xfId="17554" xr:uid="{00000000-0005-0000-0000-00002A6D0000}"/>
    <cellStyle name="Normal 4 3 2 2 3 2 2 5 2" xfId="37474" xr:uid="{00000000-0005-0000-0000-00002B6D0000}"/>
    <cellStyle name="Normal 4 3 2 2 3 2 2 6" xfId="25169" xr:uid="{00000000-0005-0000-0000-00002C6D0000}"/>
    <cellStyle name="Normal 4 3 2 2 3 2 3" xfId="5940" xr:uid="{00000000-0005-0000-0000-00002D6D0000}"/>
    <cellStyle name="Normal 4 3 2 2 3 2 3 2" xfId="9040" xr:uid="{00000000-0005-0000-0000-00002E6D0000}"/>
    <cellStyle name="Normal 4 3 2 2 3 2 3 2 2" xfId="15233" xr:uid="{00000000-0005-0000-0000-00002F6D0000}"/>
    <cellStyle name="Normal 4 3 2 2 3 2 3 2 2 2" xfId="35153" xr:uid="{00000000-0005-0000-0000-0000306D0000}"/>
    <cellStyle name="Normal 4 3 2 2 3 2 3 2 3" xfId="21385" xr:uid="{00000000-0005-0000-0000-0000316D0000}"/>
    <cellStyle name="Normal 4 3 2 2 3 2 3 2 3 2" xfId="41305" xr:uid="{00000000-0005-0000-0000-0000326D0000}"/>
    <cellStyle name="Normal 4 3 2 2 3 2 3 2 4" xfId="29000" xr:uid="{00000000-0005-0000-0000-0000336D0000}"/>
    <cellStyle name="Normal 4 3 2 2 3 2 3 3" xfId="12167" xr:uid="{00000000-0005-0000-0000-0000346D0000}"/>
    <cellStyle name="Normal 4 3 2 2 3 2 3 3 2" xfId="32087" xr:uid="{00000000-0005-0000-0000-0000356D0000}"/>
    <cellStyle name="Normal 4 3 2 2 3 2 3 4" xfId="18319" xr:uid="{00000000-0005-0000-0000-0000366D0000}"/>
    <cellStyle name="Normal 4 3 2 2 3 2 3 4 2" xfId="38239" xr:uid="{00000000-0005-0000-0000-0000376D0000}"/>
    <cellStyle name="Normal 4 3 2 2 3 2 3 5" xfId="25934" xr:uid="{00000000-0005-0000-0000-0000386D0000}"/>
    <cellStyle name="Normal 4 3 2 2 3 2 4" xfId="7505" xr:uid="{00000000-0005-0000-0000-0000396D0000}"/>
    <cellStyle name="Normal 4 3 2 2 3 2 4 2" xfId="13699" xr:uid="{00000000-0005-0000-0000-00003A6D0000}"/>
    <cellStyle name="Normal 4 3 2 2 3 2 4 2 2" xfId="33619" xr:uid="{00000000-0005-0000-0000-00003B6D0000}"/>
    <cellStyle name="Normal 4 3 2 2 3 2 4 3" xfId="19851" xr:uid="{00000000-0005-0000-0000-00003C6D0000}"/>
    <cellStyle name="Normal 4 3 2 2 3 2 4 3 2" xfId="39771" xr:uid="{00000000-0005-0000-0000-00003D6D0000}"/>
    <cellStyle name="Normal 4 3 2 2 3 2 4 4" xfId="27466" xr:uid="{00000000-0005-0000-0000-00003E6D0000}"/>
    <cellStyle name="Normal 4 3 2 2 3 2 5" xfId="10633" xr:uid="{00000000-0005-0000-0000-00003F6D0000}"/>
    <cellStyle name="Normal 4 3 2 2 3 2 5 2" xfId="30553" xr:uid="{00000000-0005-0000-0000-0000406D0000}"/>
    <cellStyle name="Normal 4 3 2 2 3 2 6" xfId="16785" xr:uid="{00000000-0005-0000-0000-0000416D0000}"/>
    <cellStyle name="Normal 4 3 2 2 3 2 6 2" xfId="36705" xr:uid="{00000000-0005-0000-0000-0000426D0000}"/>
    <cellStyle name="Normal 4 3 2 2 3 2 7" xfId="24400" xr:uid="{00000000-0005-0000-0000-0000436D0000}"/>
    <cellStyle name="Normal 4 3 2 2 3 3" xfId="5097" xr:uid="{00000000-0005-0000-0000-0000446D0000}"/>
    <cellStyle name="Normal 4 3 2 2 3 3 2" xfId="6722" xr:uid="{00000000-0005-0000-0000-0000456D0000}"/>
    <cellStyle name="Normal 4 3 2 2 3 3 2 2" xfId="9808" xr:uid="{00000000-0005-0000-0000-0000466D0000}"/>
    <cellStyle name="Normal 4 3 2 2 3 3 2 2 2" xfId="16001" xr:uid="{00000000-0005-0000-0000-0000476D0000}"/>
    <cellStyle name="Normal 4 3 2 2 3 3 2 2 2 2" xfId="35921" xr:uid="{00000000-0005-0000-0000-0000486D0000}"/>
    <cellStyle name="Normal 4 3 2 2 3 3 2 2 3" xfId="22153" xr:uid="{00000000-0005-0000-0000-0000496D0000}"/>
    <cellStyle name="Normal 4 3 2 2 3 3 2 2 3 2" xfId="42073" xr:uid="{00000000-0005-0000-0000-00004A6D0000}"/>
    <cellStyle name="Normal 4 3 2 2 3 3 2 2 4" xfId="29768" xr:uid="{00000000-0005-0000-0000-00004B6D0000}"/>
    <cellStyle name="Normal 4 3 2 2 3 3 2 3" xfId="12935" xr:uid="{00000000-0005-0000-0000-00004C6D0000}"/>
    <cellStyle name="Normal 4 3 2 2 3 3 2 3 2" xfId="32855" xr:uid="{00000000-0005-0000-0000-00004D6D0000}"/>
    <cellStyle name="Normal 4 3 2 2 3 3 2 4" xfId="19087" xr:uid="{00000000-0005-0000-0000-00004E6D0000}"/>
    <cellStyle name="Normal 4 3 2 2 3 3 2 4 2" xfId="39007" xr:uid="{00000000-0005-0000-0000-00004F6D0000}"/>
    <cellStyle name="Normal 4 3 2 2 3 3 2 5" xfId="26702" xr:uid="{00000000-0005-0000-0000-0000506D0000}"/>
    <cellStyle name="Normal 4 3 2 2 3 3 3" xfId="8273" xr:uid="{00000000-0005-0000-0000-0000516D0000}"/>
    <cellStyle name="Normal 4 3 2 2 3 3 3 2" xfId="14467" xr:uid="{00000000-0005-0000-0000-0000526D0000}"/>
    <cellStyle name="Normal 4 3 2 2 3 3 3 2 2" xfId="34387" xr:uid="{00000000-0005-0000-0000-0000536D0000}"/>
    <cellStyle name="Normal 4 3 2 2 3 3 3 3" xfId="20619" xr:uid="{00000000-0005-0000-0000-0000546D0000}"/>
    <cellStyle name="Normal 4 3 2 2 3 3 3 3 2" xfId="40539" xr:uid="{00000000-0005-0000-0000-0000556D0000}"/>
    <cellStyle name="Normal 4 3 2 2 3 3 3 4" xfId="28234" xr:uid="{00000000-0005-0000-0000-0000566D0000}"/>
    <cellStyle name="Normal 4 3 2 2 3 3 4" xfId="11401" xr:uid="{00000000-0005-0000-0000-0000576D0000}"/>
    <cellStyle name="Normal 4 3 2 2 3 3 4 2" xfId="31321" xr:uid="{00000000-0005-0000-0000-0000586D0000}"/>
    <cellStyle name="Normal 4 3 2 2 3 3 5" xfId="17553" xr:uid="{00000000-0005-0000-0000-0000596D0000}"/>
    <cellStyle name="Normal 4 3 2 2 3 3 5 2" xfId="37473" xr:uid="{00000000-0005-0000-0000-00005A6D0000}"/>
    <cellStyle name="Normal 4 3 2 2 3 3 6" xfId="25168" xr:uid="{00000000-0005-0000-0000-00005B6D0000}"/>
    <cellStyle name="Normal 4 3 2 2 3 4" xfId="5939" xr:uid="{00000000-0005-0000-0000-00005C6D0000}"/>
    <cellStyle name="Normal 4 3 2 2 3 4 2" xfId="9039" xr:uid="{00000000-0005-0000-0000-00005D6D0000}"/>
    <cellStyle name="Normal 4 3 2 2 3 4 2 2" xfId="15232" xr:uid="{00000000-0005-0000-0000-00005E6D0000}"/>
    <cellStyle name="Normal 4 3 2 2 3 4 2 2 2" xfId="35152" xr:uid="{00000000-0005-0000-0000-00005F6D0000}"/>
    <cellStyle name="Normal 4 3 2 2 3 4 2 3" xfId="21384" xr:uid="{00000000-0005-0000-0000-0000606D0000}"/>
    <cellStyle name="Normal 4 3 2 2 3 4 2 3 2" xfId="41304" xr:uid="{00000000-0005-0000-0000-0000616D0000}"/>
    <cellStyle name="Normal 4 3 2 2 3 4 2 4" xfId="28999" xr:uid="{00000000-0005-0000-0000-0000626D0000}"/>
    <cellStyle name="Normal 4 3 2 2 3 4 3" xfId="12166" xr:uid="{00000000-0005-0000-0000-0000636D0000}"/>
    <cellStyle name="Normal 4 3 2 2 3 4 3 2" xfId="32086" xr:uid="{00000000-0005-0000-0000-0000646D0000}"/>
    <cellStyle name="Normal 4 3 2 2 3 4 4" xfId="18318" xr:uid="{00000000-0005-0000-0000-0000656D0000}"/>
    <cellStyle name="Normal 4 3 2 2 3 4 4 2" xfId="38238" xr:uid="{00000000-0005-0000-0000-0000666D0000}"/>
    <cellStyle name="Normal 4 3 2 2 3 4 5" xfId="25933" xr:uid="{00000000-0005-0000-0000-0000676D0000}"/>
    <cellStyle name="Normal 4 3 2 2 3 5" xfId="7504" xr:uid="{00000000-0005-0000-0000-0000686D0000}"/>
    <cellStyle name="Normal 4 3 2 2 3 5 2" xfId="13698" xr:uid="{00000000-0005-0000-0000-0000696D0000}"/>
    <cellStyle name="Normal 4 3 2 2 3 5 2 2" xfId="33618" xr:uid="{00000000-0005-0000-0000-00006A6D0000}"/>
    <cellStyle name="Normal 4 3 2 2 3 5 3" xfId="19850" xr:uid="{00000000-0005-0000-0000-00006B6D0000}"/>
    <cellStyle name="Normal 4 3 2 2 3 5 3 2" xfId="39770" xr:uid="{00000000-0005-0000-0000-00006C6D0000}"/>
    <cellStyle name="Normal 4 3 2 2 3 5 4" xfId="27465" xr:uid="{00000000-0005-0000-0000-00006D6D0000}"/>
    <cellStyle name="Normal 4 3 2 2 3 6" xfId="10632" xr:uid="{00000000-0005-0000-0000-00006E6D0000}"/>
    <cellStyle name="Normal 4 3 2 2 3 6 2" xfId="30552" xr:uid="{00000000-0005-0000-0000-00006F6D0000}"/>
    <cellStyle name="Normal 4 3 2 2 3 7" xfId="16784" xr:uid="{00000000-0005-0000-0000-0000706D0000}"/>
    <cellStyle name="Normal 4 3 2 2 3 7 2" xfId="36704" xr:uid="{00000000-0005-0000-0000-0000716D0000}"/>
    <cellStyle name="Normal 4 3 2 2 3 8" xfId="24399" xr:uid="{00000000-0005-0000-0000-0000726D0000}"/>
    <cellStyle name="Normal 4 3 2 2 4" xfId="3862" xr:uid="{00000000-0005-0000-0000-0000736D0000}"/>
    <cellStyle name="Normal 4 3 2 2 4 2" xfId="5099" xr:uid="{00000000-0005-0000-0000-0000746D0000}"/>
    <cellStyle name="Normal 4 3 2 2 4 2 2" xfId="6724" xr:uid="{00000000-0005-0000-0000-0000756D0000}"/>
    <cellStyle name="Normal 4 3 2 2 4 2 2 2" xfId="9810" xr:uid="{00000000-0005-0000-0000-0000766D0000}"/>
    <cellStyle name="Normal 4 3 2 2 4 2 2 2 2" xfId="16003" xr:uid="{00000000-0005-0000-0000-0000776D0000}"/>
    <cellStyle name="Normal 4 3 2 2 4 2 2 2 2 2" xfId="35923" xr:uid="{00000000-0005-0000-0000-0000786D0000}"/>
    <cellStyle name="Normal 4 3 2 2 4 2 2 2 3" xfId="22155" xr:uid="{00000000-0005-0000-0000-0000796D0000}"/>
    <cellStyle name="Normal 4 3 2 2 4 2 2 2 3 2" xfId="42075" xr:uid="{00000000-0005-0000-0000-00007A6D0000}"/>
    <cellStyle name="Normal 4 3 2 2 4 2 2 2 4" xfId="29770" xr:uid="{00000000-0005-0000-0000-00007B6D0000}"/>
    <cellStyle name="Normal 4 3 2 2 4 2 2 3" xfId="12937" xr:uid="{00000000-0005-0000-0000-00007C6D0000}"/>
    <cellStyle name="Normal 4 3 2 2 4 2 2 3 2" xfId="32857" xr:uid="{00000000-0005-0000-0000-00007D6D0000}"/>
    <cellStyle name="Normal 4 3 2 2 4 2 2 4" xfId="19089" xr:uid="{00000000-0005-0000-0000-00007E6D0000}"/>
    <cellStyle name="Normal 4 3 2 2 4 2 2 4 2" xfId="39009" xr:uid="{00000000-0005-0000-0000-00007F6D0000}"/>
    <cellStyle name="Normal 4 3 2 2 4 2 2 5" xfId="26704" xr:uid="{00000000-0005-0000-0000-0000806D0000}"/>
    <cellStyle name="Normal 4 3 2 2 4 2 3" xfId="8275" xr:uid="{00000000-0005-0000-0000-0000816D0000}"/>
    <cellStyle name="Normal 4 3 2 2 4 2 3 2" xfId="14469" xr:uid="{00000000-0005-0000-0000-0000826D0000}"/>
    <cellStyle name="Normal 4 3 2 2 4 2 3 2 2" xfId="34389" xr:uid="{00000000-0005-0000-0000-0000836D0000}"/>
    <cellStyle name="Normal 4 3 2 2 4 2 3 3" xfId="20621" xr:uid="{00000000-0005-0000-0000-0000846D0000}"/>
    <cellStyle name="Normal 4 3 2 2 4 2 3 3 2" xfId="40541" xr:uid="{00000000-0005-0000-0000-0000856D0000}"/>
    <cellStyle name="Normal 4 3 2 2 4 2 3 4" xfId="28236" xr:uid="{00000000-0005-0000-0000-0000866D0000}"/>
    <cellStyle name="Normal 4 3 2 2 4 2 4" xfId="11403" xr:uid="{00000000-0005-0000-0000-0000876D0000}"/>
    <cellStyle name="Normal 4 3 2 2 4 2 4 2" xfId="31323" xr:uid="{00000000-0005-0000-0000-0000886D0000}"/>
    <cellStyle name="Normal 4 3 2 2 4 2 5" xfId="17555" xr:uid="{00000000-0005-0000-0000-0000896D0000}"/>
    <cellStyle name="Normal 4 3 2 2 4 2 5 2" xfId="37475" xr:uid="{00000000-0005-0000-0000-00008A6D0000}"/>
    <cellStyle name="Normal 4 3 2 2 4 2 6" xfId="25170" xr:uid="{00000000-0005-0000-0000-00008B6D0000}"/>
    <cellStyle name="Normal 4 3 2 2 4 3" xfId="5941" xr:uid="{00000000-0005-0000-0000-00008C6D0000}"/>
    <cellStyle name="Normal 4 3 2 2 4 3 2" xfId="9041" xr:uid="{00000000-0005-0000-0000-00008D6D0000}"/>
    <cellStyle name="Normal 4 3 2 2 4 3 2 2" xfId="15234" xr:uid="{00000000-0005-0000-0000-00008E6D0000}"/>
    <cellStyle name="Normal 4 3 2 2 4 3 2 2 2" xfId="35154" xr:uid="{00000000-0005-0000-0000-00008F6D0000}"/>
    <cellStyle name="Normal 4 3 2 2 4 3 2 3" xfId="21386" xr:uid="{00000000-0005-0000-0000-0000906D0000}"/>
    <cellStyle name="Normal 4 3 2 2 4 3 2 3 2" xfId="41306" xr:uid="{00000000-0005-0000-0000-0000916D0000}"/>
    <cellStyle name="Normal 4 3 2 2 4 3 2 4" xfId="29001" xr:uid="{00000000-0005-0000-0000-0000926D0000}"/>
    <cellStyle name="Normal 4 3 2 2 4 3 3" xfId="12168" xr:uid="{00000000-0005-0000-0000-0000936D0000}"/>
    <cellStyle name="Normal 4 3 2 2 4 3 3 2" xfId="32088" xr:uid="{00000000-0005-0000-0000-0000946D0000}"/>
    <cellStyle name="Normal 4 3 2 2 4 3 4" xfId="18320" xr:uid="{00000000-0005-0000-0000-0000956D0000}"/>
    <cellStyle name="Normal 4 3 2 2 4 3 4 2" xfId="38240" xr:uid="{00000000-0005-0000-0000-0000966D0000}"/>
    <cellStyle name="Normal 4 3 2 2 4 3 5" xfId="25935" xr:uid="{00000000-0005-0000-0000-0000976D0000}"/>
    <cellStyle name="Normal 4 3 2 2 4 4" xfId="7506" xr:uid="{00000000-0005-0000-0000-0000986D0000}"/>
    <cellStyle name="Normal 4 3 2 2 4 4 2" xfId="13700" xr:uid="{00000000-0005-0000-0000-0000996D0000}"/>
    <cellStyle name="Normal 4 3 2 2 4 4 2 2" xfId="33620" xr:uid="{00000000-0005-0000-0000-00009A6D0000}"/>
    <cellStyle name="Normal 4 3 2 2 4 4 3" xfId="19852" xr:uid="{00000000-0005-0000-0000-00009B6D0000}"/>
    <cellStyle name="Normal 4 3 2 2 4 4 3 2" xfId="39772" xr:uid="{00000000-0005-0000-0000-00009C6D0000}"/>
    <cellStyle name="Normal 4 3 2 2 4 4 4" xfId="27467" xr:uid="{00000000-0005-0000-0000-00009D6D0000}"/>
    <cellStyle name="Normal 4 3 2 2 4 5" xfId="10634" xr:uid="{00000000-0005-0000-0000-00009E6D0000}"/>
    <cellStyle name="Normal 4 3 2 2 4 5 2" xfId="30554" xr:uid="{00000000-0005-0000-0000-00009F6D0000}"/>
    <cellStyle name="Normal 4 3 2 2 4 6" xfId="16786" xr:uid="{00000000-0005-0000-0000-0000A06D0000}"/>
    <cellStyle name="Normal 4 3 2 2 4 6 2" xfId="36706" xr:uid="{00000000-0005-0000-0000-0000A16D0000}"/>
    <cellStyle name="Normal 4 3 2 2 4 7" xfId="24401" xr:uid="{00000000-0005-0000-0000-0000A26D0000}"/>
    <cellStyle name="Normal 4 3 2 2 5" xfId="5094" xr:uid="{00000000-0005-0000-0000-0000A36D0000}"/>
    <cellStyle name="Normal 4 3 2 2 5 2" xfId="6719" xr:uid="{00000000-0005-0000-0000-0000A46D0000}"/>
    <cellStyle name="Normal 4 3 2 2 5 2 2" xfId="9805" xr:uid="{00000000-0005-0000-0000-0000A56D0000}"/>
    <cellStyle name="Normal 4 3 2 2 5 2 2 2" xfId="15998" xr:uid="{00000000-0005-0000-0000-0000A66D0000}"/>
    <cellStyle name="Normal 4 3 2 2 5 2 2 2 2" xfId="35918" xr:uid="{00000000-0005-0000-0000-0000A76D0000}"/>
    <cellStyle name="Normal 4 3 2 2 5 2 2 3" xfId="22150" xr:uid="{00000000-0005-0000-0000-0000A86D0000}"/>
    <cellStyle name="Normal 4 3 2 2 5 2 2 3 2" xfId="42070" xr:uid="{00000000-0005-0000-0000-0000A96D0000}"/>
    <cellStyle name="Normal 4 3 2 2 5 2 2 4" xfId="29765" xr:uid="{00000000-0005-0000-0000-0000AA6D0000}"/>
    <cellStyle name="Normal 4 3 2 2 5 2 3" xfId="12932" xr:uid="{00000000-0005-0000-0000-0000AB6D0000}"/>
    <cellStyle name="Normal 4 3 2 2 5 2 3 2" xfId="32852" xr:uid="{00000000-0005-0000-0000-0000AC6D0000}"/>
    <cellStyle name="Normal 4 3 2 2 5 2 4" xfId="19084" xr:uid="{00000000-0005-0000-0000-0000AD6D0000}"/>
    <cellStyle name="Normal 4 3 2 2 5 2 4 2" xfId="39004" xr:uid="{00000000-0005-0000-0000-0000AE6D0000}"/>
    <cellStyle name="Normal 4 3 2 2 5 2 5" xfId="26699" xr:uid="{00000000-0005-0000-0000-0000AF6D0000}"/>
    <cellStyle name="Normal 4 3 2 2 5 3" xfId="8270" xr:uid="{00000000-0005-0000-0000-0000B06D0000}"/>
    <cellStyle name="Normal 4 3 2 2 5 3 2" xfId="14464" xr:uid="{00000000-0005-0000-0000-0000B16D0000}"/>
    <cellStyle name="Normal 4 3 2 2 5 3 2 2" xfId="34384" xr:uid="{00000000-0005-0000-0000-0000B26D0000}"/>
    <cellStyle name="Normal 4 3 2 2 5 3 3" xfId="20616" xr:uid="{00000000-0005-0000-0000-0000B36D0000}"/>
    <cellStyle name="Normal 4 3 2 2 5 3 3 2" xfId="40536" xr:uid="{00000000-0005-0000-0000-0000B46D0000}"/>
    <cellStyle name="Normal 4 3 2 2 5 3 4" xfId="28231" xr:uid="{00000000-0005-0000-0000-0000B56D0000}"/>
    <cellStyle name="Normal 4 3 2 2 5 4" xfId="11398" xr:uid="{00000000-0005-0000-0000-0000B66D0000}"/>
    <cellStyle name="Normal 4 3 2 2 5 4 2" xfId="31318" xr:uid="{00000000-0005-0000-0000-0000B76D0000}"/>
    <cellStyle name="Normal 4 3 2 2 5 5" xfId="17550" xr:uid="{00000000-0005-0000-0000-0000B86D0000}"/>
    <cellStyle name="Normal 4 3 2 2 5 5 2" xfId="37470" xr:uid="{00000000-0005-0000-0000-0000B96D0000}"/>
    <cellStyle name="Normal 4 3 2 2 5 6" xfId="25165" xr:uid="{00000000-0005-0000-0000-0000BA6D0000}"/>
    <cellStyle name="Normal 4 3 2 2 6" xfId="5936" xr:uid="{00000000-0005-0000-0000-0000BB6D0000}"/>
    <cellStyle name="Normal 4 3 2 2 6 2" xfId="9036" xr:uid="{00000000-0005-0000-0000-0000BC6D0000}"/>
    <cellStyle name="Normal 4 3 2 2 6 2 2" xfId="15229" xr:uid="{00000000-0005-0000-0000-0000BD6D0000}"/>
    <cellStyle name="Normal 4 3 2 2 6 2 2 2" xfId="35149" xr:uid="{00000000-0005-0000-0000-0000BE6D0000}"/>
    <cellStyle name="Normal 4 3 2 2 6 2 3" xfId="21381" xr:uid="{00000000-0005-0000-0000-0000BF6D0000}"/>
    <cellStyle name="Normal 4 3 2 2 6 2 3 2" xfId="41301" xr:uid="{00000000-0005-0000-0000-0000C06D0000}"/>
    <cellStyle name="Normal 4 3 2 2 6 2 4" xfId="28996" xr:uid="{00000000-0005-0000-0000-0000C16D0000}"/>
    <cellStyle name="Normal 4 3 2 2 6 3" xfId="12163" xr:uid="{00000000-0005-0000-0000-0000C26D0000}"/>
    <cellStyle name="Normal 4 3 2 2 6 3 2" xfId="32083" xr:uid="{00000000-0005-0000-0000-0000C36D0000}"/>
    <cellStyle name="Normal 4 3 2 2 6 4" xfId="18315" xr:uid="{00000000-0005-0000-0000-0000C46D0000}"/>
    <cellStyle name="Normal 4 3 2 2 6 4 2" xfId="38235" xr:uid="{00000000-0005-0000-0000-0000C56D0000}"/>
    <cellStyle name="Normal 4 3 2 2 6 5" xfId="25930" xr:uid="{00000000-0005-0000-0000-0000C66D0000}"/>
    <cellStyle name="Normal 4 3 2 2 7" xfId="7501" xr:uid="{00000000-0005-0000-0000-0000C76D0000}"/>
    <cellStyle name="Normal 4 3 2 2 7 2" xfId="13695" xr:uid="{00000000-0005-0000-0000-0000C86D0000}"/>
    <cellStyle name="Normal 4 3 2 2 7 2 2" xfId="33615" xr:uid="{00000000-0005-0000-0000-0000C96D0000}"/>
    <cellStyle name="Normal 4 3 2 2 7 3" xfId="19847" xr:uid="{00000000-0005-0000-0000-0000CA6D0000}"/>
    <cellStyle name="Normal 4 3 2 2 7 3 2" xfId="39767" xr:uid="{00000000-0005-0000-0000-0000CB6D0000}"/>
    <cellStyle name="Normal 4 3 2 2 7 4" xfId="27462" xr:uid="{00000000-0005-0000-0000-0000CC6D0000}"/>
    <cellStyle name="Normal 4 3 2 2 8" xfId="10629" xr:uid="{00000000-0005-0000-0000-0000CD6D0000}"/>
    <cellStyle name="Normal 4 3 2 2 8 2" xfId="30549" xr:uid="{00000000-0005-0000-0000-0000CE6D0000}"/>
    <cellStyle name="Normal 4 3 2 2 9" xfId="16781" xr:uid="{00000000-0005-0000-0000-0000CF6D0000}"/>
    <cellStyle name="Normal 4 3 2 2 9 2" xfId="36701" xr:uid="{00000000-0005-0000-0000-0000D06D0000}"/>
    <cellStyle name="Normal 4 3 2 3" xfId="3863" xr:uid="{00000000-0005-0000-0000-0000D16D0000}"/>
    <cellStyle name="Normal 4 3 2 3 2" xfId="3864" xr:uid="{00000000-0005-0000-0000-0000D26D0000}"/>
    <cellStyle name="Normal 4 3 2 3 2 2" xfId="5101" xr:uid="{00000000-0005-0000-0000-0000D36D0000}"/>
    <cellStyle name="Normal 4 3 2 3 2 2 2" xfId="6726" xr:uid="{00000000-0005-0000-0000-0000D46D0000}"/>
    <cellStyle name="Normal 4 3 2 3 2 2 2 2" xfId="9812" xr:uid="{00000000-0005-0000-0000-0000D56D0000}"/>
    <cellStyle name="Normal 4 3 2 3 2 2 2 2 2" xfId="16005" xr:uid="{00000000-0005-0000-0000-0000D66D0000}"/>
    <cellStyle name="Normal 4 3 2 3 2 2 2 2 2 2" xfId="35925" xr:uid="{00000000-0005-0000-0000-0000D76D0000}"/>
    <cellStyle name="Normal 4 3 2 3 2 2 2 2 3" xfId="22157" xr:uid="{00000000-0005-0000-0000-0000D86D0000}"/>
    <cellStyle name="Normal 4 3 2 3 2 2 2 2 3 2" xfId="42077" xr:uid="{00000000-0005-0000-0000-0000D96D0000}"/>
    <cellStyle name="Normal 4 3 2 3 2 2 2 2 4" xfId="29772" xr:uid="{00000000-0005-0000-0000-0000DA6D0000}"/>
    <cellStyle name="Normal 4 3 2 3 2 2 2 3" xfId="12939" xr:uid="{00000000-0005-0000-0000-0000DB6D0000}"/>
    <cellStyle name="Normal 4 3 2 3 2 2 2 3 2" xfId="32859" xr:uid="{00000000-0005-0000-0000-0000DC6D0000}"/>
    <cellStyle name="Normal 4 3 2 3 2 2 2 4" xfId="19091" xr:uid="{00000000-0005-0000-0000-0000DD6D0000}"/>
    <cellStyle name="Normal 4 3 2 3 2 2 2 4 2" xfId="39011" xr:uid="{00000000-0005-0000-0000-0000DE6D0000}"/>
    <cellStyle name="Normal 4 3 2 3 2 2 2 5" xfId="26706" xr:uid="{00000000-0005-0000-0000-0000DF6D0000}"/>
    <cellStyle name="Normal 4 3 2 3 2 2 3" xfId="8277" xr:uid="{00000000-0005-0000-0000-0000E06D0000}"/>
    <cellStyle name="Normal 4 3 2 3 2 2 3 2" xfId="14471" xr:uid="{00000000-0005-0000-0000-0000E16D0000}"/>
    <cellStyle name="Normal 4 3 2 3 2 2 3 2 2" xfId="34391" xr:uid="{00000000-0005-0000-0000-0000E26D0000}"/>
    <cellStyle name="Normal 4 3 2 3 2 2 3 3" xfId="20623" xr:uid="{00000000-0005-0000-0000-0000E36D0000}"/>
    <cellStyle name="Normal 4 3 2 3 2 2 3 3 2" xfId="40543" xr:uid="{00000000-0005-0000-0000-0000E46D0000}"/>
    <cellStyle name="Normal 4 3 2 3 2 2 3 4" xfId="28238" xr:uid="{00000000-0005-0000-0000-0000E56D0000}"/>
    <cellStyle name="Normal 4 3 2 3 2 2 4" xfId="11405" xr:uid="{00000000-0005-0000-0000-0000E66D0000}"/>
    <cellStyle name="Normal 4 3 2 3 2 2 4 2" xfId="31325" xr:uid="{00000000-0005-0000-0000-0000E76D0000}"/>
    <cellStyle name="Normal 4 3 2 3 2 2 5" xfId="17557" xr:uid="{00000000-0005-0000-0000-0000E86D0000}"/>
    <cellStyle name="Normal 4 3 2 3 2 2 5 2" xfId="37477" xr:uid="{00000000-0005-0000-0000-0000E96D0000}"/>
    <cellStyle name="Normal 4 3 2 3 2 2 6" xfId="25172" xr:uid="{00000000-0005-0000-0000-0000EA6D0000}"/>
    <cellStyle name="Normal 4 3 2 3 2 3" xfId="5943" xr:uid="{00000000-0005-0000-0000-0000EB6D0000}"/>
    <cellStyle name="Normal 4 3 2 3 2 3 2" xfId="9043" xr:uid="{00000000-0005-0000-0000-0000EC6D0000}"/>
    <cellStyle name="Normal 4 3 2 3 2 3 2 2" xfId="15236" xr:uid="{00000000-0005-0000-0000-0000ED6D0000}"/>
    <cellStyle name="Normal 4 3 2 3 2 3 2 2 2" xfId="35156" xr:uid="{00000000-0005-0000-0000-0000EE6D0000}"/>
    <cellStyle name="Normal 4 3 2 3 2 3 2 3" xfId="21388" xr:uid="{00000000-0005-0000-0000-0000EF6D0000}"/>
    <cellStyle name="Normal 4 3 2 3 2 3 2 3 2" xfId="41308" xr:uid="{00000000-0005-0000-0000-0000F06D0000}"/>
    <cellStyle name="Normal 4 3 2 3 2 3 2 4" xfId="29003" xr:uid="{00000000-0005-0000-0000-0000F16D0000}"/>
    <cellStyle name="Normal 4 3 2 3 2 3 3" xfId="12170" xr:uid="{00000000-0005-0000-0000-0000F26D0000}"/>
    <cellStyle name="Normal 4 3 2 3 2 3 3 2" xfId="32090" xr:uid="{00000000-0005-0000-0000-0000F36D0000}"/>
    <cellStyle name="Normal 4 3 2 3 2 3 4" xfId="18322" xr:uid="{00000000-0005-0000-0000-0000F46D0000}"/>
    <cellStyle name="Normal 4 3 2 3 2 3 4 2" xfId="38242" xr:uid="{00000000-0005-0000-0000-0000F56D0000}"/>
    <cellStyle name="Normal 4 3 2 3 2 3 5" xfId="25937" xr:uid="{00000000-0005-0000-0000-0000F66D0000}"/>
    <cellStyle name="Normal 4 3 2 3 2 4" xfId="7508" xr:uid="{00000000-0005-0000-0000-0000F76D0000}"/>
    <cellStyle name="Normal 4 3 2 3 2 4 2" xfId="13702" xr:uid="{00000000-0005-0000-0000-0000F86D0000}"/>
    <cellStyle name="Normal 4 3 2 3 2 4 2 2" xfId="33622" xr:uid="{00000000-0005-0000-0000-0000F96D0000}"/>
    <cellStyle name="Normal 4 3 2 3 2 4 3" xfId="19854" xr:uid="{00000000-0005-0000-0000-0000FA6D0000}"/>
    <cellStyle name="Normal 4 3 2 3 2 4 3 2" xfId="39774" xr:uid="{00000000-0005-0000-0000-0000FB6D0000}"/>
    <cellStyle name="Normal 4 3 2 3 2 4 4" xfId="27469" xr:uid="{00000000-0005-0000-0000-0000FC6D0000}"/>
    <cellStyle name="Normal 4 3 2 3 2 5" xfId="10636" xr:uid="{00000000-0005-0000-0000-0000FD6D0000}"/>
    <cellStyle name="Normal 4 3 2 3 2 5 2" xfId="30556" xr:uid="{00000000-0005-0000-0000-0000FE6D0000}"/>
    <cellStyle name="Normal 4 3 2 3 2 6" xfId="16788" xr:uid="{00000000-0005-0000-0000-0000FF6D0000}"/>
    <cellStyle name="Normal 4 3 2 3 2 6 2" xfId="36708" xr:uid="{00000000-0005-0000-0000-0000006E0000}"/>
    <cellStyle name="Normal 4 3 2 3 2 7" xfId="24403" xr:uid="{00000000-0005-0000-0000-0000016E0000}"/>
    <cellStyle name="Normal 4 3 2 3 3" xfId="5100" xr:uid="{00000000-0005-0000-0000-0000026E0000}"/>
    <cellStyle name="Normal 4 3 2 3 3 2" xfId="6725" xr:uid="{00000000-0005-0000-0000-0000036E0000}"/>
    <cellStyle name="Normal 4 3 2 3 3 2 2" xfId="9811" xr:uid="{00000000-0005-0000-0000-0000046E0000}"/>
    <cellStyle name="Normal 4 3 2 3 3 2 2 2" xfId="16004" xr:uid="{00000000-0005-0000-0000-0000056E0000}"/>
    <cellStyle name="Normal 4 3 2 3 3 2 2 2 2" xfId="35924" xr:uid="{00000000-0005-0000-0000-0000066E0000}"/>
    <cellStyle name="Normal 4 3 2 3 3 2 2 3" xfId="22156" xr:uid="{00000000-0005-0000-0000-0000076E0000}"/>
    <cellStyle name="Normal 4 3 2 3 3 2 2 3 2" xfId="42076" xr:uid="{00000000-0005-0000-0000-0000086E0000}"/>
    <cellStyle name="Normal 4 3 2 3 3 2 2 4" xfId="29771" xr:uid="{00000000-0005-0000-0000-0000096E0000}"/>
    <cellStyle name="Normal 4 3 2 3 3 2 3" xfId="12938" xr:uid="{00000000-0005-0000-0000-00000A6E0000}"/>
    <cellStyle name="Normal 4 3 2 3 3 2 3 2" xfId="32858" xr:uid="{00000000-0005-0000-0000-00000B6E0000}"/>
    <cellStyle name="Normal 4 3 2 3 3 2 4" xfId="19090" xr:uid="{00000000-0005-0000-0000-00000C6E0000}"/>
    <cellStyle name="Normal 4 3 2 3 3 2 4 2" xfId="39010" xr:uid="{00000000-0005-0000-0000-00000D6E0000}"/>
    <cellStyle name="Normal 4 3 2 3 3 2 5" xfId="26705" xr:uid="{00000000-0005-0000-0000-00000E6E0000}"/>
    <cellStyle name="Normal 4 3 2 3 3 3" xfId="8276" xr:uid="{00000000-0005-0000-0000-00000F6E0000}"/>
    <cellStyle name="Normal 4 3 2 3 3 3 2" xfId="14470" xr:uid="{00000000-0005-0000-0000-0000106E0000}"/>
    <cellStyle name="Normal 4 3 2 3 3 3 2 2" xfId="34390" xr:uid="{00000000-0005-0000-0000-0000116E0000}"/>
    <cellStyle name="Normal 4 3 2 3 3 3 3" xfId="20622" xr:uid="{00000000-0005-0000-0000-0000126E0000}"/>
    <cellStyle name="Normal 4 3 2 3 3 3 3 2" xfId="40542" xr:uid="{00000000-0005-0000-0000-0000136E0000}"/>
    <cellStyle name="Normal 4 3 2 3 3 3 4" xfId="28237" xr:uid="{00000000-0005-0000-0000-0000146E0000}"/>
    <cellStyle name="Normal 4 3 2 3 3 4" xfId="11404" xr:uid="{00000000-0005-0000-0000-0000156E0000}"/>
    <cellStyle name="Normal 4 3 2 3 3 4 2" xfId="31324" xr:uid="{00000000-0005-0000-0000-0000166E0000}"/>
    <cellStyle name="Normal 4 3 2 3 3 5" xfId="17556" xr:uid="{00000000-0005-0000-0000-0000176E0000}"/>
    <cellStyle name="Normal 4 3 2 3 3 5 2" xfId="37476" xr:uid="{00000000-0005-0000-0000-0000186E0000}"/>
    <cellStyle name="Normal 4 3 2 3 3 6" xfId="25171" xr:uid="{00000000-0005-0000-0000-0000196E0000}"/>
    <cellStyle name="Normal 4 3 2 3 4" xfId="5942" xr:uid="{00000000-0005-0000-0000-00001A6E0000}"/>
    <cellStyle name="Normal 4 3 2 3 4 2" xfId="9042" xr:uid="{00000000-0005-0000-0000-00001B6E0000}"/>
    <cellStyle name="Normal 4 3 2 3 4 2 2" xfId="15235" xr:uid="{00000000-0005-0000-0000-00001C6E0000}"/>
    <cellStyle name="Normal 4 3 2 3 4 2 2 2" xfId="35155" xr:uid="{00000000-0005-0000-0000-00001D6E0000}"/>
    <cellStyle name="Normal 4 3 2 3 4 2 3" xfId="21387" xr:uid="{00000000-0005-0000-0000-00001E6E0000}"/>
    <cellStyle name="Normal 4 3 2 3 4 2 3 2" xfId="41307" xr:uid="{00000000-0005-0000-0000-00001F6E0000}"/>
    <cellStyle name="Normal 4 3 2 3 4 2 4" xfId="29002" xr:uid="{00000000-0005-0000-0000-0000206E0000}"/>
    <cellStyle name="Normal 4 3 2 3 4 3" xfId="12169" xr:uid="{00000000-0005-0000-0000-0000216E0000}"/>
    <cellStyle name="Normal 4 3 2 3 4 3 2" xfId="32089" xr:uid="{00000000-0005-0000-0000-0000226E0000}"/>
    <cellStyle name="Normal 4 3 2 3 4 4" xfId="18321" xr:uid="{00000000-0005-0000-0000-0000236E0000}"/>
    <cellStyle name="Normal 4 3 2 3 4 4 2" xfId="38241" xr:uid="{00000000-0005-0000-0000-0000246E0000}"/>
    <cellStyle name="Normal 4 3 2 3 4 5" xfId="25936" xr:uid="{00000000-0005-0000-0000-0000256E0000}"/>
    <cellStyle name="Normal 4 3 2 3 5" xfId="7507" xr:uid="{00000000-0005-0000-0000-0000266E0000}"/>
    <cellStyle name="Normal 4 3 2 3 5 2" xfId="13701" xr:uid="{00000000-0005-0000-0000-0000276E0000}"/>
    <cellStyle name="Normal 4 3 2 3 5 2 2" xfId="33621" xr:uid="{00000000-0005-0000-0000-0000286E0000}"/>
    <cellStyle name="Normal 4 3 2 3 5 3" xfId="19853" xr:uid="{00000000-0005-0000-0000-0000296E0000}"/>
    <cellStyle name="Normal 4 3 2 3 5 3 2" xfId="39773" xr:uid="{00000000-0005-0000-0000-00002A6E0000}"/>
    <cellStyle name="Normal 4 3 2 3 5 4" xfId="27468" xr:uid="{00000000-0005-0000-0000-00002B6E0000}"/>
    <cellStyle name="Normal 4 3 2 3 6" xfId="10635" xr:uid="{00000000-0005-0000-0000-00002C6E0000}"/>
    <cellStyle name="Normal 4 3 2 3 6 2" xfId="30555" xr:uid="{00000000-0005-0000-0000-00002D6E0000}"/>
    <cellStyle name="Normal 4 3 2 3 7" xfId="16787" xr:uid="{00000000-0005-0000-0000-00002E6E0000}"/>
    <cellStyle name="Normal 4 3 2 3 7 2" xfId="36707" xr:uid="{00000000-0005-0000-0000-00002F6E0000}"/>
    <cellStyle name="Normal 4 3 2 3 8" xfId="24402" xr:uid="{00000000-0005-0000-0000-0000306E0000}"/>
    <cellStyle name="Normal 4 3 2 4" xfId="3865" xr:uid="{00000000-0005-0000-0000-0000316E0000}"/>
    <cellStyle name="Normal 4 3 2 4 2" xfId="3866" xr:uid="{00000000-0005-0000-0000-0000326E0000}"/>
    <cellStyle name="Normal 4 3 2 4 2 2" xfId="5103" xr:uid="{00000000-0005-0000-0000-0000336E0000}"/>
    <cellStyle name="Normal 4 3 2 4 2 2 2" xfId="6728" xr:uid="{00000000-0005-0000-0000-0000346E0000}"/>
    <cellStyle name="Normal 4 3 2 4 2 2 2 2" xfId="9814" xr:uid="{00000000-0005-0000-0000-0000356E0000}"/>
    <cellStyle name="Normal 4 3 2 4 2 2 2 2 2" xfId="16007" xr:uid="{00000000-0005-0000-0000-0000366E0000}"/>
    <cellStyle name="Normal 4 3 2 4 2 2 2 2 2 2" xfId="35927" xr:uid="{00000000-0005-0000-0000-0000376E0000}"/>
    <cellStyle name="Normal 4 3 2 4 2 2 2 2 3" xfId="22159" xr:uid="{00000000-0005-0000-0000-0000386E0000}"/>
    <cellStyle name="Normal 4 3 2 4 2 2 2 2 3 2" xfId="42079" xr:uid="{00000000-0005-0000-0000-0000396E0000}"/>
    <cellStyle name="Normal 4 3 2 4 2 2 2 2 4" xfId="29774" xr:uid="{00000000-0005-0000-0000-00003A6E0000}"/>
    <cellStyle name="Normal 4 3 2 4 2 2 2 3" xfId="12941" xr:uid="{00000000-0005-0000-0000-00003B6E0000}"/>
    <cellStyle name="Normal 4 3 2 4 2 2 2 3 2" xfId="32861" xr:uid="{00000000-0005-0000-0000-00003C6E0000}"/>
    <cellStyle name="Normal 4 3 2 4 2 2 2 4" xfId="19093" xr:uid="{00000000-0005-0000-0000-00003D6E0000}"/>
    <cellStyle name="Normal 4 3 2 4 2 2 2 4 2" xfId="39013" xr:uid="{00000000-0005-0000-0000-00003E6E0000}"/>
    <cellStyle name="Normal 4 3 2 4 2 2 2 5" xfId="26708" xr:uid="{00000000-0005-0000-0000-00003F6E0000}"/>
    <cellStyle name="Normal 4 3 2 4 2 2 3" xfId="8279" xr:uid="{00000000-0005-0000-0000-0000406E0000}"/>
    <cellStyle name="Normal 4 3 2 4 2 2 3 2" xfId="14473" xr:uid="{00000000-0005-0000-0000-0000416E0000}"/>
    <cellStyle name="Normal 4 3 2 4 2 2 3 2 2" xfId="34393" xr:uid="{00000000-0005-0000-0000-0000426E0000}"/>
    <cellStyle name="Normal 4 3 2 4 2 2 3 3" xfId="20625" xr:uid="{00000000-0005-0000-0000-0000436E0000}"/>
    <cellStyle name="Normal 4 3 2 4 2 2 3 3 2" xfId="40545" xr:uid="{00000000-0005-0000-0000-0000446E0000}"/>
    <cellStyle name="Normal 4 3 2 4 2 2 3 4" xfId="28240" xr:uid="{00000000-0005-0000-0000-0000456E0000}"/>
    <cellStyle name="Normal 4 3 2 4 2 2 4" xfId="11407" xr:uid="{00000000-0005-0000-0000-0000466E0000}"/>
    <cellStyle name="Normal 4 3 2 4 2 2 4 2" xfId="31327" xr:uid="{00000000-0005-0000-0000-0000476E0000}"/>
    <cellStyle name="Normal 4 3 2 4 2 2 5" xfId="17559" xr:uid="{00000000-0005-0000-0000-0000486E0000}"/>
    <cellStyle name="Normal 4 3 2 4 2 2 5 2" xfId="37479" xr:uid="{00000000-0005-0000-0000-0000496E0000}"/>
    <cellStyle name="Normal 4 3 2 4 2 2 6" xfId="25174" xr:uid="{00000000-0005-0000-0000-00004A6E0000}"/>
    <cellStyle name="Normal 4 3 2 4 2 3" xfId="5945" xr:uid="{00000000-0005-0000-0000-00004B6E0000}"/>
    <cellStyle name="Normal 4 3 2 4 2 3 2" xfId="9045" xr:uid="{00000000-0005-0000-0000-00004C6E0000}"/>
    <cellStyle name="Normal 4 3 2 4 2 3 2 2" xfId="15238" xr:uid="{00000000-0005-0000-0000-00004D6E0000}"/>
    <cellStyle name="Normal 4 3 2 4 2 3 2 2 2" xfId="35158" xr:uid="{00000000-0005-0000-0000-00004E6E0000}"/>
    <cellStyle name="Normal 4 3 2 4 2 3 2 3" xfId="21390" xr:uid="{00000000-0005-0000-0000-00004F6E0000}"/>
    <cellStyle name="Normal 4 3 2 4 2 3 2 3 2" xfId="41310" xr:uid="{00000000-0005-0000-0000-0000506E0000}"/>
    <cellStyle name="Normal 4 3 2 4 2 3 2 4" xfId="29005" xr:uid="{00000000-0005-0000-0000-0000516E0000}"/>
    <cellStyle name="Normal 4 3 2 4 2 3 3" xfId="12172" xr:uid="{00000000-0005-0000-0000-0000526E0000}"/>
    <cellStyle name="Normal 4 3 2 4 2 3 3 2" xfId="32092" xr:uid="{00000000-0005-0000-0000-0000536E0000}"/>
    <cellStyle name="Normal 4 3 2 4 2 3 4" xfId="18324" xr:uid="{00000000-0005-0000-0000-0000546E0000}"/>
    <cellStyle name="Normal 4 3 2 4 2 3 4 2" xfId="38244" xr:uid="{00000000-0005-0000-0000-0000556E0000}"/>
    <cellStyle name="Normal 4 3 2 4 2 3 5" xfId="25939" xr:uid="{00000000-0005-0000-0000-0000566E0000}"/>
    <cellStyle name="Normal 4 3 2 4 2 4" xfId="7510" xr:uid="{00000000-0005-0000-0000-0000576E0000}"/>
    <cellStyle name="Normal 4 3 2 4 2 4 2" xfId="13704" xr:uid="{00000000-0005-0000-0000-0000586E0000}"/>
    <cellStyle name="Normal 4 3 2 4 2 4 2 2" xfId="33624" xr:uid="{00000000-0005-0000-0000-0000596E0000}"/>
    <cellStyle name="Normal 4 3 2 4 2 4 3" xfId="19856" xr:uid="{00000000-0005-0000-0000-00005A6E0000}"/>
    <cellStyle name="Normal 4 3 2 4 2 4 3 2" xfId="39776" xr:uid="{00000000-0005-0000-0000-00005B6E0000}"/>
    <cellStyle name="Normal 4 3 2 4 2 4 4" xfId="27471" xr:uid="{00000000-0005-0000-0000-00005C6E0000}"/>
    <cellStyle name="Normal 4 3 2 4 2 5" xfId="10638" xr:uid="{00000000-0005-0000-0000-00005D6E0000}"/>
    <cellStyle name="Normal 4 3 2 4 2 5 2" xfId="30558" xr:uid="{00000000-0005-0000-0000-00005E6E0000}"/>
    <cellStyle name="Normal 4 3 2 4 2 6" xfId="16790" xr:uid="{00000000-0005-0000-0000-00005F6E0000}"/>
    <cellStyle name="Normal 4 3 2 4 2 6 2" xfId="36710" xr:uid="{00000000-0005-0000-0000-0000606E0000}"/>
    <cellStyle name="Normal 4 3 2 4 2 7" xfId="24405" xr:uid="{00000000-0005-0000-0000-0000616E0000}"/>
    <cellStyle name="Normal 4 3 2 4 3" xfId="5102" xr:uid="{00000000-0005-0000-0000-0000626E0000}"/>
    <cellStyle name="Normal 4 3 2 4 3 2" xfId="6727" xr:uid="{00000000-0005-0000-0000-0000636E0000}"/>
    <cellStyle name="Normal 4 3 2 4 3 2 2" xfId="9813" xr:uid="{00000000-0005-0000-0000-0000646E0000}"/>
    <cellStyle name="Normal 4 3 2 4 3 2 2 2" xfId="16006" xr:uid="{00000000-0005-0000-0000-0000656E0000}"/>
    <cellStyle name="Normal 4 3 2 4 3 2 2 2 2" xfId="35926" xr:uid="{00000000-0005-0000-0000-0000666E0000}"/>
    <cellStyle name="Normal 4 3 2 4 3 2 2 3" xfId="22158" xr:uid="{00000000-0005-0000-0000-0000676E0000}"/>
    <cellStyle name="Normal 4 3 2 4 3 2 2 3 2" xfId="42078" xr:uid="{00000000-0005-0000-0000-0000686E0000}"/>
    <cellStyle name="Normal 4 3 2 4 3 2 2 4" xfId="29773" xr:uid="{00000000-0005-0000-0000-0000696E0000}"/>
    <cellStyle name="Normal 4 3 2 4 3 2 3" xfId="12940" xr:uid="{00000000-0005-0000-0000-00006A6E0000}"/>
    <cellStyle name="Normal 4 3 2 4 3 2 3 2" xfId="32860" xr:uid="{00000000-0005-0000-0000-00006B6E0000}"/>
    <cellStyle name="Normal 4 3 2 4 3 2 4" xfId="19092" xr:uid="{00000000-0005-0000-0000-00006C6E0000}"/>
    <cellStyle name="Normal 4 3 2 4 3 2 4 2" xfId="39012" xr:uid="{00000000-0005-0000-0000-00006D6E0000}"/>
    <cellStyle name="Normal 4 3 2 4 3 2 5" xfId="26707" xr:uid="{00000000-0005-0000-0000-00006E6E0000}"/>
    <cellStyle name="Normal 4 3 2 4 3 3" xfId="8278" xr:uid="{00000000-0005-0000-0000-00006F6E0000}"/>
    <cellStyle name="Normal 4 3 2 4 3 3 2" xfId="14472" xr:uid="{00000000-0005-0000-0000-0000706E0000}"/>
    <cellStyle name="Normal 4 3 2 4 3 3 2 2" xfId="34392" xr:uid="{00000000-0005-0000-0000-0000716E0000}"/>
    <cellStyle name="Normal 4 3 2 4 3 3 3" xfId="20624" xr:uid="{00000000-0005-0000-0000-0000726E0000}"/>
    <cellStyle name="Normal 4 3 2 4 3 3 3 2" xfId="40544" xr:uid="{00000000-0005-0000-0000-0000736E0000}"/>
    <cellStyle name="Normal 4 3 2 4 3 3 4" xfId="28239" xr:uid="{00000000-0005-0000-0000-0000746E0000}"/>
    <cellStyle name="Normal 4 3 2 4 3 4" xfId="11406" xr:uid="{00000000-0005-0000-0000-0000756E0000}"/>
    <cellStyle name="Normal 4 3 2 4 3 4 2" xfId="31326" xr:uid="{00000000-0005-0000-0000-0000766E0000}"/>
    <cellStyle name="Normal 4 3 2 4 3 5" xfId="17558" xr:uid="{00000000-0005-0000-0000-0000776E0000}"/>
    <cellStyle name="Normal 4 3 2 4 3 5 2" xfId="37478" xr:uid="{00000000-0005-0000-0000-0000786E0000}"/>
    <cellStyle name="Normal 4 3 2 4 3 6" xfId="25173" xr:uid="{00000000-0005-0000-0000-0000796E0000}"/>
    <cellStyle name="Normal 4 3 2 4 4" xfId="5944" xr:uid="{00000000-0005-0000-0000-00007A6E0000}"/>
    <cellStyle name="Normal 4 3 2 4 4 2" xfId="9044" xr:uid="{00000000-0005-0000-0000-00007B6E0000}"/>
    <cellStyle name="Normal 4 3 2 4 4 2 2" xfId="15237" xr:uid="{00000000-0005-0000-0000-00007C6E0000}"/>
    <cellStyle name="Normal 4 3 2 4 4 2 2 2" xfId="35157" xr:uid="{00000000-0005-0000-0000-00007D6E0000}"/>
    <cellStyle name="Normal 4 3 2 4 4 2 3" xfId="21389" xr:uid="{00000000-0005-0000-0000-00007E6E0000}"/>
    <cellStyle name="Normal 4 3 2 4 4 2 3 2" xfId="41309" xr:uid="{00000000-0005-0000-0000-00007F6E0000}"/>
    <cellStyle name="Normal 4 3 2 4 4 2 4" xfId="29004" xr:uid="{00000000-0005-0000-0000-0000806E0000}"/>
    <cellStyle name="Normal 4 3 2 4 4 3" xfId="12171" xr:uid="{00000000-0005-0000-0000-0000816E0000}"/>
    <cellStyle name="Normal 4 3 2 4 4 3 2" xfId="32091" xr:uid="{00000000-0005-0000-0000-0000826E0000}"/>
    <cellStyle name="Normal 4 3 2 4 4 4" xfId="18323" xr:uid="{00000000-0005-0000-0000-0000836E0000}"/>
    <cellStyle name="Normal 4 3 2 4 4 4 2" xfId="38243" xr:uid="{00000000-0005-0000-0000-0000846E0000}"/>
    <cellStyle name="Normal 4 3 2 4 4 5" xfId="25938" xr:uid="{00000000-0005-0000-0000-0000856E0000}"/>
    <cellStyle name="Normal 4 3 2 4 5" xfId="7509" xr:uid="{00000000-0005-0000-0000-0000866E0000}"/>
    <cellStyle name="Normal 4 3 2 4 5 2" xfId="13703" xr:uid="{00000000-0005-0000-0000-0000876E0000}"/>
    <cellStyle name="Normal 4 3 2 4 5 2 2" xfId="33623" xr:uid="{00000000-0005-0000-0000-0000886E0000}"/>
    <cellStyle name="Normal 4 3 2 4 5 3" xfId="19855" xr:uid="{00000000-0005-0000-0000-0000896E0000}"/>
    <cellStyle name="Normal 4 3 2 4 5 3 2" xfId="39775" xr:uid="{00000000-0005-0000-0000-00008A6E0000}"/>
    <cellStyle name="Normal 4 3 2 4 5 4" xfId="27470" xr:uid="{00000000-0005-0000-0000-00008B6E0000}"/>
    <cellStyle name="Normal 4 3 2 4 6" xfId="10637" xr:uid="{00000000-0005-0000-0000-00008C6E0000}"/>
    <cellStyle name="Normal 4 3 2 4 6 2" xfId="30557" xr:uid="{00000000-0005-0000-0000-00008D6E0000}"/>
    <cellStyle name="Normal 4 3 2 4 7" xfId="16789" xr:uid="{00000000-0005-0000-0000-00008E6E0000}"/>
    <cellStyle name="Normal 4 3 2 4 7 2" xfId="36709" xr:uid="{00000000-0005-0000-0000-00008F6E0000}"/>
    <cellStyle name="Normal 4 3 2 4 8" xfId="24404" xr:uid="{00000000-0005-0000-0000-0000906E0000}"/>
    <cellStyle name="Normal 4 3 2 5" xfId="3867" xr:uid="{00000000-0005-0000-0000-0000916E0000}"/>
    <cellStyle name="Normal 4 3 2 5 2" xfId="5104" xr:uid="{00000000-0005-0000-0000-0000926E0000}"/>
    <cellStyle name="Normal 4 3 2 5 2 2" xfId="6729" xr:uid="{00000000-0005-0000-0000-0000936E0000}"/>
    <cellStyle name="Normal 4 3 2 5 2 2 2" xfId="9815" xr:uid="{00000000-0005-0000-0000-0000946E0000}"/>
    <cellStyle name="Normal 4 3 2 5 2 2 2 2" xfId="16008" xr:uid="{00000000-0005-0000-0000-0000956E0000}"/>
    <cellStyle name="Normal 4 3 2 5 2 2 2 2 2" xfId="35928" xr:uid="{00000000-0005-0000-0000-0000966E0000}"/>
    <cellStyle name="Normal 4 3 2 5 2 2 2 3" xfId="22160" xr:uid="{00000000-0005-0000-0000-0000976E0000}"/>
    <cellStyle name="Normal 4 3 2 5 2 2 2 3 2" xfId="42080" xr:uid="{00000000-0005-0000-0000-0000986E0000}"/>
    <cellStyle name="Normal 4 3 2 5 2 2 2 4" xfId="29775" xr:uid="{00000000-0005-0000-0000-0000996E0000}"/>
    <cellStyle name="Normal 4 3 2 5 2 2 3" xfId="12942" xr:uid="{00000000-0005-0000-0000-00009A6E0000}"/>
    <cellStyle name="Normal 4 3 2 5 2 2 3 2" xfId="32862" xr:uid="{00000000-0005-0000-0000-00009B6E0000}"/>
    <cellStyle name="Normal 4 3 2 5 2 2 4" xfId="19094" xr:uid="{00000000-0005-0000-0000-00009C6E0000}"/>
    <cellStyle name="Normal 4 3 2 5 2 2 4 2" xfId="39014" xr:uid="{00000000-0005-0000-0000-00009D6E0000}"/>
    <cellStyle name="Normal 4 3 2 5 2 2 5" xfId="26709" xr:uid="{00000000-0005-0000-0000-00009E6E0000}"/>
    <cellStyle name="Normal 4 3 2 5 2 3" xfId="8280" xr:uid="{00000000-0005-0000-0000-00009F6E0000}"/>
    <cellStyle name="Normal 4 3 2 5 2 3 2" xfId="14474" xr:uid="{00000000-0005-0000-0000-0000A06E0000}"/>
    <cellStyle name="Normal 4 3 2 5 2 3 2 2" xfId="34394" xr:uid="{00000000-0005-0000-0000-0000A16E0000}"/>
    <cellStyle name="Normal 4 3 2 5 2 3 3" xfId="20626" xr:uid="{00000000-0005-0000-0000-0000A26E0000}"/>
    <cellStyle name="Normal 4 3 2 5 2 3 3 2" xfId="40546" xr:uid="{00000000-0005-0000-0000-0000A36E0000}"/>
    <cellStyle name="Normal 4 3 2 5 2 3 4" xfId="28241" xr:uid="{00000000-0005-0000-0000-0000A46E0000}"/>
    <cellStyle name="Normal 4 3 2 5 2 4" xfId="11408" xr:uid="{00000000-0005-0000-0000-0000A56E0000}"/>
    <cellStyle name="Normal 4 3 2 5 2 4 2" xfId="31328" xr:uid="{00000000-0005-0000-0000-0000A66E0000}"/>
    <cellStyle name="Normal 4 3 2 5 2 5" xfId="17560" xr:uid="{00000000-0005-0000-0000-0000A76E0000}"/>
    <cellStyle name="Normal 4 3 2 5 2 5 2" xfId="37480" xr:uid="{00000000-0005-0000-0000-0000A86E0000}"/>
    <cellStyle name="Normal 4 3 2 5 2 6" xfId="25175" xr:uid="{00000000-0005-0000-0000-0000A96E0000}"/>
    <cellStyle name="Normal 4 3 2 5 3" xfId="5946" xr:uid="{00000000-0005-0000-0000-0000AA6E0000}"/>
    <cellStyle name="Normal 4 3 2 5 3 2" xfId="9046" xr:uid="{00000000-0005-0000-0000-0000AB6E0000}"/>
    <cellStyle name="Normal 4 3 2 5 3 2 2" xfId="15239" xr:uid="{00000000-0005-0000-0000-0000AC6E0000}"/>
    <cellStyle name="Normal 4 3 2 5 3 2 2 2" xfId="35159" xr:uid="{00000000-0005-0000-0000-0000AD6E0000}"/>
    <cellStyle name="Normal 4 3 2 5 3 2 3" xfId="21391" xr:uid="{00000000-0005-0000-0000-0000AE6E0000}"/>
    <cellStyle name="Normal 4 3 2 5 3 2 3 2" xfId="41311" xr:uid="{00000000-0005-0000-0000-0000AF6E0000}"/>
    <cellStyle name="Normal 4 3 2 5 3 2 4" xfId="29006" xr:uid="{00000000-0005-0000-0000-0000B06E0000}"/>
    <cellStyle name="Normal 4 3 2 5 3 3" xfId="12173" xr:uid="{00000000-0005-0000-0000-0000B16E0000}"/>
    <cellStyle name="Normal 4 3 2 5 3 3 2" xfId="32093" xr:uid="{00000000-0005-0000-0000-0000B26E0000}"/>
    <cellStyle name="Normal 4 3 2 5 3 4" xfId="18325" xr:uid="{00000000-0005-0000-0000-0000B36E0000}"/>
    <cellStyle name="Normal 4 3 2 5 3 4 2" xfId="38245" xr:uid="{00000000-0005-0000-0000-0000B46E0000}"/>
    <cellStyle name="Normal 4 3 2 5 3 5" xfId="25940" xr:uid="{00000000-0005-0000-0000-0000B56E0000}"/>
    <cellStyle name="Normal 4 3 2 5 4" xfId="7511" xr:uid="{00000000-0005-0000-0000-0000B66E0000}"/>
    <cellStyle name="Normal 4 3 2 5 4 2" xfId="13705" xr:uid="{00000000-0005-0000-0000-0000B76E0000}"/>
    <cellStyle name="Normal 4 3 2 5 4 2 2" xfId="33625" xr:uid="{00000000-0005-0000-0000-0000B86E0000}"/>
    <cellStyle name="Normal 4 3 2 5 4 3" xfId="19857" xr:uid="{00000000-0005-0000-0000-0000B96E0000}"/>
    <cellStyle name="Normal 4 3 2 5 4 3 2" xfId="39777" xr:uid="{00000000-0005-0000-0000-0000BA6E0000}"/>
    <cellStyle name="Normal 4 3 2 5 4 4" xfId="27472" xr:uid="{00000000-0005-0000-0000-0000BB6E0000}"/>
    <cellStyle name="Normal 4 3 2 5 5" xfId="10639" xr:uid="{00000000-0005-0000-0000-0000BC6E0000}"/>
    <cellStyle name="Normal 4 3 2 5 5 2" xfId="30559" xr:uid="{00000000-0005-0000-0000-0000BD6E0000}"/>
    <cellStyle name="Normal 4 3 2 5 6" xfId="16791" xr:uid="{00000000-0005-0000-0000-0000BE6E0000}"/>
    <cellStyle name="Normal 4 3 2 5 6 2" xfId="36711" xr:uid="{00000000-0005-0000-0000-0000BF6E0000}"/>
    <cellStyle name="Normal 4 3 2 5 7" xfId="24406" xr:uid="{00000000-0005-0000-0000-0000C06E0000}"/>
    <cellStyle name="Normal 4 3 2 6" xfId="5093" xr:uid="{00000000-0005-0000-0000-0000C16E0000}"/>
    <cellStyle name="Normal 4 3 2 6 2" xfId="6718" xr:uid="{00000000-0005-0000-0000-0000C26E0000}"/>
    <cellStyle name="Normal 4 3 2 6 2 2" xfId="9804" xr:uid="{00000000-0005-0000-0000-0000C36E0000}"/>
    <cellStyle name="Normal 4 3 2 6 2 2 2" xfId="15997" xr:uid="{00000000-0005-0000-0000-0000C46E0000}"/>
    <cellStyle name="Normal 4 3 2 6 2 2 2 2" xfId="35917" xr:uid="{00000000-0005-0000-0000-0000C56E0000}"/>
    <cellStyle name="Normal 4 3 2 6 2 2 3" xfId="22149" xr:uid="{00000000-0005-0000-0000-0000C66E0000}"/>
    <cellStyle name="Normal 4 3 2 6 2 2 3 2" xfId="42069" xr:uid="{00000000-0005-0000-0000-0000C76E0000}"/>
    <cellStyle name="Normal 4 3 2 6 2 2 4" xfId="29764" xr:uid="{00000000-0005-0000-0000-0000C86E0000}"/>
    <cellStyle name="Normal 4 3 2 6 2 3" xfId="12931" xr:uid="{00000000-0005-0000-0000-0000C96E0000}"/>
    <cellStyle name="Normal 4 3 2 6 2 3 2" xfId="32851" xr:uid="{00000000-0005-0000-0000-0000CA6E0000}"/>
    <cellStyle name="Normal 4 3 2 6 2 4" xfId="19083" xr:uid="{00000000-0005-0000-0000-0000CB6E0000}"/>
    <cellStyle name="Normal 4 3 2 6 2 4 2" xfId="39003" xr:uid="{00000000-0005-0000-0000-0000CC6E0000}"/>
    <cellStyle name="Normal 4 3 2 6 2 5" xfId="26698" xr:uid="{00000000-0005-0000-0000-0000CD6E0000}"/>
    <cellStyle name="Normal 4 3 2 6 3" xfId="8269" xr:uid="{00000000-0005-0000-0000-0000CE6E0000}"/>
    <cellStyle name="Normal 4 3 2 6 3 2" xfId="14463" xr:uid="{00000000-0005-0000-0000-0000CF6E0000}"/>
    <cellStyle name="Normal 4 3 2 6 3 2 2" xfId="34383" xr:uid="{00000000-0005-0000-0000-0000D06E0000}"/>
    <cellStyle name="Normal 4 3 2 6 3 3" xfId="20615" xr:uid="{00000000-0005-0000-0000-0000D16E0000}"/>
    <cellStyle name="Normal 4 3 2 6 3 3 2" xfId="40535" xr:uid="{00000000-0005-0000-0000-0000D26E0000}"/>
    <cellStyle name="Normal 4 3 2 6 3 4" xfId="28230" xr:uid="{00000000-0005-0000-0000-0000D36E0000}"/>
    <cellStyle name="Normal 4 3 2 6 4" xfId="11397" xr:uid="{00000000-0005-0000-0000-0000D46E0000}"/>
    <cellStyle name="Normal 4 3 2 6 4 2" xfId="31317" xr:uid="{00000000-0005-0000-0000-0000D56E0000}"/>
    <cellStyle name="Normal 4 3 2 6 5" xfId="17549" xr:uid="{00000000-0005-0000-0000-0000D66E0000}"/>
    <cellStyle name="Normal 4 3 2 6 5 2" xfId="37469" xr:uid="{00000000-0005-0000-0000-0000D76E0000}"/>
    <cellStyle name="Normal 4 3 2 6 6" xfId="25164" xr:uid="{00000000-0005-0000-0000-0000D86E0000}"/>
    <cellStyle name="Normal 4 3 2 7" xfId="5935" xr:uid="{00000000-0005-0000-0000-0000D96E0000}"/>
    <cellStyle name="Normal 4 3 2 7 2" xfId="9035" xr:uid="{00000000-0005-0000-0000-0000DA6E0000}"/>
    <cellStyle name="Normal 4 3 2 7 2 2" xfId="15228" xr:uid="{00000000-0005-0000-0000-0000DB6E0000}"/>
    <cellStyle name="Normal 4 3 2 7 2 2 2" xfId="35148" xr:uid="{00000000-0005-0000-0000-0000DC6E0000}"/>
    <cellStyle name="Normal 4 3 2 7 2 3" xfId="21380" xr:uid="{00000000-0005-0000-0000-0000DD6E0000}"/>
    <cellStyle name="Normal 4 3 2 7 2 3 2" xfId="41300" xr:uid="{00000000-0005-0000-0000-0000DE6E0000}"/>
    <cellStyle name="Normal 4 3 2 7 2 4" xfId="28995" xr:uid="{00000000-0005-0000-0000-0000DF6E0000}"/>
    <cellStyle name="Normal 4 3 2 7 3" xfId="12162" xr:uid="{00000000-0005-0000-0000-0000E06E0000}"/>
    <cellStyle name="Normal 4 3 2 7 3 2" xfId="32082" xr:uid="{00000000-0005-0000-0000-0000E16E0000}"/>
    <cellStyle name="Normal 4 3 2 7 4" xfId="18314" xr:uid="{00000000-0005-0000-0000-0000E26E0000}"/>
    <cellStyle name="Normal 4 3 2 7 4 2" xfId="38234" xr:uid="{00000000-0005-0000-0000-0000E36E0000}"/>
    <cellStyle name="Normal 4 3 2 7 5" xfId="25929" xr:uid="{00000000-0005-0000-0000-0000E46E0000}"/>
    <cellStyle name="Normal 4 3 2 8" xfId="7500" xr:uid="{00000000-0005-0000-0000-0000E56E0000}"/>
    <cellStyle name="Normal 4 3 2 8 2" xfId="13694" xr:uid="{00000000-0005-0000-0000-0000E66E0000}"/>
    <cellStyle name="Normal 4 3 2 8 2 2" xfId="33614" xr:uid="{00000000-0005-0000-0000-0000E76E0000}"/>
    <cellStyle name="Normal 4 3 2 8 3" xfId="19846" xr:uid="{00000000-0005-0000-0000-0000E86E0000}"/>
    <cellStyle name="Normal 4 3 2 8 3 2" xfId="39766" xr:uid="{00000000-0005-0000-0000-0000E96E0000}"/>
    <cellStyle name="Normal 4 3 2 8 4" xfId="27461" xr:uid="{00000000-0005-0000-0000-0000EA6E0000}"/>
    <cellStyle name="Normal 4 3 2 9" xfId="10628" xr:uid="{00000000-0005-0000-0000-0000EB6E0000}"/>
    <cellStyle name="Normal 4 3 2 9 2" xfId="30548" xr:uid="{00000000-0005-0000-0000-0000EC6E0000}"/>
    <cellStyle name="Normal 4 3 3" xfId="3868" xr:uid="{00000000-0005-0000-0000-0000ED6E0000}"/>
    <cellStyle name="Normal 4 3 3 10" xfId="24407" xr:uid="{00000000-0005-0000-0000-0000EE6E0000}"/>
    <cellStyle name="Normal 4 3 3 2" xfId="3869" xr:uid="{00000000-0005-0000-0000-0000EF6E0000}"/>
    <cellStyle name="Normal 4 3 3 2 2" xfId="3870" xr:uid="{00000000-0005-0000-0000-0000F06E0000}"/>
    <cellStyle name="Normal 4 3 3 2 2 2" xfId="5107" xr:uid="{00000000-0005-0000-0000-0000F16E0000}"/>
    <cellStyle name="Normal 4 3 3 2 2 2 2" xfId="6732" xr:uid="{00000000-0005-0000-0000-0000F26E0000}"/>
    <cellStyle name="Normal 4 3 3 2 2 2 2 2" xfId="9818" xr:uid="{00000000-0005-0000-0000-0000F36E0000}"/>
    <cellStyle name="Normal 4 3 3 2 2 2 2 2 2" xfId="16011" xr:uid="{00000000-0005-0000-0000-0000F46E0000}"/>
    <cellStyle name="Normal 4 3 3 2 2 2 2 2 2 2" xfId="35931" xr:uid="{00000000-0005-0000-0000-0000F56E0000}"/>
    <cellStyle name="Normal 4 3 3 2 2 2 2 2 3" xfId="22163" xr:uid="{00000000-0005-0000-0000-0000F66E0000}"/>
    <cellStyle name="Normal 4 3 3 2 2 2 2 2 3 2" xfId="42083" xr:uid="{00000000-0005-0000-0000-0000F76E0000}"/>
    <cellStyle name="Normal 4 3 3 2 2 2 2 2 4" xfId="29778" xr:uid="{00000000-0005-0000-0000-0000F86E0000}"/>
    <cellStyle name="Normal 4 3 3 2 2 2 2 3" xfId="12945" xr:uid="{00000000-0005-0000-0000-0000F96E0000}"/>
    <cellStyle name="Normal 4 3 3 2 2 2 2 3 2" xfId="32865" xr:uid="{00000000-0005-0000-0000-0000FA6E0000}"/>
    <cellStyle name="Normal 4 3 3 2 2 2 2 4" xfId="19097" xr:uid="{00000000-0005-0000-0000-0000FB6E0000}"/>
    <cellStyle name="Normal 4 3 3 2 2 2 2 4 2" xfId="39017" xr:uid="{00000000-0005-0000-0000-0000FC6E0000}"/>
    <cellStyle name="Normal 4 3 3 2 2 2 2 5" xfId="26712" xr:uid="{00000000-0005-0000-0000-0000FD6E0000}"/>
    <cellStyle name="Normal 4 3 3 2 2 2 3" xfId="8283" xr:uid="{00000000-0005-0000-0000-0000FE6E0000}"/>
    <cellStyle name="Normal 4 3 3 2 2 2 3 2" xfId="14477" xr:uid="{00000000-0005-0000-0000-0000FF6E0000}"/>
    <cellStyle name="Normal 4 3 3 2 2 2 3 2 2" xfId="34397" xr:uid="{00000000-0005-0000-0000-0000006F0000}"/>
    <cellStyle name="Normal 4 3 3 2 2 2 3 3" xfId="20629" xr:uid="{00000000-0005-0000-0000-0000016F0000}"/>
    <cellStyle name="Normal 4 3 3 2 2 2 3 3 2" xfId="40549" xr:uid="{00000000-0005-0000-0000-0000026F0000}"/>
    <cellStyle name="Normal 4 3 3 2 2 2 3 4" xfId="28244" xr:uid="{00000000-0005-0000-0000-0000036F0000}"/>
    <cellStyle name="Normal 4 3 3 2 2 2 4" xfId="11411" xr:uid="{00000000-0005-0000-0000-0000046F0000}"/>
    <cellStyle name="Normal 4 3 3 2 2 2 4 2" xfId="31331" xr:uid="{00000000-0005-0000-0000-0000056F0000}"/>
    <cellStyle name="Normal 4 3 3 2 2 2 5" xfId="17563" xr:uid="{00000000-0005-0000-0000-0000066F0000}"/>
    <cellStyle name="Normal 4 3 3 2 2 2 5 2" xfId="37483" xr:uid="{00000000-0005-0000-0000-0000076F0000}"/>
    <cellStyle name="Normal 4 3 3 2 2 2 6" xfId="25178" xr:uid="{00000000-0005-0000-0000-0000086F0000}"/>
    <cellStyle name="Normal 4 3 3 2 2 3" xfId="5949" xr:uid="{00000000-0005-0000-0000-0000096F0000}"/>
    <cellStyle name="Normal 4 3 3 2 2 3 2" xfId="9049" xr:uid="{00000000-0005-0000-0000-00000A6F0000}"/>
    <cellStyle name="Normal 4 3 3 2 2 3 2 2" xfId="15242" xr:uid="{00000000-0005-0000-0000-00000B6F0000}"/>
    <cellStyle name="Normal 4 3 3 2 2 3 2 2 2" xfId="35162" xr:uid="{00000000-0005-0000-0000-00000C6F0000}"/>
    <cellStyle name="Normal 4 3 3 2 2 3 2 3" xfId="21394" xr:uid="{00000000-0005-0000-0000-00000D6F0000}"/>
    <cellStyle name="Normal 4 3 3 2 2 3 2 3 2" xfId="41314" xr:uid="{00000000-0005-0000-0000-00000E6F0000}"/>
    <cellStyle name="Normal 4 3 3 2 2 3 2 4" xfId="29009" xr:uid="{00000000-0005-0000-0000-00000F6F0000}"/>
    <cellStyle name="Normal 4 3 3 2 2 3 3" xfId="12176" xr:uid="{00000000-0005-0000-0000-0000106F0000}"/>
    <cellStyle name="Normal 4 3 3 2 2 3 3 2" xfId="32096" xr:uid="{00000000-0005-0000-0000-0000116F0000}"/>
    <cellStyle name="Normal 4 3 3 2 2 3 4" xfId="18328" xr:uid="{00000000-0005-0000-0000-0000126F0000}"/>
    <cellStyle name="Normal 4 3 3 2 2 3 4 2" xfId="38248" xr:uid="{00000000-0005-0000-0000-0000136F0000}"/>
    <cellStyle name="Normal 4 3 3 2 2 3 5" xfId="25943" xr:uid="{00000000-0005-0000-0000-0000146F0000}"/>
    <cellStyle name="Normal 4 3 3 2 2 4" xfId="7514" xr:uid="{00000000-0005-0000-0000-0000156F0000}"/>
    <cellStyle name="Normal 4 3 3 2 2 4 2" xfId="13708" xr:uid="{00000000-0005-0000-0000-0000166F0000}"/>
    <cellStyle name="Normal 4 3 3 2 2 4 2 2" xfId="33628" xr:uid="{00000000-0005-0000-0000-0000176F0000}"/>
    <cellStyle name="Normal 4 3 3 2 2 4 3" xfId="19860" xr:uid="{00000000-0005-0000-0000-0000186F0000}"/>
    <cellStyle name="Normal 4 3 3 2 2 4 3 2" xfId="39780" xr:uid="{00000000-0005-0000-0000-0000196F0000}"/>
    <cellStyle name="Normal 4 3 3 2 2 4 4" xfId="27475" xr:uid="{00000000-0005-0000-0000-00001A6F0000}"/>
    <cellStyle name="Normal 4 3 3 2 2 5" xfId="10642" xr:uid="{00000000-0005-0000-0000-00001B6F0000}"/>
    <cellStyle name="Normal 4 3 3 2 2 5 2" xfId="30562" xr:uid="{00000000-0005-0000-0000-00001C6F0000}"/>
    <cellStyle name="Normal 4 3 3 2 2 6" xfId="16794" xr:uid="{00000000-0005-0000-0000-00001D6F0000}"/>
    <cellStyle name="Normal 4 3 3 2 2 6 2" xfId="36714" xr:uid="{00000000-0005-0000-0000-00001E6F0000}"/>
    <cellStyle name="Normal 4 3 3 2 2 7" xfId="24409" xr:uid="{00000000-0005-0000-0000-00001F6F0000}"/>
    <cellStyle name="Normal 4 3 3 2 3" xfId="5106" xr:uid="{00000000-0005-0000-0000-0000206F0000}"/>
    <cellStyle name="Normal 4 3 3 2 3 2" xfId="6731" xr:uid="{00000000-0005-0000-0000-0000216F0000}"/>
    <cellStyle name="Normal 4 3 3 2 3 2 2" xfId="9817" xr:uid="{00000000-0005-0000-0000-0000226F0000}"/>
    <cellStyle name="Normal 4 3 3 2 3 2 2 2" xfId="16010" xr:uid="{00000000-0005-0000-0000-0000236F0000}"/>
    <cellStyle name="Normal 4 3 3 2 3 2 2 2 2" xfId="35930" xr:uid="{00000000-0005-0000-0000-0000246F0000}"/>
    <cellStyle name="Normal 4 3 3 2 3 2 2 3" xfId="22162" xr:uid="{00000000-0005-0000-0000-0000256F0000}"/>
    <cellStyle name="Normal 4 3 3 2 3 2 2 3 2" xfId="42082" xr:uid="{00000000-0005-0000-0000-0000266F0000}"/>
    <cellStyle name="Normal 4 3 3 2 3 2 2 4" xfId="29777" xr:uid="{00000000-0005-0000-0000-0000276F0000}"/>
    <cellStyle name="Normal 4 3 3 2 3 2 3" xfId="12944" xr:uid="{00000000-0005-0000-0000-0000286F0000}"/>
    <cellStyle name="Normal 4 3 3 2 3 2 3 2" xfId="32864" xr:uid="{00000000-0005-0000-0000-0000296F0000}"/>
    <cellStyle name="Normal 4 3 3 2 3 2 4" xfId="19096" xr:uid="{00000000-0005-0000-0000-00002A6F0000}"/>
    <cellStyle name="Normal 4 3 3 2 3 2 4 2" xfId="39016" xr:uid="{00000000-0005-0000-0000-00002B6F0000}"/>
    <cellStyle name="Normal 4 3 3 2 3 2 5" xfId="26711" xr:uid="{00000000-0005-0000-0000-00002C6F0000}"/>
    <cellStyle name="Normal 4 3 3 2 3 3" xfId="8282" xr:uid="{00000000-0005-0000-0000-00002D6F0000}"/>
    <cellStyle name="Normal 4 3 3 2 3 3 2" xfId="14476" xr:uid="{00000000-0005-0000-0000-00002E6F0000}"/>
    <cellStyle name="Normal 4 3 3 2 3 3 2 2" xfId="34396" xr:uid="{00000000-0005-0000-0000-00002F6F0000}"/>
    <cellStyle name="Normal 4 3 3 2 3 3 3" xfId="20628" xr:uid="{00000000-0005-0000-0000-0000306F0000}"/>
    <cellStyle name="Normal 4 3 3 2 3 3 3 2" xfId="40548" xr:uid="{00000000-0005-0000-0000-0000316F0000}"/>
    <cellStyle name="Normal 4 3 3 2 3 3 4" xfId="28243" xr:uid="{00000000-0005-0000-0000-0000326F0000}"/>
    <cellStyle name="Normal 4 3 3 2 3 4" xfId="11410" xr:uid="{00000000-0005-0000-0000-0000336F0000}"/>
    <cellStyle name="Normal 4 3 3 2 3 4 2" xfId="31330" xr:uid="{00000000-0005-0000-0000-0000346F0000}"/>
    <cellStyle name="Normal 4 3 3 2 3 5" xfId="17562" xr:uid="{00000000-0005-0000-0000-0000356F0000}"/>
    <cellStyle name="Normal 4 3 3 2 3 5 2" xfId="37482" xr:uid="{00000000-0005-0000-0000-0000366F0000}"/>
    <cellStyle name="Normal 4 3 3 2 3 6" xfId="25177" xr:uid="{00000000-0005-0000-0000-0000376F0000}"/>
    <cellStyle name="Normal 4 3 3 2 4" xfId="5948" xr:uid="{00000000-0005-0000-0000-0000386F0000}"/>
    <cellStyle name="Normal 4 3 3 2 4 2" xfId="9048" xr:uid="{00000000-0005-0000-0000-0000396F0000}"/>
    <cellStyle name="Normal 4 3 3 2 4 2 2" xfId="15241" xr:uid="{00000000-0005-0000-0000-00003A6F0000}"/>
    <cellStyle name="Normal 4 3 3 2 4 2 2 2" xfId="35161" xr:uid="{00000000-0005-0000-0000-00003B6F0000}"/>
    <cellStyle name="Normal 4 3 3 2 4 2 3" xfId="21393" xr:uid="{00000000-0005-0000-0000-00003C6F0000}"/>
    <cellStyle name="Normal 4 3 3 2 4 2 3 2" xfId="41313" xr:uid="{00000000-0005-0000-0000-00003D6F0000}"/>
    <cellStyle name="Normal 4 3 3 2 4 2 4" xfId="29008" xr:uid="{00000000-0005-0000-0000-00003E6F0000}"/>
    <cellStyle name="Normal 4 3 3 2 4 3" xfId="12175" xr:uid="{00000000-0005-0000-0000-00003F6F0000}"/>
    <cellStyle name="Normal 4 3 3 2 4 3 2" xfId="32095" xr:uid="{00000000-0005-0000-0000-0000406F0000}"/>
    <cellStyle name="Normal 4 3 3 2 4 4" xfId="18327" xr:uid="{00000000-0005-0000-0000-0000416F0000}"/>
    <cellStyle name="Normal 4 3 3 2 4 4 2" xfId="38247" xr:uid="{00000000-0005-0000-0000-0000426F0000}"/>
    <cellStyle name="Normal 4 3 3 2 4 5" xfId="25942" xr:uid="{00000000-0005-0000-0000-0000436F0000}"/>
    <cellStyle name="Normal 4 3 3 2 5" xfId="7513" xr:uid="{00000000-0005-0000-0000-0000446F0000}"/>
    <cellStyle name="Normal 4 3 3 2 5 2" xfId="13707" xr:uid="{00000000-0005-0000-0000-0000456F0000}"/>
    <cellStyle name="Normal 4 3 3 2 5 2 2" xfId="33627" xr:uid="{00000000-0005-0000-0000-0000466F0000}"/>
    <cellStyle name="Normal 4 3 3 2 5 3" xfId="19859" xr:uid="{00000000-0005-0000-0000-0000476F0000}"/>
    <cellStyle name="Normal 4 3 3 2 5 3 2" xfId="39779" xr:uid="{00000000-0005-0000-0000-0000486F0000}"/>
    <cellStyle name="Normal 4 3 3 2 5 4" xfId="27474" xr:uid="{00000000-0005-0000-0000-0000496F0000}"/>
    <cellStyle name="Normal 4 3 3 2 6" xfId="10641" xr:uid="{00000000-0005-0000-0000-00004A6F0000}"/>
    <cellStyle name="Normal 4 3 3 2 6 2" xfId="30561" xr:uid="{00000000-0005-0000-0000-00004B6F0000}"/>
    <cellStyle name="Normal 4 3 3 2 7" xfId="16793" xr:uid="{00000000-0005-0000-0000-00004C6F0000}"/>
    <cellStyle name="Normal 4 3 3 2 7 2" xfId="36713" xr:uid="{00000000-0005-0000-0000-00004D6F0000}"/>
    <cellStyle name="Normal 4 3 3 2 8" xfId="24408" xr:uid="{00000000-0005-0000-0000-00004E6F0000}"/>
    <cellStyle name="Normal 4 3 3 3" xfId="3871" xr:uid="{00000000-0005-0000-0000-00004F6F0000}"/>
    <cellStyle name="Normal 4 3 3 3 2" xfId="3872" xr:uid="{00000000-0005-0000-0000-0000506F0000}"/>
    <cellStyle name="Normal 4 3 3 3 2 2" xfId="5109" xr:uid="{00000000-0005-0000-0000-0000516F0000}"/>
    <cellStyle name="Normal 4 3 3 3 2 2 2" xfId="6734" xr:uid="{00000000-0005-0000-0000-0000526F0000}"/>
    <cellStyle name="Normal 4 3 3 3 2 2 2 2" xfId="9820" xr:uid="{00000000-0005-0000-0000-0000536F0000}"/>
    <cellStyle name="Normal 4 3 3 3 2 2 2 2 2" xfId="16013" xr:uid="{00000000-0005-0000-0000-0000546F0000}"/>
    <cellStyle name="Normal 4 3 3 3 2 2 2 2 2 2" xfId="35933" xr:uid="{00000000-0005-0000-0000-0000556F0000}"/>
    <cellStyle name="Normal 4 3 3 3 2 2 2 2 3" xfId="22165" xr:uid="{00000000-0005-0000-0000-0000566F0000}"/>
    <cellStyle name="Normal 4 3 3 3 2 2 2 2 3 2" xfId="42085" xr:uid="{00000000-0005-0000-0000-0000576F0000}"/>
    <cellStyle name="Normal 4 3 3 3 2 2 2 2 4" xfId="29780" xr:uid="{00000000-0005-0000-0000-0000586F0000}"/>
    <cellStyle name="Normal 4 3 3 3 2 2 2 3" xfId="12947" xr:uid="{00000000-0005-0000-0000-0000596F0000}"/>
    <cellStyle name="Normal 4 3 3 3 2 2 2 3 2" xfId="32867" xr:uid="{00000000-0005-0000-0000-00005A6F0000}"/>
    <cellStyle name="Normal 4 3 3 3 2 2 2 4" xfId="19099" xr:uid="{00000000-0005-0000-0000-00005B6F0000}"/>
    <cellStyle name="Normal 4 3 3 3 2 2 2 4 2" xfId="39019" xr:uid="{00000000-0005-0000-0000-00005C6F0000}"/>
    <cellStyle name="Normal 4 3 3 3 2 2 2 5" xfId="26714" xr:uid="{00000000-0005-0000-0000-00005D6F0000}"/>
    <cellStyle name="Normal 4 3 3 3 2 2 3" xfId="8285" xr:uid="{00000000-0005-0000-0000-00005E6F0000}"/>
    <cellStyle name="Normal 4 3 3 3 2 2 3 2" xfId="14479" xr:uid="{00000000-0005-0000-0000-00005F6F0000}"/>
    <cellStyle name="Normal 4 3 3 3 2 2 3 2 2" xfId="34399" xr:uid="{00000000-0005-0000-0000-0000606F0000}"/>
    <cellStyle name="Normal 4 3 3 3 2 2 3 3" xfId="20631" xr:uid="{00000000-0005-0000-0000-0000616F0000}"/>
    <cellStyle name="Normal 4 3 3 3 2 2 3 3 2" xfId="40551" xr:uid="{00000000-0005-0000-0000-0000626F0000}"/>
    <cellStyle name="Normal 4 3 3 3 2 2 3 4" xfId="28246" xr:uid="{00000000-0005-0000-0000-0000636F0000}"/>
    <cellStyle name="Normal 4 3 3 3 2 2 4" xfId="11413" xr:uid="{00000000-0005-0000-0000-0000646F0000}"/>
    <cellStyle name="Normal 4 3 3 3 2 2 4 2" xfId="31333" xr:uid="{00000000-0005-0000-0000-0000656F0000}"/>
    <cellStyle name="Normal 4 3 3 3 2 2 5" xfId="17565" xr:uid="{00000000-0005-0000-0000-0000666F0000}"/>
    <cellStyle name="Normal 4 3 3 3 2 2 5 2" xfId="37485" xr:uid="{00000000-0005-0000-0000-0000676F0000}"/>
    <cellStyle name="Normal 4 3 3 3 2 2 6" xfId="25180" xr:uid="{00000000-0005-0000-0000-0000686F0000}"/>
    <cellStyle name="Normal 4 3 3 3 2 3" xfId="5951" xr:uid="{00000000-0005-0000-0000-0000696F0000}"/>
    <cellStyle name="Normal 4 3 3 3 2 3 2" xfId="9051" xr:uid="{00000000-0005-0000-0000-00006A6F0000}"/>
    <cellStyle name="Normal 4 3 3 3 2 3 2 2" xfId="15244" xr:uid="{00000000-0005-0000-0000-00006B6F0000}"/>
    <cellStyle name="Normal 4 3 3 3 2 3 2 2 2" xfId="35164" xr:uid="{00000000-0005-0000-0000-00006C6F0000}"/>
    <cellStyle name="Normal 4 3 3 3 2 3 2 3" xfId="21396" xr:uid="{00000000-0005-0000-0000-00006D6F0000}"/>
    <cellStyle name="Normal 4 3 3 3 2 3 2 3 2" xfId="41316" xr:uid="{00000000-0005-0000-0000-00006E6F0000}"/>
    <cellStyle name="Normal 4 3 3 3 2 3 2 4" xfId="29011" xr:uid="{00000000-0005-0000-0000-00006F6F0000}"/>
    <cellStyle name="Normal 4 3 3 3 2 3 3" xfId="12178" xr:uid="{00000000-0005-0000-0000-0000706F0000}"/>
    <cellStyle name="Normal 4 3 3 3 2 3 3 2" xfId="32098" xr:uid="{00000000-0005-0000-0000-0000716F0000}"/>
    <cellStyle name="Normal 4 3 3 3 2 3 4" xfId="18330" xr:uid="{00000000-0005-0000-0000-0000726F0000}"/>
    <cellStyle name="Normal 4 3 3 3 2 3 4 2" xfId="38250" xr:uid="{00000000-0005-0000-0000-0000736F0000}"/>
    <cellStyle name="Normal 4 3 3 3 2 3 5" xfId="25945" xr:uid="{00000000-0005-0000-0000-0000746F0000}"/>
    <cellStyle name="Normal 4 3 3 3 2 4" xfId="7516" xr:uid="{00000000-0005-0000-0000-0000756F0000}"/>
    <cellStyle name="Normal 4 3 3 3 2 4 2" xfId="13710" xr:uid="{00000000-0005-0000-0000-0000766F0000}"/>
    <cellStyle name="Normal 4 3 3 3 2 4 2 2" xfId="33630" xr:uid="{00000000-0005-0000-0000-0000776F0000}"/>
    <cellStyle name="Normal 4 3 3 3 2 4 3" xfId="19862" xr:uid="{00000000-0005-0000-0000-0000786F0000}"/>
    <cellStyle name="Normal 4 3 3 3 2 4 3 2" xfId="39782" xr:uid="{00000000-0005-0000-0000-0000796F0000}"/>
    <cellStyle name="Normal 4 3 3 3 2 4 4" xfId="27477" xr:uid="{00000000-0005-0000-0000-00007A6F0000}"/>
    <cellStyle name="Normal 4 3 3 3 2 5" xfId="10644" xr:uid="{00000000-0005-0000-0000-00007B6F0000}"/>
    <cellStyle name="Normal 4 3 3 3 2 5 2" xfId="30564" xr:uid="{00000000-0005-0000-0000-00007C6F0000}"/>
    <cellStyle name="Normal 4 3 3 3 2 6" xfId="16796" xr:uid="{00000000-0005-0000-0000-00007D6F0000}"/>
    <cellStyle name="Normal 4 3 3 3 2 6 2" xfId="36716" xr:uid="{00000000-0005-0000-0000-00007E6F0000}"/>
    <cellStyle name="Normal 4 3 3 3 2 7" xfId="24411" xr:uid="{00000000-0005-0000-0000-00007F6F0000}"/>
    <cellStyle name="Normal 4 3 3 3 3" xfId="5108" xr:uid="{00000000-0005-0000-0000-0000806F0000}"/>
    <cellStyle name="Normal 4 3 3 3 3 2" xfId="6733" xr:uid="{00000000-0005-0000-0000-0000816F0000}"/>
    <cellStyle name="Normal 4 3 3 3 3 2 2" xfId="9819" xr:uid="{00000000-0005-0000-0000-0000826F0000}"/>
    <cellStyle name="Normal 4 3 3 3 3 2 2 2" xfId="16012" xr:uid="{00000000-0005-0000-0000-0000836F0000}"/>
    <cellStyle name="Normal 4 3 3 3 3 2 2 2 2" xfId="35932" xr:uid="{00000000-0005-0000-0000-0000846F0000}"/>
    <cellStyle name="Normal 4 3 3 3 3 2 2 3" xfId="22164" xr:uid="{00000000-0005-0000-0000-0000856F0000}"/>
    <cellStyle name="Normal 4 3 3 3 3 2 2 3 2" xfId="42084" xr:uid="{00000000-0005-0000-0000-0000866F0000}"/>
    <cellStyle name="Normal 4 3 3 3 3 2 2 4" xfId="29779" xr:uid="{00000000-0005-0000-0000-0000876F0000}"/>
    <cellStyle name="Normal 4 3 3 3 3 2 3" xfId="12946" xr:uid="{00000000-0005-0000-0000-0000886F0000}"/>
    <cellStyle name="Normal 4 3 3 3 3 2 3 2" xfId="32866" xr:uid="{00000000-0005-0000-0000-0000896F0000}"/>
    <cellStyle name="Normal 4 3 3 3 3 2 4" xfId="19098" xr:uid="{00000000-0005-0000-0000-00008A6F0000}"/>
    <cellStyle name="Normal 4 3 3 3 3 2 4 2" xfId="39018" xr:uid="{00000000-0005-0000-0000-00008B6F0000}"/>
    <cellStyle name="Normal 4 3 3 3 3 2 5" xfId="26713" xr:uid="{00000000-0005-0000-0000-00008C6F0000}"/>
    <cellStyle name="Normal 4 3 3 3 3 3" xfId="8284" xr:uid="{00000000-0005-0000-0000-00008D6F0000}"/>
    <cellStyle name="Normal 4 3 3 3 3 3 2" xfId="14478" xr:uid="{00000000-0005-0000-0000-00008E6F0000}"/>
    <cellStyle name="Normal 4 3 3 3 3 3 2 2" xfId="34398" xr:uid="{00000000-0005-0000-0000-00008F6F0000}"/>
    <cellStyle name="Normal 4 3 3 3 3 3 3" xfId="20630" xr:uid="{00000000-0005-0000-0000-0000906F0000}"/>
    <cellStyle name="Normal 4 3 3 3 3 3 3 2" xfId="40550" xr:uid="{00000000-0005-0000-0000-0000916F0000}"/>
    <cellStyle name="Normal 4 3 3 3 3 3 4" xfId="28245" xr:uid="{00000000-0005-0000-0000-0000926F0000}"/>
    <cellStyle name="Normal 4 3 3 3 3 4" xfId="11412" xr:uid="{00000000-0005-0000-0000-0000936F0000}"/>
    <cellStyle name="Normal 4 3 3 3 3 4 2" xfId="31332" xr:uid="{00000000-0005-0000-0000-0000946F0000}"/>
    <cellStyle name="Normal 4 3 3 3 3 5" xfId="17564" xr:uid="{00000000-0005-0000-0000-0000956F0000}"/>
    <cellStyle name="Normal 4 3 3 3 3 5 2" xfId="37484" xr:uid="{00000000-0005-0000-0000-0000966F0000}"/>
    <cellStyle name="Normal 4 3 3 3 3 6" xfId="25179" xr:uid="{00000000-0005-0000-0000-0000976F0000}"/>
    <cellStyle name="Normal 4 3 3 3 4" xfId="5950" xr:uid="{00000000-0005-0000-0000-0000986F0000}"/>
    <cellStyle name="Normal 4 3 3 3 4 2" xfId="9050" xr:uid="{00000000-0005-0000-0000-0000996F0000}"/>
    <cellStyle name="Normal 4 3 3 3 4 2 2" xfId="15243" xr:uid="{00000000-0005-0000-0000-00009A6F0000}"/>
    <cellStyle name="Normal 4 3 3 3 4 2 2 2" xfId="35163" xr:uid="{00000000-0005-0000-0000-00009B6F0000}"/>
    <cellStyle name="Normal 4 3 3 3 4 2 3" xfId="21395" xr:uid="{00000000-0005-0000-0000-00009C6F0000}"/>
    <cellStyle name="Normal 4 3 3 3 4 2 3 2" xfId="41315" xr:uid="{00000000-0005-0000-0000-00009D6F0000}"/>
    <cellStyle name="Normal 4 3 3 3 4 2 4" xfId="29010" xr:uid="{00000000-0005-0000-0000-00009E6F0000}"/>
    <cellStyle name="Normal 4 3 3 3 4 3" xfId="12177" xr:uid="{00000000-0005-0000-0000-00009F6F0000}"/>
    <cellStyle name="Normal 4 3 3 3 4 3 2" xfId="32097" xr:uid="{00000000-0005-0000-0000-0000A06F0000}"/>
    <cellStyle name="Normal 4 3 3 3 4 4" xfId="18329" xr:uid="{00000000-0005-0000-0000-0000A16F0000}"/>
    <cellStyle name="Normal 4 3 3 3 4 4 2" xfId="38249" xr:uid="{00000000-0005-0000-0000-0000A26F0000}"/>
    <cellStyle name="Normal 4 3 3 3 4 5" xfId="25944" xr:uid="{00000000-0005-0000-0000-0000A36F0000}"/>
    <cellStyle name="Normal 4 3 3 3 5" xfId="7515" xr:uid="{00000000-0005-0000-0000-0000A46F0000}"/>
    <cellStyle name="Normal 4 3 3 3 5 2" xfId="13709" xr:uid="{00000000-0005-0000-0000-0000A56F0000}"/>
    <cellStyle name="Normal 4 3 3 3 5 2 2" xfId="33629" xr:uid="{00000000-0005-0000-0000-0000A66F0000}"/>
    <cellStyle name="Normal 4 3 3 3 5 3" xfId="19861" xr:uid="{00000000-0005-0000-0000-0000A76F0000}"/>
    <cellStyle name="Normal 4 3 3 3 5 3 2" xfId="39781" xr:uid="{00000000-0005-0000-0000-0000A86F0000}"/>
    <cellStyle name="Normal 4 3 3 3 5 4" xfId="27476" xr:uid="{00000000-0005-0000-0000-0000A96F0000}"/>
    <cellStyle name="Normal 4 3 3 3 6" xfId="10643" xr:uid="{00000000-0005-0000-0000-0000AA6F0000}"/>
    <cellStyle name="Normal 4 3 3 3 6 2" xfId="30563" xr:uid="{00000000-0005-0000-0000-0000AB6F0000}"/>
    <cellStyle name="Normal 4 3 3 3 7" xfId="16795" xr:uid="{00000000-0005-0000-0000-0000AC6F0000}"/>
    <cellStyle name="Normal 4 3 3 3 7 2" xfId="36715" xr:uid="{00000000-0005-0000-0000-0000AD6F0000}"/>
    <cellStyle name="Normal 4 3 3 3 8" xfId="24410" xr:uid="{00000000-0005-0000-0000-0000AE6F0000}"/>
    <cellStyle name="Normal 4 3 3 4" xfId="3873" xr:uid="{00000000-0005-0000-0000-0000AF6F0000}"/>
    <cellStyle name="Normal 4 3 3 4 2" xfId="5110" xr:uid="{00000000-0005-0000-0000-0000B06F0000}"/>
    <cellStyle name="Normal 4 3 3 4 2 2" xfId="6735" xr:uid="{00000000-0005-0000-0000-0000B16F0000}"/>
    <cellStyle name="Normal 4 3 3 4 2 2 2" xfId="9821" xr:uid="{00000000-0005-0000-0000-0000B26F0000}"/>
    <cellStyle name="Normal 4 3 3 4 2 2 2 2" xfId="16014" xr:uid="{00000000-0005-0000-0000-0000B36F0000}"/>
    <cellStyle name="Normal 4 3 3 4 2 2 2 2 2" xfId="35934" xr:uid="{00000000-0005-0000-0000-0000B46F0000}"/>
    <cellStyle name="Normal 4 3 3 4 2 2 2 3" xfId="22166" xr:uid="{00000000-0005-0000-0000-0000B56F0000}"/>
    <cellStyle name="Normal 4 3 3 4 2 2 2 3 2" xfId="42086" xr:uid="{00000000-0005-0000-0000-0000B66F0000}"/>
    <cellStyle name="Normal 4 3 3 4 2 2 2 4" xfId="29781" xr:uid="{00000000-0005-0000-0000-0000B76F0000}"/>
    <cellStyle name="Normal 4 3 3 4 2 2 3" xfId="12948" xr:uid="{00000000-0005-0000-0000-0000B86F0000}"/>
    <cellStyle name="Normal 4 3 3 4 2 2 3 2" xfId="32868" xr:uid="{00000000-0005-0000-0000-0000B96F0000}"/>
    <cellStyle name="Normal 4 3 3 4 2 2 4" xfId="19100" xr:uid="{00000000-0005-0000-0000-0000BA6F0000}"/>
    <cellStyle name="Normal 4 3 3 4 2 2 4 2" xfId="39020" xr:uid="{00000000-0005-0000-0000-0000BB6F0000}"/>
    <cellStyle name="Normal 4 3 3 4 2 2 5" xfId="26715" xr:uid="{00000000-0005-0000-0000-0000BC6F0000}"/>
    <cellStyle name="Normal 4 3 3 4 2 3" xfId="8286" xr:uid="{00000000-0005-0000-0000-0000BD6F0000}"/>
    <cellStyle name="Normal 4 3 3 4 2 3 2" xfId="14480" xr:uid="{00000000-0005-0000-0000-0000BE6F0000}"/>
    <cellStyle name="Normal 4 3 3 4 2 3 2 2" xfId="34400" xr:uid="{00000000-0005-0000-0000-0000BF6F0000}"/>
    <cellStyle name="Normal 4 3 3 4 2 3 3" xfId="20632" xr:uid="{00000000-0005-0000-0000-0000C06F0000}"/>
    <cellStyle name="Normal 4 3 3 4 2 3 3 2" xfId="40552" xr:uid="{00000000-0005-0000-0000-0000C16F0000}"/>
    <cellStyle name="Normal 4 3 3 4 2 3 4" xfId="28247" xr:uid="{00000000-0005-0000-0000-0000C26F0000}"/>
    <cellStyle name="Normal 4 3 3 4 2 4" xfId="11414" xr:uid="{00000000-0005-0000-0000-0000C36F0000}"/>
    <cellStyle name="Normal 4 3 3 4 2 4 2" xfId="31334" xr:uid="{00000000-0005-0000-0000-0000C46F0000}"/>
    <cellStyle name="Normal 4 3 3 4 2 5" xfId="17566" xr:uid="{00000000-0005-0000-0000-0000C56F0000}"/>
    <cellStyle name="Normal 4 3 3 4 2 5 2" xfId="37486" xr:uid="{00000000-0005-0000-0000-0000C66F0000}"/>
    <cellStyle name="Normal 4 3 3 4 2 6" xfId="25181" xr:uid="{00000000-0005-0000-0000-0000C76F0000}"/>
    <cellStyle name="Normal 4 3 3 4 3" xfId="5952" xr:uid="{00000000-0005-0000-0000-0000C86F0000}"/>
    <cellStyle name="Normal 4 3 3 4 3 2" xfId="9052" xr:uid="{00000000-0005-0000-0000-0000C96F0000}"/>
    <cellStyle name="Normal 4 3 3 4 3 2 2" xfId="15245" xr:uid="{00000000-0005-0000-0000-0000CA6F0000}"/>
    <cellStyle name="Normal 4 3 3 4 3 2 2 2" xfId="35165" xr:uid="{00000000-0005-0000-0000-0000CB6F0000}"/>
    <cellStyle name="Normal 4 3 3 4 3 2 3" xfId="21397" xr:uid="{00000000-0005-0000-0000-0000CC6F0000}"/>
    <cellStyle name="Normal 4 3 3 4 3 2 3 2" xfId="41317" xr:uid="{00000000-0005-0000-0000-0000CD6F0000}"/>
    <cellStyle name="Normal 4 3 3 4 3 2 4" xfId="29012" xr:uid="{00000000-0005-0000-0000-0000CE6F0000}"/>
    <cellStyle name="Normal 4 3 3 4 3 3" xfId="12179" xr:uid="{00000000-0005-0000-0000-0000CF6F0000}"/>
    <cellStyle name="Normal 4 3 3 4 3 3 2" xfId="32099" xr:uid="{00000000-0005-0000-0000-0000D06F0000}"/>
    <cellStyle name="Normal 4 3 3 4 3 4" xfId="18331" xr:uid="{00000000-0005-0000-0000-0000D16F0000}"/>
    <cellStyle name="Normal 4 3 3 4 3 4 2" xfId="38251" xr:uid="{00000000-0005-0000-0000-0000D26F0000}"/>
    <cellStyle name="Normal 4 3 3 4 3 5" xfId="25946" xr:uid="{00000000-0005-0000-0000-0000D36F0000}"/>
    <cellStyle name="Normal 4 3 3 4 4" xfId="7517" xr:uid="{00000000-0005-0000-0000-0000D46F0000}"/>
    <cellStyle name="Normal 4 3 3 4 4 2" xfId="13711" xr:uid="{00000000-0005-0000-0000-0000D56F0000}"/>
    <cellStyle name="Normal 4 3 3 4 4 2 2" xfId="33631" xr:uid="{00000000-0005-0000-0000-0000D66F0000}"/>
    <cellStyle name="Normal 4 3 3 4 4 3" xfId="19863" xr:uid="{00000000-0005-0000-0000-0000D76F0000}"/>
    <cellStyle name="Normal 4 3 3 4 4 3 2" xfId="39783" xr:uid="{00000000-0005-0000-0000-0000D86F0000}"/>
    <cellStyle name="Normal 4 3 3 4 4 4" xfId="27478" xr:uid="{00000000-0005-0000-0000-0000D96F0000}"/>
    <cellStyle name="Normal 4 3 3 4 5" xfId="10645" xr:uid="{00000000-0005-0000-0000-0000DA6F0000}"/>
    <cellStyle name="Normal 4 3 3 4 5 2" xfId="30565" xr:uid="{00000000-0005-0000-0000-0000DB6F0000}"/>
    <cellStyle name="Normal 4 3 3 4 6" xfId="16797" xr:uid="{00000000-0005-0000-0000-0000DC6F0000}"/>
    <cellStyle name="Normal 4 3 3 4 6 2" xfId="36717" xr:uid="{00000000-0005-0000-0000-0000DD6F0000}"/>
    <cellStyle name="Normal 4 3 3 4 7" xfId="24412" xr:uid="{00000000-0005-0000-0000-0000DE6F0000}"/>
    <cellStyle name="Normal 4 3 3 5" xfId="5105" xr:uid="{00000000-0005-0000-0000-0000DF6F0000}"/>
    <cellStyle name="Normal 4 3 3 5 2" xfId="6730" xr:uid="{00000000-0005-0000-0000-0000E06F0000}"/>
    <cellStyle name="Normal 4 3 3 5 2 2" xfId="9816" xr:uid="{00000000-0005-0000-0000-0000E16F0000}"/>
    <cellStyle name="Normal 4 3 3 5 2 2 2" xfId="16009" xr:uid="{00000000-0005-0000-0000-0000E26F0000}"/>
    <cellStyle name="Normal 4 3 3 5 2 2 2 2" xfId="35929" xr:uid="{00000000-0005-0000-0000-0000E36F0000}"/>
    <cellStyle name="Normal 4 3 3 5 2 2 3" xfId="22161" xr:uid="{00000000-0005-0000-0000-0000E46F0000}"/>
    <cellStyle name="Normal 4 3 3 5 2 2 3 2" xfId="42081" xr:uid="{00000000-0005-0000-0000-0000E56F0000}"/>
    <cellStyle name="Normal 4 3 3 5 2 2 4" xfId="29776" xr:uid="{00000000-0005-0000-0000-0000E66F0000}"/>
    <cellStyle name="Normal 4 3 3 5 2 3" xfId="12943" xr:uid="{00000000-0005-0000-0000-0000E76F0000}"/>
    <cellStyle name="Normal 4 3 3 5 2 3 2" xfId="32863" xr:uid="{00000000-0005-0000-0000-0000E86F0000}"/>
    <cellStyle name="Normal 4 3 3 5 2 4" xfId="19095" xr:uid="{00000000-0005-0000-0000-0000E96F0000}"/>
    <cellStyle name="Normal 4 3 3 5 2 4 2" xfId="39015" xr:uid="{00000000-0005-0000-0000-0000EA6F0000}"/>
    <cellStyle name="Normal 4 3 3 5 2 5" xfId="26710" xr:uid="{00000000-0005-0000-0000-0000EB6F0000}"/>
    <cellStyle name="Normal 4 3 3 5 3" xfId="8281" xr:uid="{00000000-0005-0000-0000-0000EC6F0000}"/>
    <cellStyle name="Normal 4 3 3 5 3 2" xfId="14475" xr:uid="{00000000-0005-0000-0000-0000ED6F0000}"/>
    <cellStyle name="Normal 4 3 3 5 3 2 2" xfId="34395" xr:uid="{00000000-0005-0000-0000-0000EE6F0000}"/>
    <cellStyle name="Normal 4 3 3 5 3 3" xfId="20627" xr:uid="{00000000-0005-0000-0000-0000EF6F0000}"/>
    <cellStyle name="Normal 4 3 3 5 3 3 2" xfId="40547" xr:uid="{00000000-0005-0000-0000-0000F06F0000}"/>
    <cellStyle name="Normal 4 3 3 5 3 4" xfId="28242" xr:uid="{00000000-0005-0000-0000-0000F16F0000}"/>
    <cellStyle name="Normal 4 3 3 5 4" xfId="11409" xr:uid="{00000000-0005-0000-0000-0000F26F0000}"/>
    <cellStyle name="Normal 4 3 3 5 4 2" xfId="31329" xr:uid="{00000000-0005-0000-0000-0000F36F0000}"/>
    <cellStyle name="Normal 4 3 3 5 5" xfId="17561" xr:uid="{00000000-0005-0000-0000-0000F46F0000}"/>
    <cellStyle name="Normal 4 3 3 5 5 2" xfId="37481" xr:uid="{00000000-0005-0000-0000-0000F56F0000}"/>
    <cellStyle name="Normal 4 3 3 5 6" xfId="25176" xr:uid="{00000000-0005-0000-0000-0000F66F0000}"/>
    <cellStyle name="Normal 4 3 3 6" xfId="5947" xr:uid="{00000000-0005-0000-0000-0000F76F0000}"/>
    <cellStyle name="Normal 4 3 3 6 2" xfId="9047" xr:uid="{00000000-0005-0000-0000-0000F86F0000}"/>
    <cellStyle name="Normal 4 3 3 6 2 2" xfId="15240" xr:uid="{00000000-0005-0000-0000-0000F96F0000}"/>
    <cellStyle name="Normal 4 3 3 6 2 2 2" xfId="35160" xr:uid="{00000000-0005-0000-0000-0000FA6F0000}"/>
    <cellStyle name="Normal 4 3 3 6 2 3" xfId="21392" xr:uid="{00000000-0005-0000-0000-0000FB6F0000}"/>
    <cellStyle name="Normal 4 3 3 6 2 3 2" xfId="41312" xr:uid="{00000000-0005-0000-0000-0000FC6F0000}"/>
    <cellStyle name="Normal 4 3 3 6 2 4" xfId="29007" xr:uid="{00000000-0005-0000-0000-0000FD6F0000}"/>
    <cellStyle name="Normal 4 3 3 6 3" xfId="12174" xr:uid="{00000000-0005-0000-0000-0000FE6F0000}"/>
    <cellStyle name="Normal 4 3 3 6 3 2" xfId="32094" xr:uid="{00000000-0005-0000-0000-0000FF6F0000}"/>
    <cellStyle name="Normal 4 3 3 6 4" xfId="18326" xr:uid="{00000000-0005-0000-0000-000000700000}"/>
    <cellStyle name="Normal 4 3 3 6 4 2" xfId="38246" xr:uid="{00000000-0005-0000-0000-000001700000}"/>
    <cellStyle name="Normal 4 3 3 6 5" xfId="25941" xr:uid="{00000000-0005-0000-0000-000002700000}"/>
    <cellStyle name="Normal 4 3 3 7" xfId="7512" xr:uid="{00000000-0005-0000-0000-000003700000}"/>
    <cellStyle name="Normal 4 3 3 7 2" xfId="13706" xr:uid="{00000000-0005-0000-0000-000004700000}"/>
    <cellStyle name="Normal 4 3 3 7 2 2" xfId="33626" xr:uid="{00000000-0005-0000-0000-000005700000}"/>
    <cellStyle name="Normal 4 3 3 7 3" xfId="19858" xr:uid="{00000000-0005-0000-0000-000006700000}"/>
    <cellStyle name="Normal 4 3 3 7 3 2" xfId="39778" xr:uid="{00000000-0005-0000-0000-000007700000}"/>
    <cellStyle name="Normal 4 3 3 7 4" xfId="27473" xr:uid="{00000000-0005-0000-0000-000008700000}"/>
    <cellStyle name="Normal 4 3 3 8" xfId="10640" xr:uid="{00000000-0005-0000-0000-000009700000}"/>
    <cellStyle name="Normal 4 3 3 8 2" xfId="30560" xr:uid="{00000000-0005-0000-0000-00000A700000}"/>
    <cellStyle name="Normal 4 3 3 9" xfId="16792" xr:uid="{00000000-0005-0000-0000-00000B700000}"/>
    <cellStyle name="Normal 4 3 3 9 2" xfId="36712" xr:uid="{00000000-0005-0000-0000-00000C700000}"/>
    <cellStyle name="Normal 4 3 4" xfId="3874" xr:uid="{00000000-0005-0000-0000-00000D700000}"/>
    <cellStyle name="Normal 4 3 4 2" xfId="3875" xr:uid="{00000000-0005-0000-0000-00000E700000}"/>
    <cellStyle name="Normal 4 3 4 2 2" xfId="5112" xr:uid="{00000000-0005-0000-0000-00000F700000}"/>
    <cellStyle name="Normal 4 3 4 2 2 2" xfId="6737" xr:uid="{00000000-0005-0000-0000-000010700000}"/>
    <cellStyle name="Normal 4 3 4 2 2 2 2" xfId="9823" xr:uid="{00000000-0005-0000-0000-000011700000}"/>
    <cellStyle name="Normal 4 3 4 2 2 2 2 2" xfId="16016" xr:uid="{00000000-0005-0000-0000-000012700000}"/>
    <cellStyle name="Normal 4 3 4 2 2 2 2 2 2" xfId="35936" xr:uid="{00000000-0005-0000-0000-000013700000}"/>
    <cellStyle name="Normal 4 3 4 2 2 2 2 3" xfId="22168" xr:uid="{00000000-0005-0000-0000-000014700000}"/>
    <cellStyle name="Normal 4 3 4 2 2 2 2 3 2" xfId="42088" xr:uid="{00000000-0005-0000-0000-000015700000}"/>
    <cellStyle name="Normal 4 3 4 2 2 2 2 4" xfId="29783" xr:uid="{00000000-0005-0000-0000-000016700000}"/>
    <cellStyle name="Normal 4 3 4 2 2 2 3" xfId="12950" xr:uid="{00000000-0005-0000-0000-000017700000}"/>
    <cellStyle name="Normal 4 3 4 2 2 2 3 2" xfId="32870" xr:uid="{00000000-0005-0000-0000-000018700000}"/>
    <cellStyle name="Normal 4 3 4 2 2 2 4" xfId="19102" xr:uid="{00000000-0005-0000-0000-000019700000}"/>
    <cellStyle name="Normal 4 3 4 2 2 2 4 2" xfId="39022" xr:uid="{00000000-0005-0000-0000-00001A700000}"/>
    <cellStyle name="Normal 4 3 4 2 2 2 5" xfId="26717" xr:uid="{00000000-0005-0000-0000-00001B700000}"/>
    <cellStyle name="Normal 4 3 4 2 2 3" xfId="8288" xr:uid="{00000000-0005-0000-0000-00001C700000}"/>
    <cellStyle name="Normal 4 3 4 2 2 3 2" xfId="14482" xr:uid="{00000000-0005-0000-0000-00001D700000}"/>
    <cellStyle name="Normal 4 3 4 2 2 3 2 2" xfId="34402" xr:uid="{00000000-0005-0000-0000-00001E700000}"/>
    <cellStyle name="Normal 4 3 4 2 2 3 3" xfId="20634" xr:uid="{00000000-0005-0000-0000-00001F700000}"/>
    <cellStyle name="Normal 4 3 4 2 2 3 3 2" xfId="40554" xr:uid="{00000000-0005-0000-0000-000020700000}"/>
    <cellStyle name="Normal 4 3 4 2 2 3 4" xfId="28249" xr:uid="{00000000-0005-0000-0000-000021700000}"/>
    <cellStyle name="Normal 4 3 4 2 2 4" xfId="11416" xr:uid="{00000000-0005-0000-0000-000022700000}"/>
    <cellStyle name="Normal 4 3 4 2 2 4 2" xfId="31336" xr:uid="{00000000-0005-0000-0000-000023700000}"/>
    <cellStyle name="Normal 4 3 4 2 2 5" xfId="17568" xr:uid="{00000000-0005-0000-0000-000024700000}"/>
    <cellStyle name="Normal 4 3 4 2 2 5 2" xfId="37488" xr:uid="{00000000-0005-0000-0000-000025700000}"/>
    <cellStyle name="Normal 4 3 4 2 2 6" xfId="25183" xr:uid="{00000000-0005-0000-0000-000026700000}"/>
    <cellStyle name="Normal 4 3 4 2 3" xfId="5954" xr:uid="{00000000-0005-0000-0000-000027700000}"/>
    <cellStyle name="Normal 4 3 4 2 3 2" xfId="9054" xr:uid="{00000000-0005-0000-0000-000028700000}"/>
    <cellStyle name="Normal 4 3 4 2 3 2 2" xfId="15247" xr:uid="{00000000-0005-0000-0000-000029700000}"/>
    <cellStyle name="Normal 4 3 4 2 3 2 2 2" xfId="35167" xr:uid="{00000000-0005-0000-0000-00002A700000}"/>
    <cellStyle name="Normal 4 3 4 2 3 2 3" xfId="21399" xr:uid="{00000000-0005-0000-0000-00002B700000}"/>
    <cellStyle name="Normal 4 3 4 2 3 2 3 2" xfId="41319" xr:uid="{00000000-0005-0000-0000-00002C700000}"/>
    <cellStyle name="Normal 4 3 4 2 3 2 4" xfId="29014" xr:uid="{00000000-0005-0000-0000-00002D700000}"/>
    <cellStyle name="Normal 4 3 4 2 3 3" xfId="12181" xr:uid="{00000000-0005-0000-0000-00002E700000}"/>
    <cellStyle name="Normal 4 3 4 2 3 3 2" xfId="32101" xr:uid="{00000000-0005-0000-0000-00002F700000}"/>
    <cellStyle name="Normal 4 3 4 2 3 4" xfId="18333" xr:uid="{00000000-0005-0000-0000-000030700000}"/>
    <cellStyle name="Normal 4 3 4 2 3 4 2" xfId="38253" xr:uid="{00000000-0005-0000-0000-000031700000}"/>
    <cellStyle name="Normal 4 3 4 2 3 5" xfId="25948" xr:uid="{00000000-0005-0000-0000-000032700000}"/>
    <cellStyle name="Normal 4 3 4 2 4" xfId="7519" xr:uid="{00000000-0005-0000-0000-000033700000}"/>
    <cellStyle name="Normal 4 3 4 2 4 2" xfId="13713" xr:uid="{00000000-0005-0000-0000-000034700000}"/>
    <cellStyle name="Normal 4 3 4 2 4 2 2" xfId="33633" xr:uid="{00000000-0005-0000-0000-000035700000}"/>
    <cellStyle name="Normal 4 3 4 2 4 3" xfId="19865" xr:uid="{00000000-0005-0000-0000-000036700000}"/>
    <cellStyle name="Normal 4 3 4 2 4 3 2" xfId="39785" xr:uid="{00000000-0005-0000-0000-000037700000}"/>
    <cellStyle name="Normal 4 3 4 2 4 4" xfId="27480" xr:uid="{00000000-0005-0000-0000-000038700000}"/>
    <cellStyle name="Normal 4 3 4 2 5" xfId="10647" xr:uid="{00000000-0005-0000-0000-000039700000}"/>
    <cellStyle name="Normal 4 3 4 2 5 2" xfId="30567" xr:uid="{00000000-0005-0000-0000-00003A700000}"/>
    <cellStyle name="Normal 4 3 4 2 6" xfId="16799" xr:uid="{00000000-0005-0000-0000-00003B700000}"/>
    <cellStyle name="Normal 4 3 4 2 6 2" xfId="36719" xr:uid="{00000000-0005-0000-0000-00003C700000}"/>
    <cellStyle name="Normal 4 3 4 2 7" xfId="24414" xr:uid="{00000000-0005-0000-0000-00003D700000}"/>
    <cellStyle name="Normal 4 3 4 3" xfId="5111" xr:uid="{00000000-0005-0000-0000-00003E700000}"/>
    <cellStyle name="Normal 4 3 4 3 2" xfId="6736" xr:uid="{00000000-0005-0000-0000-00003F700000}"/>
    <cellStyle name="Normal 4 3 4 3 2 2" xfId="9822" xr:uid="{00000000-0005-0000-0000-000040700000}"/>
    <cellStyle name="Normal 4 3 4 3 2 2 2" xfId="16015" xr:uid="{00000000-0005-0000-0000-000041700000}"/>
    <cellStyle name="Normal 4 3 4 3 2 2 2 2" xfId="35935" xr:uid="{00000000-0005-0000-0000-000042700000}"/>
    <cellStyle name="Normal 4 3 4 3 2 2 3" xfId="22167" xr:uid="{00000000-0005-0000-0000-000043700000}"/>
    <cellStyle name="Normal 4 3 4 3 2 2 3 2" xfId="42087" xr:uid="{00000000-0005-0000-0000-000044700000}"/>
    <cellStyle name="Normal 4 3 4 3 2 2 4" xfId="29782" xr:uid="{00000000-0005-0000-0000-000045700000}"/>
    <cellStyle name="Normal 4 3 4 3 2 3" xfId="12949" xr:uid="{00000000-0005-0000-0000-000046700000}"/>
    <cellStyle name="Normal 4 3 4 3 2 3 2" xfId="32869" xr:uid="{00000000-0005-0000-0000-000047700000}"/>
    <cellStyle name="Normal 4 3 4 3 2 4" xfId="19101" xr:uid="{00000000-0005-0000-0000-000048700000}"/>
    <cellStyle name="Normal 4 3 4 3 2 4 2" xfId="39021" xr:uid="{00000000-0005-0000-0000-000049700000}"/>
    <cellStyle name="Normal 4 3 4 3 2 5" xfId="26716" xr:uid="{00000000-0005-0000-0000-00004A700000}"/>
    <cellStyle name="Normal 4 3 4 3 3" xfId="8287" xr:uid="{00000000-0005-0000-0000-00004B700000}"/>
    <cellStyle name="Normal 4 3 4 3 3 2" xfId="14481" xr:uid="{00000000-0005-0000-0000-00004C700000}"/>
    <cellStyle name="Normal 4 3 4 3 3 2 2" xfId="34401" xr:uid="{00000000-0005-0000-0000-00004D700000}"/>
    <cellStyle name="Normal 4 3 4 3 3 3" xfId="20633" xr:uid="{00000000-0005-0000-0000-00004E700000}"/>
    <cellStyle name="Normal 4 3 4 3 3 3 2" xfId="40553" xr:uid="{00000000-0005-0000-0000-00004F700000}"/>
    <cellStyle name="Normal 4 3 4 3 3 4" xfId="28248" xr:uid="{00000000-0005-0000-0000-000050700000}"/>
    <cellStyle name="Normal 4 3 4 3 4" xfId="11415" xr:uid="{00000000-0005-0000-0000-000051700000}"/>
    <cellStyle name="Normal 4 3 4 3 4 2" xfId="31335" xr:uid="{00000000-0005-0000-0000-000052700000}"/>
    <cellStyle name="Normal 4 3 4 3 5" xfId="17567" xr:uid="{00000000-0005-0000-0000-000053700000}"/>
    <cellStyle name="Normal 4 3 4 3 5 2" xfId="37487" xr:uid="{00000000-0005-0000-0000-000054700000}"/>
    <cellStyle name="Normal 4 3 4 3 6" xfId="25182" xr:uid="{00000000-0005-0000-0000-000055700000}"/>
    <cellStyle name="Normal 4 3 4 4" xfId="5953" xr:uid="{00000000-0005-0000-0000-000056700000}"/>
    <cellStyle name="Normal 4 3 4 4 2" xfId="9053" xr:uid="{00000000-0005-0000-0000-000057700000}"/>
    <cellStyle name="Normal 4 3 4 4 2 2" xfId="15246" xr:uid="{00000000-0005-0000-0000-000058700000}"/>
    <cellStyle name="Normal 4 3 4 4 2 2 2" xfId="35166" xr:uid="{00000000-0005-0000-0000-000059700000}"/>
    <cellStyle name="Normal 4 3 4 4 2 3" xfId="21398" xr:uid="{00000000-0005-0000-0000-00005A700000}"/>
    <cellStyle name="Normal 4 3 4 4 2 3 2" xfId="41318" xr:uid="{00000000-0005-0000-0000-00005B700000}"/>
    <cellStyle name="Normal 4 3 4 4 2 4" xfId="29013" xr:uid="{00000000-0005-0000-0000-00005C700000}"/>
    <cellStyle name="Normal 4 3 4 4 3" xfId="12180" xr:uid="{00000000-0005-0000-0000-00005D700000}"/>
    <cellStyle name="Normal 4 3 4 4 3 2" xfId="32100" xr:uid="{00000000-0005-0000-0000-00005E700000}"/>
    <cellStyle name="Normal 4 3 4 4 4" xfId="18332" xr:uid="{00000000-0005-0000-0000-00005F700000}"/>
    <cellStyle name="Normal 4 3 4 4 4 2" xfId="38252" xr:uid="{00000000-0005-0000-0000-000060700000}"/>
    <cellStyle name="Normal 4 3 4 4 5" xfId="25947" xr:uid="{00000000-0005-0000-0000-000061700000}"/>
    <cellStyle name="Normal 4 3 4 5" xfId="7518" xr:uid="{00000000-0005-0000-0000-000062700000}"/>
    <cellStyle name="Normal 4 3 4 5 2" xfId="13712" xr:uid="{00000000-0005-0000-0000-000063700000}"/>
    <cellStyle name="Normal 4 3 4 5 2 2" xfId="33632" xr:uid="{00000000-0005-0000-0000-000064700000}"/>
    <cellStyle name="Normal 4 3 4 5 3" xfId="19864" xr:uid="{00000000-0005-0000-0000-000065700000}"/>
    <cellStyle name="Normal 4 3 4 5 3 2" xfId="39784" xr:uid="{00000000-0005-0000-0000-000066700000}"/>
    <cellStyle name="Normal 4 3 4 5 4" xfId="27479" xr:uid="{00000000-0005-0000-0000-000067700000}"/>
    <cellStyle name="Normal 4 3 4 6" xfId="10646" xr:uid="{00000000-0005-0000-0000-000068700000}"/>
    <cellStyle name="Normal 4 3 4 6 2" xfId="30566" xr:uid="{00000000-0005-0000-0000-000069700000}"/>
    <cellStyle name="Normal 4 3 4 7" xfId="16798" xr:uid="{00000000-0005-0000-0000-00006A700000}"/>
    <cellStyle name="Normal 4 3 4 7 2" xfId="36718" xr:uid="{00000000-0005-0000-0000-00006B700000}"/>
    <cellStyle name="Normal 4 3 4 8" xfId="24413" xr:uid="{00000000-0005-0000-0000-00006C700000}"/>
    <cellStyle name="Normal 4 3 5" xfId="3876" xr:uid="{00000000-0005-0000-0000-00006D700000}"/>
    <cellStyle name="Normal 4 3 5 2" xfId="3877" xr:uid="{00000000-0005-0000-0000-00006E700000}"/>
    <cellStyle name="Normal 4 3 5 2 2" xfId="5114" xr:uid="{00000000-0005-0000-0000-00006F700000}"/>
    <cellStyle name="Normal 4 3 5 2 2 2" xfId="6739" xr:uid="{00000000-0005-0000-0000-000070700000}"/>
    <cellStyle name="Normal 4 3 5 2 2 2 2" xfId="9825" xr:uid="{00000000-0005-0000-0000-000071700000}"/>
    <cellStyle name="Normal 4 3 5 2 2 2 2 2" xfId="16018" xr:uid="{00000000-0005-0000-0000-000072700000}"/>
    <cellStyle name="Normal 4 3 5 2 2 2 2 2 2" xfId="35938" xr:uid="{00000000-0005-0000-0000-000073700000}"/>
    <cellStyle name="Normal 4 3 5 2 2 2 2 3" xfId="22170" xr:uid="{00000000-0005-0000-0000-000074700000}"/>
    <cellStyle name="Normal 4 3 5 2 2 2 2 3 2" xfId="42090" xr:uid="{00000000-0005-0000-0000-000075700000}"/>
    <cellStyle name="Normal 4 3 5 2 2 2 2 4" xfId="29785" xr:uid="{00000000-0005-0000-0000-000076700000}"/>
    <cellStyle name="Normal 4 3 5 2 2 2 3" xfId="12952" xr:uid="{00000000-0005-0000-0000-000077700000}"/>
    <cellStyle name="Normal 4 3 5 2 2 2 3 2" xfId="32872" xr:uid="{00000000-0005-0000-0000-000078700000}"/>
    <cellStyle name="Normal 4 3 5 2 2 2 4" xfId="19104" xr:uid="{00000000-0005-0000-0000-000079700000}"/>
    <cellStyle name="Normal 4 3 5 2 2 2 4 2" xfId="39024" xr:uid="{00000000-0005-0000-0000-00007A700000}"/>
    <cellStyle name="Normal 4 3 5 2 2 2 5" xfId="26719" xr:uid="{00000000-0005-0000-0000-00007B700000}"/>
    <cellStyle name="Normal 4 3 5 2 2 3" xfId="8290" xr:uid="{00000000-0005-0000-0000-00007C700000}"/>
    <cellStyle name="Normal 4 3 5 2 2 3 2" xfId="14484" xr:uid="{00000000-0005-0000-0000-00007D700000}"/>
    <cellStyle name="Normal 4 3 5 2 2 3 2 2" xfId="34404" xr:uid="{00000000-0005-0000-0000-00007E700000}"/>
    <cellStyle name="Normal 4 3 5 2 2 3 3" xfId="20636" xr:uid="{00000000-0005-0000-0000-00007F700000}"/>
    <cellStyle name="Normal 4 3 5 2 2 3 3 2" xfId="40556" xr:uid="{00000000-0005-0000-0000-000080700000}"/>
    <cellStyle name="Normal 4 3 5 2 2 3 4" xfId="28251" xr:uid="{00000000-0005-0000-0000-000081700000}"/>
    <cellStyle name="Normal 4 3 5 2 2 4" xfId="11418" xr:uid="{00000000-0005-0000-0000-000082700000}"/>
    <cellStyle name="Normal 4 3 5 2 2 4 2" xfId="31338" xr:uid="{00000000-0005-0000-0000-000083700000}"/>
    <cellStyle name="Normal 4 3 5 2 2 5" xfId="17570" xr:uid="{00000000-0005-0000-0000-000084700000}"/>
    <cellStyle name="Normal 4 3 5 2 2 5 2" xfId="37490" xr:uid="{00000000-0005-0000-0000-000085700000}"/>
    <cellStyle name="Normal 4 3 5 2 2 6" xfId="25185" xr:uid="{00000000-0005-0000-0000-000086700000}"/>
    <cellStyle name="Normal 4 3 5 2 3" xfId="5956" xr:uid="{00000000-0005-0000-0000-000087700000}"/>
    <cellStyle name="Normal 4 3 5 2 3 2" xfId="9056" xr:uid="{00000000-0005-0000-0000-000088700000}"/>
    <cellStyle name="Normal 4 3 5 2 3 2 2" xfId="15249" xr:uid="{00000000-0005-0000-0000-000089700000}"/>
    <cellStyle name="Normal 4 3 5 2 3 2 2 2" xfId="35169" xr:uid="{00000000-0005-0000-0000-00008A700000}"/>
    <cellStyle name="Normal 4 3 5 2 3 2 3" xfId="21401" xr:uid="{00000000-0005-0000-0000-00008B700000}"/>
    <cellStyle name="Normal 4 3 5 2 3 2 3 2" xfId="41321" xr:uid="{00000000-0005-0000-0000-00008C700000}"/>
    <cellStyle name="Normal 4 3 5 2 3 2 4" xfId="29016" xr:uid="{00000000-0005-0000-0000-00008D700000}"/>
    <cellStyle name="Normal 4 3 5 2 3 3" xfId="12183" xr:uid="{00000000-0005-0000-0000-00008E700000}"/>
    <cellStyle name="Normal 4 3 5 2 3 3 2" xfId="32103" xr:uid="{00000000-0005-0000-0000-00008F700000}"/>
    <cellStyle name="Normal 4 3 5 2 3 4" xfId="18335" xr:uid="{00000000-0005-0000-0000-000090700000}"/>
    <cellStyle name="Normal 4 3 5 2 3 4 2" xfId="38255" xr:uid="{00000000-0005-0000-0000-000091700000}"/>
    <cellStyle name="Normal 4 3 5 2 3 5" xfId="25950" xr:uid="{00000000-0005-0000-0000-000092700000}"/>
    <cellStyle name="Normal 4 3 5 2 4" xfId="7521" xr:uid="{00000000-0005-0000-0000-000093700000}"/>
    <cellStyle name="Normal 4 3 5 2 4 2" xfId="13715" xr:uid="{00000000-0005-0000-0000-000094700000}"/>
    <cellStyle name="Normal 4 3 5 2 4 2 2" xfId="33635" xr:uid="{00000000-0005-0000-0000-000095700000}"/>
    <cellStyle name="Normal 4 3 5 2 4 3" xfId="19867" xr:uid="{00000000-0005-0000-0000-000096700000}"/>
    <cellStyle name="Normal 4 3 5 2 4 3 2" xfId="39787" xr:uid="{00000000-0005-0000-0000-000097700000}"/>
    <cellStyle name="Normal 4 3 5 2 4 4" xfId="27482" xr:uid="{00000000-0005-0000-0000-000098700000}"/>
    <cellStyle name="Normal 4 3 5 2 5" xfId="10649" xr:uid="{00000000-0005-0000-0000-000099700000}"/>
    <cellStyle name="Normal 4 3 5 2 5 2" xfId="30569" xr:uid="{00000000-0005-0000-0000-00009A700000}"/>
    <cellStyle name="Normal 4 3 5 2 6" xfId="16801" xr:uid="{00000000-0005-0000-0000-00009B700000}"/>
    <cellStyle name="Normal 4 3 5 2 6 2" xfId="36721" xr:uid="{00000000-0005-0000-0000-00009C700000}"/>
    <cellStyle name="Normal 4 3 5 2 7" xfId="24416" xr:uid="{00000000-0005-0000-0000-00009D700000}"/>
    <cellStyle name="Normal 4 3 5 3" xfId="5113" xr:uid="{00000000-0005-0000-0000-00009E700000}"/>
    <cellStyle name="Normal 4 3 5 3 2" xfId="6738" xr:uid="{00000000-0005-0000-0000-00009F700000}"/>
    <cellStyle name="Normal 4 3 5 3 2 2" xfId="9824" xr:uid="{00000000-0005-0000-0000-0000A0700000}"/>
    <cellStyle name="Normal 4 3 5 3 2 2 2" xfId="16017" xr:uid="{00000000-0005-0000-0000-0000A1700000}"/>
    <cellStyle name="Normal 4 3 5 3 2 2 2 2" xfId="35937" xr:uid="{00000000-0005-0000-0000-0000A2700000}"/>
    <cellStyle name="Normal 4 3 5 3 2 2 3" xfId="22169" xr:uid="{00000000-0005-0000-0000-0000A3700000}"/>
    <cellStyle name="Normal 4 3 5 3 2 2 3 2" xfId="42089" xr:uid="{00000000-0005-0000-0000-0000A4700000}"/>
    <cellStyle name="Normal 4 3 5 3 2 2 4" xfId="29784" xr:uid="{00000000-0005-0000-0000-0000A5700000}"/>
    <cellStyle name="Normal 4 3 5 3 2 3" xfId="12951" xr:uid="{00000000-0005-0000-0000-0000A6700000}"/>
    <cellStyle name="Normal 4 3 5 3 2 3 2" xfId="32871" xr:uid="{00000000-0005-0000-0000-0000A7700000}"/>
    <cellStyle name="Normal 4 3 5 3 2 4" xfId="19103" xr:uid="{00000000-0005-0000-0000-0000A8700000}"/>
    <cellStyle name="Normal 4 3 5 3 2 4 2" xfId="39023" xr:uid="{00000000-0005-0000-0000-0000A9700000}"/>
    <cellStyle name="Normal 4 3 5 3 2 5" xfId="26718" xr:uid="{00000000-0005-0000-0000-0000AA700000}"/>
    <cellStyle name="Normal 4 3 5 3 3" xfId="8289" xr:uid="{00000000-0005-0000-0000-0000AB700000}"/>
    <cellStyle name="Normal 4 3 5 3 3 2" xfId="14483" xr:uid="{00000000-0005-0000-0000-0000AC700000}"/>
    <cellStyle name="Normal 4 3 5 3 3 2 2" xfId="34403" xr:uid="{00000000-0005-0000-0000-0000AD700000}"/>
    <cellStyle name="Normal 4 3 5 3 3 3" xfId="20635" xr:uid="{00000000-0005-0000-0000-0000AE700000}"/>
    <cellStyle name="Normal 4 3 5 3 3 3 2" xfId="40555" xr:uid="{00000000-0005-0000-0000-0000AF700000}"/>
    <cellStyle name="Normal 4 3 5 3 3 4" xfId="28250" xr:uid="{00000000-0005-0000-0000-0000B0700000}"/>
    <cellStyle name="Normal 4 3 5 3 4" xfId="11417" xr:uid="{00000000-0005-0000-0000-0000B1700000}"/>
    <cellStyle name="Normal 4 3 5 3 4 2" xfId="31337" xr:uid="{00000000-0005-0000-0000-0000B2700000}"/>
    <cellStyle name="Normal 4 3 5 3 5" xfId="17569" xr:uid="{00000000-0005-0000-0000-0000B3700000}"/>
    <cellStyle name="Normal 4 3 5 3 5 2" xfId="37489" xr:uid="{00000000-0005-0000-0000-0000B4700000}"/>
    <cellStyle name="Normal 4 3 5 3 6" xfId="25184" xr:uid="{00000000-0005-0000-0000-0000B5700000}"/>
    <cellStyle name="Normal 4 3 5 4" xfId="5955" xr:uid="{00000000-0005-0000-0000-0000B6700000}"/>
    <cellStyle name="Normal 4 3 5 4 2" xfId="9055" xr:uid="{00000000-0005-0000-0000-0000B7700000}"/>
    <cellStyle name="Normal 4 3 5 4 2 2" xfId="15248" xr:uid="{00000000-0005-0000-0000-0000B8700000}"/>
    <cellStyle name="Normal 4 3 5 4 2 2 2" xfId="35168" xr:uid="{00000000-0005-0000-0000-0000B9700000}"/>
    <cellStyle name="Normal 4 3 5 4 2 3" xfId="21400" xr:uid="{00000000-0005-0000-0000-0000BA700000}"/>
    <cellStyle name="Normal 4 3 5 4 2 3 2" xfId="41320" xr:uid="{00000000-0005-0000-0000-0000BB700000}"/>
    <cellStyle name="Normal 4 3 5 4 2 4" xfId="29015" xr:uid="{00000000-0005-0000-0000-0000BC700000}"/>
    <cellStyle name="Normal 4 3 5 4 3" xfId="12182" xr:uid="{00000000-0005-0000-0000-0000BD700000}"/>
    <cellStyle name="Normal 4 3 5 4 3 2" xfId="32102" xr:uid="{00000000-0005-0000-0000-0000BE700000}"/>
    <cellStyle name="Normal 4 3 5 4 4" xfId="18334" xr:uid="{00000000-0005-0000-0000-0000BF700000}"/>
    <cellStyle name="Normal 4 3 5 4 4 2" xfId="38254" xr:uid="{00000000-0005-0000-0000-0000C0700000}"/>
    <cellStyle name="Normal 4 3 5 4 5" xfId="25949" xr:uid="{00000000-0005-0000-0000-0000C1700000}"/>
    <cellStyle name="Normal 4 3 5 5" xfId="7520" xr:uid="{00000000-0005-0000-0000-0000C2700000}"/>
    <cellStyle name="Normal 4 3 5 5 2" xfId="13714" xr:uid="{00000000-0005-0000-0000-0000C3700000}"/>
    <cellStyle name="Normal 4 3 5 5 2 2" xfId="33634" xr:uid="{00000000-0005-0000-0000-0000C4700000}"/>
    <cellStyle name="Normal 4 3 5 5 3" xfId="19866" xr:uid="{00000000-0005-0000-0000-0000C5700000}"/>
    <cellStyle name="Normal 4 3 5 5 3 2" xfId="39786" xr:uid="{00000000-0005-0000-0000-0000C6700000}"/>
    <cellStyle name="Normal 4 3 5 5 4" xfId="27481" xr:uid="{00000000-0005-0000-0000-0000C7700000}"/>
    <cellStyle name="Normal 4 3 5 6" xfId="10648" xr:uid="{00000000-0005-0000-0000-0000C8700000}"/>
    <cellStyle name="Normal 4 3 5 6 2" xfId="30568" xr:uid="{00000000-0005-0000-0000-0000C9700000}"/>
    <cellStyle name="Normal 4 3 5 7" xfId="16800" xr:uid="{00000000-0005-0000-0000-0000CA700000}"/>
    <cellStyle name="Normal 4 3 5 7 2" xfId="36720" xr:uid="{00000000-0005-0000-0000-0000CB700000}"/>
    <cellStyle name="Normal 4 3 5 8" xfId="24415" xr:uid="{00000000-0005-0000-0000-0000CC700000}"/>
    <cellStyle name="Normal 4 3 6" xfId="3878" xr:uid="{00000000-0005-0000-0000-0000CD700000}"/>
    <cellStyle name="Normal 4 3 6 2" xfId="5115" xr:uid="{00000000-0005-0000-0000-0000CE700000}"/>
    <cellStyle name="Normal 4 3 6 2 2" xfId="6740" xr:uid="{00000000-0005-0000-0000-0000CF700000}"/>
    <cellStyle name="Normal 4 3 6 2 2 2" xfId="9826" xr:uid="{00000000-0005-0000-0000-0000D0700000}"/>
    <cellStyle name="Normal 4 3 6 2 2 2 2" xfId="16019" xr:uid="{00000000-0005-0000-0000-0000D1700000}"/>
    <cellStyle name="Normal 4 3 6 2 2 2 2 2" xfId="35939" xr:uid="{00000000-0005-0000-0000-0000D2700000}"/>
    <cellStyle name="Normal 4 3 6 2 2 2 3" xfId="22171" xr:uid="{00000000-0005-0000-0000-0000D3700000}"/>
    <cellStyle name="Normal 4 3 6 2 2 2 3 2" xfId="42091" xr:uid="{00000000-0005-0000-0000-0000D4700000}"/>
    <cellStyle name="Normal 4 3 6 2 2 2 4" xfId="29786" xr:uid="{00000000-0005-0000-0000-0000D5700000}"/>
    <cellStyle name="Normal 4 3 6 2 2 3" xfId="12953" xr:uid="{00000000-0005-0000-0000-0000D6700000}"/>
    <cellStyle name="Normal 4 3 6 2 2 3 2" xfId="32873" xr:uid="{00000000-0005-0000-0000-0000D7700000}"/>
    <cellStyle name="Normal 4 3 6 2 2 4" xfId="19105" xr:uid="{00000000-0005-0000-0000-0000D8700000}"/>
    <cellStyle name="Normal 4 3 6 2 2 4 2" xfId="39025" xr:uid="{00000000-0005-0000-0000-0000D9700000}"/>
    <cellStyle name="Normal 4 3 6 2 2 5" xfId="26720" xr:uid="{00000000-0005-0000-0000-0000DA700000}"/>
    <cellStyle name="Normal 4 3 6 2 3" xfId="8291" xr:uid="{00000000-0005-0000-0000-0000DB700000}"/>
    <cellStyle name="Normal 4 3 6 2 3 2" xfId="14485" xr:uid="{00000000-0005-0000-0000-0000DC700000}"/>
    <cellStyle name="Normal 4 3 6 2 3 2 2" xfId="34405" xr:uid="{00000000-0005-0000-0000-0000DD700000}"/>
    <cellStyle name="Normal 4 3 6 2 3 3" xfId="20637" xr:uid="{00000000-0005-0000-0000-0000DE700000}"/>
    <cellStyle name="Normal 4 3 6 2 3 3 2" xfId="40557" xr:uid="{00000000-0005-0000-0000-0000DF700000}"/>
    <cellStyle name="Normal 4 3 6 2 3 4" xfId="28252" xr:uid="{00000000-0005-0000-0000-0000E0700000}"/>
    <cellStyle name="Normal 4 3 6 2 4" xfId="11419" xr:uid="{00000000-0005-0000-0000-0000E1700000}"/>
    <cellStyle name="Normal 4 3 6 2 4 2" xfId="31339" xr:uid="{00000000-0005-0000-0000-0000E2700000}"/>
    <cellStyle name="Normal 4 3 6 2 5" xfId="17571" xr:uid="{00000000-0005-0000-0000-0000E3700000}"/>
    <cellStyle name="Normal 4 3 6 2 5 2" xfId="37491" xr:uid="{00000000-0005-0000-0000-0000E4700000}"/>
    <cellStyle name="Normal 4 3 6 2 6" xfId="25186" xr:uid="{00000000-0005-0000-0000-0000E5700000}"/>
    <cellStyle name="Normal 4 3 6 3" xfId="5957" xr:uid="{00000000-0005-0000-0000-0000E6700000}"/>
    <cellStyle name="Normal 4 3 6 3 2" xfId="9057" xr:uid="{00000000-0005-0000-0000-0000E7700000}"/>
    <cellStyle name="Normal 4 3 6 3 2 2" xfId="15250" xr:uid="{00000000-0005-0000-0000-0000E8700000}"/>
    <cellStyle name="Normal 4 3 6 3 2 2 2" xfId="35170" xr:uid="{00000000-0005-0000-0000-0000E9700000}"/>
    <cellStyle name="Normal 4 3 6 3 2 3" xfId="21402" xr:uid="{00000000-0005-0000-0000-0000EA700000}"/>
    <cellStyle name="Normal 4 3 6 3 2 3 2" xfId="41322" xr:uid="{00000000-0005-0000-0000-0000EB700000}"/>
    <cellStyle name="Normal 4 3 6 3 2 4" xfId="29017" xr:uid="{00000000-0005-0000-0000-0000EC700000}"/>
    <cellStyle name="Normal 4 3 6 3 3" xfId="12184" xr:uid="{00000000-0005-0000-0000-0000ED700000}"/>
    <cellStyle name="Normal 4 3 6 3 3 2" xfId="32104" xr:uid="{00000000-0005-0000-0000-0000EE700000}"/>
    <cellStyle name="Normal 4 3 6 3 4" xfId="18336" xr:uid="{00000000-0005-0000-0000-0000EF700000}"/>
    <cellStyle name="Normal 4 3 6 3 4 2" xfId="38256" xr:uid="{00000000-0005-0000-0000-0000F0700000}"/>
    <cellStyle name="Normal 4 3 6 3 5" xfId="25951" xr:uid="{00000000-0005-0000-0000-0000F1700000}"/>
    <cellStyle name="Normal 4 3 6 4" xfId="7522" xr:uid="{00000000-0005-0000-0000-0000F2700000}"/>
    <cellStyle name="Normal 4 3 6 4 2" xfId="13716" xr:uid="{00000000-0005-0000-0000-0000F3700000}"/>
    <cellStyle name="Normal 4 3 6 4 2 2" xfId="33636" xr:uid="{00000000-0005-0000-0000-0000F4700000}"/>
    <cellStyle name="Normal 4 3 6 4 3" xfId="19868" xr:uid="{00000000-0005-0000-0000-0000F5700000}"/>
    <cellStyle name="Normal 4 3 6 4 3 2" xfId="39788" xr:uid="{00000000-0005-0000-0000-0000F6700000}"/>
    <cellStyle name="Normal 4 3 6 4 4" xfId="27483" xr:uid="{00000000-0005-0000-0000-0000F7700000}"/>
    <cellStyle name="Normal 4 3 6 5" xfId="10650" xr:uid="{00000000-0005-0000-0000-0000F8700000}"/>
    <cellStyle name="Normal 4 3 6 5 2" xfId="30570" xr:uid="{00000000-0005-0000-0000-0000F9700000}"/>
    <cellStyle name="Normal 4 3 6 6" xfId="16802" xr:uid="{00000000-0005-0000-0000-0000FA700000}"/>
    <cellStyle name="Normal 4 3 6 6 2" xfId="36722" xr:uid="{00000000-0005-0000-0000-0000FB700000}"/>
    <cellStyle name="Normal 4 3 6 7" xfId="24417" xr:uid="{00000000-0005-0000-0000-0000FC700000}"/>
    <cellStyle name="Normal 4 3 7" xfId="5092" xr:uid="{00000000-0005-0000-0000-0000FD700000}"/>
    <cellStyle name="Normal 4 3 7 2" xfId="6717" xr:uid="{00000000-0005-0000-0000-0000FE700000}"/>
    <cellStyle name="Normal 4 3 7 2 2" xfId="9803" xr:uid="{00000000-0005-0000-0000-0000FF700000}"/>
    <cellStyle name="Normal 4 3 7 2 2 2" xfId="15996" xr:uid="{00000000-0005-0000-0000-000000710000}"/>
    <cellStyle name="Normal 4 3 7 2 2 2 2" xfId="35916" xr:uid="{00000000-0005-0000-0000-000001710000}"/>
    <cellStyle name="Normal 4 3 7 2 2 3" xfId="22148" xr:uid="{00000000-0005-0000-0000-000002710000}"/>
    <cellStyle name="Normal 4 3 7 2 2 3 2" xfId="42068" xr:uid="{00000000-0005-0000-0000-000003710000}"/>
    <cellStyle name="Normal 4 3 7 2 2 4" xfId="29763" xr:uid="{00000000-0005-0000-0000-000004710000}"/>
    <cellStyle name="Normal 4 3 7 2 3" xfId="12930" xr:uid="{00000000-0005-0000-0000-000005710000}"/>
    <cellStyle name="Normal 4 3 7 2 3 2" xfId="32850" xr:uid="{00000000-0005-0000-0000-000006710000}"/>
    <cellStyle name="Normal 4 3 7 2 4" xfId="19082" xr:uid="{00000000-0005-0000-0000-000007710000}"/>
    <cellStyle name="Normal 4 3 7 2 4 2" xfId="39002" xr:uid="{00000000-0005-0000-0000-000008710000}"/>
    <cellStyle name="Normal 4 3 7 2 5" xfId="26697" xr:uid="{00000000-0005-0000-0000-000009710000}"/>
    <cellStyle name="Normal 4 3 7 3" xfId="8268" xr:uid="{00000000-0005-0000-0000-00000A710000}"/>
    <cellStyle name="Normal 4 3 7 3 2" xfId="14462" xr:uid="{00000000-0005-0000-0000-00000B710000}"/>
    <cellStyle name="Normal 4 3 7 3 2 2" xfId="34382" xr:uid="{00000000-0005-0000-0000-00000C710000}"/>
    <cellStyle name="Normal 4 3 7 3 3" xfId="20614" xr:uid="{00000000-0005-0000-0000-00000D710000}"/>
    <cellStyle name="Normal 4 3 7 3 3 2" xfId="40534" xr:uid="{00000000-0005-0000-0000-00000E710000}"/>
    <cellStyle name="Normal 4 3 7 3 4" xfId="28229" xr:uid="{00000000-0005-0000-0000-00000F710000}"/>
    <cellStyle name="Normal 4 3 7 4" xfId="11396" xr:uid="{00000000-0005-0000-0000-000010710000}"/>
    <cellStyle name="Normal 4 3 7 4 2" xfId="31316" xr:uid="{00000000-0005-0000-0000-000011710000}"/>
    <cellStyle name="Normal 4 3 7 5" xfId="17548" xr:uid="{00000000-0005-0000-0000-000012710000}"/>
    <cellStyle name="Normal 4 3 7 5 2" xfId="37468" xr:uid="{00000000-0005-0000-0000-000013710000}"/>
    <cellStyle name="Normal 4 3 7 6" xfId="25163" xr:uid="{00000000-0005-0000-0000-000014710000}"/>
    <cellStyle name="Normal 4 3 8" xfId="5934" xr:uid="{00000000-0005-0000-0000-000015710000}"/>
    <cellStyle name="Normal 4 3 8 2" xfId="9034" xr:uid="{00000000-0005-0000-0000-000016710000}"/>
    <cellStyle name="Normal 4 3 8 2 2" xfId="15227" xr:uid="{00000000-0005-0000-0000-000017710000}"/>
    <cellStyle name="Normal 4 3 8 2 2 2" xfId="35147" xr:uid="{00000000-0005-0000-0000-000018710000}"/>
    <cellStyle name="Normal 4 3 8 2 3" xfId="21379" xr:uid="{00000000-0005-0000-0000-000019710000}"/>
    <cellStyle name="Normal 4 3 8 2 3 2" xfId="41299" xr:uid="{00000000-0005-0000-0000-00001A710000}"/>
    <cellStyle name="Normal 4 3 8 2 4" xfId="28994" xr:uid="{00000000-0005-0000-0000-00001B710000}"/>
    <cellStyle name="Normal 4 3 8 3" xfId="12161" xr:uid="{00000000-0005-0000-0000-00001C710000}"/>
    <cellStyle name="Normal 4 3 8 3 2" xfId="32081" xr:uid="{00000000-0005-0000-0000-00001D710000}"/>
    <cellStyle name="Normal 4 3 8 4" xfId="18313" xr:uid="{00000000-0005-0000-0000-00001E710000}"/>
    <cellStyle name="Normal 4 3 8 4 2" xfId="38233" xr:uid="{00000000-0005-0000-0000-00001F710000}"/>
    <cellStyle name="Normal 4 3 8 5" xfId="25928" xr:uid="{00000000-0005-0000-0000-000020710000}"/>
    <cellStyle name="Normal 4 3 9" xfId="7499" xr:uid="{00000000-0005-0000-0000-000021710000}"/>
    <cellStyle name="Normal 4 3 9 2" xfId="13693" xr:uid="{00000000-0005-0000-0000-000022710000}"/>
    <cellStyle name="Normal 4 3 9 2 2" xfId="33613" xr:uid="{00000000-0005-0000-0000-000023710000}"/>
    <cellStyle name="Normal 4 3 9 3" xfId="19845" xr:uid="{00000000-0005-0000-0000-000024710000}"/>
    <cellStyle name="Normal 4 3 9 3 2" xfId="39765" xr:uid="{00000000-0005-0000-0000-000025710000}"/>
    <cellStyle name="Normal 4 3 9 4" xfId="27460" xr:uid="{00000000-0005-0000-0000-000026710000}"/>
    <cellStyle name="Normal 4 30" xfId="1040" xr:uid="{00000000-0005-0000-0000-000027710000}"/>
    <cellStyle name="Normal 4 4" xfId="139" xr:uid="{00000000-0005-0000-0000-000028710000}"/>
    <cellStyle name="Normal 4 4 2" xfId="3880" xr:uid="{00000000-0005-0000-0000-000029710000}"/>
    <cellStyle name="Normal 4 4 2 2" xfId="5117" xr:uid="{00000000-0005-0000-0000-00002A710000}"/>
    <cellStyle name="Normal 4 4 2 2 2" xfId="6742" xr:uid="{00000000-0005-0000-0000-00002B710000}"/>
    <cellStyle name="Normal 4 4 2 2 2 2" xfId="9828" xr:uid="{00000000-0005-0000-0000-00002C710000}"/>
    <cellStyle name="Normal 4 4 2 2 2 2 2" xfId="16021" xr:uid="{00000000-0005-0000-0000-00002D710000}"/>
    <cellStyle name="Normal 4 4 2 2 2 2 2 2" xfId="35941" xr:uid="{00000000-0005-0000-0000-00002E710000}"/>
    <cellStyle name="Normal 4 4 2 2 2 2 3" xfId="22173" xr:uid="{00000000-0005-0000-0000-00002F710000}"/>
    <cellStyle name="Normal 4 4 2 2 2 2 3 2" xfId="42093" xr:uid="{00000000-0005-0000-0000-000030710000}"/>
    <cellStyle name="Normal 4 4 2 2 2 2 4" xfId="29788" xr:uid="{00000000-0005-0000-0000-000031710000}"/>
    <cellStyle name="Normal 4 4 2 2 2 3" xfId="12955" xr:uid="{00000000-0005-0000-0000-000032710000}"/>
    <cellStyle name="Normal 4 4 2 2 2 3 2" xfId="32875" xr:uid="{00000000-0005-0000-0000-000033710000}"/>
    <cellStyle name="Normal 4 4 2 2 2 4" xfId="19107" xr:uid="{00000000-0005-0000-0000-000034710000}"/>
    <cellStyle name="Normal 4 4 2 2 2 4 2" xfId="39027" xr:uid="{00000000-0005-0000-0000-000035710000}"/>
    <cellStyle name="Normal 4 4 2 2 2 5" xfId="26722" xr:uid="{00000000-0005-0000-0000-000036710000}"/>
    <cellStyle name="Normal 4 4 2 2 3" xfId="8293" xr:uid="{00000000-0005-0000-0000-000037710000}"/>
    <cellStyle name="Normal 4 4 2 2 3 2" xfId="14487" xr:uid="{00000000-0005-0000-0000-000038710000}"/>
    <cellStyle name="Normal 4 4 2 2 3 2 2" xfId="34407" xr:uid="{00000000-0005-0000-0000-000039710000}"/>
    <cellStyle name="Normal 4 4 2 2 3 3" xfId="20639" xr:uid="{00000000-0005-0000-0000-00003A710000}"/>
    <cellStyle name="Normal 4 4 2 2 3 3 2" xfId="40559" xr:uid="{00000000-0005-0000-0000-00003B710000}"/>
    <cellStyle name="Normal 4 4 2 2 3 4" xfId="28254" xr:uid="{00000000-0005-0000-0000-00003C710000}"/>
    <cellStyle name="Normal 4 4 2 2 4" xfId="11421" xr:uid="{00000000-0005-0000-0000-00003D710000}"/>
    <cellStyle name="Normal 4 4 2 2 4 2" xfId="31341" xr:uid="{00000000-0005-0000-0000-00003E710000}"/>
    <cellStyle name="Normal 4 4 2 2 5" xfId="17573" xr:uid="{00000000-0005-0000-0000-00003F710000}"/>
    <cellStyle name="Normal 4 4 2 2 5 2" xfId="37493" xr:uid="{00000000-0005-0000-0000-000040710000}"/>
    <cellStyle name="Normal 4 4 2 2 6" xfId="25188" xr:uid="{00000000-0005-0000-0000-000041710000}"/>
    <cellStyle name="Normal 4 4 2 3" xfId="5959" xr:uid="{00000000-0005-0000-0000-000042710000}"/>
    <cellStyle name="Normal 4 4 2 3 2" xfId="9059" xr:uid="{00000000-0005-0000-0000-000043710000}"/>
    <cellStyle name="Normal 4 4 2 3 2 2" xfId="15252" xr:uid="{00000000-0005-0000-0000-000044710000}"/>
    <cellStyle name="Normal 4 4 2 3 2 2 2" xfId="35172" xr:uid="{00000000-0005-0000-0000-000045710000}"/>
    <cellStyle name="Normal 4 4 2 3 2 3" xfId="21404" xr:uid="{00000000-0005-0000-0000-000046710000}"/>
    <cellStyle name="Normal 4 4 2 3 2 3 2" xfId="41324" xr:uid="{00000000-0005-0000-0000-000047710000}"/>
    <cellStyle name="Normal 4 4 2 3 2 4" xfId="29019" xr:uid="{00000000-0005-0000-0000-000048710000}"/>
    <cellStyle name="Normal 4 4 2 3 3" xfId="12186" xr:uid="{00000000-0005-0000-0000-000049710000}"/>
    <cellStyle name="Normal 4 4 2 3 3 2" xfId="32106" xr:uid="{00000000-0005-0000-0000-00004A710000}"/>
    <cellStyle name="Normal 4 4 2 3 4" xfId="18338" xr:uid="{00000000-0005-0000-0000-00004B710000}"/>
    <cellStyle name="Normal 4 4 2 3 4 2" xfId="38258" xr:uid="{00000000-0005-0000-0000-00004C710000}"/>
    <cellStyle name="Normal 4 4 2 3 5" xfId="25953" xr:uid="{00000000-0005-0000-0000-00004D710000}"/>
    <cellStyle name="Normal 4 4 2 4" xfId="7524" xr:uid="{00000000-0005-0000-0000-00004E710000}"/>
    <cellStyle name="Normal 4 4 2 4 2" xfId="13718" xr:uid="{00000000-0005-0000-0000-00004F710000}"/>
    <cellStyle name="Normal 4 4 2 4 2 2" xfId="33638" xr:uid="{00000000-0005-0000-0000-000050710000}"/>
    <cellStyle name="Normal 4 4 2 4 3" xfId="19870" xr:uid="{00000000-0005-0000-0000-000051710000}"/>
    <cellStyle name="Normal 4 4 2 4 3 2" xfId="39790" xr:uid="{00000000-0005-0000-0000-000052710000}"/>
    <cellStyle name="Normal 4 4 2 4 4" xfId="27485" xr:uid="{00000000-0005-0000-0000-000053710000}"/>
    <cellStyle name="Normal 4 4 2 5" xfId="10652" xr:uid="{00000000-0005-0000-0000-000054710000}"/>
    <cellStyle name="Normal 4 4 2 5 2" xfId="30572" xr:uid="{00000000-0005-0000-0000-000055710000}"/>
    <cellStyle name="Normal 4 4 2 6" xfId="16804" xr:uid="{00000000-0005-0000-0000-000056710000}"/>
    <cellStyle name="Normal 4 4 2 6 2" xfId="36724" xr:uid="{00000000-0005-0000-0000-000057710000}"/>
    <cellStyle name="Normal 4 4 2 7" xfId="24419" xr:uid="{00000000-0005-0000-0000-000058710000}"/>
    <cellStyle name="Normal 4 4 3" xfId="3881" xr:uid="{00000000-0005-0000-0000-000059710000}"/>
    <cellStyle name="Normal 4 4 4" xfId="5116" xr:uid="{00000000-0005-0000-0000-00005A710000}"/>
    <cellStyle name="Normal 4 4 4 2" xfId="6741" xr:uid="{00000000-0005-0000-0000-00005B710000}"/>
    <cellStyle name="Normal 4 4 4 2 2" xfId="9827" xr:uid="{00000000-0005-0000-0000-00005C710000}"/>
    <cellStyle name="Normal 4 4 4 2 2 2" xfId="16020" xr:uid="{00000000-0005-0000-0000-00005D710000}"/>
    <cellStyle name="Normal 4 4 4 2 2 2 2" xfId="35940" xr:uid="{00000000-0005-0000-0000-00005E710000}"/>
    <cellStyle name="Normal 4 4 4 2 2 3" xfId="22172" xr:uid="{00000000-0005-0000-0000-00005F710000}"/>
    <cellStyle name="Normal 4 4 4 2 2 3 2" xfId="42092" xr:uid="{00000000-0005-0000-0000-000060710000}"/>
    <cellStyle name="Normal 4 4 4 2 2 4" xfId="29787" xr:uid="{00000000-0005-0000-0000-000061710000}"/>
    <cellStyle name="Normal 4 4 4 2 3" xfId="12954" xr:uid="{00000000-0005-0000-0000-000062710000}"/>
    <cellStyle name="Normal 4 4 4 2 3 2" xfId="32874" xr:uid="{00000000-0005-0000-0000-000063710000}"/>
    <cellStyle name="Normal 4 4 4 2 4" xfId="19106" xr:uid="{00000000-0005-0000-0000-000064710000}"/>
    <cellStyle name="Normal 4 4 4 2 4 2" xfId="39026" xr:uid="{00000000-0005-0000-0000-000065710000}"/>
    <cellStyle name="Normal 4 4 4 2 5" xfId="26721" xr:uid="{00000000-0005-0000-0000-000066710000}"/>
    <cellStyle name="Normal 4 4 4 3" xfId="8292" xr:uid="{00000000-0005-0000-0000-000067710000}"/>
    <cellStyle name="Normal 4 4 4 3 2" xfId="14486" xr:uid="{00000000-0005-0000-0000-000068710000}"/>
    <cellStyle name="Normal 4 4 4 3 2 2" xfId="34406" xr:uid="{00000000-0005-0000-0000-000069710000}"/>
    <cellStyle name="Normal 4 4 4 3 3" xfId="20638" xr:uid="{00000000-0005-0000-0000-00006A710000}"/>
    <cellStyle name="Normal 4 4 4 3 3 2" xfId="40558" xr:uid="{00000000-0005-0000-0000-00006B710000}"/>
    <cellStyle name="Normal 4 4 4 3 4" xfId="28253" xr:uid="{00000000-0005-0000-0000-00006C710000}"/>
    <cellStyle name="Normal 4 4 4 4" xfId="11420" xr:uid="{00000000-0005-0000-0000-00006D710000}"/>
    <cellStyle name="Normal 4 4 4 4 2" xfId="31340" xr:uid="{00000000-0005-0000-0000-00006E710000}"/>
    <cellStyle name="Normal 4 4 4 5" xfId="17572" xr:uid="{00000000-0005-0000-0000-00006F710000}"/>
    <cellStyle name="Normal 4 4 4 5 2" xfId="37492" xr:uid="{00000000-0005-0000-0000-000070710000}"/>
    <cellStyle name="Normal 4 4 4 6" xfId="25187" xr:uid="{00000000-0005-0000-0000-000071710000}"/>
    <cellStyle name="Normal 4 4 5" xfId="5958" xr:uid="{00000000-0005-0000-0000-000072710000}"/>
    <cellStyle name="Normal 4 4 5 2" xfId="9058" xr:uid="{00000000-0005-0000-0000-000073710000}"/>
    <cellStyle name="Normal 4 4 5 2 2" xfId="15251" xr:uid="{00000000-0005-0000-0000-000074710000}"/>
    <cellStyle name="Normal 4 4 5 2 2 2" xfId="35171" xr:uid="{00000000-0005-0000-0000-000075710000}"/>
    <cellStyle name="Normal 4 4 5 2 3" xfId="21403" xr:uid="{00000000-0005-0000-0000-000076710000}"/>
    <cellStyle name="Normal 4 4 5 2 3 2" xfId="41323" xr:uid="{00000000-0005-0000-0000-000077710000}"/>
    <cellStyle name="Normal 4 4 5 2 4" xfId="29018" xr:uid="{00000000-0005-0000-0000-000078710000}"/>
    <cellStyle name="Normal 4 4 5 3" xfId="12185" xr:uid="{00000000-0005-0000-0000-000079710000}"/>
    <cellStyle name="Normal 4 4 5 3 2" xfId="32105" xr:uid="{00000000-0005-0000-0000-00007A710000}"/>
    <cellStyle name="Normal 4 4 5 4" xfId="18337" xr:uid="{00000000-0005-0000-0000-00007B710000}"/>
    <cellStyle name="Normal 4 4 5 4 2" xfId="38257" xr:uid="{00000000-0005-0000-0000-00007C710000}"/>
    <cellStyle name="Normal 4 4 5 5" xfId="25952" xr:uid="{00000000-0005-0000-0000-00007D710000}"/>
    <cellStyle name="Normal 4 4 6" xfId="7523" xr:uid="{00000000-0005-0000-0000-00007E710000}"/>
    <cellStyle name="Normal 4 4 6 2" xfId="13717" xr:uid="{00000000-0005-0000-0000-00007F710000}"/>
    <cellStyle name="Normal 4 4 6 2 2" xfId="33637" xr:uid="{00000000-0005-0000-0000-000080710000}"/>
    <cellStyle name="Normal 4 4 6 3" xfId="19869" xr:uid="{00000000-0005-0000-0000-000081710000}"/>
    <cellStyle name="Normal 4 4 6 3 2" xfId="39789" xr:uid="{00000000-0005-0000-0000-000082710000}"/>
    <cellStyle name="Normal 4 4 6 4" xfId="27484" xr:uid="{00000000-0005-0000-0000-000083710000}"/>
    <cellStyle name="Normal 4 4 7" xfId="10651" xr:uid="{00000000-0005-0000-0000-000084710000}"/>
    <cellStyle name="Normal 4 4 7 2" xfId="30571" xr:uid="{00000000-0005-0000-0000-000085710000}"/>
    <cellStyle name="Normal 4 4 8" xfId="16803" xr:uid="{00000000-0005-0000-0000-000086710000}"/>
    <cellStyle name="Normal 4 4 8 2" xfId="36723" xr:uid="{00000000-0005-0000-0000-000087710000}"/>
    <cellStyle name="Normal 4 4 9" xfId="3879" xr:uid="{00000000-0005-0000-0000-000088710000}"/>
    <cellStyle name="Normal 4 4 9 2" xfId="24418" xr:uid="{00000000-0005-0000-0000-000089710000}"/>
    <cellStyle name="Normal 4 5" xfId="164" xr:uid="{00000000-0005-0000-0000-00008A710000}"/>
    <cellStyle name="Normal 4 5 2" xfId="5118" xr:uid="{00000000-0005-0000-0000-00008B710000}"/>
    <cellStyle name="Normal 4 5 2 2" xfId="6743" xr:uid="{00000000-0005-0000-0000-00008C710000}"/>
    <cellStyle name="Normal 4 5 2 2 2" xfId="9829" xr:uid="{00000000-0005-0000-0000-00008D710000}"/>
    <cellStyle name="Normal 4 5 2 2 2 2" xfId="16022" xr:uid="{00000000-0005-0000-0000-00008E710000}"/>
    <cellStyle name="Normal 4 5 2 2 2 2 2" xfId="35942" xr:uid="{00000000-0005-0000-0000-00008F710000}"/>
    <cellStyle name="Normal 4 5 2 2 2 3" xfId="22174" xr:uid="{00000000-0005-0000-0000-000090710000}"/>
    <cellStyle name="Normal 4 5 2 2 2 3 2" xfId="42094" xr:uid="{00000000-0005-0000-0000-000091710000}"/>
    <cellStyle name="Normal 4 5 2 2 2 4" xfId="29789" xr:uid="{00000000-0005-0000-0000-000092710000}"/>
    <cellStyle name="Normal 4 5 2 2 3" xfId="12956" xr:uid="{00000000-0005-0000-0000-000093710000}"/>
    <cellStyle name="Normal 4 5 2 2 3 2" xfId="32876" xr:uid="{00000000-0005-0000-0000-000094710000}"/>
    <cellStyle name="Normal 4 5 2 2 4" xfId="19108" xr:uid="{00000000-0005-0000-0000-000095710000}"/>
    <cellStyle name="Normal 4 5 2 2 4 2" xfId="39028" xr:uid="{00000000-0005-0000-0000-000096710000}"/>
    <cellStyle name="Normal 4 5 2 2 5" xfId="26723" xr:uid="{00000000-0005-0000-0000-000097710000}"/>
    <cellStyle name="Normal 4 5 2 3" xfId="8294" xr:uid="{00000000-0005-0000-0000-000098710000}"/>
    <cellStyle name="Normal 4 5 2 3 2" xfId="14488" xr:uid="{00000000-0005-0000-0000-000099710000}"/>
    <cellStyle name="Normal 4 5 2 3 2 2" xfId="34408" xr:uid="{00000000-0005-0000-0000-00009A710000}"/>
    <cellStyle name="Normal 4 5 2 3 3" xfId="20640" xr:uid="{00000000-0005-0000-0000-00009B710000}"/>
    <cellStyle name="Normal 4 5 2 3 3 2" xfId="40560" xr:uid="{00000000-0005-0000-0000-00009C710000}"/>
    <cellStyle name="Normal 4 5 2 3 4" xfId="28255" xr:uid="{00000000-0005-0000-0000-00009D710000}"/>
    <cellStyle name="Normal 4 5 2 4" xfId="11422" xr:uid="{00000000-0005-0000-0000-00009E710000}"/>
    <cellStyle name="Normal 4 5 2 4 2" xfId="31342" xr:uid="{00000000-0005-0000-0000-00009F710000}"/>
    <cellStyle name="Normal 4 5 2 5" xfId="17574" xr:uid="{00000000-0005-0000-0000-0000A0710000}"/>
    <cellStyle name="Normal 4 5 2 5 2" xfId="37494" xr:uid="{00000000-0005-0000-0000-0000A1710000}"/>
    <cellStyle name="Normal 4 5 2 6" xfId="25189" xr:uid="{00000000-0005-0000-0000-0000A2710000}"/>
    <cellStyle name="Normal 4 5 3" xfId="5960" xr:uid="{00000000-0005-0000-0000-0000A3710000}"/>
    <cellStyle name="Normal 4 5 3 2" xfId="9060" xr:uid="{00000000-0005-0000-0000-0000A4710000}"/>
    <cellStyle name="Normal 4 5 3 2 2" xfId="15253" xr:uid="{00000000-0005-0000-0000-0000A5710000}"/>
    <cellStyle name="Normal 4 5 3 2 2 2" xfId="35173" xr:uid="{00000000-0005-0000-0000-0000A6710000}"/>
    <cellStyle name="Normal 4 5 3 2 3" xfId="21405" xr:uid="{00000000-0005-0000-0000-0000A7710000}"/>
    <cellStyle name="Normal 4 5 3 2 3 2" xfId="41325" xr:uid="{00000000-0005-0000-0000-0000A8710000}"/>
    <cellStyle name="Normal 4 5 3 2 4" xfId="29020" xr:uid="{00000000-0005-0000-0000-0000A9710000}"/>
    <cellStyle name="Normal 4 5 3 3" xfId="12187" xr:uid="{00000000-0005-0000-0000-0000AA710000}"/>
    <cellStyle name="Normal 4 5 3 3 2" xfId="32107" xr:uid="{00000000-0005-0000-0000-0000AB710000}"/>
    <cellStyle name="Normal 4 5 3 4" xfId="18339" xr:uid="{00000000-0005-0000-0000-0000AC710000}"/>
    <cellStyle name="Normal 4 5 3 4 2" xfId="38259" xr:uid="{00000000-0005-0000-0000-0000AD710000}"/>
    <cellStyle name="Normal 4 5 3 5" xfId="25954" xr:uid="{00000000-0005-0000-0000-0000AE710000}"/>
    <cellStyle name="Normal 4 5 4" xfId="7525" xr:uid="{00000000-0005-0000-0000-0000AF710000}"/>
    <cellStyle name="Normal 4 5 4 2" xfId="13719" xr:uid="{00000000-0005-0000-0000-0000B0710000}"/>
    <cellStyle name="Normal 4 5 4 2 2" xfId="33639" xr:uid="{00000000-0005-0000-0000-0000B1710000}"/>
    <cellStyle name="Normal 4 5 4 3" xfId="19871" xr:uid="{00000000-0005-0000-0000-0000B2710000}"/>
    <cellStyle name="Normal 4 5 4 3 2" xfId="39791" xr:uid="{00000000-0005-0000-0000-0000B3710000}"/>
    <cellStyle name="Normal 4 5 4 4" xfId="27486" xr:uid="{00000000-0005-0000-0000-0000B4710000}"/>
    <cellStyle name="Normal 4 5 5" xfId="10653" xr:uid="{00000000-0005-0000-0000-0000B5710000}"/>
    <cellStyle name="Normal 4 5 5 2" xfId="30573" xr:uid="{00000000-0005-0000-0000-0000B6710000}"/>
    <cellStyle name="Normal 4 5 6" xfId="16805" xr:uid="{00000000-0005-0000-0000-0000B7710000}"/>
    <cellStyle name="Normal 4 5 6 2" xfId="36725" xr:uid="{00000000-0005-0000-0000-0000B8710000}"/>
    <cellStyle name="Normal 4 5 7" xfId="3882" xr:uid="{00000000-0005-0000-0000-0000B9710000}"/>
    <cellStyle name="Normal 4 5 7 2" xfId="24420" xr:uid="{00000000-0005-0000-0000-0000BA710000}"/>
    <cellStyle name="Normal 4 6" xfId="190" xr:uid="{00000000-0005-0000-0000-0000BB710000}"/>
    <cellStyle name="Normal 4 6 2" xfId="5119" xr:uid="{00000000-0005-0000-0000-0000BC710000}"/>
    <cellStyle name="Normal 4 6 2 2" xfId="6744" xr:uid="{00000000-0005-0000-0000-0000BD710000}"/>
    <cellStyle name="Normal 4 6 2 2 2" xfId="9830" xr:uid="{00000000-0005-0000-0000-0000BE710000}"/>
    <cellStyle name="Normal 4 6 2 2 2 2" xfId="16023" xr:uid="{00000000-0005-0000-0000-0000BF710000}"/>
    <cellStyle name="Normal 4 6 2 2 2 2 2" xfId="35943" xr:uid="{00000000-0005-0000-0000-0000C0710000}"/>
    <cellStyle name="Normal 4 6 2 2 2 3" xfId="22175" xr:uid="{00000000-0005-0000-0000-0000C1710000}"/>
    <cellStyle name="Normal 4 6 2 2 2 3 2" xfId="42095" xr:uid="{00000000-0005-0000-0000-0000C2710000}"/>
    <cellStyle name="Normal 4 6 2 2 2 4" xfId="29790" xr:uid="{00000000-0005-0000-0000-0000C3710000}"/>
    <cellStyle name="Normal 4 6 2 2 3" xfId="12957" xr:uid="{00000000-0005-0000-0000-0000C4710000}"/>
    <cellStyle name="Normal 4 6 2 2 3 2" xfId="32877" xr:uid="{00000000-0005-0000-0000-0000C5710000}"/>
    <cellStyle name="Normal 4 6 2 2 4" xfId="19109" xr:uid="{00000000-0005-0000-0000-0000C6710000}"/>
    <cellStyle name="Normal 4 6 2 2 4 2" xfId="39029" xr:uid="{00000000-0005-0000-0000-0000C7710000}"/>
    <cellStyle name="Normal 4 6 2 2 5" xfId="26724" xr:uid="{00000000-0005-0000-0000-0000C8710000}"/>
    <cellStyle name="Normal 4 6 2 3" xfId="8295" xr:uid="{00000000-0005-0000-0000-0000C9710000}"/>
    <cellStyle name="Normal 4 6 2 3 2" xfId="14489" xr:uid="{00000000-0005-0000-0000-0000CA710000}"/>
    <cellStyle name="Normal 4 6 2 3 2 2" xfId="34409" xr:uid="{00000000-0005-0000-0000-0000CB710000}"/>
    <cellStyle name="Normal 4 6 2 3 3" xfId="20641" xr:uid="{00000000-0005-0000-0000-0000CC710000}"/>
    <cellStyle name="Normal 4 6 2 3 3 2" xfId="40561" xr:uid="{00000000-0005-0000-0000-0000CD710000}"/>
    <cellStyle name="Normal 4 6 2 3 4" xfId="28256" xr:uid="{00000000-0005-0000-0000-0000CE710000}"/>
    <cellStyle name="Normal 4 6 2 4" xfId="11423" xr:uid="{00000000-0005-0000-0000-0000CF710000}"/>
    <cellStyle name="Normal 4 6 2 4 2" xfId="31343" xr:uid="{00000000-0005-0000-0000-0000D0710000}"/>
    <cellStyle name="Normal 4 6 2 5" xfId="17575" xr:uid="{00000000-0005-0000-0000-0000D1710000}"/>
    <cellStyle name="Normal 4 6 2 5 2" xfId="37495" xr:uid="{00000000-0005-0000-0000-0000D2710000}"/>
    <cellStyle name="Normal 4 6 2 6" xfId="25190" xr:uid="{00000000-0005-0000-0000-0000D3710000}"/>
    <cellStyle name="Normal 4 6 3" xfId="5961" xr:uid="{00000000-0005-0000-0000-0000D4710000}"/>
    <cellStyle name="Normal 4 6 3 2" xfId="9061" xr:uid="{00000000-0005-0000-0000-0000D5710000}"/>
    <cellStyle name="Normal 4 6 3 2 2" xfId="15254" xr:uid="{00000000-0005-0000-0000-0000D6710000}"/>
    <cellStyle name="Normal 4 6 3 2 2 2" xfId="35174" xr:uid="{00000000-0005-0000-0000-0000D7710000}"/>
    <cellStyle name="Normal 4 6 3 2 3" xfId="21406" xr:uid="{00000000-0005-0000-0000-0000D8710000}"/>
    <cellStyle name="Normal 4 6 3 2 3 2" xfId="41326" xr:uid="{00000000-0005-0000-0000-0000D9710000}"/>
    <cellStyle name="Normal 4 6 3 2 4" xfId="29021" xr:uid="{00000000-0005-0000-0000-0000DA710000}"/>
    <cellStyle name="Normal 4 6 3 3" xfId="12188" xr:uid="{00000000-0005-0000-0000-0000DB710000}"/>
    <cellStyle name="Normal 4 6 3 3 2" xfId="32108" xr:uid="{00000000-0005-0000-0000-0000DC710000}"/>
    <cellStyle name="Normal 4 6 3 4" xfId="18340" xr:uid="{00000000-0005-0000-0000-0000DD710000}"/>
    <cellStyle name="Normal 4 6 3 4 2" xfId="38260" xr:uid="{00000000-0005-0000-0000-0000DE710000}"/>
    <cellStyle name="Normal 4 6 3 5" xfId="25955" xr:uid="{00000000-0005-0000-0000-0000DF710000}"/>
    <cellStyle name="Normal 4 6 4" xfId="7526" xr:uid="{00000000-0005-0000-0000-0000E0710000}"/>
    <cellStyle name="Normal 4 6 4 2" xfId="13720" xr:uid="{00000000-0005-0000-0000-0000E1710000}"/>
    <cellStyle name="Normal 4 6 4 2 2" xfId="33640" xr:uid="{00000000-0005-0000-0000-0000E2710000}"/>
    <cellStyle name="Normal 4 6 4 3" xfId="19872" xr:uid="{00000000-0005-0000-0000-0000E3710000}"/>
    <cellStyle name="Normal 4 6 4 3 2" xfId="39792" xr:uid="{00000000-0005-0000-0000-0000E4710000}"/>
    <cellStyle name="Normal 4 6 4 4" xfId="27487" xr:uid="{00000000-0005-0000-0000-0000E5710000}"/>
    <cellStyle name="Normal 4 6 5" xfId="10654" xr:uid="{00000000-0005-0000-0000-0000E6710000}"/>
    <cellStyle name="Normal 4 6 5 2" xfId="30574" xr:uid="{00000000-0005-0000-0000-0000E7710000}"/>
    <cellStyle name="Normal 4 6 6" xfId="16806" xr:uid="{00000000-0005-0000-0000-0000E8710000}"/>
    <cellStyle name="Normal 4 6 6 2" xfId="36726" xr:uid="{00000000-0005-0000-0000-0000E9710000}"/>
    <cellStyle name="Normal 4 6 7" xfId="3883" xr:uid="{00000000-0005-0000-0000-0000EA710000}"/>
    <cellStyle name="Normal 4 6 7 2" xfId="24421" xr:uid="{00000000-0005-0000-0000-0000EB710000}"/>
    <cellStyle name="Normal 4 7" xfId="193" xr:uid="{00000000-0005-0000-0000-0000EC710000}"/>
    <cellStyle name="Normal 4 7 2" xfId="5120" xr:uid="{00000000-0005-0000-0000-0000ED710000}"/>
    <cellStyle name="Normal 4 7 2 2" xfId="6745" xr:uid="{00000000-0005-0000-0000-0000EE710000}"/>
    <cellStyle name="Normal 4 7 2 2 2" xfId="9831" xr:uid="{00000000-0005-0000-0000-0000EF710000}"/>
    <cellStyle name="Normal 4 7 2 2 2 2" xfId="16024" xr:uid="{00000000-0005-0000-0000-0000F0710000}"/>
    <cellStyle name="Normal 4 7 2 2 2 2 2" xfId="35944" xr:uid="{00000000-0005-0000-0000-0000F1710000}"/>
    <cellStyle name="Normal 4 7 2 2 2 3" xfId="22176" xr:uid="{00000000-0005-0000-0000-0000F2710000}"/>
    <cellStyle name="Normal 4 7 2 2 2 3 2" xfId="42096" xr:uid="{00000000-0005-0000-0000-0000F3710000}"/>
    <cellStyle name="Normal 4 7 2 2 2 4" xfId="29791" xr:uid="{00000000-0005-0000-0000-0000F4710000}"/>
    <cellStyle name="Normal 4 7 2 2 3" xfId="12958" xr:uid="{00000000-0005-0000-0000-0000F5710000}"/>
    <cellStyle name="Normal 4 7 2 2 3 2" xfId="32878" xr:uid="{00000000-0005-0000-0000-0000F6710000}"/>
    <cellStyle name="Normal 4 7 2 2 4" xfId="19110" xr:uid="{00000000-0005-0000-0000-0000F7710000}"/>
    <cellStyle name="Normal 4 7 2 2 4 2" xfId="39030" xr:uid="{00000000-0005-0000-0000-0000F8710000}"/>
    <cellStyle name="Normal 4 7 2 2 5" xfId="26725" xr:uid="{00000000-0005-0000-0000-0000F9710000}"/>
    <cellStyle name="Normal 4 7 2 3" xfId="8296" xr:uid="{00000000-0005-0000-0000-0000FA710000}"/>
    <cellStyle name="Normal 4 7 2 3 2" xfId="14490" xr:uid="{00000000-0005-0000-0000-0000FB710000}"/>
    <cellStyle name="Normal 4 7 2 3 2 2" xfId="34410" xr:uid="{00000000-0005-0000-0000-0000FC710000}"/>
    <cellStyle name="Normal 4 7 2 3 3" xfId="20642" xr:uid="{00000000-0005-0000-0000-0000FD710000}"/>
    <cellStyle name="Normal 4 7 2 3 3 2" xfId="40562" xr:uid="{00000000-0005-0000-0000-0000FE710000}"/>
    <cellStyle name="Normal 4 7 2 3 4" xfId="28257" xr:uid="{00000000-0005-0000-0000-0000FF710000}"/>
    <cellStyle name="Normal 4 7 2 4" xfId="11424" xr:uid="{00000000-0005-0000-0000-000000720000}"/>
    <cellStyle name="Normal 4 7 2 4 2" xfId="31344" xr:uid="{00000000-0005-0000-0000-000001720000}"/>
    <cellStyle name="Normal 4 7 2 5" xfId="17576" xr:uid="{00000000-0005-0000-0000-000002720000}"/>
    <cellStyle name="Normal 4 7 2 5 2" xfId="37496" xr:uid="{00000000-0005-0000-0000-000003720000}"/>
    <cellStyle name="Normal 4 7 2 6" xfId="25191" xr:uid="{00000000-0005-0000-0000-000004720000}"/>
    <cellStyle name="Normal 4 7 3" xfId="5962" xr:uid="{00000000-0005-0000-0000-000005720000}"/>
    <cellStyle name="Normal 4 7 3 2" xfId="9062" xr:uid="{00000000-0005-0000-0000-000006720000}"/>
    <cellStyle name="Normal 4 7 3 2 2" xfId="15255" xr:uid="{00000000-0005-0000-0000-000007720000}"/>
    <cellStyle name="Normal 4 7 3 2 2 2" xfId="35175" xr:uid="{00000000-0005-0000-0000-000008720000}"/>
    <cellStyle name="Normal 4 7 3 2 3" xfId="21407" xr:uid="{00000000-0005-0000-0000-000009720000}"/>
    <cellStyle name="Normal 4 7 3 2 3 2" xfId="41327" xr:uid="{00000000-0005-0000-0000-00000A720000}"/>
    <cellStyle name="Normal 4 7 3 2 4" xfId="29022" xr:uid="{00000000-0005-0000-0000-00000B720000}"/>
    <cellStyle name="Normal 4 7 3 3" xfId="12189" xr:uid="{00000000-0005-0000-0000-00000C720000}"/>
    <cellStyle name="Normal 4 7 3 3 2" xfId="32109" xr:uid="{00000000-0005-0000-0000-00000D720000}"/>
    <cellStyle name="Normal 4 7 3 4" xfId="18341" xr:uid="{00000000-0005-0000-0000-00000E720000}"/>
    <cellStyle name="Normal 4 7 3 4 2" xfId="38261" xr:uid="{00000000-0005-0000-0000-00000F720000}"/>
    <cellStyle name="Normal 4 7 3 5" xfId="25956" xr:uid="{00000000-0005-0000-0000-000010720000}"/>
    <cellStyle name="Normal 4 7 4" xfId="7527" xr:uid="{00000000-0005-0000-0000-000011720000}"/>
    <cellStyle name="Normal 4 7 4 2" xfId="13721" xr:uid="{00000000-0005-0000-0000-000012720000}"/>
    <cellStyle name="Normal 4 7 4 2 2" xfId="33641" xr:uid="{00000000-0005-0000-0000-000013720000}"/>
    <cellStyle name="Normal 4 7 4 3" xfId="19873" xr:uid="{00000000-0005-0000-0000-000014720000}"/>
    <cellStyle name="Normal 4 7 4 3 2" xfId="39793" xr:uid="{00000000-0005-0000-0000-000015720000}"/>
    <cellStyle name="Normal 4 7 4 4" xfId="27488" xr:uid="{00000000-0005-0000-0000-000016720000}"/>
    <cellStyle name="Normal 4 7 5" xfId="10655" xr:uid="{00000000-0005-0000-0000-000017720000}"/>
    <cellStyle name="Normal 4 7 5 2" xfId="30575" xr:uid="{00000000-0005-0000-0000-000018720000}"/>
    <cellStyle name="Normal 4 7 6" xfId="16807" xr:uid="{00000000-0005-0000-0000-000019720000}"/>
    <cellStyle name="Normal 4 7 6 2" xfId="36727" xr:uid="{00000000-0005-0000-0000-00001A720000}"/>
    <cellStyle name="Normal 4 7 7" xfId="3884" xr:uid="{00000000-0005-0000-0000-00001B720000}"/>
    <cellStyle name="Normal 4 7 7 2" xfId="24422" xr:uid="{00000000-0005-0000-0000-00001C720000}"/>
    <cellStyle name="Normal 4 8" xfId="220" xr:uid="{00000000-0005-0000-0000-00001D720000}"/>
    <cellStyle name="Normal 4 8 2" xfId="5121" xr:uid="{00000000-0005-0000-0000-00001E720000}"/>
    <cellStyle name="Normal 4 8 2 2" xfId="6746" xr:uid="{00000000-0005-0000-0000-00001F720000}"/>
    <cellStyle name="Normal 4 8 2 2 2" xfId="9832" xr:uid="{00000000-0005-0000-0000-000020720000}"/>
    <cellStyle name="Normal 4 8 2 2 2 2" xfId="16025" xr:uid="{00000000-0005-0000-0000-000021720000}"/>
    <cellStyle name="Normal 4 8 2 2 2 2 2" xfId="35945" xr:uid="{00000000-0005-0000-0000-000022720000}"/>
    <cellStyle name="Normal 4 8 2 2 2 3" xfId="22177" xr:uid="{00000000-0005-0000-0000-000023720000}"/>
    <cellStyle name="Normal 4 8 2 2 2 3 2" xfId="42097" xr:uid="{00000000-0005-0000-0000-000024720000}"/>
    <cellStyle name="Normal 4 8 2 2 2 4" xfId="29792" xr:uid="{00000000-0005-0000-0000-000025720000}"/>
    <cellStyle name="Normal 4 8 2 2 3" xfId="12959" xr:uid="{00000000-0005-0000-0000-000026720000}"/>
    <cellStyle name="Normal 4 8 2 2 3 2" xfId="32879" xr:uid="{00000000-0005-0000-0000-000027720000}"/>
    <cellStyle name="Normal 4 8 2 2 4" xfId="19111" xr:uid="{00000000-0005-0000-0000-000028720000}"/>
    <cellStyle name="Normal 4 8 2 2 4 2" xfId="39031" xr:uid="{00000000-0005-0000-0000-000029720000}"/>
    <cellStyle name="Normal 4 8 2 2 5" xfId="26726" xr:uid="{00000000-0005-0000-0000-00002A720000}"/>
    <cellStyle name="Normal 4 8 2 3" xfId="8297" xr:uid="{00000000-0005-0000-0000-00002B720000}"/>
    <cellStyle name="Normal 4 8 2 3 2" xfId="14491" xr:uid="{00000000-0005-0000-0000-00002C720000}"/>
    <cellStyle name="Normal 4 8 2 3 2 2" xfId="34411" xr:uid="{00000000-0005-0000-0000-00002D720000}"/>
    <cellStyle name="Normal 4 8 2 3 3" xfId="20643" xr:uid="{00000000-0005-0000-0000-00002E720000}"/>
    <cellStyle name="Normal 4 8 2 3 3 2" xfId="40563" xr:uid="{00000000-0005-0000-0000-00002F720000}"/>
    <cellStyle name="Normal 4 8 2 3 4" xfId="28258" xr:uid="{00000000-0005-0000-0000-000030720000}"/>
    <cellStyle name="Normal 4 8 2 4" xfId="11425" xr:uid="{00000000-0005-0000-0000-000031720000}"/>
    <cellStyle name="Normal 4 8 2 4 2" xfId="31345" xr:uid="{00000000-0005-0000-0000-000032720000}"/>
    <cellStyle name="Normal 4 8 2 5" xfId="17577" xr:uid="{00000000-0005-0000-0000-000033720000}"/>
    <cellStyle name="Normal 4 8 2 5 2" xfId="37497" xr:uid="{00000000-0005-0000-0000-000034720000}"/>
    <cellStyle name="Normal 4 8 2 6" xfId="25192" xr:uid="{00000000-0005-0000-0000-000035720000}"/>
    <cellStyle name="Normal 4 8 3" xfId="5963" xr:uid="{00000000-0005-0000-0000-000036720000}"/>
    <cellStyle name="Normal 4 8 3 2" xfId="9063" xr:uid="{00000000-0005-0000-0000-000037720000}"/>
    <cellStyle name="Normal 4 8 3 2 2" xfId="15256" xr:uid="{00000000-0005-0000-0000-000038720000}"/>
    <cellStyle name="Normal 4 8 3 2 2 2" xfId="35176" xr:uid="{00000000-0005-0000-0000-000039720000}"/>
    <cellStyle name="Normal 4 8 3 2 3" xfId="21408" xr:uid="{00000000-0005-0000-0000-00003A720000}"/>
    <cellStyle name="Normal 4 8 3 2 3 2" xfId="41328" xr:uid="{00000000-0005-0000-0000-00003B720000}"/>
    <cellStyle name="Normal 4 8 3 2 4" xfId="29023" xr:uid="{00000000-0005-0000-0000-00003C720000}"/>
    <cellStyle name="Normal 4 8 3 3" xfId="12190" xr:uid="{00000000-0005-0000-0000-00003D720000}"/>
    <cellStyle name="Normal 4 8 3 3 2" xfId="32110" xr:uid="{00000000-0005-0000-0000-00003E720000}"/>
    <cellStyle name="Normal 4 8 3 4" xfId="18342" xr:uid="{00000000-0005-0000-0000-00003F720000}"/>
    <cellStyle name="Normal 4 8 3 4 2" xfId="38262" xr:uid="{00000000-0005-0000-0000-000040720000}"/>
    <cellStyle name="Normal 4 8 3 5" xfId="25957" xr:uid="{00000000-0005-0000-0000-000041720000}"/>
    <cellStyle name="Normal 4 8 4" xfId="7528" xr:uid="{00000000-0005-0000-0000-000042720000}"/>
    <cellStyle name="Normal 4 8 4 2" xfId="13722" xr:uid="{00000000-0005-0000-0000-000043720000}"/>
    <cellStyle name="Normal 4 8 4 2 2" xfId="33642" xr:uid="{00000000-0005-0000-0000-000044720000}"/>
    <cellStyle name="Normal 4 8 4 3" xfId="19874" xr:uid="{00000000-0005-0000-0000-000045720000}"/>
    <cellStyle name="Normal 4 8 4 3 2" xfId="39794" xr:uid="{00000000-0005-0000-0000-000046720000}"/>
    <cellStyle name="Normal 4 8 4 4" xfId="27489" xr:uid="{00000000-0005-0000-0000-000047720000}"/>
    <cellStyle name="Normal 4 8 5" xfId="10656" xr:uid="{00000000-0005-0000-0000-000048720000}"/>
    <cellStyle name="Normal 4 8 5 2" xfId="30576" xr:uid="{00000000-0005-0000-0000-000049720000}"/>
    <cellStyle name="Normal 4 8 6" xfId="16808" xr:uid="{00000000-0005-0000-0000-00004A720000}"/>
    <cellStyle name="Normal 4 8 6 2" xfId="36728" xr:uid="{00000000-0005-0000-0000-00004B720000}"/>
    <cellStyle name="Normal 4 8 7" xfId="3885" xr:uid="{00000000-0005-0000-0000-00004C720000}"/>
    <cellStyle name="Normal 4 8 7 2" xfId="24423" xr:uid="{00000000-0005-0000-0000-00004D720000}"/>
    <cellStyle name="Normal 4 9" xfId="239" xr:uid="{00000000-0005-0000-0000-00004E720000}"/>
    <cellStyle name="Normal 4 9 2" xfId="3886" xr:uid="{00000000-0005-0000-0000-00004F720000}"/>
    <cellStyle name="Normal 40" xfId="3887" xr:uid="{00000000-0005-0000-0000-000050720000}"/>
    <cellStyle name="Normal 40 2" xfId="3888" xr:uid="{00000000-0005-0000-0000-000051720000}"/>
    <cellStyle name="Normal 41" xfId="3889" xr:uid="{00000000-0005-0000-0000-000052720000}"/>
    <cellStyle name="Normal 41 2" xfId="3890" xr:uid="{00000000-0005-0000-0000-000053720000}"/>
    <cellStyle name="Normal 41 2 2" xfId="5122" xr:uid="{00000000-0005-0000-0000-000054720000}"/>
    <cellStyle name="Normal 41 2 2 2" xfId="6747" xr:uid="{00000000-0005-0000-0000-000055720000}"/>
    <cellStyle name="Normal 41 2 2 2 2" xfId="9833" xr:uid="{00000000-0005-0000-0000-000056720000}"/>
    <cellStyle name="Normal 41 2 2 2 2 2" xfId="16026" xr:uid="{00000000-0005-0000-0000-000057720000}"/>
    <cellStyle name="Normal 41 2 2 2 2 2 2" xfId="35946" xr:uid="{00000000-0005-0000-0000-000058720000}"/>
    <cellStyle name="Normal 41 2 2 2 2 3" xfId="22178" xr:uid="{00000000-0005-0000-0000-000059720000}"/>
    <cellStyle name="Normal 41 2 2 2 2 3 2" xfId="42098" xr:uid="{00000000-0005-0000-0000-00005A720000}"/>
    <cellStyle name="Normal 41 2 2 2 2 4" xfId="29793" xr:uid="{00000000-0005-0000-0000-00005B720000}"/>
    <cellStyle name="Normal 41 2 2 2 3" xfId="12960" xr:uid="{00000000-0005-0000-0000-00005C720000}"/>
    <cellStyle name="Normal 41 2 2 2 3 2" xfId="32880" xr:uid="{00000000-0005-0000-0000-00005D720000}"/>
    <cellStyle name="Normal 41 2 2 2 4" xfId="19112" xr:uid="{00000000-0005-0000-0000-00005E720000}"/>
    <cellStyle name="Normal 41 2 2 2 4 2" xfId="39032" xr:uid="{00000000-0005-0000-0000-00005F720000}"/>
    <cellStyle name="Normal 41 2 2 2 5" xfId="26727" xr:uid="{00000000-0005-0000-0000-000060720000}"/>
    <cellStyle name="Normal 41 2 2 3" xfId="8298" xr:uid="{00000000-0005-0000-0000-000061720000}"/>
    <cellStyle name="Normal 41 2 2 3 2" xfId="14492" xr:uid="{00000000-0005-0000-0000-000062720000}"/>
    <cellStyle name="Normal 41 2 2 3 2 2" xfId="34412" xr:uid="{00000000-0005-0000-0000-000063720000}"/>
    <cellStyle name="Normal 41 2 2 3 3" xfId="20644" xr:uid="{00000000-0005-0000-0000-000064720000}"/>
    <cellStyle name="Normal 41 2 2 3 3 2" xfId="40564" xr:uid="{00000000-0005-0000-0000-000065720000}"/>
    <cellStyle name="Normal 41 2 2 3 4" xfId="28259" xr:uid="{00000000-0005-0000-0000-000066720000}"/>
    <cellStyle name="Normal 41 2 2 4" xfId="11426" xr:uid="{00000000-0005-0000-0000-000067720000}"/>
    <cellStyle name="Normal 41 2 2 4 2" xfId="31346" xr:uid="{00000000-0005-0000-0000-000068720000}"/>
    <cellStyle name="Normal 41 2 2 5" xfId="17578" xr:uid="{00000000-0005-0000-0000-000069720000}"/>
    <cellStyle name="Normal 41 2 2 5 2" xfId="37498" xr:uid="{00000000-0005-0000-0000-00006A720000}"/>
    <cellStyle name="Normal 41 2 2 6" xfId="25193" xr:uid="{00000000-0005-0000-0000-00006B720000}"/>
    <cellStyle name="Normal 41 2 3" xfId="5964" xr:uid="{00000000-0005-0000-0000-00006C720000}"/>
    <cellStyle name="Normal 41 2 3 2" xfId="9064" xr:uid="{00000000-0005-0000-0000-00006D720000}"/>
    <cellStyle name="Normal 41 2 3 2 2" xfId="15257" xr:uid="{00000000-0005-0000-0000-00006E720000}"/>
    <cellStyle name="Normal 41 2 3 2 2 2" xfId="35177" xr:uid="{00000000-0005-0000-0000-00006F720000}"/>
    <cellStyle name="Normal 41 2 3 2 3" xfId="21409" xr:uid="{00000000-0005-0000-0000-000070720000}"/>
    <cellStyle name="Normal 41 2 3 2 3 2" xfId="41329" xr:uid="{00000000-0005-0000-0000-000071720000}"/>
    <cellStyle name="Normal 41 2 3 2 4" xfId="29024" xr:uid="{00000000-0005-0000-0000-000072720000}"/>
    <cellStyle name="Normal 41 2 3 3" xfId="12191" xr:uid="{00000000-0005-0000-0000-000073720000}"/>
    <cellStyle name="Normal 41 2 3 3 2" xfId="32111" xr:uid="{00000000-0005-0000-0000-000074720000}"/>
    <cellStyle name="Normal 41 2 3 4" xfId="18343" xr:uid="{00000000-0005-0000-0000-000075720000}"/>
    <cellStyle name="Normal 41 2 3 4 2" xfId="38263" xr:uid="{00000000-0005-0000-0000-000076720000}"/>
    <cellStyle name="Normal 41 2 3 5" xfId="25958" xr:uid="{00000000-0005-0000-0000-000077720000}"/>
    <cellStyle name="Normal 41 2 4" xfId="7529" xr:uid="{00000000-0005-0000-0000-000078720000}"/>
    <cellStyle name="Normal 41 2 4 2" xfId="13723" xr:uid="{00000000-0005-0000-0000-000079720000}"/>
    <cellStyle name="Normal 41 2 4 2 2" xfId="33643" xr:uid="{00000000-0005-0000-0000-00007A720000}"/>
    <cellStyle name="Normal 41 2 4 3" xfId="19875" xr:uid="{00000000-0005-0000-0000-00007B720000}"/>
    <cellStyle name="Normal 41 2 4 3 2" xfId="39795" xr:uid="{00000000-0005-0000-0000-00007C720000}"/>
    <cellStyle name="Normal 41 2 4 4" xfId="27490" xr:uid="{00000000-0005-0000-0000-00007D720000}"/>
    <cellStyle name="Normal 41 2 5" xfId="10657" xr:uid="{00000000-0005-0000-0000-00007E720000}"/>
    <cellStyle name="Normal 41 2 5 2" xfId="30577" xr:uid="{00000000-0005-0000-0000-00007F720000}"/>
    <cellStyle name="Normal 41 2 6" xfId="16809" xr:uid="{00000000-0005-0000-0000-000080720000}"/>
    <cellStyle name="Normal 41 2 6 2" xfId="36729" xr:uid="{00000000-0005-0000-0000-000081720000}"/>
    <cellStyle name="Normal 41 2 7" xfId="24424" xr:uid="{00000000-0005-0000-0000-000082720000}"/>
    <cellStyle name="Normal 41 3" xfId="3891" xr:uid="{00000000-0005-0000-0000-000083720000}"/>
    <cellStyle name="Normal 41 3 2" xfId="3892" xr:uid="{00000000-0005-0000-0000-000084720000}"/>
    <cellStyle name="Normal 41 4" xfId="3893" xr:uid="{00000000-0005-0000-0000-000085720000}"/>
    <cellStyle name="Normal 42" xfId="3894" xr:uid="{00000000-0005-0000-0000-000086720000}"/>
    <cellStyle name="Normal 42 2" xfId="3895" xr:uid="{00000000-0005-0000-0000-000087720000}"/>
    <cellStyle name="Normal 43" xfId="3896" xr:uid="{00000000-0005-0000-0000-000088720000}"/>
    <cellStyle name="Normal 44" xfId="3897" xr:uid="{00000000-0005-0000-0000-000089720000}"/>
    <cellStyle name="Normal 44 2" xfId="3898" xr:uid="{00000000-0005-0000-0000-00008A720000}"/>
    <cellStyle name="Normal 45" xfId="3899" xr:uid="{00000000-0005-0000-0000-00008B720000}"/>
    <cellStyle name="Normal 46" xfId="3900" xr:uid="{00000000-0005-0000-0000-00008C720000}"/>
    <cellStyle name="Normal 46 2" xfId="5123" xr:uid="{00000000-0005-0000-0000-00008D720000}"/>
    <cellStyle name="Normal 46 2 2" xfId="6748" xr:uid="{00000000-0005-0000-0000-00008E720000}"/>
    <cellStyle name="Normal 46 2 2 2" xfId="9834" xr:uid="{00000000-0005-0000-0000-00008F720000}"/>
    <cellStyle name="Normal 46 2 2 2 2" xfId="16027" xr:uid="{00000000-0005-0000-0000-000090720000}"/>
    <cellStyle name="Normal 46 2 2 2 2 2" xfId="35947" xr:uid="{00000000-0005-0000-0000-000091720000}"/>
    <cellStyle name="Normal 46 2 2 2 3" xfId="22179" xr:uid="{00000000-0005-0000-0000-000092720000}"/>
    <cellStyle name="Normal 46 2 2 2 3 2" xfId="42099" xr:uid="{00000000-0005-0000-0000-000093720000}"/>
    <cellStyle name="Normal 46 2 2 2 4" xfId="29794" xr:uid="{00000000-0005-0000-0000-000094720000}"/>
    <cellStyle name="Normal 46 2 2 3" xfId="12961" xr:uid="{00000000-0005-0000-0000-000095720000}"/>
    <cellStyle name="Normal 46 2 2 3 2" xfId="32881" xr:uid="{00000000-0005-0000-0000-000096720000}"/>
    <cellStyle name="Normal 46 2 2 4" xfId="19113" xr:uid="{00000000-0005-0000-0000-000097720000}"/>
    <cellStyle name="Normal 46 2 2 4 2" xfId="39033" xr:uid="{00000000-0005-0000-0000-000098720000}"/>
    <cellStyle name="Normal 46 2 2 5" xfId="26728" xr:uid="{00000000-0005-0000-0000-000099720000}"/>
    <cellStyle name="Normal 46 2 3" xfId="8299" xr:uid="{00000000-0005-0000-0000-00009A720000}"/>
    <cellStyle name="Normal 46 2 3 2" xfId="14493" xr:uid="{00000000-0005-0000-0000-00009B720000}"/>
    <cellStyle name="Normal 46 2 3 2 2" xfId="34413" xr:uid="{00000000-0005-0000-0000-00009C720000}"/>
    <cellStyle name="Normal 46 2 3 3" xfId="20645" xr:uid="{00000000-0005-0000-0000-00009D720000}"/>
    <cellStyle name="Normal 46 2 3 3 2" xfId="40565" xr:uid="{00000000-0005-0000-0000-00009E720000}"/>
    <cellStyle name="Normal 46 2 3 4" xfId="28260" xr:uid="{00000000-0005-0000-0000-00009F720000}"/>
    <cellStyle name="Normal 46 2 4" xfId="11427" xr:uid="{00000000-0005-0000-0000-0000A0720000}"/>
    <cellStyle name="Normal 46 2 4 2" xfId="31347" xr:uid="{00000000-0005-0000-0000-0000A1720000}"/>
    <cellStyle name="Normal 46 2 5" xfId="17579" xr:uid="{00000000-0005-0000-0000-0000A2720000}"/>
    <cellStyle name="Normal 46 2 5 2" xfId="37499" xr:uid="{00000000-0005-0000-0000-0000A3720000}"/>
    <cellStyle name="Normal 46 2 6" xfId="25194" xr:uid="{00000000-0005-0000-0000-0000A4720000}"/>
    <cellStyle name="Normal 46 3" xfId="5965" xr:uid="{00000000-0005-0000-0000-0000A5720000}"/>
    <cellStyle name="Normal 46 3 2" xfId="9065" xr:uid="{00000000-0005-0000-0000-0000A6720000}"/>
    <cellStyle name="Normal 46 3 2 2" xfId="15258" xr:uid="{00000000-0005-0000-0000-0000A7720000}"/>
    <cellStyle name="Normal 46 3 2 2 2" xfId="35178" xr:uid="{00000000-0005-0000-0000-0000A8720000}"/>
    <cellStyle name="Normal 46 3 2 3" xfId="21410" xr:uid="{00000000-0005-0000-0000-0000A9720000}"/>
    <cellStyle name="Normal 46 3 2 3 2" xfId="41330" xr:uid="{00000000-0005-0000-0000-0000AA720000}"/>
    <cellStyle name="Normal 46 3 2 4" xfId="29025" xr:uid="{00000000-0005-0000-0000-0000AB720000}"/>
    <cellStyle name="Normal 46 3 3" xfId="12192" xr:uid="{00000000-0005-0000-0000-0000AC720000}"/>
    <cellStyle name="Normal 46 3 3 2" xfId="32112" xr:uid="{00000000-0005-0000-0000-0000AD720000}"/>
    <cellStyle name="Normal 46 3 4" xfId="18344" xr:uid="{00000000-0005-0000-0000-0000AE720000}"/>
    <cellStyle name="Normal 46 3 4 2" xfId="38264" xr:uid="{00000000-0005-0000-0000-0000AF720000}"/>
    <cellStyle name="Normal 46 3 5" xfId="25959" xr:uid="{00000000-0005-0000-0000-0000B0720000}"/>
    <cellStyle name="Normal 46 4" xfId="7530" xr:uid="{00000000-0005-0000-0000-0000B1720000}"/>
    <cellStyle name="Normal 46 4 2" xfId="13724" xr:uid="{00000000-0005-0000-0000-0000B2720000}"/>
    <cellStyle name="Normal 46 4 2 2" xfId="33644" xr:uid="{00000000-0005-0000-0000-0000B3720000}"/>
    <cellStyle name="Normal 46 4 3" xfId="19876" xr:uid="{00000000-0005-0000-0000-0000B4720000}"/>
    <cellStyle name="Normal 46 4 3 2" xfId="39796" xr:uid="{00000000-0005-0000-0000-0000B5720000}"/>
    <cellStyle name="Normal 46 4 4" xfId="27491" xr:uid="{00000000-0005-0000-0000-0000B6720000}"/>
    <cellStyle name="Normal 46 5" xfId="10658" xr:uid="{00000000-0005-0000-0000-0000B7720000}"/>
    <cellStyle name="Normal 46 5 2" xfId="30578" xr:uid="{00000000-0005-0000-0000-0000B8720000}"/>
    <cellStyle name="Normal 46 6" xfId="16810" xr:uid="{00000000-0005-0000-0000-0000B9720000}"/>
    <cellStyle name="Normal 46 6 2" xfId="36730" xr:uid="{00000000-0005-0000-0000-0000BA720000}"/>
    <cellStyle name="Normal 46 7" xfId="24425" xr:uid="{00000000-0005-0000-0000-0000BB720000}"/>
    <cellStyle name="Normal 47" xfId="3901" xr:uid="{00000000-0005-0000-0000-0000BC720000}"/>
    <cellStyle name="Normal 48" xfId="3902" xr:uid="{00000000-0005-0000-0000-0000BD720000}"/>
    <cellStyle name="Normal 49" xfId="1200" xr:uid="{00000000-0005-0000-0000-0000BE720000}"/>
    <cellStyle name="Normal 5" xfId="25" xr:uid="{00000000-0005-0000-0000-0000BF720000}"/>
    <cellStyle name="Normal 5 10" xfId="287" xr:uid="{00000000-0005-0000-0000-0000C0720000}"/>
    <cellStyle name="Normal 5 10 2" xfId="793" xr:uid="{00000000-0005-0000-0000-0000C1720000}"/>
    <cellStyle name="Normal 5 10 2 2" xfId="23675" xr:uid="{00000000-0005-0000-0000-0000C2720000}"/>
    <cellStyle name="Normal 5 10 3" xfId="3904" xr:uid="{00000000-0005-0000-0000-0000C3720000}"/>
    <cellStyle name="Normal 5 10 4" xfId="22541" xr:uid="{00000000-0005-0000-0000-0000C4720000}"/>
    <cellStyle name="Normal 5 10 4 2" xfId="42452" xr:uid="{00000000-0005-0000-0000-0000C5720000}"/>
    <cellStyle name="Normal 5 10 5" xfId="22758" xr:uid="{00000000-0005-0000-0000-0000C6720000}"/>
    <cellStyle name="Normal 5 10 5 2" xfId="42669" xr:uid="{00000000-0005-0000-0000-0000C7720000}"/>
    <cellStyle name="Normal 5 10 6" xfId="23061" xr:uid="{00000000-0005-0000-0000-0000C8720000}"/>
    <cellStyle name="Normal 5 10 6 2" xfId="42972" xr:uid="{00000000-0005-0000-0000-0000C9720000}"/>
    <cellStyle name="Normal 5 10 7" xfId="23372" xr:uid="{00000000-0005-0000-0000-0000CA720000}"/>
    <cellStyle name="Normal 5 11" xfId="299" xr:uid="{00000000-0005-0000-0000-0000CB720000}"/>
    <cellStyle name="Normal 5 11 2" xfId="796" xr:uid="{00000000-0005-0000-0000-0000CC720000}"/>
    <cellStyle name="Normal 5 11 2 2" xfId="23678" xr:uid="{00000000-0005-0000-0000-0000CD720000}"/>
    <cellStyle name="Normal 5 11 3" xfId="3905" xr:uid="{00000000-0005-0000-0000-0000CE720000}"/>
    <cellStyle name="Normal 5 11 4" xfId="22506" xr:uid="{00000000-0005-0000-0000-0000CF720000}"/>
    <cellStyle name="Normal 5 11 4 2" xfId="42417" xr:uid="{00000000-0005-0000-0000-0000D0720000}"/>
    <cellStyle name="Normal 5 11 5" xfId="22761" xr:uid="{00000000-0005-0000-0000-0000D1720000}"/>
    <cellStyle name="Normal 5 11 5 2" xfId="42672" xr:uid="{00000000-0005-0000-0000-0000D2720000}"/>
    <cellStyle name="Normal 5 11 6" xfId="23064" xr:uid="{00000000-0005-0000-0000-0000D3720000}"/>
    <cellStyle name="Normal 5 11 6 2" xfId="42975" xr:uid="{00000000-0005-0000-0000-0000D4720000}"/>
    <cellStyle name="Normal 5 11 7" xfId="23375" xr:uid="{00000000-0005-0000-0000-0000D5720000}"/>
    <cellStyle name="Normal 5 12" xfId="310" xr:uid="{00000000-0005-0000-0000-0000D6720000}"/>
    <cellStyle name="Normal 5 12 2" xfId="799" xr:uid="{00000000-0005-0000-0000-0000D7720000}"/>
    <cellStyle name="Normal 5 12 2 2" xfId="23681" xr:uid="{00000000-0005-0000-0000-0000D8720000}"/>
    <cellStyle name="Normal 5 12 3" xfId="3906" xr:uid="{00000000-0005-0000-0000-0000D9720000}"/>
    <cellStyle name="Normal 5 12 4" xfId="22677" xr:uid="{00000000-0005-0000-0000-0000DA720000}"/>
    <cellStyle name="Normal 5 12 4 2" xfId="42588" xr:uid="{00000000-0005-0000-0000-0000DB720000}"/>
    <cellStyle name="Normal 5 12 5" xfId="22764" xr:uid="{00000000-0005-0000-0000-0000DC720000}"/>
    <cellStyle name="Normal 5 12 5 2" xfId="42675" xr:uid="{00000000-0005-0000-0000-0000DD720000}"/>
    <cellStyle name="Normal 5 12 6" xfId="23067" xr:uid="{00000000-0005-0000-0000-0000DE720000}"/>
    <cellStyle name="Normal 5 12 6 2" xfId="42978" xr:uid="{00000000-0005-0000-0000-0000DF720000}"/>
    <cellStyle name="Normal 5 12 7" xfId="23378" xr:uid="{00000000-0005-0000-0000-0000E0720000}"/>
    <cellStyle name="Normal 5 13" xfId="318" xr:uid="{00000000-0005-0000-0000-0000E1720000}"/>
    <cellStyle name="Normal 5 13 2" xfId="802" xr:uid="{00000000-0005-0000-0000-0000E2720000}"/>
    <cellStyle name="Normal 5 13 2 2" xfId="23684" xr:uid="{00000000-0005-0000-0000-0000E3720000}"/>
    <cellStyle name="Normal 5 13 3" xfId="3907" xr:uid="{00000000-0005-0000-0000-0000E4720000}"/>
    <cellStyle name="Normal 5 13 4" xfId="22478" xr:uid="{00000000-0005-0000-0000-0000E5720000}"/>
    <cellStyle name="Normal 5 13 4 2" xfId="42389" xr:uid="{00000000-0005-0000-0000-0000E6720000}"/>
    <cellStyle name="Normal 5 13 5" xfId="22767" xr:uid="{00000000-0005-0000-0000-0000E7720000}"/>
    <cellStyle name="Normal 5 13 5 2" xfId="42678" xr:uid="{00000000-0005-0000-0000-0000E8720000}"/>
    <cellStyle name="Normal 5 13 6" xfId="23070" xr:uid="{00000000-0005-0000-0000-0000E9720000}"/>
    <cellStyle name="Normal 5 13 6 2" xfId="42981" xr:uid="{00000000-0005-0000-0000-0000EA720000}"/>
    <cellStyle name="Normal 5 13 7" xfId="23381" xr:uid="{00000000-0005-0000-0000-0000EB720000}"/>
    <cellStyle name="Normal 5 14" xfId="322" xr:uid="{00000000-0005-0000-0000-0000EC720000}"/>
    <cellStyle name="Normal 5 14 2" xfId="805" xr:uid="{00000000-0005-0000-0000-0000ED720000}"/>
    <cellStyle name="Normal 5 14 2 2" xfId="23687" xr:uid="{00000000-0005-0000-0000-0000EE720000}"/>
    <cellStyle name="Normal 5 14 3" xfId="3908" xr:uid="{00000000-0005-0000-0000-0000EF720000}"/>
    <cellStyle name="Normal 5 14 4" xfId="22626" xr:uid="{00000000-0005-0000-0000-0000F0720000}"/>
    <cellStyle name="Normal 5 14 4 2" xfId="42537" xr:uid="{00000000-0005-0000-0000-0000F1720000}"/>
    <cellStyle name="Normal 5 14 5" xfId="22770" xr:uid="{00000000-0005-0000-0000-0000F2720000}"/>
    <cellStyle name="Normal 5 14 5 2" xfId="42681" xr:uid="{00000000-0005-0000-0000-0000F3720000}"/>
    <cellStyle name="Normal 5 14 6" xfId="23073" xr:uid="{00000000-0005-0000-0000-0000F4720000}"/>
    <cellStyle name="Normal 5 14 6 2" xfId="42984" xr:uid="{00000000-0005-0000-0000-0000F5720000}"/>
    <cellStyle name="Normal 5 14 7" xfId="23384" xr:uid="{00000000-0005-0000-0000-0000F6720000}"/>
    <cellStyle name="Normal 5 15" xfId="325" xr:uid="{00000000-0005-0000-0000-0000F7720000}"/>
    <cellStyle name="Normal 5 15 2" xfId="808" xr:uid="{00000000-0005-0000-0000-0000F8720000}"/>
    <cellStyle name="Normal 5 15 2 2" xfId="23690" xr:uid="{00000000-0005-0000-0000-0000F9720000}"/>
    <cellStyle name="Normal 5 15 3" xfId="3909" xr:uid="{00000000-0005-0000-0000-0000FA720000}"/>
    <cellStyle name="Normal 5 15 4" xfId="22526" xr:uid="{00000000-0005-0000-0000-0000FB720000}"/>
    <cellStyle name="Normal 5 15 4 2" xfId="42437" xr:uid="{00000000-0005-0000-0000-0000FC720000}"/>
    <cellStyle name="Normal 5 15 5" xfId="22773" xr:uid="{00000000-0005-0000-0000-0000FD720000}"/>
    <cellStyle name="Normal 5 15 5 2" xfId="42684" xr:uid="{00000000-0005-0000-0000-0000FE720000}"/>
    <cellStyle name="Normal 5 15 6" xfId="23076" xr:uid="{00000000-0005-0000-0000-0000FF720000}"/>
    <cellStyle name="Normal 5 15 6 2" xfId="42987" xr:uid="{00000000-0005-0000-0000-000000730000}"/>
    <cellStyle name="Normal 5 15 7" xfId="23387" xr:uid="{00000000-0005-0000-0000-000001730000}"/>
    <cellStyle name="Normal 5 16" xfId="389" xr:uid="{00000000-0005-0000-0000-000002730000}"/>
    <cellStyle name="Normal 5 16 2" xfId="823" xr:uid="{00000000-0005-0000-0000-000003730000}"/>
    <cellStyle name="Normal 5 16 2 2" xfId="23705" xr:uid="{00000000-0005-0000-0000-000004730000}"/>
    <cellStyle name="Normal 5 16 3" xfId="3910" xr:uid="{00000000-0005-0000-0000-000005730000}"/>
    <cellStyle name="Normal 5 16 4" xfId="22553" xr:uid="{00000000-0005-0000-0000-000006730000}"/>
    <cellStyle name="Normal 5 16 4 2" xfId="42464" xr:uid="{00000000-0005-0000-0000-000007730000}"/>
    <cellStyle name="Normal 5 16 5" xfId="22788" xr:uid="{00000000-0005-0000-0000-000008730000}"/>
    <cellStyle name="Normal 5 16 5 2" xfId="42699" xr:uid="{00000000-0005-0000-0000-000009730000}"/>
    <cellStyle name="Normal 5 16 6" xfId="23091" xr:uid="{00000000-0005-0000-0000-00000A730000}"/>
    <cellStyle name="Normal 5 16 6 2" xfId="43002" xr:uid="{00000000-0005-0000-0000-00000B730000}"/>
    <cellStyle name="Normal 5 16 7" xfId="23402" xr:uid="{00000000-0005-0000-0000-00000C730000}"/>
    <cellStyle name="Normal 5 17" xfId="419" xr:uid="{00000000-0005-0000-0000-00000D730000}"/>
    <cellStyle name="Normal 5 17 2" xfId="839" xr:uid="{00000000-0005-0000-0000-00000E730000}"/>
    <cellStyle name="Normal 5 17 2 2" xfId="23721" xr:uid="{00000000-0005-0000-0000-00000F730000}"/>
    <cellStyle name="Normal 5 17 3" xfId="3911" xr:uid="{00000000-0005-0000-0000-000010730000}"/>
    <cellStyle name="Normal 5 17 4" xfId="22664" xr:uid="{00000000-0005-0000-0000-000011730000}"/>
    <cellStyle name="Normal 5 17 4 2" xfId="42575" xr:uid="{00000000-0005-0000-0000-000012730000}"/>
    <cellStyle name="Normal 5 17 5" xfId="22804" xr:uid="{00000000-0005-0000-0000-000013730000}"/>
    <cellStyle name="Normal 5 17 5 2" xfId="42715" xr:uid="{00000000-0005-0000-0000-000014730000}"/>
    <cellStyle name="Normal 5 17 6" xfId="23107" xr:uid="{00000000-0005-0000-0000-000015730000}"/>
    <cellStyle name="Normal 5 17 6 2" xfId="43018" xr:uid="{00000000-0005-0000-0000-000016730000}"/>
    <cellStyle name="Normal 5 17 7" xfId="23418" xr:uid="{00000000-0005-0000-0000-000017730000}"/>
    <cellStyle name="Normal 5 18" xfId="446" xr:uid="{00000000-0005-0000-0000-000018730000}"/>
    <cellStyle name="Normal 5 18 2" xfId="855" xr:uid="{00000000-0005-0000-0000-000019730000}"/>
    <cellStyle name="Normal 5 18 2 2" xfId="23737" xr:uid="{00000000-0005-0000-0000-00001A730000}"/>
    <cellStyle name="Normal 5 18 3" xfId="3912" xr:uid="{00000000-0005-0000-0000-00001B730000}"/>
    <cellStyle name="Normal 5 18 4" xfId="22645" xr:uid="{00000000-0005-0000-0000-00001C730000}"/>
    <cellStyle name="Normal 5 18 4 2" xfId="42556" xr:uid="{00000000-0005-0000-0000-00001D730000}"/>
    <cellStyle name="Normal 5 18 5" xfId="22820" xr:uid="{00000000-0005-0000-0000-00001E730000}"/>
    <cellStyle name="Normal 5 18 5 2" xfId="42731" xr:uid="{00000000-0005-0000-0000-00001F730000}"/>
    <cellStyle name="Normal 5 18 6" xfId="23123" xr:uid="{00000000-0005-0000-0000-000020730000}"/>
    <cellStyle name="Normal 5 18 6 2" xfId="43034" xr:uid="{00000000-0005-0000-0000-000021730000}"/>
    <cellStyle name="Normal 5 18 7" xfId="23434" xr:uid="{00000000-0005-0000-0000-000022730000}"/>
    <cellStyle name="Normal 5 19" xfId="472" xr:uid="{00000000-0005-0000-0000-000023730000}"/>
    <cellStyle name="Normal 5 19 2" xfId="871" xr:uid="{00000000-0005-0000-0000-000024730000}"/>
    <cellStyle name="Normal 5 19 2 2" xfId="23753" xr:uid="{00000000-0005-0000-0000-000025730000}"/>
    <cellStyle name="Normal 5 19 3" xfId="3913" xr:uid="{00000000-0005-0000-0000-000026730000}"/>
    <cellStyle name="Normal 5 19 4" xfId="22640" xr:uid="{00000000-0005-0000-0000-000027730000}"/>
    <cellStyle name="Normal 5 19 4 2" xfId="42551" xr:uid="{00000000-0005-0000-0000-000028730000}"/>
    <cellStyle name="Normal 5 19 5" xfId="22836" xr:uid="{00000000-0005-0000-0000-000029730000}"/>
    <cellStyle name="Normal 5 19 5 2" xfId="42747" xr:uid="{00000000-0005-0000-0000-00002A730000}"/>
    <cellStyle name="Normal 5 19 6" xfId="23139" xr:uid="{00000000-0005-0000-0000-00002B730000}"/>
    <cellStyle name="Normal 5 19 6 2" xfId="43050" xr:uid="{00000000-0005-0000-0000-00002C730000}"/>
    <cellStyle name="Normal 5 19 7" xfId="23450" xr:uid="{00000000-0005-0000-0000-00002D730000}"/>
    <cellStyle name="Normal 5 2" xfId="26" xr:uid="{00000000-0005-0000-0000-00002E730000}"/>
    <cellStyle name="Normal 5 2 10" xfId="10660" xr:uid="{00000000-0005-0000-0000-00002F730000}"/>
    <cellStyle name="Normal 5 2 10 2" xfId="30580" xr:uid="{00000000-0005-0000-0000-000030730000}"/>
    <cellStyle name="Normal 5 2 11" xfId="16812" xr:uid="{00000000-0005-0000-0000-000031730000}"/>
    <cellStyle name="Normal 5 2 11 2" xfId="36732" xr:uid="{00000000-0005-0000-0000-000032730000}"/>
    <cellStyle name="Normal 5 2 12" xfId="3914" xr:uid="{00000000-0005-0000-0000-000033730000}"/>
    <cellStyle name="Normal 5 2 12 2" xfId="24427" xr:uid="{00000000-0005-0000-0000-000034730000}"/>
    <cellStyle name="Normal 5 2 2" xfId="3915" xr:uid="{00000000-0005-0000-0000-000035730000}"/>
    <cellStyle name="Normal 5 2 2 2" xfId="3916" xr:uid="{00000000-0005-0000-0000-000036730000}"/>
    <cellStyle name="Normal 5 2 2 2 2" xfId="3917" xr:uid="{00000000-0005-0000-0000-000037730000}"/>
    <cellStyle name="Normal 5 2 2 2 2 2" xfId="5126" xr:uid="{00000000-0005-0000-0000-000038730000}"/>
    <cellStyle name="Normal 5 2 2 2 2 2 2" xfId="6751" xr:uid="{00000000-0005-0000-0000-000039730000}"/>
    <cellStyle name="Normal 5 2 2 2 2 2 2 2" xfId="9837" xr:uid="{00000000-0005-0000-0000-00003A730000}"/>
    <cellStyle name="Normal 5 2 2 2 2 2 2 2 2" xfId="16030" xr:uid="{00000000-0005-0000-0000-00003B730000}"/>
    <cellStyle name="Normal 5 2 2 2 2 2 2 2 2 2" xfId="35950" xr:uid="{00000000-0005-0000-0000-00003C730000}"/>
    <cellStyle name="Normal 5 2 2 2 2 2 2 2 3" xfId="22182" xr:uid="{00000000-0005-0000-0000-00003D730000}"/>
    <cellStyle name="Normal 5 2 2 2 2 2 2 2 3 2" xfId="42102" xr:uid="{00000000-0005-0000-0000-00003E730000}"/>
    <cellStyle name="Normal 5 2 2 2 2 2 2 2 4" xfId="29797" xr:uid="{00000000-0005-0000-0000-00003F730000}"/>
    <cellStyle name="Normal 5 2 2 2 2 2 2 3" xfId="12964" xr:uid="{00000000-0005-0000-0000-000040730000}"/>
    <cellStyle name="Normal 5 2 2 2 2 2 2 3 2" xfId="32884" xr:uid="{00000000-0005-0000-0000-000041730000}"/>
    <cellStyle name="Normal 5 2 2 2 2 2 2 4" xfId="19116" xr:uid="{00000000-0005-0000-0000-000042730000}"/>
    <cellStyle name="Normal 5 2 2 2 2 2 2 4 2" xfId="39036" xr:uid="{00000000-0005-0000-0000-000043730000}"/>
    <cellStyle name="Normal 5 2 2 2 2 2 2 5" xfId="26731" xr:uid="{00000000-0005-0000-0000-000044730000}"/>
    <cellStyle name="Normal 5 2 2 2 2 2 3" xfId="8302" xr:uid="{00000000-0005-0000-0000-000045730000}"/>
    <cellStyle name="Normal 5 2 2 2 2 2 3 2" xfId="14496" xr:uid="{00000000-0005-0000-0000-000046730000}"/>
    <cellStyle name="Normal 5 2 2 2 2 2 3 2 2" xfId="34416" xr:uid="{00000000-0005-0000-0000-000047730000}"/>
    <cellStyle name="Normal 5 2 2 2 2 2 3 3" xfId="20648" xr:uid="{00000000-0005-0000-0000-000048730000}"/>
    <cellStyle name="Normal 5 2 2 2 2 2 3 3 2" xfId="40568" xr:uid="{00000000-0005-0000-0000-000049730000}"/>
    <cellStyle name="Normal 5 2 2 2 2 2 3 4" xfId="28263" xr:uid="{00000000-0005-0000-0000-00004A730000}"/>
    <cellStyle name="Normal 5 2 2 2 2 2 4" xfId="11430" xr:uid="{00000000-0005-0000-0000-00004B730000}"/>
    <cellStyle name="Normal 5 2 2 2 2 2 4 2" xfId="31350" xr:uid="{00000000-0005-0000-0000-00004C730000}"/>
    <cellStyle name="Normal 5 2 2 2 2 2 5" xfId="17582" xr:uid="{00000000-0005-0000-0000-00004D730000}"/>
    <cellStyle name="Normal 5 2 2 2 2 2 5 2" xfId="37502" xr:uid="{00000000-0005-0000-0000-00004E730000}"/>
    <cellStyle name="Normal 5 2 2 2 2 2 6" xfId="25197" xr:uid="{00000000-0005-0000-0000-00004F730000}"/>
    <cellStyle name="Normal 5 2 2 2 2 3" xfId="5968" xr:uid="{00000000-0005-0000-0000-000050730000}"/>
    <cellStyle name="Normal 5 2 2 2 2 3 2" xfId="9068" xr:uid="{00000000-0005-0000-0000-000051730000}"/>
    <cellStyle name="Normal 5 2 2 2 2 3 2 2" xfId="15261" xr:uid="{00000000-0005-0000-0000-000052730000}"/>
    <cellStyle name="Normal 5 2 2 2 2 3 2 2 2" xfId="35181" xr:uid="{00000000-0005-0000-0000-000053730000}"/>
    <cellStyle name="Normal 5 2 2 2 2 3 2 3" xfId="21413" xr:uid="{00000000-0005-0000-0000-000054730000}"/>
    <cellStyle name="Normal 5 2 2 2 2 3 2 3 2" xfId="41333" xr:uid="{00000000-0005-0000-0000-000055730000}"/>
    <cellStyle name="Normal 5 2 2 2 2 3 2 4" xfId="29028" xr:uid="{00000000-0005-0000-0000-000056730000}"/>
    <cellStyle name="Normal 5 2 2 2 2 3 3" xfId="12195" xr:uid="{00000000-0005-0000-0000-000057730000}"/>
    <cellStyle name="Normal 5 2 2 2 2 3 3 2" xfId="32115" xr:uid="{00000000-0005-0000-0000-000058730000}"/>
    <cellStyle name="Normal 5 2 2 2 2 3 4" xfId="18347" xr:uid="{00000000-0005-0000-0000-000059730000}"/>
    <cellStyle name="Normal 5 2 2 2 2 3 4 2" xfId="38267" xr:uid="{00000000-0005-0000-0000-00005A730000}"/>
    <cellStyle name="Normal 5 2 2 2 2 3 5" xfId="25962" xr:uid="{00000000-0005-0000-0000-00005B730000}"/>
    <cellStyle name="Normal 5 2 2 2 2 4" xfId="7533" xr:uid="{00000000-0005-0000-0000-00005C730000}"/>
    <cellStyle name="Normal 5 2 2 2 2 4 2" xfId="13727" xr:uid="{00000000-0005-0000-0000-00005D730000}"/>
    <cellStyle name="Normal 5 2 2 2 2 4 2 2" xfId="33647" xr:uid="{00000000-0005-0000-0000-00005E730000}"/>
    <cellStyle name="Normal 5 2 2 2 2 4 3" xfId="19879" xr:uid="{00000000-0005-0000-0000-00005F730000}"/>
    <cellStyle name="Normal 5 2 2 2 2 4 3 2" xfId="39799" xr:uid="{00000000-0005-0000-0000-000060730000}"/>
    <cellStyle name="Normal 5 2 2 2 2 4 4" xfId="27494" xr:uid="{00000000-0005-0000-0000-000061730000}"/>
    <cellStyle name="Normal 5 2 2 2 2 5" xfId="10661" xr:uid="{00000000-0005-0000-0000-000062730000}"/>
    <cellStyle name="Normal 5 2 2 2 2 5 2" xfId="30581" xr:uid="{00000000-0005-0000-0000-000063730000}"/>
    <cellStyle name="Normal 5 2 2 2 2 6" xfId="16813" xr:uid="{00000000-0005-0000-0000-000064730000}"/>
    <cellStyle name="Normal 5 2 2 2 2 6 2" xfId="36733" xr:uid="{00000000-0005-0000-0000-000065730000}"/>
    <cellStyle name="Normal 5 2 2 2 2 7" xfId="24428" xr:uid="{00000000-0005-0000-0000-000066730000}"/>
    <cellStyle name="Normal 5 2 2 3" xfId="3918" xr:uid="{00000000-0005-0000-0000-000067730000}"/>
    <cellStyle name="Normal 5 2 2 3 2" xfId="5127" xr:uid="{00000000-0005-0000-0000-000068730000}"/>
    <cellStyle name="Normal 5 2 2 3 2 2" xfId="6752" xr:uid="{00000000-0005-0000-0000-000069730000}"/>
    <cellStyle name="Normal 5 2 2 3 2 2 2" xfId="9838" xr:uid="{00000000-0005-0000-0000-00006A730000}"/>
    <cellStyle name="Normal 5 2 2 3 2 2 2 2" xfId="16031" xr:uid="{00000000-0005-0000-0000-00006B730000}"/>
    <cellStyle name="Normal 5 2 2 3 2 2 2 2 2" xfId="35951" xr:uid="{00000000-0005-0000-0000-00006C730000}"/>
    <cellStyle name="Normal 5 2 2 3 2 2 2 3" xfId="22183" xr:uid="{00000000-0005-0000-0000-00006D730000}"/>
    <cellStyle name="Normal 5 2 2 3 2 2 2 3 2" xfId="42103" xr:uid="{00000000-0005-0000-0000-00006E730000}"/>
    <cellStyle name="Normal 5 2 2 3 2 2 2 4" xfId="29798" xr:uid="{00000000-0005-0000-0000-00006F730000}"/>
    <cellStyle name="Normal 5 2 2 3 2 2 3" xfId="12965" xr:uid="{00000000-0005-0000-0000-000070730000}"/>
    <cellStyle name="Normal 5 2 2 3 2 2 3 2" xfId="32885" xr:uid="{00000000-0005-0000-0000-000071730000}"/>
    <cellStyle name="Normal 5 2 2 3 2 2 4" xfId="19117" xr:uid="{00000000-0005-0000-0000-000072730000}"/>
    <cellStyle name="Normal 5 2 2 3 2 2 4 2" xfId="39037" xr:uid="{00000000-0005-0000-0000-000073730000}"/>
    <cellStyle name="Normal 5 2 2 3 2 2 5" xfId="26732" xr:uid="{00000000-0005-0000-0000-000074730000}"/>
    <cellStyle name="Normal 5 2 2 3 2 3" xfId="8303" xr:uid="{00000000-0005-0000-0000-000075730000}"/>
    <cellStyle name="Normal 5 2 2 3 2 3 2" xfId="14497" xr:uid="{00000000-0005-0000-0000-000076730000}"/>
    <cellStyle name="Normal 5 2 2 3 2 3 2 2" xfId="34417" xr:uid="{00000000-0005-0000-0000-000077730000}"/>
    <cellStyle name="Normal 5 2 2 3 2 3 3" xfId="20649" xr:uid="{00000000-0005-0000-0000-000078730000}"/>
    <cellStyle name="Normal 5 2 2 3 2 3 3 2" xfId="40569" xr:uid="{00000000-0005-0000-0000-000079730000}"/>
    <cellStyle name="Normal 5 2 2 3 2 3 4" xfId="28264" xr:uid="{00000000-0005-0000-0000-00007A730000}"/>
    <cellStyle name="Normal 5 2 2 3 2 4" xfId="11431" xr:uid="{00000000-0005-0000-0000-00007B730000}"/>
    <cellStyle name="Normal 5 2 2 3 2 4 2" xfId="31351" xr:uid="{00000000-0005-0000-0000-00007C730000}"/>
    <cellStyle name="Normal 5 2 2 3 2 5" xfId="17583" xr:uid="{00000000-0005-0000-0000-00007D730000}"/>
    <cellStyle name="Normal 5 2 2 3 2 5 2" xfId="37503" xr:uid="{00000000-0005-0000-0000-00007E730000}"/>
    <cellStyle name="Normal 5 2 2 3 2 6" xfId="25198" xr:uid="{00000000-0005-0000-0000-00007F730000}"/>
    <cellStyle name="Normal 5 2 2 3 3" xfId="5969" xr:uid="{00000000-0005-0000-0000-000080730000}"/>
    <cellStyle name="Normal 5 2 2 3 3 2" xfId="9069" xr:uid="{00000000-0005-0000-0000-000081730000}"/>
    <cellStyle name="Normal 5 2 2 3 3 2 2" xfId="15262" xr:uid="{00000000-0005-0000-0000-000082730000}"/>
    <cellStyle name="Normal 5 2 2 3 3 2 2 2" xfId="35182" xr:uid="{00000000-0005-0000-0000-000083730000}"/>
    <cellStyle name="Normal 5 2 2 3 3 2 3" xfId="21414" xr:uid="{00000000-0005-0000-0000-000084730000}"/>
    <cellStyle name="Normal 5 2 2 3 3 2 3 2" xfId="41334" xr:uid="{00000000-0005-0000-0000-000085730000}"/>
    <cellStyle name="Normal 5 2 2 3 3 2 4" xfId="29029" xr:uid="{00000000-0005-0000-0000-000086730000}"/>
    <cellStyle name="Normal 5 2 2 3 3 3" xfId="12196" xr:uid="{00000000-0005-0000-0000-000087730000}"/>
    <cellStyle name="Normal 5 2 2 3 3 3 2" xfId="32116" xr:uid="{00000000-0005-0000-0000-000088730000}"/>
    <cellStyle name="Normal 5 2 2 3 3 4" xfId="18348" xr:uid="{00000000-0005-0000-0000-000089730000}"/>
    <cellStyle name="Normal 5 2 2 3 3 4 2" xfId="38268" xr:uid="{00000000-0005-0000-0000-00008A730000}"/>
    <cellStyle name="Normal 5 2 2 3 3 5" xfId="25963" xr:uid="{00000000-0005-0000-0000-00008B730000}"/>
    <cellStyle name="Normal 5 2 2 3 4" xfId="7534" xr:uid="{00000000-0005-0000-0000-00008C730000}"/>
    <cellStyle name="Normal 5 2 2 3 4 2" xfId="13728" xr:uid="{00000000-0005-0000-0000-00008D730000}"/>
    <cellStyle name="Normal 5 2 2 3 4 2 2" xfId="33648" xr:uid="{00000000-0005-0000-0000-00008E730000}"/>
    <cellStyle name="Normal 5 2 2 3 4 3" xfId="19880" xr:uid="{00000000-0005-0000-0000-00008F730000}"/>
    <cellStyle name="Normal 5 2 2 3 4 3 2" xfId="39800" xr:uid="{00000000-0005-0000-0000-000090730000}"/>
    <cellStyle name="Normal 5 2 2 3 4 4" xfId="27495" xr:uid="{00000000-0005-0000-0000-000091730000}"/>
    <cellStyle name="Normal 5 2 2 3 5" xfId="10662" xr:uid="{00000000-0005-0000-0000-000092730000}"/>
    <cellStyle name="Normal 5 2 2 3 5 2" xfId="30582" xr:uid="{00000000-0005-0000-0000-000093730000}"/>
    <cellStyle name="Normal 5 2 2 3 6" xfId="16814" xr:uid="{00000000-0005-0000-0000-000094730000}"/>
    <cellStyle name="Normal 5 2 2 3 6 2" xfId="36734" xr:uid="{00000000-0005-0000-0000-000095730000}"/>
    <cellStyle name="Normal 5 2 2 3 7" xfId="24429" xr:uid="{00000000-0005-0000-0000-000096730000}"/>
    <cellStyle name="Normal 5 2 3" xfId="3919" xr:uid="{00000000-0005-0000-0000-000097730000}"/>
    <cellStyle name="Normal 5 2 3 2" xfId="3920" xr:uid="{00000000-0005-0000-0000-000098730000}"/>
    <cellStyle name="Normal 5 2 3 2 2" xfId="3921" xr:uid="{00000000-0005-0000-0000-000099730000}"/>
    <cellStyle name="Normal 5 2 3 2 2 2" xfId="5128" xr:uid="{00000000-0005-0000-0000-00009A730000}"/>
    <cellStyle name="Normal 5 2 3 2 2 2 2" xfId="6753" xr:uid="{00000000-0005-0000-0000-00009B730000}"/>
    <cellStyle name="Normal 5 2 3 2 2 2 2 2" xfId="9839" xr:uid="{00000000-0005-0000-0000-00009C730000}"/>
    <cellStyle name="Normal 5 2 3 2 2 2 2 2 2" xfId="16032" xr:uid="{00000000-0005-0000-0000-00009D730000}"/>
    <cellStyle name="Normal 5 2 3 2 2 2 2 2 2 2" xfId="35952" xr:uid="{00000000-0005-0000-0000-00009E730000}"/>
    <cellStyle name="Normal 5 2 3 2 2 2 2 2 3" xfId="22184" xr:uid="{00000000-0005-0000-0000-00009F730000}"/>
    <cellStyle name="Normal 5 2 3 2 2 2 2 2 3 2" xfId="42104" xr:uid="{00000000-0005-0000-0000-0000A0730000}"/>
    <cellStyle name="Normal 5 2 3 2 2 2 2 2 4" xfId="29799" xr:uid="{00000000-0005-0000-0000-0000A1730000}"/>
    <cellStyle name="Normal 5 2 3 2 2 2 2 3" xfId="12966" xr:uid="{00000000-0005-0000-0000-0000A2730000}"/>
    <cellStyle name="Normal 5 2 3 2 2 2 2 3 2" xfId="32886" xr:uid="{00000000-0005-0000-0000-0000A3730000}"/>
    <cellStyle name="Normal 5 2 3 2 2 2 2 4" xfId="19118" xr:uid="{00000000-0005-0000-0000-0000A4730000}"/>
    <cellStyle name="Normal 5 2 3 2 2 2 2 4 2" xfId="39038" xr:uid="{00000000-0005-0000-0000-0000A5730000}"/>
    <cellStyle name="Normal 5 2 3 2 2 2 2 5" xfId="26733" xr:uid="{00000000-0005-0000-0000-0000A6730000}"/>
    <cellStyle name="Normal 5 2 3 2 2 2 3" xfId="8304" xr:uid="{00000000-0005-0000-0000-0000A7730000}"/>
    <cellStyle name="Normal 5 2 3 2 2 2 3 2" xfId="14498" xr:uid="{00000000-0005-0000-0000-0000A8730000}"/>
    <cellStyle name="Normal 5 2 3 2 2 2 3 2 2" xfId="34418" xr:uid="{00000000-0005-0000-0000-0000A9730000}"/>
    <cellStyle name="Normal 5 2 3 2 2 2 3 3" xfId="20650" xr:uid="{00000000-0005-0000-0000-0000AA730000}"/>
    <cellStyle name="Normal 5 2 3 2 2 2 3 3 2" xfId="40570" xr:uid="{00000000-0005-0000-0000-0000AB730000}"/>
    <cellStyle name="Normal 5 2 3 2 2 2 3 4" xfId="28265" xr:uid="{00000000-0005-0000-0000-0000AC730000}"/>
    <cellStyle name="Normal 5 2 3 2 2 2 4" xfId="11432" xr:uid="{00000000-0005-0000-0000-0000AD730000}"/>
    <cellStyle name="Normal 5 2 3 2 2 2 4 2" xfId="31352" xr:uid="{00000000-0005-0000-0000-0000AE730000}"/>
    <cellStyle name="Normal 5 2 3 2 2 2 5" xfId="17584" xr:uid="{00000000-0005-0000-0000-0000AF730000}"/>
    <cellStyle name="Normal 5 2 3 2 2 2 5 2" xfId="37504" xr:uid="{00000000-0005-0000-0000-0000B0730000}"/>
    <cellStyle name="Normal 5 2 3 2 2 2 6" xfId="25199" xr:uid="{00000000-0005-0000-0000-0000B1730000}"/>
    <cellStyle name="Normal 5 2 3 2 2 3" xfId="5970" xr:uid="{00000000-0005-0000-0000-0000B2730000}"/>
    <cellStyle name="Normal 5 2 3 2 2 3 2" xfId="9070" xr:uid="{00000000-0005-0000-0000-0000B3730000}"/>
    <cellStyle name="Normal 5 2 3 2 2 3 2 2" xfId="15263" xr:uid="{00000000-0005-0000-0000-0000B4730000}"/>
    <cellStyle name="Normal 5 2 3 2 2 3 2 2 2" xfId="35183" xr:uid="{00000000-0005-0000-0000-0000B5730000}"/>
    <cellStyle name="Normal 5 2 3 2 2 3 2 3" xfId="21415" xr:uid="{00000000-0005-0000-0000-0000B6730000}"/>
    <cellStyle name="Normal 5 2 3 2 2 3 2 3 2" xfId="41335" xr:uid="{00000000-0005-0000-0000-0000B7730000}"/>
    <cellStyle name="Normal 5 2 3 2 2 3 2 4" xfId="29030" xr:uid="{00000000-0005-0000-0000-0000B8730000}"/>
    <cellStyle name="Normal 5 2 3 2 2 3 3" xfId="12197" xr:uid="{00000000-0005-0000-0000-0000B9730000}"/>
    <cellStyle name="Normal 5 2 3 2 2 3 3 2" xfId="32117" xr:uid="{00000000-0005-0000-0000-0000BA730000}"/>
    <cellStyle name="Normal 5 2 3 2 2 3 4" xfId="18349" xr:uid="{00000000-0005-0000-0000-0000BB730000}"/>
    <cellStyle name="Normal 5 2 3 2 2 3 4 2" xfId="38269" xr:uid="{00000000-0005-0000-0000-0000BC730000}"/>
    <cellStyle name="Normal 5 2 3 2 2 3 5" xfId="25964" xr:uid="{00000000-0005-0000-0000-0000BD730000}"/>
    <cellStyle name="Normal 5 2 3 2 2 4" xfId="7535" xr:uid="{00000000-0005-0000-0000-0000BE730000}"/>
    <cellStyle name="Normal 5 2 3 2 2 4 2" xfId="13729" xr:uid="{00000000-0005-0000-0000-0000BF730000}"/>
    <cellStyle name="Normal 5 2 3 2 2 4 2 2" xfId="33649" xr:uid="{00000000-0005-0000-0000-0000C0730000}"/>
    <cellStyle name="Normal 5 2 3 2 2 4 3" xfId="19881" xr:uid="{00000000-0005-0000-0000-0000C1730000}"/>
    <cellStyle name="Normal 5 2 3 2 2 4 3 2" xfId="39801" xr:uid="{00000000-0005-0000-0000-0000C2730000}"/>
    <cellStyle name="Normal 5 2 3 2 2 4 4" xfId="27496" xr:uid="{00000000-0005-0000-0000-0000C3730000}"/>
    <cellStyle name="Normal 5 2 3 2 2 5" xfId="10663" xr:uid="{00000000-0005-0000-0000-0000C4730000}"/>
    <cellStyle name="Normal 5 2 3 2 2 5 2" xfId="30583" xr:uid="{00000000-0005-0000-0000-0000C5730000}"/>
    <cellStyle name="Normal 5 2 3 2 2 6" xfId="16815" xr:uid="{00000000-0005-0000-0000-0000C6730000}"/>
    <cellStyle name="Normal 5 2 3 2 2 6 2" xfId="36735" xr:uid="{00000000-0005-0000-0000-0000C7730000}"/>
    <cellStyle name="Normal 5 2 3 2 2 7" xfId="24430" xr:uid="{00000000-0005-0000-0000-0000C8730000}"/>
    <cellStyle name="Normal 5 2 3 3" xfId="3922" xr:uid="{00000000-0005-0000-0000-0000C9730000}"/>
    <cellStyle name="Normal 5 2 3 3 2" xfId="5129" xr:uid="{00000000-0005-0000-0000-0000CA730000}"/>
    <cellStyle name="Normal 5 2 3 3 2 2" xfId="6754" xr:uid="{00000000-0005-0000-0000-0000CB730000}"/>
    <cellStyle name="Normal 5 2 3 3 2 2 2" xfId="9840" xr:uid="{00000000-0005-0000-0000-0000CC730000}"/>
    <cellStyle name="Normal 5 2 3 3 2 2 2 2" xfId="16033" xr:uid="{00000000-0005-0000-0000-0000CD730000}"/>
    <cellStyle name="Normal 5 2 3 3 2 2 2 2 2" xfId="35953" xr:uid="{00000000-0005-0000-0000-0000CE730000}"/>
    <cellStyle name="Normal 5 2 3 3 2 2 2 3" xfId="22185" xr:uid="{00000000-0005-0000-0000-0000CF730000}"/>
    <cellStyle name="Normal 5 2 3 3 2 2 2 3 2" xfId="42105" xr:uid="{00000000-0005-0000-0000-0000D0730000}"/>
    <cellStyle name="Normal 5 2 3 3 2 2 2 4" xfId="29800" xr:uid="{00000000-0005-0000-0000-0000D1730000}"/>
    <cellStyle name="Normal 5 2 3 3 2 2 3" xfId="12967" xr:uid="{00000000-0005-0000-0000-0000D2730000}"/>
    <cellStyle name="Normal 5 2 3 3 2 2 3 2" xfId="32887" xr:uid="{00000000-0005-0000-0000-0000D3730000}"/>
    <cellStyle name="Normal 5 2 3 3 2 2 4" xfId="19119" xr:uid="{00000000-0005-0000-0000-0000D4730000}"/>
    <cellStyle name="Normal 5 2 3 3 2 2 4 2" xfId="39039" xr:uid="{00000000-0005-0000-0000-0000D5730000}"/>
    <cellStyle name="Normal 5 2 3 3 2 2 5" xfId="26734" xr:uid="{00000000-0005-0000-0000-0000D6730000}"/>
    <cellStyle name="Normal 5 2 3 3 2 3" xfId="8305" xr:uid="{00000000-0005-0000-0000-0000D7730000}"/>
    <cellStyle name="Normal 5 2 3 3 2 3 2" xfId="14499" xr:uid="{00000000-0005-0000-0000-0000D8730000}"/>
    <cellStyle name="Normal 5 2 3 3 2 3 2 2" xfId="34419" xr:uid="{00000000-0005-0000-0000-0000D9730000}"/>
    <cellStyle name="Normal 5 2 3 3 2 3 3" xfId="20651" xr:uid="{00000000-0005-0000-0000-0000DA730000}"/>
    <cellStyle name="Normal 5 2 3 3 2 3 3 2" xfId="40571" xr:uid="{00000000-0005-0000-0000-0000DB730000}"/>
    <cellStyle name="Normal 5 2 3 3 2 3 4" xfId="28266" xr:uid="{00000000-0005-0000-0000-0000DC730000}"/>
    <cellStyle name="Normal 5 2 3 3 2 4" xfId="11433" xr:uid="{00000000-0005-0000-0000-0000DD730000}"/>
    <cellStyle name="Normal 5 2 3 3 2 4 2" xfId="31353" xr:uid="{00000000-0005-0000-0000-0000DE730000}"/>
    <cellStyle name="Normal 5 2 3 3 2 5" xfId="17585" xr:uid="{00000000-0005-0000-0000-0000DF730000}"/>
    <cellStyle name="Normal 5 2 3 3 2 5 2" xfId="37505" xr:uid="{00000000-0005-0000-0000-0000E0730000}"/>
    <cellStyle name="Normal 5 2 3 3 2 6" xfId="25200" xr:uid="{00000000-0005-0000-0000-0000E1730000}"/>
    <cellStyle name="Normal 5 2 3 3 3" xfId="5971" xr:uid="{00000000-0005-0000-0000-0000E2730000}"/>
    <cellStyle name="Normal 5 2 3 3 3 2" xfId="9071" xr:uid="{00000000-0005-0000-0000-0000E3730000}"/>
    <cellStyle name="Normal 5 2 3 3 3 2 2" xfId="15264" xr:uid="{00000000-0005-0000-0000-0000E4730000}"/>
    <cellStyle name="Normal 5 2 3 3 3 2 2 2" xfId="35184" xr:uid="{00000000-0005-0000-0000-0000E5730000}"/>
    <cellStyle name="Normal 5 2 3 3 3 2 3" xfId="21416" xr:uid="{00000000-0005-0000-0000-0000E6730000}"/>
    <cellStyle name="Normal 5 2 3 3 3 2 3 2" xfId="41336" xr:uid="{00000000-0005-0000-0000-0000E7730000}"/>
    <cellStyle name="Normal 5 2 3 3 3 2 4" xfId="29031" xr:uid="{00000000-0005-0000-0000-0000E8730000}"/>
    <cellStyle name="Normal 5 2 3 3 3 3" xfId="12198" xr:uid="{00000000-0005-0000-0000-0000E9730000}"/>
    <cellStyle name="Normal 5 2 3 3 3 3 2" xfId="32118" xr:uid="{00000000-0005-0000-0000-0000EA730000}"/>
    <cellStyle name="Normal 5 2 3 3 3 4" xfId="18350" xr:uid="{00000000-0005-0000-0000-0000EB730000}"/>
    <cellStyle name="Normal 5 2 3 3 3 4 2" xfId="38270" xr:uid="{00000000-0005-0000-0000-0000EC730000}"/>
    <cellStyle name="Normal 5 2 3 3 3 5" xfId="25965" xr:uid="{00000000-0005-0000-0000-0000ED730000}"/>
    <cellStyle name="Normal 5 2 3 3 4" xfId="7536" xr:uid="{00000000-0005-0000-0000-0000EE730000}"/>
    <cellStyle name="Normal 5 2 3 3 4 2" xfId="13730" xr:uid="{00000000-0005-0000-0000-0000EF730000}"/>
    <cellStyle name="Normal 5 2 3 3 4 2 2" xfId="33650" xr:uid="{00000000-0005-0000-0000-0000F0730000}"/>
    <cellStyle name="Normal 5 2 3 3 4 3" xfId="19882" xr:uid="{00000000-0005-0000-0000-0000F1730000}"/>
    <cellStyle name="Normal 5 2 3 3 4 3 2" xfId="39802" xr:uid="{00000000-0005-0000-0000-0000F2730000}"/>
    <cellStyle name="Normal 5 2 3 3 4 4" xfId="27497" xr:uid="{00000000-0005-0000-0000-0000F3730000}"/>
    <cellStyle name="Normal 5 2 3 3 5" xfId="10664" xr:uid="{00000000-0005-0000-0000-0000F4730000}"/>
    <cellStyle name="Normal 5 2 3 3 5 2" xfId="30584" xr:uid="{00000000-0005-0000-0000-0000F5730000}"/>
    <cellStyle name="Normal 5 2 3 3 6" xfId="16816" xr:uid="{00000000-0005-0000-0000-0000F6730000}"/>
    <cellStyle name="Normal 5 2 3 3 6 2" xfId="36736" xr:uid="{00000000-0005-0000-0000-0000F7730000}"/>
    <cellStyle name="Normal 5 2 3 3 7" xfId="24431" xr:uid="{00000000-0005-0000-0000-0000F8730000}"/>
    <cellStyle name="Normal 5 2 4" xfId="3923" xr:uid="{00000000-0005-0000-0000-0000F9730000}"/>
    <cellStyle name="Normal 5 2 4 2" xfId="3924" xr:uid="{00000000-0005-0000-0000-0000FA730000}"/>
    <cellStyle name="Normal 5 2 4 2 2" xfId="5130" xr:uid="{00000000-0005-0000-0000-0000FB730000}"/>
    <cellStyle name="Normal 5 2 4 2 2 2" xfId="6755" xr:uid="{00000000-0005-0000-0000-0000FC730000}"/>
    <cellStyle name="Normal 5 2 4 2 2 2 2" xfId="9841" xr:uid="{00000000-0005-0000-0000-0000FD730000}"/>
    <cellStyle name="Normal 5 2 4 2 2 2 2 2" xfId="16034" xr:uid="{00000000-0005-0000-0000-0000FE730000}"/>
    <cellStyle name="Normal 5 2 4 2 2 2 2 2 2" xfId="35954" xr:uid="{00000000-0005-0000-0000-0000FF730000}"/>
    <cellStyle name="Normal 5 2 4 2 2 2 2 3" xfId="22186" xr:uid="{00000000-0005-0000-0000-000000740000}"/>
    <cellStyle name="Normal 5 2 4 2 2 2 2 3 2" xfId="42106" xr:uid="{00000000-0005-0000-0000-000001740000}"/>
    <cellStyle name="Normal 5 2 4 2 2 2 2 4" xfId="29801" xr:uid="{00000000-0005-0000-0000-000002740000}"/>
    <cellStyle name="Normal 5 2 4 2 2 2 3" xfId="12968" xr:uid="{00000000-0005-0000-0000-000003740000}"/>
    <cellStyle name="Normal 5 2 4 2 2 2 3 2" xfId="32888" xr:uid="{00000000-0005-0000-0000-000004740000}"/>
    <cellStyle name="Normal 5 2 4 2 2 2 4" xfId="19120" xr:uid="{00000000-0005-0000-0000-000005740000}"/>
    <cellStyle name="Normal 5 2 4 2 2 2 4 2" xfId="39040" xr:uid="{00000000-0005-0000-0000-000006740000}"/>
    <cellStyle name="Normal 5 2 4 2 2 2 5" xfId="26735" xr:uid="{00000000-0005-0000-0000-000007740000}"/>
    <cellStyle name="Normal 5 2 4 2 2 3" xfId="8306" xr:uid="{00000000-0005-0000-0000-000008740000}"/>
    <cellStyle name="Normal 5 2 4 2 2 3 2" xfId="14500" xr:uid="{00000000-0005-0000-0000-000009740000}"/>
    <cellStyle name="Normal 5 2 4 2 2 3 2 2" xfId="34420" xr:uid="{00000000-0005-0000-0000-00000A740000}"/>
    <cellStyle name="Normal 5 2 4 2 2 3 3" xfId="20652" xr:uid="{00000000-0005-0000-0000-00000B740000}"/>
    <cellStyle name="Normal 5 2 4 2 2 3 3 2" xfId="40572" xr:uid="{00000000-0005-0000-0000-00000C740000}"/>
    <cellStyle name="Normal 5 2 4 2 2 3 4" xfId="28267" xr:uid="{00000000-0005-0000-0000-00000D740000}"/>
    <cellStyle name="Normal 5 2 4 2 2 4" xfId="11434" xr:uid="{00000000-0005-0000-0000-00000E740000}"/>
    <cellStyle name="Normal 5 2 4 2 2 4 2" xfId="31354" xr:uid="{00000000-0005-0000-0000-00000F740000}"/>
    <cellStyle name="Normal 5 2 4 2 2 5" xfId="17586" xr:uid="{00000000-0005-0000-0000-000010740000}"/>
    <cellStyle name="Normal 5 2 4 2 2 5 2" xfId="37506" xr:uid="{00000000-0005-0000-0000-000011740000}"/>
    <cellStyle name="Normal 5 2 4 2 2 6" xfId="25201" xr:uid="{00000000-0005-0000-0000-000012740000}"/>
    <cellStyle name="Normal 5 2 4 2 3" xfId="5972" xr:uid="{00000000-0005-0000-0000-000013740000}"/>
    <cellStyle name="Normal 5 2 4 2 3 2" xfId="9072" xr:uid="{00000000-0005-0000-0000-000014740000}"/>
    <cellStyle name="Normal 5 2 4 2 3 2 2" xfId="15265" xr:uid="{00000000-0005-0000-0000-000015740000}"/>
    <cellStyle name="Normal 5 2 4 2 3 2 2 2" xfId="35185" xr:uid="{00000000-0005-0000-0000-000016740000}"/>
    <cellStyle name="Normal 5 2 4 2 3 2 3" xfId="21417" xr:uid="{00000000-0005-0000-0000-000017740000}"/>
    <cellStyle name="Normal 5 2 4 2 3 2 3 2" xfId="41337" xr:uid="{00000000-0005-0000-0000-000018740000}"/>
    <cellStyle name="Normal 5 2 4 2 3 2 4" xfId="29032" xr:uid="{00000000-0005-0000-0000-000019740000}"/>
    <cellStyle name="Normal 5 2 4 2 3 3" xfId="12199" xr:uid="{00000000-0005-0000-0000-00001A740000}"/>
    <cellStyle name="Normal 5 2 4 2 3 3 2" xfId="32119" xr:uid="{00000000-0005-0000-0000-00001B740000}"/>
    <cellStyle name="Normal 5 2 4 2 3 4" xfId="18351" xr:uid="{00000000-0005-0000-0000-00001C740000}"/>
    <cellStyle name="Normal 5 2 4 2 3 4 2" xfId="38271" xr:uid="{00000000-0005-0000-0000-00001D740000}"/>
    <cellStyle name="Normal 5 2 4 2 3 5" xfId="25966" xr:uid="{00000000-0005-0000-0000-00001E740000}"/>
    <cellStyle name="Normal 5 2 4 2 4" xfId="7537" xr:uid="{00000000-0005-0000-0000-00001F740000}"/>
    <cellStyle name="Normal 5 2 4 2 4 2" xfId="13731" xr:uid="{00000000-0005-0000-0000-000020740000}"/>
    <cellStyle name="Normal 5 2 4 2 4 2 2" xfId="33651" xr:uid="{00000000-0005-0000-0000-000021740000}"/>
    <cellStyle name="Normal 5 2 4 2 4 3" xfId="19883" xr:uid="{00000000-0005-0000-0000-000022740000}"/>
    <cellStyle name="Normal 5 2 4 2 4 3 2" xfId="39803" xr:uid="{00000000-0005-0000-0000-000023740000}"/>
    <cellStyle name="Normal 5 2 4 2 4 4" xfId="27498" xr:uid="{00000000-0005-0000-0000-000024740000}"/>
    <cellStyle name="Normal 5 2 4 2 5" xfId="10665" xr:uid="{00000000-0005-0000-0000-000025740000}"/>
    <cellStyle name="Normal 5 2 4 2 5 2" xfId="30585" xr:uid="{00000000-0005-0000-0000-000026740000}"/>
    <cellStyle name="Normal 5 2 4 2 6" xfId="16817" xr:uid="{00000000-0005-0000-0000-000027740000}"/>
    <cellStyle name="Normal 5 2 4 2 6 2" xfId="36737" xr:uid="{00000000-0005-0000-0000-000028740000}"/>
    <cellStyle name="Normal 5 2 4 2 7" xfId="24432" xr:uid="{00000000-0005-0000-0000-000029740000}"/>
    <cellStyle name="Normal 5 2 5" xfId="3925" xr:uid="{00000000-0005-0000-0000-00002A740000}"/>
    <cellStyle name="Normal 5 2 6" xfId="3926" xr:uid="{00000000-0005-0000-0000-00002B740000}"/>
    <cellStyle name="Normal 5 2 6 2" xfId="5131" xr:uid="{00000000-0005-0000-0000-00002C740000}"/>
    <cellStyle name="Normal 5 2 6 2 2" xfId="6756" xr:uid="{00000000-0005-0000-0000-00002D740000}"/>
    <cellStyle name="Normal 5 2 6 2 2 2" xfId="9842" xr:uid="{00000000-0005-0000-0000-00002E740000}"/>
    <cellStyle name="Normal 5 2 6 2 2 2 2" xfId="16035" xr:uid="{00000000-0005-0000-0000-00002F740000}"/>
    <cellStyle name="Normal 5 2 6 2 2 2 2 2" xfId="35955" xr:uid="{00000000-0005-0000-0000-000030740000}"/>
    <cellStyle name="Normal 5 2 6 2 2 2 3" xfId="22187" xr:uid="{00000000-0005-0000-0000-000031740000}"/>
    <cellStyle name="Normal 5 2 6 2 2 2 3 2" xfId="42107" xr:uid="{00000000-0005-0000-0000-000032740000}"/>
    <cellStyle name="Normal 5 2 6 2 2 2 4" xfId="29802" xr:uid="{00000000-0005-0000-0000-000033740000}"/>
    <cellStyle name="Normal 5 2 6 2 2 3" xfId="12969" xr:uid="{00000000-0005-0000-0000-000034740000}"/>
    <cellStyle name="Normal 5 2 6 2 2 3 2" xfId="32889" xr:uid="{00000000-0005-0000-0000-000035740000}"/>
    <cellStyle name="Normal 5 2 6 2 2 4" xfId="19121" xr:uid="{00000000-0005-0000-0000-000036740000}"/>
    <cellStyle name="Normal 5 2 6 2 2 4 2" xfId="39041" xr:uid="{00000000-0005-0000-0000-000037740000}"/>
    <cellStyle name="Normal 5 2 6 2 2 5" xfId="26736" xr:uid="{00000000-0005-0000-0000-000038740000}"/>
    <cellStyle name="Normal 5 2 6 2 3" xfId="8307" xr:uid="{00000000-0005-0000-0000-000039740000}"/>
    <cellStyle name="Normal 5 2 6 2 3 2" xfId="14501" xr:uid="{00000000-0005-0000-0000-00003A740000}"/>
    <cellStyle name="Normal 5 2 6 2 3 2 2" xfId="34421" xr:uid="{00000000-0005-0000-0000-00003B740000}"/>
    <cellStyle name="Normal 5 2 6 2 3 3" xfId="20653" xr:uid="{00000000-0005-0000-0000-00003C740000}"/>
    <cellStyle name="Normal 5 2 6 2 3 3 2" xfId="40573" xr:uid="{00000000-0005-0000-0000-00003D740000}"/>
    <cellStyle name="Normal 5 2 6 2 3 4" xfId="28268" xr:uid="{00000000-0005-0000-0000-00003E740000}"/>
    <cellStyle name="Normal 5 2 6 2 4" xfId="11435" xr:uid="{00000000-0005-0000-0000-00003F740000}"/>
    <cellStyle name="Normal 5 2 6 2 4 2" xfId="31355" xr:uid="{00000000-0005-0000-0000-000040740000}"/>
    <cellStyle name="Normal 5 2 6 2 5" xfId="17587" xr:uid="{00000000-0005-0000-0000-000041740000}"/>
    <cellStyle name="Normal 5 2 6 2 5 2" xfId="37507" xr:uid="{00000000-0005-0000-0000-000042740000}"/>
    <cellStyle name="Normal 5 2 6 2 6" xfId="25202" xr:uid="{00000000-0005-0000-0000-000043740000}"/>
    <cellStyle name="Normal 5 2 6 3" xfId="5973" xr:uid="{00000000-0005-0000-0000-000044740000}"/>
    <cellStyle name="Normal 5 2 6 3 2" xfId="9073" xr:uid="{00000000-0005-0000-0000-000045740000}"/>
    <cellStyle name="Normal 5 2 6 3 2 2" xfId="15266" xr:uid="{00000000-0005-0000-0000-000046740000}"/>
    <cellStyle name="Normal 5 2 6 3 2 2 2" xfId="35186" xr:uid="{00000000-0005-0000-0000-000047740000}"/>
    <cellStyle name="Normal 5 2 6 3 2 3" xfId="21418" xr:uid="{00000000-0005-0000-0000-000048740000}"/>
    <cellStyle name="Normal 5 2 6 3 2 3 2" xfId="41338" xr:uid="{00000000-0005-0000-0000-000049740000}"/>
    <cellStyle name="Normal 5 2 6 3 2 4" xfId="29033" xr:uid="{00000000-0005-0000-0000-00004A740000}"/>
    <cellStyle name="Normal 5 2 6 3 3" xfId="12200" xr:uid="{00000000-0005-0000-0000-00004B740000}"/>
    <cellStyle name="Normal 5 2 6 3 3 2" xfId="32120" xr:uid="{00000000-0005-0000-0000-00004C740000}"/>
    <cellStyle name="Normal 5 2 6 3 4" xfId="18352" xr:uid="{00000000-0005-0000-0000-00004D740000}"/>
    <cellStyle name="Normal 5 2 6 3 4 2" xfId="38272" xr:uid="{00000000-0005-0000-0000-00004E740000}"/>
    <cellStyle name="Normal 5 2 6 3 5" xfId="25967" xr:uid="{00000000-0005-0000-0000-00004F740000}"/>
    <cellStyle name="Normal 5 2 6 4" xfId="7538" xr:uid="{00000000-0005-0000-0000-000050740000}"/>
    <cellStyle name="Normal 5 2 6 4 2" xfId="13732" xr:uid="{00000000-0005-0000-0000-000051740000}"/>
    <cellStyle name="Normal 5 2 6 4 2 2" xfId="33652" xr:uid="{00000000-0005-0000-0000-000052740000}"/>
    <cellStyle name="Normal 5 2 6 4 3" xfId="19884" xr:uid="{00000000-0005-0000-0000-000053740000}"/>
    <cellStyle name="Normal 5 2 6 4 3 2" xfId="39804" xr:uid="{00000000-0005-0000-0000-000054740000}"/>
    <cellStyle name="Normal 5 2 6 4 4" xfId="27499" xr:uid="{00000000-0005-0000-0000-000055740000}"/>
    <cellStyle name="Normal 5 2 6 5" xfId="10666" xr:uid="{00000000-0005-0000-0000-000056740000}"/>
    <cellStyle name="Normal 5 2 6 5 2" xfId="30586" xr:uid="{00000000-0005-0000-0000-000057740000}"/>
    <cellStyle name="Normal 5 2 6 6" xfId="16818" xr:uid="{00000000-0005-0000-0000-000058740000}"/>
    <cellStyle name="Normal 5 2 6 6 2" xfId="36738" xr:uid="{00000000-0005-0000-0000-000059740000}"/>
    <cellStyle name="Normal 5 2 6 7" xfId="24433" xr:uid="{00000000-0005-0000-0000-00005A740000}"/>
    <cellStyle name="Normal 5 2 7" xfId="5125" xr:uid="{00000000-0005-0000-0000-00005B740000}"/>
    <cellStyle name="Normal 5 2 7 2" xfId="6750" xr:uid="{00000000-0005-0000-0000-00005C740000}"/>
    <cellStyle name="Normal 5 2 7 2 2" xfId="9836" xr:uid="{00000000-0005-0000-0000-00005D740000}"/>
    <cellStyle name="Normal 5 2 7 2 2 2" xfId="16029" xr:uid="{00000000-0005-0000-0000-00005E740000}"/>
    <cellStyle name="Normal 5 2 7 2 2 2 2" xfId="35949" xr:uid="{00000000-0005-0000-0000-00005F740000}"/>
    <cellStyle name="Normal 5 2 7 2 2 3" xfId="22181" xr:uid="{00000000-0005-0000-0000-000060740000}"/>
    <cellStyle name="Normal 5 2 7 2 2 3 2" xfId="42101" xr:uid="{00000000-0005-0000-0000-000061740000}"/>
    <cellStyle name="Normal 5 2 7 2 2 4" xfId="29796" xr:uid="{00000000-0005-0000-0000-000062740000}"/>
    <cellStyle name="Normal 5 2 7 2 3" xfId="12963" xr:uid="{00000000-0005-0000-0000-000063740000}"/>
    <cellStyle name="Normal 5 2 7 2 3 2" xfId="32883" xr:uid="{00000000-0005-0000-0000-000064740000}"/>
    <cellStyle name="Normal 5 2 7 2 4" xfId="19115" xr:uid="{00000000-0005-0000-0000-000065740000}"/>
    <cellStyle name="Normal 5 2 7 2 4 2" xfId="39035" xr:uid="{00000000-0005-0000-0000-000066740000}"/>
    <cellStyle name="Normal 5 2 7 2 5" xfId="26730" xr:uid="{00000000-0005-0000-0000-000067740000}"/>
    <cellStyle name="Normal 5 2 7 3" xfId="8301" xr:uid="{00000000-0005-0000-0000-000068740000}"/>
    <cellStyle name="Normal 5 2 7 3 2" xfId="14495" xr:uid="{00000000-0005-0000-0000-000069740000}"/>
    <cellStyle name="Normal 5 2 7 3 2 2" xfId="34415" xr:uid="{00000000-0005-0000-0000-00006A740000}"/>
    <cellStyle name="Normal 5 2 7 3 3" xfId="20647" xr:uid="{00000000-0005-0000-0000-00006B740000}"/>
    <cellStyle name="Normal 5 2 7 3 3 2" xfId="40567" xr:uid="{00000000-0005-0000-0000-00006C740000}"/>
    <cellStyle name="Normal 5 2 7 3 4" xfId="28262" xr:uid="{00000000-0005-0000-0000-00006D740000}"/>
    <cellStyle name="Normal 5 2 7 4" xfId="11429" xr:uid="{00000000-0005-0000-0000-00006E740000}"/>
    <cellStyle name="Normal 5 2 7 4 2" xfId="31349" xr:uid="{00000000-0005-0000-0000-00006F740000}"/>
    <cellStyle name="Normal 5 2 7 5" xfId="17581" xr:uid="{00000000-0005-0000-0000-000070740000}"/>
    <cellStyle name="Normal 5 2 7 5 2" xfId="37501" xr:uid="{00000000-0005-0000-0000-000071740000}"/>
    <cellStyle name="Normal 5 2 7 6" xfId="25196" xr:uid="{00000000-0005-0000-0000-000072740000}"/>
    <cellStyle name="Normal 5 2 8" xfId="5967" xr:uid="{00000000-0005-0000-0000-000073740000}"/>
    <cellStyle name="Normal 5 2 8 2" xfId="9067" xr:uid="{00000000-0005-0000-0000-000074740000}"/>
    <cellStyle name="Normal 5 2 8 2 2" xfId="15260" xr:uid="{00000000-0005-0000-0000-000075740000}"/>
    <cellStyle name="Normal 5 2 8 2 2 2" xfId="35180" xr:uid="{00000000-0005-0000-0000-000076740000}"/>
    <cellStyle name="Normal 5 2 8 2 3" xfId="21412" xr:uid="{00000000-0005-0000-0000-000077740000}"/>
    <cellStyle name="Normal 5 2 8 2 3 2" xfId="41332" xr:uid="{00000000-0005-0000-0000-000078740000}"/>
    <cellStyle name="Normal 5 2 8 2 4" xfId="29027" xr:uid="{00000000-0005-0000-0000-000079740000}"/>
    <cellStyle name="Normal 5 2 8 3" xfId="12194" xr:uid="{00000000-0005-0000-0000-00007A740000}"/>
    <cellStyle name="Normal 5 2 8 3 2" xfId="32114" xr:uid="{00000000-0005-0000-0000-00007B740000}"/>
    <cellStyle name="Normal 5 2 8 4" xfId="18346" xr:uid="{00000000-0005-0000-0000-00007C740000}"/>
    <cellStyle name="Normal 5 2 8 4 2" xfId="38266" xr:uid="{00000000-0005-0000-0000-00007D740000}"/>
    <cellStyle name="Normal 5 2 8 5" xfId="25961" xr:uid="{00000000-0005-0000-0000-00007E740000}"/>
    <cellStyle name="Normal 5 2 9" xfId="7532" xr:uid="{00000000-0005-0000-0000-00007F740000}"/>
    <cellStyle name="Normal 5 2 9 2" xfId="13726" xr:uid="{00000000-0005-0000-0000-000080740000}"/>
    <cellStyle name="Normal 5 2 9 2 2" xfId="33646" xr:uid="{00000000-0005-0000-0000-000081740000}"/>
    <cellStyle name="Normal 5 2 9 3" xfId="19878" xr:uid="{00000000-0005-0000-0000-000082740000}"/>
    <cellStyle name="Normal 5 2 9 3 2" xfId="39798" xr:uid="{00000000-0005-0000-0000-000083740000}"/>
    <cellStyle name="Normal 5 2 9 4" xfId="27493" xr:uid="{00000000-0005-0000-0000-000084740000}"/>
    <cellStyle name="Normal 5 20" xfId="498" xr:uid="{00000000-0005-0000-0000-000085740000}"/>
    <cellStyle name="Normal 5 20 2" xfId="887" xr:uid="{00000000-0005-0000-0000-000086740000}"/>
    <cellStyle name="Normal 5 20 2 2" xfId="23769" xr:uid="{00000000-0005-0000-0000-000087740000}"/>
    <cellStyle name="Normal 5 20 3" xfId="3927" xr:uid="{00000000-0005-0000-0000-000088740000}"/>
    <cellStyle name="Normal 5 20 4" xfId="22554" xr:uid="{00000000-0005-0000-0000-000089740000}"/>
    <cellStyle name="Normal 5 20 4 2" xfId="42465" xr:uid="{00000000-0005-0000-0000-00008A740000}"/>
    <cellStyle name="Normal 5 20 5" xfId="22852" xr:uid="{00000000-0005-0000-0000-00008B740000}"/>
    <cellStyle name="Normal 5 20 5 2" xfId="42763" xr:uid="{00000000-0005-0000-0000-00008C740000}"/>
    <cellStyle name="Normal 5 20 6" xfId="23155" xr:uid="{00000000-0005-0000-0000-00008D740000}"/>
    <cellStyle name="Normal 5 20 6 2" xfId="43066" xr:uid="{00000000-0005-0000-0000-00008E740000}"/>
    <cellStyle name="Normal 5 20 7" xfId="23466" xr:uid="{00000000-0005-0000-0000-00008F740000}"/>
    <cellStyle name="Normal 5 21" xfId="522" xr:uid="{00000000-0005-0000-0000-000090740000}"/>
    <cellStyle name="Normal 5 21 2" xfId="903" xr:uid="{00000000-0005-0000-0000-000091740000}"/>
    <cellStyle name="Normal 5 21 2 2" xfId="23785" xr:uid="{00000000-0005-0000-0000-000092740000}"/>
    <cellStyle name="Normal 5 21 3" xfId="3928" xr:uid="{00000000-0005-0000-0000-000093740000}"/>
    <cellStyle name="Normal 5 21 4" xfId="22486" xr:uid="{00000000-0005-0000-0000-000094740000}"/>
    <cellStyle name="Normal 5 21 4 2" xfId="42397" xr:uid="{00000000-0005-0000-0000-000095740000}"/>
    <cellStyle name="Normal 5 21 5" xfId="22868" xr:uid="{00000000-0005-0000-0000-000096740000}"/>
    <cellStyle name="Normal 5 21 5 2" xfId="42779" xr:uid="{00000000-0005-0000-0000-000097740000}"/>
    <cellStyle name="Normal 5 21 6" xfId="23171" xr:uid="{00000000-0005-0000-0000-000098740000}"/>
    <cellStyle name="Normal 5 21 6 2" xfId="43082" xr:uid="{00000000-0005-0000-0000-000099740000}"/>
    <cellStyle name="Normal 5 21 7" xfId="23482" xr:uid="{00000000-0005-0000-0000-00009A740000}"/>
    <cellStyle name="Normal 5 22" xfId="548" xr:uid="{00000000-0005-0000-0000-00009B740000}"/>
    <cellStyle name="Normal 5 22 2" xfId="919" xr:uid="{00000000-0005-0000-0000-00009C740000}"/>
    <cellStyle name="Normal 5 22 2 2" xfId="23801" xr:uid="{00000000-0005-0000-0000-00009D740000}"/>
    <cellStyle name="Normal 5 22 3" xfId="3929" xr:uid="{00000000-0005-0000-0000-00009E740000}"/>
    <cellStyle name="Normal 5 22 4" xfId="22545" xr:uid="{00000000-0005-0000-0000-00009F740000}"/>
    <cellStyle name="Normal 5 22 4 2" xfId="42456" xr:uid="{00000000-0005-0000-0000-0000A0740000}"/>
    <cellStyle name="Normal 5 22 5" xfId="22884" xr:uid="{00000000-0005-0000-0000-0000A1740000}"/>
    <cellStyle name="Normal 5 22 5 2" xfId="42795" xr:uid="{00000000-0005-0000-0000-0000A2740000}"/>
    <cellStyle name="Normal 5 22 6" xfId="23187" xr:uid="{00000000-0005-0000-0000-0000A3740000}"/>
    <cellStyle name="Normal 5 22 6 2" xfId="43098" xr:uid="{00000000-0005-0000-0000-0000A4740000}"/>
    <cellStyle name="Normal 5 22 7" xfId="23498" xr:uid="{00000000-0005-0000-0000-0000A5740000}"/>
    <cellStyle name="Normal 5 23" xfId="588" xr:uid="{00000000-0005-0000-0000-0000A6740000}"/>
    <cellStyle name="Normal 5 23 2" xfId="935" xr:uid="{00000000-0005-0000-0000-0000A7740000}"/>
    <cellStyle name="Normal 5 23 2 2" xfId="23817" xr:uid="{00000000-0005-0000-0000-0000A8740000}"/>
    <cellStyle name="Normal 5 23 3" xfId="3930" xr:uid="{00000000-0005-0000-0000-0000A9740000}"/>
    <cellStyle name="Normal 5 23 4" xfId="22580" xr:uid="{00000000-0005-0000-0000-0000AA740000}"/>
    <cellStyle name="Normal 5 23 4 2" xfId="42491" xr:uid="{00000000-0005-0000-0000-0000AB740000}"/>
    <cellStyle name="Normal 5 23 5" xfId="22900" xr:uid="{00000000-0005-0000-0000-0000AC740000}"/>
    <cellStyle name="Normal 5 23 5 2" xfId="42811" xr:uid="{00000000-0005-0000-0000-0000AD740000}"/>
    <cellStyle name="Normal 5 23 6" xfId="23203" xr:uid="{00000000-0005-0000-0000-0000AE740000}"/>
    <cellStyle name="Normal 5 23 6 2" xfId="43114" xr:uid="{00000000-0005-0000-0000-0000AF740000}"/>
    <cellStyle name="Normal 5 23 7" xfId="23514" xr:uid="{00000000-0005-0000-0000-0000B0740000}"/>
    <cellStyle name="Normal 5 24" xfId="616" xr:uid="{00000000-0005-0000-0000-0000B1740000}"/>
    <cellStyle name="Normal 5 24 10" xfId="23530" xr:uid="{00000000-0005-0000-0000-0000B2740000}"/>
    <cellStyle name="Normal 5 24 2" xfId="951" xr:uid="{00000000-0005-0000-0000-0000B3740000}"/>
    <cellStyle name="Normal 5 24 2 2" xfId="6757" xr:uid="{00000000-0005-0000-0000-0000B4740000}"/>
    <cellStyle name="Normal 5 24 2 2 2" xfId="9843" xr:uid="{00000000-0005-0000-0000-0000B5740000}"/>
    <cellStyle name="Normal 5 24 2 2 2 2" xfId="16036" xr:uid="{00000000-0005-0000-0000-0000B6740000}"/>
    <cellStyle name="Normal 5 24 2 2 2 2 2" xfId="35956" xr:uid="{00000000-0005-0000-0000-0000B7740000}"/>
    <cellStyle name="Normal 5 24 2 2 2 3" xfId="22188" xr:uid="{00000000-0005-0000-0000-0000B8740000}"/>
    <cellStyle name="Normal 5 24 2 2 2 3 2" xfId="42108" xr:uid="{00000000-0005-0000-0000-0000B9740000}"/>
    <cellStyle name="Normal 5 24 2 2 2 4" xfId="29803" xr:uid="{00000000-0005-0000-0000-0000BA740000}"/>
    <cellStyle name="Normal 5 24 2 2 3" xfId="12970" xr:uid="{00000000-0005-0000-0000-0000BB740000}"/>
    <cellStyle name="Normal 5 24 2 2 3 2" xfId="32890" xr:uid="{00000000-0005-0000-0000-0000BC740000}"/>
    <cellStyle name="Normal 5 24 2 2 4" xfId="19122" xr:uid="{00000000-0005-0000-0000-0000BD740000}"/>
    <cellStyle name="Normal 5 24 2 2 4 2" xfId="39042" xr:uid="{00000000-0005-0000-0000-0000BE740000}"/>
    <cellStyle name="Normal 5 24 2 2 5" xfId="26737" xr:uid="{00000000-0005-0000-0000-0000BF740000}"/>
    <cellStyle name="Normal 5 24 2 3" xfId="8308" xr:uid="{00000000-0005-0000-0000-0000C0740000}"/>
    <cellStyle name="Normal 5 24 2 3 2" xfId="14502" xr:uid="{00000000-0005-0000-0000-0000C1740000}"/>
    <cellStyle name="Normal 5 24 2 3 2 2" xfId="34422" xr:uid="{00000000-0005-0000-0000-0000C2740000}"/>
    <cellStyle name="Normal 5 24 2 3 3" xfId="20654" xr:uid="{00000000-0005-0000-0000-0000C3740000}"/>
    <cellStyle name="Normal 5 24 2 3 3 2" xfId="40574" xr:uid="{00000000-0005-0000-0000-0000C4740000}"/>
    <cellStyle name="Normal 5 24 2 3 4" xfId="28269" xr:uid="{00000000-0005-0000-0000-0000C5740000}"/>
    <cellStyle name="Normal 5 24 2 4" xfId="11436" xr:uid="{00000000-0005-0000-0000-0000C6740000}"/>
    <cellStyle name="Normal 5 24 2 4 2" xfId="31356" xr:uid="{00000000-0005-0000-0000-0000C7740000}"/>
    <cellStyle name="Normal 5 24 2 5" xfId="17588" xr:uid="{00000000-0005-0000-0000-0000C8740000}"/>
    <cellStyle name="Normal 5 24 2 5 2" xfId="37508" xr:uid="{00000000-0005-0000-0000-0000C9740000}"/>
    <cellStyle name="Normal 5 24 2 6" xfId="5132" xr:uid="{00000000-0005-0000-0000-0000CA740000}"/>
    <cellStyle name="Normal 5 24 2 6 2" xfId="25203" xr:uid="{00000000-0005-0000-0000-0000CB740000}"/>
    <cellStyle name="Normal 5 24 2 7" xfId="23833" xr:uid="{00000000-0005-0000-0000-0000CC740000}"/>
    <cellStyle name="Normal 5 24 3" xfId="5974" xr:uid="{00000000-0005-0000-0000-0000CD740000}"/>
    <cellStyle name="Normal 5 24 3 2" xfId="9074" xr:uid="{00000000-0005-0000-0000-0000CE740000}"/>
    <cellStyle name="Normal 5 24 3 2 2" xfId="15267" xr:uid="{00000000-0005-0000-0000-0000CF740000}"/>
    <cellStyle name="Normal 5 24 3 2 2 2" xfId="35187" xr:uid="{00000000-0005-0000-0000-0000D0740000}"/>
    <cellStyle name="Normal 5 24 3 2 3" xfId="21419" xr:uid="{00000000-0005-0000-0000-0000D1740000}"/>
    <cellStyle name="Normal 5 24 3 2 3 2" xfId="41339" xr:uid="{00000000-0005-0000-0000-0000D2740000}"/>
    <cellStyle name="Normal 5 24 3 2 4" xfId="29034" xr:uid="{00000000-0005-0000-0000-0000D3740000}"/>
    <cellStyle name="Normal 5 24 3 3" xfId="12201" xr:uid="{00000000-0005-0000-0000-0000D4740000}"/>
    <cellStyle name="Normal 5 24 3 3 2" xfId="32121" xr:uid="{00000000-0005-0000-0000-0000D5740000}"/>
    <cellStyle name="Normal 5 24 3 4" xfId="18353" xr:uid="{00000000-0005-0000-0000-0000D6740000}"/>
    <cellStyle name="Normal 5 24 3 4 2" xfId="38273" xr:uid="{00000000-0005-0000-0000-0000D7740000}"/>
    <cellStyle name="Normal 5 24 3 5" xfId="25968" xr:uid="{00000000-0005-0000-0000-0000D8740000}"/>
    <cellStyle name="Normal 5 24 4" xfId="7539" xr:uid="{00000000-0005-0000-0000-0000D9740000}"/>
    <cellStyle name="Normal 5 24 4 2" xfId="13733" xr:uid="{00000000-0005-0000-0000-0000DA740000}"/>
    <cellStyle name="Normal 5 24 4 2 2" xfId="33653" xr:uid="{00000000-0005-0000-0000-0000DB740000}"/>
    <cellStyle name="Normal 5 24 4 3" xfId="19885" xr:uid="{00000000-0005-0000-0000-0000DC740000}"/>
    <cellStyle name="Normal 5 24 4 3 2" xfId="39805" xr:uid="{00000000-0005-0000-0000-0000DD740000}"/>
    <cellStyle name="Normal 5 24 4 4" xfId="27500" xr:uid="{00000000-0005-0000-0000-0000DE740000}"/>
    <cellStyle name="Normal 5 24 5" xfId="10667" xr:uid="{00000000-0005-0000-0000-0000DF740000}"/>
    <cellStyle name="Normal 5 24 5 2" xfId="30587" xr:uid="{00000000-0005-0000-0000-0000E0740000}"/>
    <cellStyle name="Normal 5 24 6" xfId="16819" xr:uid="{00000000-0005-0000-0000-0000E1740000}"/>
    <cellStyle name="Normal 5 24 6 2" xfId="36739" xr:uid="{00000000-0005-0000-0000-0000E2740000}"/>
    <cellStyle name="Normal 5 24 7" xfId="3931" xr:uid="{00000000-0005-0000-0000-0000E3740000}"/>
    <cellStyle name="Normal 5 24 7 2" xfId="24434" xr:uid="{00000000-0005-0000-0000-0000E4740000}"/>
    <cellStyle name="Normal 5 24 8" xfId="22916" xr:uid="{00000000-0005-0000-0000-0000E5740000}"/>
    <cellStyle name="Normal 5 24 8 2" xfId="42827" xr:uid="{00000000-0005-0000-0000-0000E6740000}"/>
    <cellStyle name="Normal 5 24 9" xfId="23219" xr:uid="{00000000-0005-0000-0000-0000E7740000}"/>
    <cellStyle name="Normal 5 24 9 2" xfId="43130" xr:uid="{00000000-0005-0000-0000-0000E8740000}"/>
    <cellStyle name="Normal 5 25" xfId="642" xr:uid="{00000000-0005-0000-0000-0000E9740000}"/>
    <cellStyle name="Normal 5 25 2" xfId="967" xr:uid="{00000000-0005-0000-0000-0000EA740000}"/>
    <cellStyle name="Normal 5 25 2 2" xfId="3933" xr:uid="{00000000-0005-0000-0000-0000EB740000}"/>
    <cellStyle name="Normal 5 25 2 3" xfId="23849" xr:uid="{00000000-0005-0000-0000-0000EC740000}"/>
    <cellStyle name="Normal 5 25 3" xfId="3932" xr:uid="{00000000-0005-0000-0000-0000ED740000}"/>
    <cellStyle name="Normal 5 25 4" xfId="22504" xr:uid="{00000000-0005-0000-0000-0000EE740000}"/>
    <cellStyle name="Normal 5 25 4 2" xfId="42415" xr:uid="{00000000-0005-0000-0000-0000EF740000}"/>
    <cellStyle name="Normal 5 25 5" xfId="22932" xr:uid="{00000000-0005-0000-0000-0000F0740000}"/>
    <cellStyle name="Normal 5 25 5 2" xfId="42843" xr:uid="{00000000-0005-0000-0000-0000F1740000}"/>
    <cellStyle name="Normal 5 25 6" xfId="23235" xr:uid="{00000000-0005-0000-0000-0000F2740000}"/>
    <cellStyle name="Normal 5 25 6 2" xfId="43146" xr:uid="{00000000-0005-0000-0000-0000F3740000}"/>
    <cellStyle name="Normal 5 25 7" xfId="23546" xr:uid="{00000000-0005-0000-0000-0000F4740000}"/>
    <cellStyle name="Normal 5 26" xfId="667" xr:uid="{00000000-0005-0000-0000-0000F5740000}"/>
    <cellStyle name="Normal 5 26 2" xfId="983" xr:uid="{00000000-0005-0000-0000-0000F6740000}"/>
    <cellStyle name="Normal 5 26 2 2" xfId="3935" xr:uid="{00000000-0005-0000-0000-0000F7740000}"/>
    <cellStyle name="Normal 5 26 2 3" xfId="23865" xr:uid="{00000000-0005-0000-0000-0000F8740000}"/>
    <cellStyle name="Normal 5 26 3" xfId="3934" xr:uid="{00000000-0005-0000-0000-0000F9740000}"/>
    <cellStyle name="Normal 5 26 4" xfId="22632" xr:uid="{00000000-0005-0000-0000-0000FA740000}"/>
    <cellStyle name="Normal 5 26 4 2" xfId="42543" xr:uid="{00000000-0005-0000-0000-0000FB740000}"/>
    <cellStyle name="Normal 5 26 5" xfId="22948" xr:uid="{00000000-0005-0000-0000-0000FC740000}"/>
    <cellStyle name="Normal 5 26 5 2" xfId="42859" xr:uid="{00000000-0005-0000-0000-0000FD740000}"/>
    <cellStyle name="Normal 5 26 6" xfId="23251" xr:uid="{00000000-0005-0000-0000-0000FE740000}"/>
    <cellStyle name="Normal 5 26 6 2" xfId="43162" xr:uid="{00000000-0005-0000-0000-0000FF740000}"/>
    <cellStyle name="Normal 5 26 7" xfId="23562" xr:uid="{00000000-0005-0000-0000-000000750000}"/>
    <cellStyle name="Normal 5 27" xfId="691" xr:uid="{00000000-0005-0000-0000-000001750000}"/>
    <cellStyle name="Normal 5 27 2" xfId="999" xr:uid="{00000000-0005-0000-0000-000002750000}"/>
    <cellStyle name="Normal 5 27 2 2" xfId="23881" xr:uid="{00000000-0005-0000-0000-000003750000}"/>
    <cellStyle name="Normal 5 27 3" xfId="4501" xr:uid="{00000000-0005-0000-0000-000004750000}"/>
    <cellStyle name="Normal 5 27 4" xfId="22485" xr:uid="{00000000-0005-0000-0000-000005750000}"/>
    <cellStyle name="Normal 5 27 4 2" xfId="42396" xr:uid="{00000000-0005-0000-0000-000006750000}"/>
    <cellStyle name="Normal 5 27 5" xfId="22964" xr:uid="{00000000-0005-0000-0000-000007750000}"/>
    <cellStyle name="Normal 5 27 5 2" xfId="42875" xr:uid="{00000000-0005-0000-0000-000008750000}"/>
    <cellStyle name="Normal 5 27 6" xfId="23267" xr:uid="{00000000-0005-0000-0000-000009750000}"/>
    <cellStyle name="Normal 5 27 6 2" xfId="43178" xr:uid="{00000000-0005-0000-0000-00000A750000}"/>
    <cellStyle name="Normal 5 27 7" xfId="23578" xr:uid="{00000000-0005-0000-0000-00000B750000}"/>
    <cellStyle name="Normal 5 28" xfId="707" xr:uid="{00000000-0005-0000-0000-00000C750000}"/>
    <cellStyle name="Normal 5 28 10" xfId="23594" xr:uid="{00000000-0005-0000-0000-00000D750000}"/>
    <cellStyle name="Normal 5 28 2" xfId="1015" xr:uid="{00000000-0005-0000-0000-00000E750000}"/>
    <cellStyle name="Normal 5 28 2 2" xfId="6749" xr:uid="{00000000-0005-0000-0000-00000F750000}"/>
    <cellStyle name="Normal 5 28 2 2 2" xfId="9835" xr:uid="{00000000-0005-0000-0000-000010750000}"/>
    <cellStyle name="Normal 5 28 2 2 2 2" xfId="16028" xr:uid="{00000000-0005-0000-0000-000011750000}"/>
    <cellStyle name="Normal 5 28 2 2 2 2 2" xfId="35948" xr:uid="{00000000-0005-0000-0000-000012750000}"/>
    <cellStyle name="Normal 5 28 2 2 2 3" xfId="22180" xr:uid="{00000000-0005-0000-0000-000013750000}"/>
    <cellStyle name="Normal 5 28 2 2 2 3 2" xfId="42100" xr:uid="{00000000-0005-0000-0000-000014750000}"/>
    <cellStyle name="Normal 5 28 2 2 2 4" xfId="29795" xr:uid="{00000000-0005-0000-0000-000015750000}"/>
    <cellStyle name="Normal 5 28 2 2 3" xfId="12962" xr:uid="{00000000-0005-0000-0000-000016750000}"/>
    <cellStyle name="Normal 5 28 2 2 3 2" xfId="32882" xr:uid="{00000000-0005-0000-0000-000017750000}"/>
    <cellStyle name="Normal 5 28 2 2 4" xfId="19114" xr:uid="{00000000-0005-0000-0000-000018750000}"/>
    <cellStyle name="Normal 5 28 2 2 4 2" xfId="39034" xr:uid="{00000000-0005-0000-0000-000019750000}"/>
    <cellStyle name="Normal 5 28 2 2 5" xfId="26729" xr:uid="{00000000-0005-0000-0000-00001A750000}"/>
    <cellStyle name="Normal 5 28 2 3" xfId="8300" xr:uid="{00000000-0005-0000-0000-00001B750000}"/>
    <cellStyle name="Normal 5 28 2 3 2" xfId="14494" xr:uid="{00000000-0005-0000-0000-00001C750000}"/>
    <cellStyle name="Normal 5 28 2 3 2 2" xfId="34414" xr:uid="{00000000-0005-0000-0000-00001D750000}"/>
    <cellStyle name="Normal 5 28 2 3 3" xfId="20646" xr:uid="{00000000-0005-0000-0000-00001E750000}"/>
    <cellStyle name="Normal 5 28 2 3 3 2" xfId="40566" xr:uid="{00000000-0005-0000-0000-00001F750000}"/>
    <cellStyle name="Normal 5 28 2 3 4" xfId="28261" xr:uid="{00000000-0005-0000-0000-000020750000}"/>
    <cellStyle name="Normal 5 28 2 4" xfId="11428" xr:uid="{00000000-0005-0000-0000-000021750000}"/>
    <cellStyle name="Normal 5 28 2 4 2" xfId="31348" xr:uid="{00000000-0005-0000-0000-000022750000}"/>
    <cellStyle name="Normal 5 28 2 5" xfId="17580" xr:uid="{00000000-0005-0000-0000-000023750000}"/>
    <cellStyle name="Normal 5 28 2 5 2" xfId="37500" xr:uid="{00000000-0005-0000-0000-000024750000}"/>
    <cellStyle name="Normal 5 28 2 6" xfId="5124" xr:uid="{00000000-0005-0000-0000-000025750000}"/>
    <cellStyle name="Normal 5 28 2 6 2" xfId="25195" xr:uid="{00000000-0005-0000-0000-000026750000}"/>
    <cellStyle name="Normal 5 28 2 7" xfId="23897" xr:uid="{00000000-0005-0000-0000-000027750000}"/>
    <cellStyle name="Normal 5 28 3" xfId="5966" xr:uid="{00000000-0005-0000-0000-000028750000}"/>
    <cellStyle name="Normal 5 28 3 2" xfId="9066" xr:uid="{00000000-0005-0000-0000-000029750000}"/>
    <cellStyle name="Normal 5 28 3 2 2" xfId="15259" xr:uid="{00000000-0005-0000-0000-00002A750000}"/>
    <cellStyle name="Normal 5 28 3 2 2 2" xfId="35179" xr:uid="{00000000-0005-0000-0000-00002B750000}"/>
    <cellStyle name="Normal 5 28 3 2 3" xfId="21411" xr:uid="{00000000-0005-0000-0000-00002C750000}"/>
    <cellStyle name="Normal 5 28 3 2 3 2" xfId="41331" xr:uid="{00000000-0005-0000-0000-00002D750000}"/>
    <cellStyle name="Normal 5 28 3 2 4" xfId="29026" xr:uid="{00000000-0005-0000-0000-00002E750000}"/>
    <cellStyle name="Normal 5 28 3 3" xfId="12193" xr:uid="{00000000-0005-0000-0000-00002F750000}"/>
    <cellStyle name="Normal 5 28 3 3 2" xfId="32113" xr:uid="{00000000-0005-0000-0000-000030750000}"/>
    <cellStyle name="Normal 5 28 3 4" xfId="18345" xr:uid="{00000000-0005-0000-0000-000031750000}"/>
    <cellStyle name="Normal 5 28 3 4 2" xfId="38265" xr:uid="{00000000-0005-0000-0000-000032750000}"/>
    <cellStyle name="Normal 5 28 3 5" xfId="25960" xr:uid="{00000000-0005-0000-0000-000033750000}"/>
    <cellStyle name="Normal 5 28 4" xfId="7531" xr:uid="{00000000-0005-0000-0000-000034750000}"/>
    <cellStyle name="Normal 5 28 4 2" xfId="13725" xr:uid="{00000000-0005-0000-0000-000035750000}"/>
    <cellStyle name="Normal 5 28 4 2 2" xfId="33645" xr:uid="{00000000-0005-0000-0000-000036750000}"/>
    <cellStyle name="Normal 5 28 4 3" xfId="19877" xr:uid="{00000000-0005-0000-0000-000037750000}"/>
    <cellStyle name="Normal 5 28 4 3 2" xfId="39797" xr:uid="{00000000-0005-0000-0000-000038750000}"/>
    <cellStyle name="Normal 5 28 4 4" xfId="27492" xr:uid="{00000000-0005-0000-0000-000039750000}"/>
    <cellStyle name="Normal 5 28 5" xfId="10659" xr:uid="{00000000-0005-0000-0000-00003A750000}"/>
    <cellStyle name="Normal 5 28 5 2" xfId="30579" xr:uid="{00000000-0005-0000-0000-00003B750000}"/>
    <cellStyle name="Normal 5 28 6" xfId="16811" xr:uid="{00000000-0005-0000-0000-00003C750000}"/>
    <cellStyle name="Normal 5 28 6 2" xfId="36731" xr:uid="{00000000-0005-0000-0000-00003D750000}"/>
    <cellStyle name="Normal 5 28 7" xfId="3903" xr:uid="{00000000-0005-0000-0000-00003E750000}"/>
    <cellStyle name="Normal 5 28 7 2" xfId="24426" xr:uid="{00000000-0005-0000-0000-00003F750000}"/>
    <cellStyle name="Normal 5 28 8" xfId="22980" xr:uid="{00000000-0005-0000-0000-000040750000}"/>
    <cellStyle name="Normal 5 28 8 2" xfId="42891" xr:uid="{00000000-0005-0000-0000-000041750000}"/>
    <cellStyle name="Normal 5 28 9" xfId="23283" xr:uid="{00000000-0005-0000-0000-000042750000}"/>
    <cellStyle name="Normal 5 28 9 2" xfId="43194" xr:uid="{00000000-0005-0000-0000-000043750000}"/>
    <cellStyle name="Normal 5 29" xfId="723" xr:uid="{00000000-0005-0000-0000-000044750000}"/>
    <cellStyle name="Normal 5 29 2" xfId="1031" xr:uid="{00000000-0005-0000-0000-000045750000}"/>
    <cellStyle name="Normal 5 29 2 2" xfId="23913" xr:uid="{00000000-0005-0000-0000-000046750000}"/>
    <cellStyle name="Normal 5 29 3" xfId="1059" xr:uid="{00000000-0005-0000-0000-000047750000}"/>
    <cellStyle name="Normal 5 29 4" xfId="22610" xr:uid="{00000000-0005-0000-0000-000048750000}"/>
    <cellStyle name="Normal 5 29 4 2" xfId="42521" xr:uid="{00000000-0005-0000-0000-000049750000}"/>
    <cellStyle name="Normal 5 29 5" xfId="22996" xr:uid="{00000000-0005-0000-0000-00004A750000}"/>
    <cellStyle name="Normal 5 29 5 2" xfId="42907" xr:uid="{00000000-0005-0000-0000-00004B750000}"/>
    <cellStyle name="Normal 5 29 6" xfId="23299" xr:uid="{00000000-0005-0000-0000-00004C750000}"/>
    <cellStyle name="Normal 5 29 6 2" xfId="43210" xr:uid="{00000000-0005-0000-0000-00004D750000}"/>
    <cellStyle name="Normal 5 29 7" xfId="23610" xr:uid="{00000000-0005-0000-0000-00004E750000}"/>
    <cellStyle name="Normal 5 3" xfId="175" xr:uid="{00000000-0005-0000-0000-00004F750000}"/>
    <cellStyle name="Normal 5 3 10" xfId="23039" xr:uid="{00000000-0005-0000-0000-000050750000}"/>
    <cellStyle name="Normal 5 3 10 2" xfId="42950" xr:uid="{00000000-0005-0000-0000-000051750000}"/>
    <cellStyle name="Normal 5 3 11" xfId="23350" xr:uid="{00000000-0005-0000-0000-000052750000}"/>
    <cellStyle name="Normal 5 3 2" xfId="771" xr:uid="{00000000-0005-0000-0000-000053750000}"/>
    <cellStyle name="Normal 5 3 2 2" xfId="3937" xr:uid="{00000000-0005-0000-0000-000054750000}"/>
    <cellStyle name="Normal 5 3 2 3" xfId="23653" xr:uid="{00000000-0005-0000-0000-000055750000}"/>
    <cellStyle name="Normal 5 3 3" xfId="5133" xr:uid="{00000000-0005-0000-0000-000056750000}"/>
    <cellStyle name="Normal 5 3 3 2" xfId="6758" xr:uid="{00000000-0005-0000-0000-000057750000}"/>
    <cellStyle name="Normal 5 3 3 2 2" xfId="9844" xr:uid="{00000000-0005-0000-0000-000058750000}"/>
    <cellStyle name="Normal 5 3 3 2 2 2" xfId="16037" xr:uid="{00000000-0005-0000-0000-000059750000}"/>
    <cellStyle name="Normal 5 3 3 2 2 2 2" xfId="35957" xr:uid="{00000000-0005-0000-0000-00005A750000}"/>
    <cellStyle name="Normal 5 3 3 2 2 3" xfId="22189" xr:uid="{00000000-0005-0000-0000-00005B750000}"/>
    <cellStyle name="Normal 5 3 3 2 2 3 2" xfId="42109" xr:uid="{00000000-0005-0000-0000-00005C750000}"/>
    <cellStyle name="Normal 5 3 3 2 2 4" xfId="29804" xr:uid="{00000000-0005-0000-0000-00005D750000}"/>
    <cellStyle name="Normal 5 3 3 2 3" xfId="12971" xr:uid="{00000000-0005-0000-0000-00005E750000}"/>
    <cellStyle name="Normal 5 3 3 2 3 2" xfId="32891" xr:uid="{00000000-0005-0000-0000-00005F750000}"/>
    <cellStyle name="Normal 5 3 3 2 4" xfId="19123" xr:uid="{00000000-0005-0000-0000-000060750000}"/>
    <cellStyle name="Normal 5 3 3 2 4 2" xfId="39043" xr:uid="{00000000-0005-0000-0000-000061750000}"/>
    <cellStyle name="Normal 5 3 3 2 5" xfId="26738" xr:uid="{00000000-0005-0000-0000-000062750000}"/>
    <cellStyle name="Normal 5 3 3 3" xfId="8309" xr:uid="{00000000-0005-0000-0000-000063750000}"/>
    <cellStyle name="Normal 5 3 3 3 2" xfId="14503" xr:uid="{00000000-0005-0000-0000-000064750000}"/>
    <cellStyle name="Normal 5 3 3 3 2 2" xfId="34423" xr:uid="{00000000-0005-0000-0000-000065750000}"/>
    <cellStyle name="Normal 5 3 3 3 3" xfId="20655" xr:uid="{00000000-0005-0000-0000-000066750000}"/>
    <cellStyle name="Normal 5 3 3 3 3 2" xfId="40575" xr:uid="{00000000-0005-0000-0000-000067750000}"/>
    <cellStyle name="Normal 5 3 3 3 4" xfId="28270" xr:uid="{00000000-0005-0000-0000-000068750000}"/>
    <cellStyle name="Normal 5 3 3 4" xfId="11437" xr:uid="{00000000-0005-0000-0000-000069750000}"/>
    <cellStyle name="Normal 5 3 3 4 2" xfId="31357" xr:uid="{00000000-0005-0000-0000-00006A750000}"/>
    <cellStyle name="Normal 5 3 3 5" xfId="17589" xr:uid="{00000000-0005-0000-0000-00006B750000}"/>
    <cellStyle name="Normal 5 3 3 5 2" xfId="37509" xr:uid="{00000000-0005-0000-0000-00006C750000}"/>
    <cellStyle name="Normal 5 3 3 6" xfId="25204" xr:uid="{00000000-0005-0000-0000-00006D750000}"/>
    <cellStyle name="Normal 5 3 4" xfId="5975" xr:uid="{00000000-0005-0000-0000-00006E750000}"/>
    <cellStyle name="Normal 5 3 4 2" xfId="9075" xr:uid="{00000000-0005-0000-0000-00006F750000}"/>
    <cellStyle name="Normal 5 3 4 2 2" xfId="15268" xr:uid="{00000000-0005-0000-0000-000070750000}"/>
    <cellStyle name="Normal 5 3 4 2 2 2" xfId="35188" xr:uid="{00000000-0005-0000-0000-000071750000}"/>
    <cellStyle name="Normal 5 3 4 2 3" xfId="21420" xr:uid="{00000000-0005-0000-0000-000072750000}"/>
    <cellStyle name="Normal 5 3 4 2 3 2" xfId="41340" xr:uid="{00000000-0005-0000-0000-000073750000}"/>
    <cellStyle name="Normal 5 3 4 2 4" xfId="29035" xr:uid="{00000000-0005-0000-0000-000074750000}"/>
    <cellStyle name="Normal 5 3 4 3" xfId="12202" xr:uid="{00000000-0005-0000-0000-000075750000}"/>
    <cellStyle name="Normal 5 3 4 3 2" xfId="32122" xr:uid="{00000000-0005-0000-0000-000076750000}"/>
    <cellStyle name="Normal 5 3 4 4" xfId="18354" xr:uid="{00000000-0005-0000-0000-000077750000}"/>
    <cellStyle name="Normal 5 3 4 4 2" xfId="38274" xr:uid="{00000000-0005-0000-0000-000078750000}"/>
    <cellStyle name="Normal 5 3 4 5" xfId="25969" xr:uid="{00000000-0005-0000-0000-000079750000}"/>
    <cellStyle name="Normal 5 3 5" xfId="7540" xr:uid="{00000000-0005-0000-0000-00007A750000}"/>
    <cellStyle name="Normal 5 3 5 2" xfId="13734" xr:uid="{00000000-0005-0000-0000-00007B750000}"/>
    <cellStyle name="Normal 5 3 5 2 2" xfId="33654" xr:uid="{00000000-0005-0000-0000-00007C750000}"/>
    <cellStyle name="Normal 5 3 5 3" xfId="19886" xr:uid="{00000000-0005-0000-0000-00007D750000}"/>
    <cellStyle name="Normal 5 3 5 3 2" xfId="39806" xr:uid="{00000000-0005-0000-0000-00007E750000}"/>
    <cellStyle name="Normal 5 3 5 4" xfId="27501" xr:uid="{00000000-0005-0000-0000-00007F750000}"/>
    <cellStyle name="Normal 5 3 6" xfId="10668" xr:uid="{00000000-0005-0000-0000-000080750000}"/>
    <cellStyle name="Normal 5 3 6 2" xfId="30588" xr:uid="{00000000-0005-0000-0000-000081750000}"/>
    <cellStyle name="Normal 5 3 7" xfId="16820" xr:uid="{00000000-0005-0000-0000-000082750000}"/>
    <cellStyle name="Normal 5 3 7 2" xfId="36740" xr:uid="{00000000-0005-0000-0000-000083750000}"/>
    <cellStyle name="Normal 5 3 8" xfId="3936" xr:uid="{00000000-0005-0000-0000-000084750000}"/>
    <cellStyle name="Normal 5 3 8 2" xfId="24435" xr:uid="{00000000-0005-0000-0000-000085750000}"/>
    <cellStyle name="Normal 5 3 9" xfId="22736" xr:uid="{00000000-0005-0000-0000-000086750000}"/>
    <cellStyle name="Normal 5 3 9 2" xfId="42647" xr:uid="{00000000-0005-0000-0000-000087750000}"/>
    <cellStyle name="Normal 5 4" xfId="198" xr:uid="{00000000-0005-0000-0000-000088750000}"/>
    <cellStyle name="Normal 5 4 10" xfId="23043" xr:uid="{00000000-0005-0000-0000-000089750000}"/>
    <cellStyle name="Normal 5 4 10 2" xfId="42954" xr:uid="{00000000-0005-0000-0000-00008A750000}"/>
    <cellStyle name="Normal 5 4 11" xfId="23354" xr:uid="{00000000-0005-0000-0000-00008B750000}"/>
    <cellStyle name="Normal 5 4 2" xfId="775" xr:uid="{00000000-0005-0000-0000-00008C750000}"/>
    <cellStyle name="Normal 5 4 2 2" xfId="3939" xr:uid="{00000000-0005-0000-0000-00008D750000}"/>
    <cellStyle name="Normal 5 4 2 3" xfId="23657" xr:uid="{00000000-0005-0000-0000-00008E750000}"/>
    <cellStyle name="Normal 5 4 3" xfId="5134" xr:uid="{00000000-0005-0000-0000-00008F750000}"/>
    <cellStyle name="Normal 5 4 3 2" xfId="6759" xr:uid="{00000000-0005-0000-0000-000090750000}"/>
    <cellStyle name="Normal 5 4 3 2 2" xfId="9845" xr:uid="{00000000-0005-0000-0000-000091750000}"/>
    <cellStyle name="Normal 5 4 3 2 2 2" xfId="16038" xr:uid="{00000000-0005-0000-0000-000092750000}"/>
    <cellStyle name="Normal 5 4 3 2 2 2 2" xfId="35958" xr:uid="{00000000-0005-0000-0000-000093750000}"/>
    <cellStyle name="Normal 5 4 3 2 2 3" xfId="22190" xr:uid="{00000000-0005-0000-0000-000094750000}"/>
    <cellStyle name="Normal 5 4 3 2 2 3 2" xfId="42110" xr:uid="{00000000-0005-0000-0000-000095750000}"/>
    <cellStyle name="Normal 5 4 3 2 2 4" xfId="29805" xr:uid="{00000000-0005-0000-0000-000096750000}"/>
    <cellStyle name="Normal 5 4 3 2 3" xfId="12972" xr:uid="{00000000-0005-0000-0000-000097750000}"/>
    <cellStyle name="Normal 5 4 3 2 3 2" xfId="32892" xr:uid="{00000000-0005-0000-0000-000098750000}"/>
    <cellStyle name="Normal 5 4 3 2 4" xfId="19124" xr:uid="{00000000-0005-0000-0000-000099750000}"/>
    <cellStyle name="Normal 5 4 3 2 4 2" xfId="39044" xr:uid="{00000000-0005-0000-0000-00009A750000}"/>
    <cellStyle name="Normal 5 4 3 2 5" xfId="26739" xr:uid="{00000000-0005-0000-0000-00009B750000}"/>
    <cellStyle name="Normal 5 4 3 3" xfId="8310" xr:uid="{00000000-0005-0000-0000-00009C750000}"/>
    <cellStyle name="Normal 5 4 3 3 2" xfId="14504" xr:uid="{00000000-0005-0000-0000-00009D750000}"/>
    <cellStyle name="Normal 5 4 3 3 2 2" xfId="34424" xr:uid="{00000000-0005-0000-0000-00009E750000}"/>
    <cellStyle name="Normal 5 4 3 3 3" xfId="20656" xr:uid="{00000000-0005-0000-0000-00009F750000}"/>
    <cellStyle name="Normal 5 4 3 3 3 2" xfId="40576" xr:uid="{00000000-0005-0000-0000-0000A0750000}"/>
    <cellStyle name="Normal 5 4 3 3 4" xfId="28271" xr:uid="{00000000-0005-0000-0000-0000A1750000}"/>
    <cellStyle name="Normal 5 4 3 4" xfId="11438" xr:uid="{00000000-0005-0000-0000-0000A2750000}"/>
    <cellStyle name="Normal 5 4 3 4 2" xfId="31358" xr:uid="{00000000-0005-0000-0000-0000A3750000}"/>
    <cellStyle name="Normal 5 4 3 5" xfId="17590" xr:uid="{00000000-0005-0000-0000-0000A4750000}"/>
    <cellStyle name="Normal 5 4 3 5 2" xfId="37510" xr:uid="{00000000-0005-0000-0000-0000A5750000}"/>
    <cellStyle name="Normal 5 4 3 6" xfId="25205" xr:uid="{00000000-0005-0000-0000-0000A6750000}"/>
    <cellStyle name="Normal 5 4 4" xfId="5976" xr:uid="{00000000-0005-0000-0000-0000A7750000}"/>
    <cellStyle name="Normal 5 4 4 2" xfId="9076" xr:uid="{00000000-0005-0000-0000-0000A8750000}"/>
    <cellStyle name="Normal 5 4 4 2 2" xfId="15269" xr:uid="{00000000-0005-0000-0000-0000A9750000}"/>
    <cellStyle name="Normal 5 4 4 2 2 2" xfId="35189" xr:uid="{00000000-0005-0000-0000-0000AA750000}"/>
    <cellStyle name="Normal 5 4 4 2 3" xfId="21421" xr:uid="{00000000-0005-0000-0000-0000AB750000}"/>
    <cellStyle name="Normal 5 4 4 2 3 2" xfId="41341" xr:uid="{00000000-0005-0000-0000-0000AC750000}"/>
    <cellStyle name="Normal 5 4 4 2 4" xfId="29036" xr:uid="{00000000-0005-0000-0000-0000AD750000}"/>
    <cellStyle name="Normal 5 4 4 3" xfId="12203" xr:uid="{00000000-0005-0000-0000-0000AE750000}"/>
    <cellStyle name="Normal 5 4 4 3 2" xfId="32123" xr:uid="{00000000-0005-0000-0000-0000AF750000}"/>
    <cellStyle name="Normal 5 4 4 4" xfId="18355" xr:uid="{00000000-0005-0000-0000-0000B0750000}"/>
    <cellStyle name="Normal 5 4 4 4 2" xfId="38275" xr:uid="{00000000-0005-0000-0000-0000B1750000}"/>
    <cellStyle name="Normal 5 4 4 5" xfId="25970" xr:uid="{00000000-0005-0000-0000-0000B2750000}"/>
    <cellStyle name="Normal 5 4 5" xfId="7541" xr:uid="{00000000-0005-0000-0000-0000B3750000}"/>
    <cellStyle name="Normal 5 4 5 2" xfId="13735" xr:uid="{00000000-0005-0000-0000-0000B4750000}"/>
    <cellStyle name="Normal 5 4 5 2 2" xfId="33655" xr:uid="{00000000-0005-0000-0000-0000B5750000}"/>
    <cellStyle name="Normal 5 4 5 3" xfId="19887" xr:uid="{00000000-0005-0000-0000-0000B6750000}"/>
    <cellStyle name="Normal 5 4 5 3 2" xfId="39807" xr:uid="{00000000-0005-0000-0000-0000B7750000}"/>
    <cellStyle name="Normal 5 4 5 4" xfId="27502" xr:uid="{00000000-0005-0000-0000-0000B8750000}"/>
    <cellStyle name="Normal 5 4 6" xfId="10669" xr:uid="{00000000-0005-0000-0000-0000B9750000}"/>
    <cellStyle name="Normal 5 4 6 2" xfId="30589" xr:uid="{00000000-0005-0000-0000-0000BA750000}"/>
    <cellStyle name="Normal 5 4 7" xfId="16821" xr:uid="{00000000-0005-0000-0000-0000BB750000}"/>
    <cellStyle name="Normal 5 4 7 2" xfId="36741" xr:uid="{00000000-0005-0000-0000-0000BC750000}"/>
    <cellStyle name="Normal 5 4 8" xfId="3938" xr:uid="{00000000-0005-0000-0000-0000BD750000}"/>
    <cellStyle name="Normal 5 4 8 2" xfId="24436" xr:uid="{00000000-0005-0000-0000-0000BE750000}"/>
    <cellStyle name="Normal 5 4 9" xfId="22740" xr:uid="{00000000-0005-0000-0000-0000BF750000}"/>
    <cellStyle name="Normal 5 4 9 2" xfId="42651" xr:uid="{00000000-0005-0000-0000-0000C0750000}"/>
    <cellStyle name="Normal 5 5" xfId="213" xr:uid="{00000000-0005-0000-0000-0000C1750000}"/>
    <cellStyle name="Normal 5 5 10" xfId="23046" xr:uid="{00000000-0005-0000-0000-0000C2750000}"/>
    <cellStyle name="Normal 5 5 10 2" xfId="42957" xr:uid="{00000000-0005-0000-0000-0000C3750000}"/>
    <cellStyle name="Normal 5 5 11" xfId="23357" xr:uid="{00000000-0005-0000-0000-0000C4750000}"/>
    <cellStyle name="Normal 5 5 2" xfId="778" xr:uid="{00000000-0005-0000-0000-0000C5750000}"/>
    <cellStyle name="Normal 5 5 2 2" xfId="3941" xr:uid="{00000000-0005-0000-0000-0000C6750000}"/>
    <cellStyle name="Normal 5 5 2 3" xfId="23660" xr:uid="{00000000-0005-0000-0000-0000C7750000}"/>
    <cellStyle name="Normal 5 5 3" xfId="5135" xr:uid="{00000000-0005-0000-0000-0000C8750000}"/>
    <cellStyle name="Normal 5 5 3 2" xfId="6760" xr:uid="{00000000-0005-0000-0000-0000C9750000}"/>
    <cellStyle name="Normal 5 5 3 2 2" xfId="9846" xr:uid="{00000000-0005-0000-0000-0000CA750000}"/>
    <cellStyle name="Normal 5 5 3 2 2 2" xfId="16039" xr:uid="{00000000-0005-0000-0000-0000CB750000}"/>
    <cellStyle name="Normal 5 5 3 2 2 2 2" xfId="35959" xr:uid="{00000000-0005-0000-0000-0000CC750000}"/>
    <cellStyle name="Normal 5 5 3 2 2 3" xfId="22191" xr:uid="{00000000-0005-0000-0000-0000CD750000}"/>
    <cellStyle name="Normal 5 5 3 2 2 3 2" xfId="42111" xr:uid="{00000000-0005-0000-0000-0000CE750000}"/>
    <cellStyle name="Normal 5 5 3 2 2 4" xfId="29806" xr:uid="{00000000-0005-0000-0000-0000CF750000}"/>
    <cellStyle name="Normal 5 5 3 2 3" xfId="12973" xr:uid="{00000000-0005-0000-0000-0000D0750000}"/>
    <cellStyle name="Normal 5 5 3 2 3 2" xfId="32893" xr:uid="{00000000-0005-0000-0000-0000D1750000}"/>
    <cellStyle name="Normal 5 5 3 2 4" xfId="19125" xr:uid="{00000000-0005-0000-0000-0000D2750000}"/>
    <cellStyle name="Normal 5 5 3 2 4 2" xfId="39045" xr:uid="{00000000-0005-0000-0000-0000D3750000}"/>
    <cellStyle name="Normal 5 5 3 2 5" xfId="26740" xr:uid="{00000000-0005-0000-0000-0000D4750000}"/>
    <cellStyle name="Normal 5 5 3 3" xfId="8311" xr:uid="{00000000-0005-0000-0000-0000D5750000}"/>
    <cellStyle name="Normal 5 5 3 3 2" xfId="14505" xr:uid="{00000000-0005-0000-0000-0000D6750000}"/>
    <cellStyle name="Normal 5 5 3 3 2 2" xfId="34425" xr:uid="{00000000-0005-0000-0000-0000D7750000}"/>
    <cellStyle name="Normal 5 5 3 3 3" xfId="20657" xr:uid="{00000000-0005-0000-0000-0000D8750000}"/>
    <cellStyle name="Normal 5 5 3 3 3 2" xfId="40577" xr:uid="{00000000-0005-0000-0000-0000D9750000}"/>
    <cellStyle name="Normal 5 5 3 3 4" xfId="28272" xr:uid="{00000000-0005-0000-0000-0000DA750000}"/>
    <cellStyle name="Normal 5 5 3 4" xfId="11439" xr:uid="{00000000-0005-0000-0000-0000DB750000}"/>
    <cellStyle name="Normal 5 5 3 4 2" xfId="31359" xr:uid="{00000000-0005-0000-0000-0000DC750000}"/>
    <cellStyle name="Normal 5 5 3 5" xfId="17591" xr:uid="{00000000-0005-0000-0000-0000DD750000}"/>
    <cellStyle name="Normal 5 5 3 5 2" xfId="37511" xr:uid="{00000000-0005-0000-0000-0000DE750000}"/>
    <cellStyle name="Normal 5 5 3 6" xfId="25206" xr:uid="{00000000-0005-0000-0000-0000DF750000}"/>
    <cellStyle name="Normal 5 5 4" xfId="5977" xr:uid="{00000000-0005-0000-0000-0000E0750000}"/>
    <cellStyle name="Normal 5 5 4 2" xfId="9077" xr:uid="{00000000-0005-0000-0000-0000E1750000}"/>
    <cellStyle name="Normal 5 5 4 2 2" xfId="15270" xr:uid="{00000000-0005-0000-0000-0000E2750000}"/>
    <cellStyle name="Normal 5 5 4 2 2 2" xfId="35190" xr:uid="{00000000-0005-0000-0000-0000E3750000}"/>
    <cellStyle name="Normal 5 5 4 2 3" xfId="21422" xr:uid="{00000000-0005-0000-0000-0000E4750000}"/>
    <cellStyle name="Normal 5 5 4 2 3 2" xfId="41342" xr:uid="{00000000-0005-0000-0000-0000E5750000}"/>
    <cellStyle name="Normal 5 5 4 2 4" xfId="29037" xr:uid="{00000000-0005-0000-0000-0000E6750000}"/>
    <cellStyle name="Normal 5 5 4 3" xfId="12204" xr:uid="{00000000-0005-0000-0000-0000E7750000}"/>
    <cellStyle name="Normal 5 5 4 3 2" xfId="32124" xr:uid="{00000000-0005-0000-0000-0000E8750000}"/>
    <cellStyle name="Normal 5 5 4 4" xfId="18356" xr:uid="{00000000-0005-0000-0000-0000E9750000}"/>
    <cellStyle name="Normal 5 5 4 4 2" xfId="38276" xr:uid="{00000000-0005-0000-0000-0000EA750000}"/>
    <cellStyle name="Normal 5 5 4 5" xfId="25971" xr:uid="{00000000-0005-0000-0000-0000EB750000}"/>
    <cellStyle name="Normal 5 5 5" xfId="7542" xr:uid="{00000000-0005-0000-0000-0000EC750000}"/>
    <cellStyle name="Normal 5 5 5 2" xfId="13736" xr:uid="{00000000-0005-0000-0000-0000ED750000}"/>
    <cellStyle name="Normal 5 5 5 2 2" xfId="33656" xr:uid="{00000000-0005-0000-0000-0000EE750000}"/>
    <cellStyle name="Normal 5 5 5 3" xfId="19888" xr:uid="{00000000-0005-0000-0000-0000EF750000}"/>
    <cellStyle name="Normal 5 5 5 3 2" xfId="39808" xr:uid="{00000000-0005-0000-0000-0000F0750000}"/>
    <cellStyle name="Normal 5 5 5 4" xfId="27503" xr:uid="{00000000-0005-0000-0000-0000F1750000}"/>
    <cellStyle name="Normal 5 5 6" xfId="10670" xr:uid="{00000000-0005-0000-0000-0000F2750000}"/>
    <cellStyle name="Normal 5 5 6 2" xfId="30590" xr:uid="{00000000-0005-0000-0000-0000F3750000}"/>
    <cellStyle name="Normal 5 5 7" xfId="16822" xr:uid="{00000000-0005-0000-0000-0000F4750000}"/>
    <cellStyle name="Normal 5 5 7 2" xfId="36742" xr:uid="{00000000-0005-0000-0000-0000F5750000}"/>
    <cellStyle name="Normal 5 5 8" xfId="3940" xr:uid="{00000000-0005-0000-0000-0000F6750000}"/>
    <cellStyle name="Normal 5 5 8 2" xfId="24437" xr:uid="{00000000-0005-0000-0000-0000F7750000}"/>
    <cellStyle name="Normal 5 5 9" xfId="22743" xr:uid="{00000000-0005-0000-0000-0000F8750000}"/>
    <cellStyle name="Normal 5 5 9 2" xfId="42654" xr:uid="{00000000-0005-0000-0000-0000F9750000}"/>
    <cellStyle name="Normal 5 6" xfId="227" xr:uid="{00000000-0005-0000-0000-0000FA750000}"/>
    <cellStyle name="Normal 5 6 10" xfId="23049" xr:uid="{00000000-0005-0000-0000-0000FB750000}"/>
    <cellStyle name="Normal 5 6 10 2" xfId="42960" xr:uid="{00000000-0005-0000-0000-0000FC750000}"/>
    <cellStyle name="Normal 5 6 11" xfId="23360" xr:uid="{00000000-0005-0000-0000-0000FD750000}"/>
    <cellStyle name="Normal 5 6 2" xfId="781" xr:uid="{00000000-0005-0000-0000-0000FE750000}"/>
    <cellStyle name="Normal 5 6 2 2" xfId="3943" xr:uid="{00000000-0005-0000-0000-0000FF750000}"/>
    <cellStyle name="Normal 5 6 2 3" xfId="23663" xr:uid="{00000000-0005-0000-0000-000000760000}"/>
    <cellStyle name="Normal 5 6 3" xfId="5136" xr:uid="{00000000-0005-0000-0000-000001760000}"/>
    <cellStyle name="Normal 5 6 3 2" xfId="6761" xr:uid="{00000000-0005-0000-0000-000002760000}"/>
    <cellStyle name="Normal 5 6 3 2 2" xfId="9847" xr:uid="{00000000-0005-0000-0000-000003760000}"/>
    <cellStyle name="Normal 5 6 3 2 2 2" xfId="16040" xr:uid="{00000000-0005-0000-0000-000004760000}"/>
    <cellStyle name="Normal 5 6 3 2 2 2 2" xfId="35960" xr:uid="{00000000-0005-0000-0000-000005760000}"/>
    <cellStyle name="Normal 5 6 3 2 2 3" xfId="22192" xr:uid="{00000000-0005-0000-0000-000006760000}"/>
    <cellStyle name="Normal 5 6 3 2 2 3 2" xfId="42112" xr:uid="{00000000-0005-0000-0000-000007760000}"/>
    <cellStyle name="Normal 5 6 3 2 2 4" xfId="29807" xr:uid="{00000000-0005-0000-0000-000008760000}"/>
    <cellStyle name="Normal 5 6 3 2 3" xfId="12974" xr:uid="{00000000-0005-0000-0000-000009760000}"/>
    <cellStyle name="Normal 5 6 3 2 3 2" xfId="32894" xr:uid="{00000000-0005-0000-0000-00000A760000}"/>
    <cellStyle name="Normal 5 6 3 2 4" xfId="19126" xr:uid="{00000000-0005-0000-0000-00000B760000}"/>
    <cellStyle name="Normal 5 6 3 2 4 2" xfId="39046" xr:uid="{00000000-0005-0000-0000-00000C760000}"/>
    <cellStyle name="Normal 5 6 3 2 5" xfId="26741" xr:uid="{00000000-0005-0000-0000-00000D760000}"/>
    <cellStyle name="Normal 5 6 3 3" xfId="8312" xr:uid="{00000000-0005-0000-0000-00000E760000}"/>
    <cellStyle name="Normal 5 6 3 3 2" xfId="14506" xr:uid="{00000000-0005-0000-0000-00000F760000}"/>
    <cellStyle name="Normal 5 6 3 3 2 2" xfId="34426" xr:uid="{00000000-0005-0000-0000-000010760000}"/>
    <cellStyle name="Normal 5 6 3 3 3" xfId="20658" xr:uid="{00000000-0005-0000-0000-000011760000}"/>
    <cellStyle name="Normal 5 6 3 3 3 2" xfId="40578" xr:uid="{00000000-0005-0000-0000-000012760000}"/>
    <cellStyle name="Normal 5 6 3 3 4" xfId="28273" xr:uid="{00000000-0005-0000-0000-000013760000}"/>
    <cellStyle name="Normal 5 6 3 4" xfId="11440" xr:uid="{00000000-0005-0000-0000-000014760000}"/>
    <cellStyle name="Normal 5 6 3 4 2" xfId="31360" xr:uid="{00000000-0005-0000-0000-000015760000}"/>
    <cellStyle name="Normal 5 6 3 5" xfId="17592" xr:uid="{00000000-0005-0000-0000-000016760000}"/>
    <cellStyle name="Normal 5 6 3 5 2" xfId="37512" xr:uid="{00000000-0005-0000-0000-000017760000}"/>
    <cellStyle name="Normal 5 6 3 6" xfId="25207" xr:uid="{00000000-0005-0000-0000-000018760000}"/>
    <cellStyle name="Normal 5 6 4" xfId="5978" xr:uid="{00000000-0005-0000-0000-000019760000}"/>
    <cellStyle name="Normal 5 6 4 2" xfId="9078" xr:uid="{00000000-0005-0000-0000-00001A760000}"/>
    <cellStyle name="Normal 5 6 4 2 2" xfId="15271" xr:uid="{00000000-0005-0000-0000-00001B760000}"/>
    <cellStyle name="Normal 5 6 4 2 2 2" xfId="35191" xr:uid="{00000000-0005-0000-0000-00001C760000}"/>
    <cellStyle name="Normal 5 6 4 2 3" xfId="21423" xr:uid="{00000000-0005-0000-0000-00001D760000}"/>
    <cellStyle name="Normal 5 6 4 2 3 2" xfId="41343" xr:uid="{00000000-0005-0000-0000-00001E760000}"/>
    <cellStyle name="Normal 5 6 4 2 4" xfId="29038" xr:uid="{00000000-0005-0000-0000-00001F760000}"/>
    <cellStyle name="Normal 5 6 4 3" xfId="12205" xr:uid="{00000000-0005-0000-0000-000020760000}"/>
    <cellStyle name="Normal 5 6 4 3 2" xfId="32125" xr:uid="{00000000-0005-0000-0000-000021760000}"/>
    <cellStyle name="Normal 5 6 4 4" xfId="18357" xr:uid="{00000000-0005-0000-0000-000022760000}"/>
    <cellStyle name="Normal 5 6 4 4 2" xfId="38277" xr:uid="{00000000-0005-0000-0000-000023760000}"/>
    <cellStyle name="Normal 5 6 4 5" xfId="25972" xr:uid="{00000000-0005-0000-0000-000024760000}"/>
    <cellStyle name="Normal 5 6 5" xfId="7543" xr:uid="{00000000-0005-0000-0000-000025760000}"/>
    <cellStyle name="Normal 5 6 5 2" xfId="13737" xr:uid="{00000000-0005-0000-0000-000026760000}"/>
    <cellStyle name="Normal 5 6 5 2 2" xfId="33657" xr:uid="{00000000-0005-0000-0000-000027760000}"/>
    <cellStyle name="Normal 5 6 5 3" xfId="19889" xr:uid="{00000000-0005-0000-0000-000028760000}"/>
    <cellStyle name="Normal 5 6 5 3 2" xfId="39809" xr:uid="{00000000-0005-0000-0000-000029760000}"/>
    <cellStyle name="Normal 5 6 5 4" xfId="27504" xr:uid="{00000000-0005-0000-0000-00002A760000}"/>
    <cellStyle name="Normal 5 6 6" xfId="10671" xr:uid="{00000000-0005-0000-0000-00002B760000}"/>
    <cellStyle name="Normal 5 6 6 2" xfId="30591" xr:uid="{00000000-0005-0000-0000-00002C760000}"/>
    <cellStyle name="Normal 5 6 7" xfId="16823" xr:uid="{00000000-0005-0000-0000-00002D760000}"/>
    <cellStyle name="Normal 5 6 7 2" xfId="36743" xr:uid="{00000000-0005-0000-0000-00002E760000}"/>
    <cellStyle name="Normal 5 6 8" xfId="3942" xr:uid="{00000000-0005-0000-0000-00002F760000}"/>
    <cellStyle name="Normal 5 6 8 2" xfId="24438" xr:uid="{00000000-0005-0000-0000-000030760000}"/>
    <cellStyle name="Normal 5 6 9" xfId="22746" xr:uid="{00000000-0005-0000-0000-000031760000}"/>
    <cellStyle name="Normal 5 6 9 2" xfId="42657" xr:uid="{00000000-0005-0000-0000-000032760000}"/>
    <cellStyle name="Normal 5 7" xfId="243" xr:uid="{00000000-0005-0000-0000-000033760000}"/>
    <cellStyle name="Normal 5 7 10" xfId="23052" xr:uid="{00000000-0005-0000-0000-000034760000}"/>
    <cellStyle name="Normal 5 7 10 2" xfId="42963" xr:uid="{00000000-0005-0000-0000-000035760000}"/>
    <cellStyle name="Normal 5 7 11" xfId="23363" xr:uid="{00000000-0005-0000-0000-000036760000}"/>
    <cellStyle name="Normal 5 7 2" xfId="784" xr:uid="{00000000-0005-0000-0000-000037760000}"/>
    <cellStyle name="Normal 5 7 2 2" xfId="3945" xr:uid="{00000000-0005-0000-0000-000038760000}"/>
    <cellStyle name="Normal 5 7 2 3" xfId="23666" xr:uid="{00000000-0005-0000-0000-000039760000}"/>
    <cellStyle name="Normal 5 7 3" xfId="5137" xr:uid="{00000000-0005-0000-0000-00003A760000}"/>
    <cellStyle name="Normal 5 7 3 2" xfId="6762" xr:uid="{00000000-0005-0000-0000-00003B760000}"/>
    <cellStyle name="Normal 5 7 3 2 2" xfId="9848" xr:uid="{00000000-0005-0000-0000-00003C760000}"/>
    <cellStyle name="Normal 5 7 3 2 2 2" xfId="16041" xr:uid="{00000000-0005-0000-0000-00003D760000}"/>
    <cellStyle name="Normal 5 7 3 2 2 2 2" xfId="35961" xr:uid="{00000000-0005-0000-0000-00003E760000}"/>
    <cellStyle name="Normal 5 7 3 2 2 3" xfId="22193" xr:uid="{00000000-0005-0000-0000-00003F760000}"/>
    <cellStyle name="Normal 5 7 3 2 2 3 2" xfId="42113" xr:uid="{00000000-0005-0000-0000-000040760000}"/>
    <cellStyle name="Normal 5 7 3 2 2 4" xfId="29808" xr:uid="{00000000-0005-0000-0000-000041760000}"/>
    <cellStyle name="Normal 5 7 3 2 3" xfId="12975" xr:uid="{00000000-0005-0000-0000-000042760000}"/>
    <cellStyle name="Normal 5 7 3 2 3 2" xfId="32895" xr:uid="{00000000-0005-0000-0000-000043760000}"/>
    <cellStyle name="Normal 5 7 3 2 4" xfId="19127" xr:uid="{00000000-0005-0000-0000-000044760000}"/>
    <cellStyle name="Normal 5 7 3 2 4 2" xfId="39047" xr:uid="{00000000-0005-0000-0000-000045760000}"/>
    <cellStyle name="Normal 5 7 3 2 5" xfId="26742" xr:uid="{00000000-0005-0000-0000-000046760000}"/>
    <cellStyle name="Normal 5 7 3 3" xfId="8313" xr:uid="{00000000-0005-0000-0000-000047760000}"/>
    <cellStyle name="Normal 5 7 3 3 2" xfId="14507" xr:uid="{00000000-0005-0000-0000-000048760000}"/>
    <cellStyle name="Normal 5 7 3 3 2 2" xfId="34427" xr:uid="{00000000-0005-0000-0000-000049760000}"/>
    <cellStyle name="Normal 5 7 3 3 3" xfId="20659" xr:uid="{00000000-0005-0000-0000-00004A760000}"/>
    <cellStyle name="Normal 5 7 3 3 3 2" xfId="40579" xr:uid="{00000000-0005-0000-0000-00004B760000}"/>
    <cellStyle name="Normal 5 7 3 3 4" xfId="28274" xr:uid="{00000000-0005-0000-0000-00004C760000}"/>
    <cellStyle name="Normal 5 7 3 4" xfId="11441" xr:uid="{00000000-0005-0000-0000-00004D760000}"/>
    <cellStyle name="Normal 5 7 3 4 2" xfId="31361" xr:uid="{00000000-0005-0000-0000-00004E760000}"/>
    <cellStyle name="Normal 5 7 3 5" xfId="17593" xr:uid="{00000000-0005-0000-0000-00004F760000}"/>
    <cellStyle name="Normal 5 7 3 5 2" xfId="37513" xr:uid="{00000000-0005-0000-0000-000050760000}"/>
    <cellStyle name="Normal 5 7 3 6" xfId="25208" xr:uid="{00000000-0005-0000-0000-000051760000}"/>
    <cellStyle name="Normal 5 7 4" xfId="5979" xr:uid="{00000000-0005-0000-0000-000052760000}"/>
    <cellStyle name="Normal 5 7 4 2" xfId="9079" xr:uid="{00000000-0005-0000-0000-000053760000}"/>
    <cellStyle name="Normal 5 7 4 2 2" xfId="15272" xr:uid="{00000000-0005-0000-0000-000054760000}"/>
    <cellStyle name="Normal 5 7 4 2 2 2" xfId="35192" xr:uid="{00000000-0005-0000-0000-000055760000}"/>
    <cellStyle name="Normal 5 7 4 2 3" xfId="21424" xr:uid="{00000000-0005-0000-0000-000056760000}"/>
    <cellStyle name="Normal 5 7 4 2 3 2" xfId="41344" xr:uid="{00000000-0005-0000-0000-000057760000}"/>
    <cellStyle name="Normal 5 7 4 2 4" xfId="29039" xr:uid="{00000000-0005-0000-0000-000058760000}"/>
    <cellStyle name="Normal 5 7 4 3" xfId="12206" xr:uid="{00000000-0005-0000-0000-000059760000}"/>
    <cellStyle name="Normal 5 7 4 3 2" xfId="32126" xr:uid="{00000000-0005-0000-0000-00005A760000}"/>
    <cellStyle name="Normal 5 7 4 4" xfId="18358" xr:uid="{00000000-0005-0000-0000-00005B760000}"/>
    <cellStyle name="Normal 5 7 4 4 2" xfId="38278" xr:uid="{00000000-0005-0000-0000-00005C760000}"/>
    <cellStyle name="Normal 5 7 4 5" xfId="25973" xr:uid="{00000000-0005-0000-0000-00005D760000}"/>
    <cellStyle name="Normal 5 7 5" xfId="7544" xr:uid="{00000000-0005-0000-0000-00005E760000}"/>
    <cellStyle name="Normal 5 7 5 2" xfId="13738" xr:uid="{00000000-0005-0000-0000-00005F760000}"/>
    <cellStyle name="Normal 5 7 5 2 2" xfId="33658" xr:uid="{00000000-0005-0000-0000-000060760000}"/>
    <cellStyle name="Normal 5 7 5 3" xfId="19890" xr:uid="{00000000-0005-0000-0000-000061760000}"/>
    <cellStyle name="Normal 5 7 5 3 2" xfId="39810" xr:uid="{00000000-0005-0000-0000-000062760000}"/>
    <cellStyle name="Normal 5 7 5 4" xfId="27505" xr:uid="{00000000-0005-0000-0000-000063760000}"/>
    <cellStyle name="Normal 5 7 6" xfId="10672" xr:uid="{00000000-0005-0000-0000-000064760000}"/>
    <cellStyle name="Normal 5 7 6 2" xfId="30592" xr:uid="{00000000-0005-0000-0000-000065760000}"/>
    <cellStyle name="Normal 5 7 7" xfId="16824" xr:uid="{00000000-0005-0000-0000-000066760000}"/>
    <cellStyle name="Normal 5 7 7 2" xfId="36744" xr:uid="{00000000-0005-0000-0000-000067760000}"/>
    <cellStyle name="Normal 5 7 8" xfId="3944" xr:uid="{00000000-0005-0000-0000-000068760000}"/>
    <cellStyle name="Normal 5 7 8 2" xfId="24439" xr:uid="{00000000-0005-0000-0000-000069760000}"/>
    <cellStyle name="Normal 5 7 9" xfId="22749" xr:uid="{00000000-0005-0000-0000-00006A760000}"/>
    <cellStyle name="Normal 5 7 9 2" xfId="42660" xr:uid="{00000000-0005-0000-0000-00006B760000}"/>
    <cellStyle name="Normal 5 8" xfId="258" xr:uid="{00000000-0005-0000-0000-00006C760000}"/>
    <cellStyle name="Normal 5 8 2" xfId="787" xr:uid="{00000000-0005-0000-0000-00006D760000}"/>
    <cellStyle name="Normal 5 8 2 2" xfId="23669" xr:uid="{00000000-0005-0000-0000-00006E760000}"/>
    <cellStyle name="Normal 5 8 3" xfId="3946" xr:uid="{00000000-0005-0000-0000-00006F760000}"/>
    <cellStyle name="Normal 5 8 4" xfId="22568" xr:uid="{00000000-0005-0000-0000-000070760000}"/>
    <cellStyle name="Normal 5 8 4 2" xfId="42479" xr:uid="{00000000-0005-0000-0000-000071760000}"/>
    <cellStyle name="Normal 5 8 5" xfId="22752" xr:uid="{00000000-0005-0000-0000-000072760000}"/>
    <cellStyle name="Normal 5 8 5 2" xfId="42663" xr:uid="{00000000-0005-0000-0000-000073760000}"/>
    <cellStyle name="Normal 5 8 6" xfId="23055" xr:uid="{00000000-0005-0000-0000-000074760000}"/>
    <cellStyle name="Normal 5 8 6 2" xfId="42966" xr:uid="{00000000-0005-0000-0000-000075760000}"/>
    <cellStyle name="Normal 5 8 7" xfId="23366" xr:uid="{00000000-0005-0000-0000-000076760000}"/>
    <cellStyle name="Normal 5 9" xfId="274" xr:uid="{00000000-0005-0000-0000-000077760000}"/>
    <cellStyle name="Normal 5 9 2" xfId="790" xr:uid="{00000000-0005-0000-0000-000078760000}"/>
    <cellStyle name="Normal 5 9 2 2" xfId="23672" xr:uid="{00000000-0005-0000-0000-000079760000}"/>
    <cellStyle name="Normal 5 9 3" xfId="3947" xr:uid="{00000000-0005-0000-0000-00007A760000}"/>
    <cellStyle name="Normal 5 9 4" xfId="22515" xr:uid="{00000000-0005-0000-0000-00007B760000}"/>
    <cellStyle name="Normal 5 9 4 2" xfId="42426" xr:uid="{00000000-0005-0000-0000-00007C760000}"/>
    <cellStyle name="Normal 5 9 5" xfId="22755" xr:uid="{00000000-0005-0000-0000-00007D760000}"/>
    <cellStyle name="Normal 5 9 5 2" xfId="42666" xr:uid="{00000000-0005-0000-0000-00007E760000}"/>
    <cellStyle name="Normal 5 9 6" xfId="23058" xr:uid="{00000000-0005-0000-0000-00007F760000}"/>
    <cellStyle name="Normal 5 9 6 2" xfId="42969" xr:uid="{00000000-0005-0000-0000-000080760000}"/>
    <cellStyle name="Normal 5 9 7" xfId="23369" xr:uid="{00000000-0005-0000-0000-000081760000}"/>
    <cellStyle name="Normal 5_GRCW" xfId="27" xr:uid="{00000000-0005-0000-0000-000082760000}"/>
    <cellStyle name="Normal 50" xfId="1197" xr:uid="{00000000-0005-0000-0000-000083760000}"/>
    <cellStyle name="Normal 50 2" xfId="4645" xr:uid="{00000000-0005-0000-0000-000084760000}"/>
    <cellStyle name="Normal 50 2 2" xfId="6270" xr:uid="{00000000-0005-0000-0000-000085760000}"/>
    <cellStyle name="Normal 50 2 2 2" xfId="9356" xr:uid="{00000000-0005-0000-0000-000086760000}"/>
    <cellStyle name="Normal 50 2 2 2 2" xfId="15549" xr:uid="{00000000-0005-0000-0000-000087760000}"/>
    <cellStyle name="Normal 50 2 2 2 2 2" xfId="35469" xr:uid="{00000000-0005-0000-0000-000088760000}"/>
    <cellStyle name="Normal 50 2 2 2 3" xfId="21701" xr:uid="{00000000-0005-0000-0000-000089760000}"/>
    <cellStyle name="Normal 50 2 2 2 3 2" xfId="41621" xr:uid="{00000000-0005-0000-0000-00008A760000}"/>
    <cellStyle name="Normal 50 2 2 2 4" xfId="29316" xr:uid="{00000000-0005-0000-0000-00008B760000}"/>
    <cellStyle name="Normal 50 2 2 3" xfId="12483" xr:uid="{00000000-0005-0000-0000-00008C760000}"/>
    <cellStyle name="Normal 50 2 2 3 2" xfId="32403" xr:uid="{00000000-0005-0000-0000-00008D760000}"/>
    <cellStyle name="Normal 50 2 2 4" xfId="18635" xr:uid="{00000000-0005-0000-0000-00008E760000}"/>
    <cellStyle name="Normal 50 2 2 4 2" xfId="38555" xr:uid="{00000000-0005-0000-0000-00008F760000}"/>
    <cellStyle name="Normal 50 2 2 5" xfId="26250" xr:uid="{00000000-0005-0000-0000-000090760000}"/>
    <cellStyle name="Normal 50 2 3" xfId="7821" xr:uid="{00000000-0005-0000-0000-000091760000}"/>
    <cellStyle name="Normal 50 2 3 2" xfId="14015" xr:uid="{00000000-0005-0000-0000-000092760000}"/>
    <cellStyle name="Normal 50 2 3 2 2" xfId="33935" xr:uid="{00000000-0005-0000-0000-000093760000}"/>
    <cellStyle name="Normal 50 2 3 3" xfId="20167" xr:uid="{00000000-0005-0000-0000-000094760000}"/>
    <cellStyle name="Normal 50 2 3 3 2" xfId="40087" xr:uid="{00000000-0005-0000-0000-000095760000}"/>
    <cellStyle name="Normal 50 2 3 4" xfId="27782" xr:uid="{00000000-0005-0000-0000-000096760000}"/>
    <cellStyle name="Normal 50 2 4" xfId="10949" xr:uid="{00000000-0005-0000-0000-000097760000}"/>
    <cellStyle name="Normal 50 2 4 2" xfId="30869" xr:uid="{00000000-0005-0000-0000-000098760000}"/>
    <cellStyle name="Normal 50 2 5" xfId="17101" xr:uid="{00000000-0005-0000-0000-000099760000}"/>
    <cellStyle name="Normal 50 2 5 2" xfId="37021" xr:uid="{00000000-0005-0000-0000-00009A760000}"/>
    <cellStyle name="Normal 50 2 6" xfId="24716" xr:uid="{00000000-0005-0000-0000-00009B760000}"/>
    <cellStyle name="Normal 50 3" xfId="5484" xr:uid="{00000000-0005-0000-0000-00009C760000}"/>
    <cellStyle name="Normal 50 3 2" xfId="8587" xr:uid="{00000000-0005-0000-0000-00009D760000}"/>
    <cellStyle name="Normal 50 3 2 2" xfId="14780" xr:uid="{00000000-0005-0000-0000-00009E760000}"/>
    <cellStyle name="Normal 50 3 2 2 2" xfId="34700" xr:uid="{00000000-0005-0000-0000-00009F760000}"/>
    <cellStyle name="Normal 50 3 2 3" xfId="20932" xr:uid="{00000000-0005-0000-0000-0000A0760000}"/>
    <cellStyle name="Normal 50 3 2 3 2" xfId="40852" xr:uid="{00000000-0005-0000-0000-0000A1760000}"/>
    <cellStyle name="Normal 50 3 2 4" xfId="28547" xr:uid="{00000000-0005-0000-0000-0000A2760000}"/>
    <cellStyle name="Normal 50 3 3" xfId="11714" xr:uid="{00000000-0005-0000-0000-0000A3760000}"/>
    <cellStyle name="Normal 50 3 3 2" xfId="31634" xr:uid="{00000000-0005-0000-0000-0000A4760000}"/>
    <cellStyle name="Normal 50 3 4" xfId="17866" xr:uid="{00000000-0005-0000-0000-0000A5760000}"/>
    <cellStyle name="Normal 50 3 4 2" xfId="37786" xr:uid="{00000000-0005-0000-0000-0000A6760000}"/>
    <cellStyle name="Normal 50 3 5" xfId="25481" xr:uid="{00000000-0005-0000-0000-0000A7760000}"/>
    <cellStyle name="Normal 50 4" xfId="7052" xr:uid="{00000000-0005-0000-0000-0000A8760000}"/>
    <cellStyle name="Normal 50 4 2" xfId="13246" xr:uid="{00000000-0005-0000-0000-0000A9760000}"/>
    <cellStyle name="Normal 50 4 2 2" xfId="33166" xr:uid="{00000000-0005-0000-0000-0000AA760000}"/>
    <cellStyle name="Normal 50 4 3" xfId="19398" xr:uid="{00000000-0005-0000-0000-0000AB760000}"/>
    <cellStyle name="Normal 50 4 3 2" xfId="39318" xr:uid="{00000000-0005-0000-0000-0000AC760000}"/>
    <cellStyle name="Normal 50 4 4" xfId="27013" xr:uid="{00000000-0005-0000-0000-0000AD760000}"/>
    <cellStyle name="Normal 50 5" xfId="10180" xr:uid="{00000000-0005-0000-0000-0000AE760000}"/>
    <cellStyle name="Normal 50 5 2" xfId="30100" xr:uid="{00000000-0005-0000-0000-0000AF760000}"/>
    <cellStyle name="Normal 50 6" xfId="16332" xr:uid="{00000000-0005-0000-0000-0000B0760000}"/>
    <cellStyle name="Normal 50 6 2" xfId="36252" xr:uid="{00000000-0005-0000-0000-0000B1760000}"/>
    <cellStyle name="Normal 50 7" xfId="23947" xr:uid="{00000000-0005-0000-0000-0000B2760000}"/>
    <cellStyle name="Normal 51" xfId="4609" xr:uid="{00000000-0005-0000-0000-0000B3760000}"/>
    <cellStyle name="Normal 51 2" xfId="4620" xr:uid="{00000000-0005-0000-0000-0000B4760000}"/>
    <cellStyle name="Normal 51 3" xfId="6241" xr:uid="{00000000-0005-0000-0000-0000B5760000}"/>
    <cellStyle name="Normal 51 3 2" xfId="9327" xr:uid="{00000000-0005-0000-0000-0000B6760000}"/>
    <cellStyle name="Normal 51 3 2 2" xfId="15520" xr:uid="{00000000-0005-0000-0000-0000B7760000}"/>
    <cellStyle name="Normal 51 3 2 2 2" xfId="35440" xr:uid="{00000000-0005-0000-0000-0000B8760000}"/>
    <cellStyle name="Normal 51 3 2 3" xfId="21672" xr:uid="{00000000-0005-0000-0000-0000B9760000}"/>
    <cellStyle name="Normal 51 3 2 3 2" xfId="41592" xr:uid="{00000000-0005-0000-0000-0000BA760000}"/>
    <cellStyle name="Normal 51 3 2 4" xfId="29287" xr:uid="{00000000-0005-0000-0000-0000BB760000}"/>
    <cellStyle name="Normal 51 3 3" xfId="12454" xr:uid="{00000000-0005-0000-0000-0000BC760000}"/>
    <cellStyle name="Normal 51 3 3 2" xfId="32374" xr:uid="{00000000-0005-0000-0000-0000BD760000}"/>
    <cellStyle name="Normal 51 3 4" xfId="18606" xr:uid="{00000000-0005-0000-0000-0000BE760000}"/>
    <cellStyle name="Normal 51 3 4 2" xfId="38526" xr:uid="{00000000-0005-0000-0000-0000BF760000}"/>
    <cellStyle name="Normal 51 3 5" xfId="26221" xr:uid="{00000000-0005-0000-0000-0000C0760000}"/>
    <cellStyle name="Normal 51 4" xfId="7792" xr:uid="{00000000-0005-0000-0000-0000C1760000}"/>
    <cellStyle name="Normal 51 4 2" xfId="13986" xr:uid="{00000000-0005-0000-0000-0000C2760000}"/>
    <cellStyle name="Normal 51 4 2 2" xfId="33906" xr:uid="{00000000-0005-0000-0000-0000C3760000}"/>
    <cellStyle name="Normal 51 4 3" xfId="20138" xr:uid="{00000000-0005-0000-0000-0000C4760000}"/>
    <cellStyle name="Normal 51 4 3 2" xfId="40058" xr:uid="{00000000-0005-0000-0000-0000C5760000}"/>
    <cellStyle name="Normal 51 4 4" xfId="27753" xr:uid="{00000000-0005-0000-0000-0000C6760000}"/>
    <cellStyle name="Normal 51 5" xfId="10920" xr:uid="{00000000-0005-0000-0000-0000C7760000}"/>
    <cellStyle name="Normal 51 5 2" xfId="30840" xr:uid="{00000000-0005-0000-0000-0000C8760000}"/>
    <cellStyle name="Normal 51 6" xfId="17072" xr:uid="{00000000-0005-0000-0000-0000C9760000}"/>
    <cellStyle name="Normal 51 6 2" xfId="36992" xr:uid="{00000000-0005-0000-0000-0000CA760000}"/>
    <cellStyle name="Normal 51 7" xfId="24687" xr:uid="{00000000-0005-0000-0000-0000CB760000}"/>
    <cellStyle name="Normal 52" xfId="5457" xr:uid="{00000000-0005-0000-0000-0000CC760000}"/>
    <cellStyle name="Normal 52 2" xfId="8561" xr:uid="{00000000-0005-0000-0000-0000CD760000}"/>
    <cellStyle name="Normal 52 2 2" xfId="14755" xr:uid="{00000000-0005-0000-0000-0000CE760000}"/>
    <cellStyle name="Normal 52 2 2 2" xfId="34675" xr:uid="{00000000-0005-0000-0000-0000CF760000}"/>
    <cellStyle name="Normal 52 2 3" xfId="20907" xr:uid="{00000000-0005-0000-0000-0000D0760000}"/>
    <cellStyle name="Normal 52 2 3 2" xfId="40827" xr:uid="{00000000-0005-0000-0000-0000D1760000}"/>
    <cellStyle name="Normal 52 2 4" xfId="28522" xr:uid="{00000000-0005-0000-0000-0000D2760000}"/>
    <cellStyle name="Normal 52 3" xfId="11689" xr:uid="{00000000-0005-0000-0000-0000D3760000}"/>
    <cellStyle name="Normal 52 3 2" xfId="31609" xr:uid="{00000000-0005-0000-0000-0000D4760000}"/>
    <cellStyle name="Normal 52 4" xfId="17841" xr:uid="{00000000-0005-0000-0000-0000D5760000}"/>
    <cellStyle name="Normal 52 4 2" xfId="37761" xr:uid="{00000000-0005-0000-0000-0000D6760000}"/>
    <cellStyle name="Normal 52 5" xfId="25456" xr:uid="{00000000-0005-0000-0000-0000D7760000}"/>
    <cellStyle name="Normal 53" xfId="7023" xr:uid="{00000000-0005-0000-0000-0000D8760000}"/>
    <cellStyle name="Normal 54" xfId="7022" xr:uid="{00000000-0005-0000-0000-0000D9760000}"/>
    <cellStyle name="Normal 54 2" xfId="13223" xr:uid="{00000000-0005-0000-0000-0000DA760000}"/>
    <cellStyle name="Normal 54 2 2" xfId="33143" xr:uid="{00000000-0005-0000-0000-0000DB760000}"/>
    <cellStyle name="Normal 54 3" xfId="19375" xr:uid="{00000000-0005-0000-0000-0000DC760000}"/>
    <cellStyle name="Normal 54 3 2" xfId="39295" xr:uid="{00000000-0005-0000-0000-0000DD760000}"/>
    <cellStyle name="Normal 54 4" xfId="26990" xr:uid="{00000000-0005-0000-0000-0000DE760000}"/>
    <cellStyle name="Normal 55" xfId="10099" xr:uid="{00000000-0005-0000-0000-0000DF760000}"/>
    <cellStyle name="Normal 56" xfId="10151" xr:uid="{00000000-0005-0000-0000-0000E0760000}"/>
    <cellStyle name="Normal 57" xfId="10150" xr:uid="{00000000-0005-0000-0000-0000E1760000}"/>
    <cellStyle name="Normal 57 2" xfId="30077" xr:uid="{00000000-0005-0000-0000-0000E2760000}"/>
    <cellStyle name="Normal 58" xfId="1055" xr:uid="{00000000-0005-0000-0000-0000E3760000}"/>
    <cellStyle name="Normal 59" xfId="1036" xr:uid="{00000000-0005-0000-0000-0000E4760000}"/>
    <cellStyle name="Normal 59 2" xfId="23917" xr:uid="{00000000-0005-0000-0000-0000E5760000}"/>
    <cellStyle name="Normal 6" xfId="28" xr:uid="{00000000-0005-0000-0000-0000E6760000}"/>
    <cellStyle name="Normal 6 2" xfId="1049" xr:uid="{00000000-0005-0000-0000-0000E7760000}"/>
    <cellStyle name="Normal 6 2 2" xfId="3949" xr:uid="{00000000-0005-0000-0000-0000E8760000}"/>
    <cellStyle name="Normal 6 3" xfId="3950" xr:uid="{00000000-0005-0000-0000-0000E9760000}"/>
    <cellStyle name="Normal 6 4" xfId="3951" xr:uid="{00000000-0005-0000-0000-0000EA760000}"/>
    <cellStyle name="Normal 6 5" xfId="3952" xr:uid="{00000000-0005-0000-0000-0000EB760000}"/>
    <cellStyle name="Normal 6 5 2" xfId="3953" xr:uid="{00000000-0005-0000-0000-0000EC760000}"/>
    <cellStyle name="Normal 6 6" xfId="3954" xr:uid="{00000000-0005-0000-0000-0000ED760000}"/>
    <cellStyle name="Normal 6 6 2" xfId="3955" xr:uid="{00000000-0005-0000-0000-0000EE760000}"/>
    <cellStyle name="Normal 6 7" xfId="4502" xr:uid="{00000000-0005-0000-0000-0000EF760000}"/>
    <cellStyle name="Normal 6 8" xfId="3948" xr:uid="{00000000-0005-0000-0000-0000F0760000}"/>
    <cellStyle name="Normal 60" xfId="23319" xr:uid="{00000000-0005-0000-0000-0000F1760000}"/>
    <cellStyle name="Normal 61" xfId="43214" xr:uid="{00000000-0005-0000-0000-0000F2760000}"/>
    <cellStyle name="Normal 62" xfId="43216" xr:uid="{00000000-0005-0000-0000-0000F3760000}"/>
    <cellStyle name="Normal 63" xfId="43218" xr:uid="{00000000-0005-0000-0000-0000F4760000}"/>
    <cellStyle name="Normal 64" xfId="43220" xr:uid="{00000000-0005-0000-0000-0000F5760000}"/>
    <cellStyle name="Normal 65" xfId="43222" xr:uid="{00000000-0005-0000-0000-0000F6760000}"/>
    <cellStyle name="Normal 66" xfId="43224" xr:uid="{00000000-0005-0000-0000-0000F7760000}"/>
    <cellStyle name="Normal 67" xfId="43226" xr:uid="{00000000-0005-0000-0000-0000F8760000}"/>
    <cellStyle name="Normal 7" xfId="29" xr:uid="{00000000-0005-0000-0000-0000F9760000}"/>
    <cellStyle name="Normal 7 10" xfId="3957" xr:uid="{00000000-0005-0000-0000-0000FA760000}"/>
    <cellStyle name="Normal 7 10 2" xfId="5139" xr:uid="{00000000-0005-0000-0000-0000FB760000}"/>
    <cellStyle name="Normal 7 10 2 2" xfId="6764" xr:uid="{00000000-0005-0000-0000-0000FC760000}"/>
    <cellStyle name="Normal 7 10 2 2 2" xfId="9850" xr:uid="{00000000-0005-0000-0000-0000FD760000}"/>
    <cellStyle name="Normal 7 10 2 2 2 2" xfId="16043" xr:uid="{00000000-0005-0000-0000-0000FE760000}"/>
    <cellStyle name="Normal 7 10 2 2 2 2 2" xfId="35963" xr:uid="{00000000-0005-0000-0000-0000FF760000}"/>
    <cellStyle name="Normal 7 10 2 2 2 3" xfId="22195" xr:uid="{00000000-0005-0000-0000-000000770000}"/>
    <cellStyle name="Normal 7 10 2 2 2 3 2" xfId="42115" xr:uid="{00000000-0005-0000-0000-000001770000}"/>
    <cellStyle name="Normal 7 10 2 2 2 4" xfId="29810" xr:uid="{00000000-0005-0000-0000-000002770000}"/>
    <cellStyle name="Normal 7 10 2 2 3" xfId="12977" xr:uid="{00000000-0005-0000-0000-000003770000}"/>
    <cellStyle name="Normal 7 10 2 2 3 2" xfId="32897" xr:uid="{00000000-0005-0000-0000-000004770000}"/>
    <cellStyle name="Normal 7 10 2 2 4" xfId="19129" xr:uid="{00000000-0005-0000-0000-000005770000}"/>
    <cellStyle name="Normal 7 10 2 2 4 2" xfId="39049" xr:uid="{00000000-0005-0000-0000-000006770000}"/>
    <cellStyle name="Normal 7 10 2 2 5" xfId="26744" xr:uid="{00000000-0005-0000-0000-000007770000}"/>
    <cellStyle name="Normal 7 10 2 3" xfId="8315" xr:uid="{00000000-0005-0000-0000-000008770000}"/>
    <cellStyle name="Normal 7 10 2 3 2" xfId="14509" xr:uid="{00000000-0005-0000-0000-000009770000}"/>
    <cellStyle name="Normal 7 10 2 3 2 2" xfId="34429" xr:uid="{00000000-0005-0000-0000-00000A770000}"/>
    <cellStyle name="Normal 7 10 2 3 3" xfId="20661" xr:uid="{00000000-0005-0000-0000-00000B770000}"/>
    <cellStyle name="Normal 7 10 2 3 3 2" xfId="40581" xr:uid="{00000000-0005-0000-0000-00000C770000}"/>
    <cellStyle name="Normal 7 10 2 3 4" xfId="28276" xr:uid="{00000000-0005-0000-0000-00000D770000}"/>
    <cellStyle name="Normal 7 10 2 4" xfId="11443" xr:uid="{00000000-0005-0000-0000-00000E770000}"/>
    <cellStyle name="Normal 7 10 2 4 2" xfId="31363" xr:uid="{00000000-0005-0000-0000-00000F770000}"/>
    <cellStyle name="Normal 7 10 2 5" xfId="17595" xr:uid="{00000000-0005-0000-0000-000010770000}"/>
    <cellStyle name="Normal 7 10 2 5 2" xfId="37515" xr:uid="{00000000-0005-0000-0000-000011770000}"/>
    <cellStyle name="Normal 7 10 2 6" xfId="25210" xr:uid="{00000000-0005-0000-0000-000012770000}"/>
    <cellStyle name="Normal 7 10 3" xfId="5981" xr:uid="{00000000-0005-0000-0000-000013770000}"/>
    <cellStyle name="Normal 7 10 3 2" xfId="9081" xr:uid="{00000000-0005-0000-0000-000014770000}"/>
    <cellStyle name="Normal 7 10 3 2 2" xfId="15274" xr:uid="{00000000-0005-0000-0000-000015770000}"/>
    <cellStyle name="Normal 7 10 3 2 2 2" xfId="35194" xr:uid="{00000000-0005-0000-0000-000016770000}"/>
    <cellStyle name="Normal 7 10 3 2 3" xfId="21426" xr:uid="{00000000-0005-0000-0000-000017770000}"/>
    <cellStyle name="Normal 7 10 3 2 3 2" xfId="41346" xr:uid="{00000000-0005-0000-0000-000018770000}"/>
    <cellStyle name="Normal 7 10 3 2 4" xfId="29041" xr:uid="{00000000-0005-0000-0000-000019770000}"/>
    <cellStyle name="Normal 7 10 3 3" xfId="12208" xr:uid="{00000000-0005-0000-0000-00001A770000}"/>
    <cellStyle name="Normal 7 10 3 3 2" xfId="32128" xr:uid="{00000000-0005-0000-0000-00001B770000}"/>
    <cellStyle name="Normal 7 10 3 4" xfId="18360" xr:uid="{00000000-0005-0000-0000-00001C770000}"/>
    <cellStyle name="Normal 7 10 3 4 2" xfId="38280" xr:uid="{00000000-0005-0000-0000-00001D770000}"/>
    <cellStyle name="Normal 7 10 3 5" xfId="25975" xr:uid="{00000000-0005-0000-0000-00001E770000}"/>
    <cellStyle name="Normal 7 10 4" xfId="7546" xr:uid="{00000000-0005-0000-0000-00001F770000}"/>
    <cellStyle name="Normal 7 10 4 2" xfId="13740" xr:uid="{00000000-0005-0000-0000-000020770000}"/>
    <cellStyle name="Normal 7 10 4 2 2" xfId="33660" xr:uid="{00000000-0005-0000-0000-000021770000}"/>
    <cellStyle name="Normal 7 10 4 3" xfId="19892" xr:uid="{00000000-0005-0000-0000-000022770000}"/>
    <cellStyle name="Normal 7 10 4 3 2" xfId="39812" xr:uid="{00000000-0005-0000-0000-000023770000}"/>
    <cellStyle name="Normal 7 10 4 4" xfId="27507" xr:uid="{00000000-0005-0000-0000-000024770000}"/>
    <cellStyle name="Normal 7 10 5" xfId="10674" xr:uid="{00000000-0005-0000-0000-000025770000}"/>
    <cellStyle name="Normal 7 10 5 2" xfId="30594" xr:uid="{00000000-0005-0000-0000-000026770000}"/>
    <cellStyle name="Normal 7 10 6" xfId="16826" xr:uid="{00000000-0005-0000-0000-000027770000}"/>
    <cellStyle name="Normal 7 10 6 2" xfId="36746" xr:uid="{00000000-0005-0000-0000-000028770000}"/>
    <cellStyle name="Normal 7 10 7" xfId="24441" xr:uid="{00000000-0005-0000-0000-000029770000}"/>
    <cellStyle name="Normal 7 11" xfId="3958" xr:uid="{00000000-0005-0000-0000-00002A770000}"/>
    <cellStyle name="Normal 7 11 2" xfId="5140" xr:uid="{00000000-0005-0000-0000-00002B770000}"/>
    <cellStyle name="Normal 7 11 2 2" xfId="6765" xr:uid="{00000000-0005-0000-0000-00002C770000}"/>
    <cellStyle name="Normal 7 11 2 2 2" xfId="9851" xr:uid="{00000000-0005-0000-0000-00002D770000}"/>
    <cellStyle name="Normal 7 11 2 2 2 2" xfId="16044" xr:uid="{00000000-0005-0000-0000-00002E770000}"/>
    <cellStyle name="Normal 7 11 2 2 2 2 2" xfId="35964" xr:uid="{00000000-0005-0000-0000-00002F770000}"/>
    <cellStyle name="Normal 7 11 2 2 2 3" xfId="22196" xr:uid="{00000000-0005-0000-0000-000030770000}"/>
    <cellStyle name="Normal 7 11 2 2 2 3 2" xfId="42116" xr:uid="{00000000-0005-0000-0000-000031770000}"/>
    <cellStyle name="Normal 7 11 2 2 2 4" xfId="29811" xr:uid="{00000000-0005-0000-0000-000032770000}"/>
    <cellStyle name="Normal 7 11 2 2 3" xfId="12978" xr:uid="{00000000-0005-0000-0000-000033770000}"/>
    <cellStyle name="Normal 7 11 2 2 3 2" xfId="32898" xr:uid="{00000000-0005-0000-0000-000034770000}"/>
    <cellStyle name="Normal 7 11 2 2 4" xfId="19130" xr:uid="{00000000-0005-0000-0000-000035770000}"/>
    <cellStyle name="Normal 7 11 2 2 4 2" xfId="39050" xr:uid="{00000000-0005-0000-0000-000036770000}"/>
    <cellStyle name="Normal 7 11 2 2 5" xfId="26745" xr:uid="{00000000-0005-0000-0000-000037770000}"/>
    <cellStyle name="Normal 7 11 2 3" xfId="8316" xr:uid="{00000000-0005-0000-0000-000038770000}"/>
    <cellStyle name="Normal 7 11 2 3 2" xfId="14510" xr:uid="{00000000-0005-0000-0000-000039770000}"/>
    <cellStyle name="Normal 7 11 2 3 2 2" xfId="34430" xr:uid="{00000000-0005-0000-0000-00003A770000}"/>
    <cellStyle name="Normal 7 11 2 3 3" xfId="20662" xr:uid="{00000000-0005-0000-0000-00003B770000}"/>
    <cellStyle name="Normal 7 11 2 3 3 2" xfId="40582" xr:uid="{00000000-0005-0000-0000-00003C770000}"/>
    <cellStyle name="Normal 7 11 2 3 4" xfId="28277" xr:uid="{00000000-0005-0000-0000-00003D770000}"/>
    <cellStyle name="Normal 7 11 2 4" xfId="11444" xr:uid="{00000000-0005-0000-0000-00003E770000}"/>
    <cellStyle name="Normal 7 11 2 4 2" xfId="31364" xr:uid="{00000000-0005-0000-0000-00003F770000}"/>
    <cellStyle name="Normal 7 11 2 5" xfId="17596" xr:uid="{00000000-0005-0000-0000-000040770000}"/>
    <cellStyle name="Normal 7 11 2 5 2" xfId="37516" xr:uid="{00000000-0005-0000-0000-000041770000}"/>
    <cellStyle name="Normal 7 11 2 6" xfId="25211" xr:uid="{00000000-0005-0000-0000-000042770000}"/>
    <cellStyle name="Normal 7 11 3" xfId="5982" xr:uid="{00000000-0005-0000-0000-000043770000}"/>
    <cellStyle name="Normal 7 11 3 2" xfId="9082" xr:uid="{00000000-0005-0000-0000-000044770000}"/>
    <cellStyle name="Normal 7 11 3 2 2" xfId="15275" xr:uid="{00000000-0005-0000-0000-000045770000}"/>
    <cellStyle name="Normal 7 11 3 2 2 2" xfId="35195" xr:uid="{00000000-0005-0000-0000-000046770000}"/>
    <cellStyle name="Normal 7 11 3 2 3" xfId="21427" xr:uid="{00000000-0005-0000-0000-000047770000}"/>
    <cellStyle name="Normal 7 11 3 2 3 2" xfId="41347" xr:uid="{00000000-0005-0000-0000-000048770000}"/>
    <cellStyle name="Normal 7 11 3 2 4" xfId="29042" xr:uid="{00000000-0005-0000-0000-000049770000}"/>
    <cellStyle name="Normal 7 11 3 3" xfId="12209" xr:uid="{00000000-0005-0000-0000-00004A770000}"/>
    <cellStyle name="Normal 7 11 3 3 2" xfId="32129" xr:uid="{00000000-0005-0000-0000-00004B770000}"/>
    <cellStyle name="Normal 7 11 3 4" xfId="18361" xr:uid="{00000000-0005-0000-0000-00004C770000}"/>
    <cellStyle name="Normal 7 11 3 4 2" xfId="38281" xr:uid="{00000000-0005-0000-0000-00004D770000}"/>
    <cellStyle name="Normal 7 11 3 5" xfId="25976" xr:uid="{00000000-0005-0000-0000-00004E770000}"/>
    <cellStyle name="Normal 7 11 4" xfId="7547" xr:uid="{00000000-0005-0000-0000-00004F770000}"/>
    <cellStyle name="Normal 7 11 4 2" xfId="13741" xr:uid="{00000000-0005-0000-0000-000050770000}"/>
    <cellStyle name="Normal 7 11 4 2 2" xfId="33661" xr:uid="{00000000-0005-0000-0000-000051770000}"/>
    <cellStyle name="Normal 7 11 4 3" xfId="19893" xr:uid="{00000000-0005-0000-0000-000052770000}"/>
    <cellStyle name="Normal 7 11 4 3 2" xfId="39813" xr:uid="{00000000-0005-0000-0000-000053770000}"/>
    <cellStyle name="Normal 7 11 4 4" xfId="27508" xr:uid="{00000000-0005-0000-0000-000054770000}"/>
    <cellStyle name="Normal 7 11 5" xfId="10675" xr:uid="{00000000-0005-0000-0000-000055770000}"/>
    <cellStyle name="Normal 7 11 5 2" xfId="30595" xr:uid="{00000000-0005-0000-0000-000056770000}"/>
    <cellStyle name="Normal 7 11 6" xfId="16827" xr:uid="{00000000-0005-0000-0000-000057770000}"/>
    <cellStyle name="Normal 7 11 6 2" xfId="36747" xr:uid="{00000000-0005-0000-0000-000058770000}"/>
    <cellStyle name="Normal 7 11 7" xfId="24442" xr:uid="{00000000-0005-0000-0000-000059770000}"/>
    <cellStyle name="Normal 7 12" xfId="3959" xr:uid="{00000000-0005-0000-0000-00005A770000}"/>
    <cellStyle name="Normal 7 12 2" xfId="5141" xr:uid="{00000000-0005-0000-0000-00005B770000}"/>
    <cellStyle name="Normal 7 12 2 2" xfId="6766" xr:uid="{00000000-0005-0000-0000-00005C770000}"/>
    <cellStyle name="Normal 7 12 2 2 2" xfId="9852" xr:uid="{00000000-0005-0000-0000-00005D770000}"/>
    <cellStyle name="Normal 7 12 2 2 2 2" xfId="16045" xr:uid="{00000000-0005-0000-0000-00005E770000}"/>
    <cellStyle name="Normal 7 12 2 2 2 2 2" xfId="35965" xr:uid="{00000000-0005-0000-0000-00005F770000}"/>
    <cellStyle name="Normal 7 12 2 2 2 3" xfId="22197" xr:uid="{00000000-0005-0000-0000-000060770000}"/>
    <cellStyle name="Normal 7 12 2 2 2 3 2" xfId="42117" xr:uid="{00000000-0005-0000-0000-000061770000}"/>
    <cellStyle name="Normal 7 12 2 2 2 4" xfId="29812" xr:uid="{00000000-0005-0000-0000-000062770000}"/>
    <cellStyle name="Normal 7 12 2 2 3" xfId="12979" xr:uid="{00000000-0005-0000-0000-000063770000}"/>
    <cellStyle name="Normal 7 12 2 2 3 2" xfId="32899" xr:uid="{00000000-0005-0000-0000-000064770000}"/>
    <cellStyle name="Normal 7 12 2 2 4" xfId="19131" xr:uid="{00000000-0005-0000-0000-000065770000}"/>
    <cellStyle name="Normal 7 12 2 2 4 2" xfId="39051" xr:uid="{00000000-0005-0000-0000-000066770000}"/>
    <cellStyle name="Normal 7 12 2 2 5" xfId="26746" xr:uid="{00000000-0005-0000-0000-000067770000}"/>
    <cellStyle name="Normal 7 12 2 3" xfId="8317" xr:uid="{00000000-0005-0000-0000-000068770000}"/>
    <cellStyle name="Normal 7 12 2 3 2" xfId="14511" xr:uid="{00000000-0005-0000-0000-000069770000}"/>
    <cellStyle name="Normal 7 12 2 3 2 2" xfId="34431" xr:uid="{00000000-0005-0000-0000-00006A770000}"/>
    <cellStyle name="Normal 7 12 2 3 3" xfId="20663" xr:uid="{00000000-0005-0000-0000-00006B770000}"/>
    <cellStyle name="Normal 7 12 2 3 3 2" xfId="40583" xr:uid="{00000000-0005-0000-0000-00006C770000}"/>
    <cellStyle name="Normal 7 12 2 3 4" xfId="28278" xr:uid="{00000000-0005-0000-0000-00006D770000}"/>
    <cellStyle name="Normal 7 12 2 4" xfId="11445" xr:uid="{00000000-0005-0000-0000-00006E770000}"/>
    <cellStyle name="Normal 7 12 2 4 2" xfId="31365" xr:uid="{00000000-0005-0000-0000-00006F770000}"/>
    <cellStyle name="Normal 7 12 2 5" xfId="17597" xr:uid="{00000000-0005-0000-0000-000070770000}"/>
    <cellStyle name="Normal 7 12 2 5 2" xfId="37517" xr:uid="{00000000-0005-0000-0000-000071770000}"/>
    <cellStyle name="Normal 7 12 2 6" xfId="25212" xr:uid="{00000000-0005-0000-0000-000072770000}"/>
    <cellStyle name="Normal 7 12 3" xfId="5983" xr:uid="{00000000-0005-0000-0000-000073770000}"/>
    <cellStyle name="Normal 7 12 3 2" xfId="9083" xr:uid="{00000000-0005-0000-0000-000074770000}"/>
    <cellStyle name="Normal 7 12 3 2 2" xfId="15276" xr:uid="{00000000-0005-0000-0000-000075770000}"/>
    <cellStyle name="Normal 7 12 3 2 2 2" xfId="35196" xr:uid="{00000000-0005-0000-0000-000076770000}"/>
    <cellStyle name="Normal 7 12 3 2 3" xfId="21428" xr:uid="{00000000-0005-0000-0000-000077770000}"/>
    <cellStyle name="Normal 7 12 3 2 3 2" xfId="41348" xr:uid="{00000000-0005-0000-0000-000078770000}"/>
    <cellStyle name="Normal 7 12 3 2 4" xfId="29043" xr:uid="{00000000-0005-0000-0000-000079770000}"/>
    <cellStyle name="Normal 7 12 3 3" xfId="12210" xr:uid="{00000000-0005-0000-0000-00007A770000}"/>
    <cellStyle name="Normal 7 12 3 3 2" xfId="32130" xr:uid="{00000000-0005-0000-0000-00007B770000}"/>
    <cellStyle name="Normal 7 12 3 4" xfId="18362" xr:uid="{00000000-0005-0000-0000-00007C770000}"/>
    <cellStyle name="Normal 7 12 3 4 2" xfId="38282" xr:uid="{00000000-0005-0000-0000-00007D770000}"/>
    <cellStyle name="Normal 7 12 3 5" xfId="25977" xr:uid="{00000000-0005-0000-0000-00007E770000}"/>
    <cellStyle name="Normal 7 12 4" xfId="7548" xr:uid="{00000000-0005-0000-0000-00007F770000}"/>
    <cellStyle name="Normal 7 12 4 2" xfId="13742" xr:uid="{00000000-0005-0000-0000-000080770000}"/>
    <cellStyle name="Normal 7 12 4 2 2" xfId="33662" xr:uid="{00000000-0005-0000-0000-000081770000}"/>
    <cellStyle name="Normal 7 12 4 3" xfId="19894" xr:uid="{00000000-0005-0000-0000-000082770000}"/>
    <cellStyle name="Normal 7 12 4 3 2" xfId="39814" xr:uid="{00000000-0005-0000-0000-000083770000}"/>
    <cellStyle name="Normal 7 12 4 4" xfId="27509" xr:uid="{00000000-0005-0000-0000-000084770000}"/>
    <cellStyle name="Normal 7 12 5" xfId="10676" xr:uid="{00000000-0005-0000-0000-000085770000}"/>
    <cellStyle name="Normal 7 12 5 2" xfId="30596" xr:uid="{00000000-0005-0000-0000-000086770000}"/>
    <cellStyle name="Normal 7 12 6" xfId="16828" xr:uid="{00000000-0005-0000-0000-000087770000}"/>
    <cellStyle name="Normal 7 12 6 2" xfId="36748" xr:uid="{00000000-0005-0000-0000-000088770000}"/>
    <cellStyle name="Normal 7 12 7" xfId="24443" xr:uid="{00000000-0005-0000-0000-000089770000}"/>
    <cellStyle name="Normal 7 13" xfId="3960" xr:uid="{00000000-0005-0000-0000-00008A770000}"/>
    <cellStyle name="Normal 7 13 2" xfId="5142" xr:uid="{00000000-0005-0000-0000-00008B770000}"/>
    <cellStyle name="Normal 7 13 2 2" xfId="6767" xr:uid="{00000000-0005-0000-0000-00008C770000}"/>
    <cellStyle name="Normal 7 13 2 2 2" xfId="9853" xr:uid="{00000000-0005-0000-0000-00008D770000}"/>
    <cellStyle name="Normal 7 13 2 2 2 2" xfId="16046" xr:uid="{00000000-0005-0000-0000-00008E770000}"/>
    <cellStyle name="Normal 7 13 2 2 2 2 2" xfId="35966" xr:uid="{00000000-0005-0000-0000-00008F770000}"/>
    <cellStyle name="Normal 7 13 2 2 2 3" xfId="22198" xr:uid="{00000000-0005-0000-0000-000090770000}"/>
    <cellStyle name="Normal 7 13 2 2 2 3 2" xfId="42118" xr:uid="{00000000-0005-0000-0000-000091770000}"/>
    <cellStyle name="Normal 7 13 2 2 2 4" xfId="29813" xr:uid="{00000000-0005-0000-0000-000092770000}"/>
    <cellStyle name="Normal 7 13 2 2 3" xfId="12980" xr:uid="{00000000-0005-0000-0000-000093770000}"/>
    <cellStyle name="Normal 7 13 2 2 3 2" xfId="32900" xr:uid="{00000000-0005-0000-0000-000094770000}"/>
    <cellStyle name="Normal 7 13 2 2 4" xfId="19132" xr:uid="{00000000-0005-0000-0000-000095770000}"/>
    <cellStyle name="Normal 7 13 2 2 4 2" xfId="39052" xr:uid="{00000000-0005-0000-0000-000096770000}"/>
    <cellStyle name="Normal 7 13 2 2 5" xfId="26747" xr:uid="{00000000-0005-0000-0000-000097770000}"/>
    <cellStyle name="Normal 7 13 2 3" xfId="8318" xr:uid="{00000000-0005-0000-0000-000098770000}"/>
    <cellStyle name="Normal 7 13 2 3 2" xfId="14512" xr:uid="{00000000-0005-0000-0000-000099770000}"/>
    <cellStyle name="Normal 7 13 2 3 2 2" xfId="34432" xr:uid="{00000000-0005-0000-0000-00009A770000}"/>
    <cellStyle name="Normal 7 13 2 3 3" xfId="20664" xr:uid="{00000000-0005-0000-0000-00009B770000}"/>
    <cellStyle name="Normal 7 13 2 3 3 2" xfId="40584" xr:uid="{00000000-0005-0000-0000-00009C770000}"/>
    <cellStyle name="Normal 7 13 2 3 4" xfId="28279" xr:uid="{00000000-0005-0000-0000-00009D770000}"/>
    <cellStyle name="Normal 7 13 2 4" xfId="11446" xr:uid="{00000000-0005-0000-0000-00009E770000}"/>
    <cellStyle name="Normal 7 13 2 4 2" xfId="31366" xr:uid="{00000000-0005-0000-0000-00009F770000}"/>
    <cellStyle name="Normal 7 13 2 5" xfId="17598" xr:uid="{00000000-0005-0000-0000-0000A0770000}"/>
    <cellStyle name="Normal 7 13 2 5 2" xfId="37518" xr:uid="{00000000-0005-0000-0000-0000A1770000}"/>
    <cellStyle name="Normal 7 13 2 6" xfId="25213" xr:uid="{00000000-0005-0000-0000-0000A2770000}"/>
    <cellStyle name="Normal 7 13 3" xfId="5984" xr:uid="{00000000-0005-0000-0000-0000A3770000}"/>
    <cellStyle name="Normal 7 13 3 2" xfId="9084" xr:uid="{00000000-0005-0000-0000-0000A4770000}"/>
    <cellStyle name="Normal 7 13 3 2 2" xfId="15277" xr:uid="{00000000-0005-0000-0000-0000A5770000}"/>
    <cellStyle name="Normal 7 13 3 2 2 2" xfId="35197" xr:uid="{00000000-0005-0000-0000-0000A6770000}"/>
    <cellStyle name="Normal 7 13 3 2 3" xfId="21429" xr:uid="{00000000-0005-0000-0000-0000A7770000}"/>
    <cellStyle name="Normal 7 13 3 2 3 2" xfId="41349" xr:uid="{00000000-0005-0000-0000-0000A8770000}"/>
    <cellStyle name="Normal 7 13 3 2 4" xfId="29044" xr:uid="{00000000-0005-0000-0000-0000A9770000}"/>
    <cellStyle name="Normal 7 13 3 3" xfId="12211" xr:uid="{00000000-0005-0000-0000-0000AA770000}"/>
    <cellStyle name="Normal 7 13 3 3 2" xfId="32131" xr:uid="{00000000-0005-0000-0000-0000AB770000}"/>
    <cellStyle name="Normal 7 13 3 4" xfId="18363" xr:uid="{00000000-0005-0000-0000-0000AC770000}"/>
    <cellStyle name="Normal 7 13 3 4 2" xfId="38283" xr:uid="{00000000-0005-0000-0000-0000AD770000}"/>
    <cellStyle name="Normal 7 13 3 5" xfId="25978" xr:uid="{00000000-0005-0000-0000-0000AE770000}"/>
    <cellStyle name="Normal 7 13 4" xfId="7549" xr:uid="{00000000-0005-0000-0000-0000AF770000}"/>
    <cellStyle name="Normal 7 13 4 2" xfId="13743" xr:uid="{00000000-0005-0000-0000-0000B0770000}"/>
    <cellStyle name="Normal 7 13 4 2 2" xfId="33663" xr:uid="{00000000-0005-0000-0000-0000B1770000}"/>
    <cellStyle name="Normal 7 13 4 3" xfId="19895" xr:uid="{00000000-0005-0000-0000-0000B2770000}"/>
    <cellStyle name="Normal 7 13 4 3 2" xfId="39815" xr:uid="{00000000-0005-0000-0000-0000B3770000}"/>
    <cellStyle name="Normal 7 13 4 4" xfId="27510" xr:uid="{00000000-0005-0000-0000-0000B4770000}"/>
    <cellStyle name="Normal 7 13 5" xfId="10677" xr:uid="{00000000-0005-0000-0000-0000B5770000}"/>
    <cellStyle name="Normal 7 13 5 2" xfId="30597" xr:uid="{00000000-0005-0000-0000-0000B6770000}"/>
    <cellStyle name="Normal 7 13 6" xfId="16829" xr:uid="{00000000-0005-0000-0000-0000B7770000}"/>
    <cellStyle name="Normal 7 13 6 2" xfId="36749" xr:uid="{00000000-0005-0000-0000-0000B8770000}"/>
    <cellStyle name="Normal 7 13 7" xfId="24444" xr:uid="{00000000-0005-0000-0000-0000B9770000}"/>
    <cellStyle name="Normal 7 14" xfId="3961" xr:uid="{00000000-0005-0000-0000-0000BA770000}"/>
    <cellStyle name="Normal 7 14 2" xfId="5143" xr:uid="{00000000-0005-0000-0000-0000BB770000}"/>
    <cellStyle name="Normal 7 14 2 2" xfId="6768" xr:uid="{00000000-0005-0000-0000-0000BC770000}"/>
    <cellStyle name="Normal 7 14 2 2 2" xfId="9854" xr:uid="{00000000-0005-0000-0000-0000BD770000}"/>
    <cellStyle name="Normal 7 14 2 2 2 2" xfId="16047" xr:uid="{00000000-0005-0000-0000-0000BE770000}"/>
    <cellStyle name="Normal 7 14 2 2 2 2 2" xfId="35967" xr:uid="{00000000-0005-0000-0000-0000BF770000}"/>
    <cellStyle name="Normal 7 14 2 2 2 3" xfId="22199" xr:uid="{00000000-0005-0000-0000-0000C0770000}"/>
    <cellStyle name="Normal 7 14 2 2 2 3 2" xfId="42119" xr:uid="{00000000-0005-0000-0000-0000C1770000}"/>
    <cellStyle name="Normal 7 14 2 2 2 4" xfId="29814" xr:uid="{00000000-0005-0000-0000-0000C2770000}"/>
    <cellStyle name="Normal 7 14 2 2 3" xfId="12981" xr:uid="{00000000-0005-0000-0000-0000C3770000}"/>
    <cellStyle name="Normal 7 14 2 2 3 2" xfId="32901" xr:uid="{00000000-0005-0000-0000-0000C4770000}"/>
    <cellStyle name="Normal 7 14 2 2 4" xfId="19133" xr:uid="{00000000-0005-0000-0000-0000C5770000}"/>
    <cellStyle name="Normal 7 14 2 2 4 2" xfId="39053" xr:uid="{00000000-0005-0000-0000-0000C6770000}"/>
    <cellStyle name="Normal 7 14 2 2 5" xfId="26748" xr:uid="{00000000-0005-0000-0000-0000C7770000}"/>
    <cellStyle name="Normal 7 14 2 3" xfId="8319" xr:uid="{00000000-0005-0000-0000-0000C8770000}"/>
    <cellStyle name="Normal 7 14 2 3 2" xfId="14513" xr:uid="{00000000-0005-0000-0000-0000C9770000}"/>
    <cellStyle name="Normal 7 14 2 3 2 2" xfId="34433" xr:uid="{00000000-0005-0000-0000-0000CA770000}"/>
    <cellStyle name="Normal 7 14 2 3 3" xfId="20665" xr:uid="{00000000-0005-0000-0000-0000CB770000}"/>
    <cellStyle name="Normal 7 14 2 3 3 2" xfId="40585" xr:uid="{00000000-0005-0000-0000-0000CC770000}"/>
    <cellStyle name="Normal 7 14 2 3 4" xfId="28280" xr:uid="{00000000-0005-0000-0000-0000CD770000}"/>
    <cellStyle name="Normal 7 14 2 4" xfId="11447" xr:uid="{00000000-0005-0000-0000-0000CE770000}"/>
    <cellStyle name="Normal 7 14 2 4 2" xfId="31367" xr:uid="{00000000-0005-0000-0000-0000CF770000}"/>
    <cellStyle name="Normal 7 14 2 5" xfId="17599" xr:uid="{00000000-0005-0000-0000-0000D0770000}"/>
    <cellStyle name="Normal 7 14 2 5 2" xfId="37519" xr:uid="{00000000-0005-0000-0000-0000D1770000}"/>
    <cellStyle name="Normal 7 14 2 6" xfId="25214" xr:uid="{00000000-0005-0000-0000-0000D2770000}"/>
    <cellStyle name="Normal 7 14 3" xfId="5985" xr:uid="{00000000-0005-0000-0000-0000D3770000}"/>
    <cellStyle name="Normal 7 14 3 2" xfId="9085" xr:uid="{00000000-0005-0000-0000-0000D4770000}"/>
    <cellStyle name="Normal 7 14 3 2 2" xfId="15278" xr:uid="{00000000-0005-0000-0000-0000D5770000}"/>
    <cellStyle name="Normal 7 14 3 2 2 2" xfId="35198" xr:uid="{00000000-0005-0000-0000-0000D6770000}"/>
    <cellStyle name="Normal 7 14 3 2 3" xfId="21430" xr:uid="{00000000-0005-0000-0000-0000D7770000}"/>
    <cellStyle name="Normal 7 14 3 2 3 2" xfId="41350" xr:uid="{00000000-0005-0000-0000-0000D8770000}"/>
    <cellStyle name="Normal 7 14 3 2 4" xfId="29045" xr:uid="{00000000-0005-0000-0000-0000D9770000}"/>
    <cellStyle name="Normal 7 14 3 3" xfId="12212" xr:uid="{00000000-0005-0000-0000-0000DA770000}"/>
    <cellStyle name="Normal 7 14 3 3 2" xfId="32132" xr:uid="{00000000-0005-0000-0000-0000DB770000}"/>
    <cellStyle name="Normal 7 14 3 4" xfId="18364" xr:uid="{00000000-0005-0000-0000-0000DC770000}"/>
    <cellStyle name="Normal 7 14 3 4 2" xfId="38284" xr:uid="{00000000-0005-0000-0000-0000DD770000}"/>
    <cellStyle name="Normal 7 14 3 5" xfId="25979" xr:uid="{00000000-0005-0000-0000-0000DE770000}"/>
    <cellStyle name="Normal 7 14 4" xfId="7550" xr:uid="{00000000-0005-0000-0000-0000DF770000}"/>
    <cellStyle name="Normal 7 14 4 2" xfId="13744" xr:uid="{00000000-0005-0000-0000-0000E0770000}"/>
    <cellStyle name="Normal 7 14 4 2 2" xfId="33664" xr:uid="{00000000-0005-0000-0000-0000E1770000}"/>
    <cellStyle name="Normal 7 14 4 3" xfId="19896" xr:uid="{00000000-0005-0000-0000-0000E2770000}"/>
    <cellStyle name="Normal 7 14 4 3 2" xfId="39816" xr:uid="{00000000-0005-0000-0000-0000E3770000}"/>
    <cellStyle name="Normal 7 14 4 4" xfId="27511" xr:uid="{00000000-0005-0000-0000-0000E4770000}"/>
    <cellStyle name="Normal 7 14 5" xfId="10678" xr:uid="{00000000-0005-0000-0000-0000E5770000}"/>
    <cellStyle name="Normal 7 14 5 2" xfId="30598" xr:uid="{00000000-0005-0000-0000-0000E6770000}"/>
    <cellStyle name="Normal 7 14 6" xfId="16830" xr:uid="{00000000-0005-0000-0000-0000E7770000}"/>
    <cellStyle name="Normal 7 14 6 2" xfId="36750" xr:uid="{00000000-0005-0000-0000-0000E8770000}"/>
    <cellStyle name="Normal 7 14 7" xfId="24445" xr:uid="{00000000-0005-0000-0000-0000E9770000}"/>
    <cellStyle name="Normal 7 15" xfId="3962" xr:uid="{00000000-0005-0000-0000-0000EA770000}"/>
    <cellStyle name="Normal 7 15 2" xfId="5144" xr:uid="{00000000-0005-0000-0000-0000EB770000}"/>
    <cellStyle name="Normal 7 15 2 2" xfId="6769" xr:uid="{00000000-0005-0000-0000-0000EC770000}"/>
    <cellStyle name="Normal 7 15 2 2 2" xfId="9855" xr:uid="{00000000-0005-0000-0000-0000ED770000}"/>
    <cellStyle name="Normal 7 15 2 2 2 2" xfId="16048" xr:uid="{00000000-0005-0000-0000-0000EE770000}"/>
    <cellStyle name="Normal 7 15 2 2 2 2 2" xfId="35968" xr:uid="{00000000-0005-0000-0000-0000EF770000}"/>
    <cellStyle name="Normal 7 15 2 2 2 3" xfId="22200" xr:uid="{00000000-0005-0000-0000-0000F0770000}"/>
    <cellStyle name="Normal 7 15 2 2 2 3 2" xfId="42120" xr:uid="{00000000-0005-0000-0000-0000F1770000}"/>
    <cellStyle name="Normal 7 15 2 2 2 4" xfId="29815" xr:uid="{00000000-0005-0000-0000-0000F2770000}"/>
    <cellStyle name="Normal 7 15 2 2 3" xfId="12982" xr:uid="{00000000-0005-0000-0000-0000F3770000}"/>
    <cellStyle name="Normal 7 15 2 2 3 2" xfId="32902" xr:uid="{00000000-0005-0000-0000-0000F4770000}"/>
    <cellStyle name="Normal 7 15 2 2 4" xfId="19134" xr:uid="{00000000-0005-0000-0000-0000F5770000}"/>
    <cellStyle name="Normal 7 15 2 2 4 2" xfId="39054" xr:uid="{00000000-0005-0000-0000-0000F6770000}"/>
    <cellStyle name="Normal 7 15 2 2 5" xfId="26749" xr:uid="{00000000-0005-0000-0000-0000F7770000}"/>
    <cellStyle name="Normal 7 15 2 3" xfId="8320" xr:uid="{00000000-0005-0000-0000-0000F8770000}"/>
    <cellStyle name="Normal 7 15 2 3 2" xfId="14514" xr:uid="{00000000-0005-0000-0000-0000F9770000}"/>
    <cellStyle name="Normal 7 15 2 3 2 2" xfId="34434" xr:uid="{00000000-0005-0000-0000-0000FA770000}"/>
    <cellStyle name="Normal 7 15 2 3 3" xfId="20666" xr:uid="{00000000-0005-0000-0000-0000FB770000}"/>
    <cellStyle name="Normal 7 15 2 3 3 2" xfId="40586" xr:uid="{00000000-0005-0000-0000-0000FC770000}"/>
    <cellStyle name="Normal 7 15 2 3 4" xfId="28281" xr:uid="{00000000-0005-0000-0000-0000FD770000}"/>
    <cellStyle name="Normal 7 15 2 4" xfId="11448" xr:uid="{00000000-0005-0000-0000-0000FE770000}"/>
    <cellStyle name="Normal 7 15 2 4 2" xfId="31368" xr:uid="{00000000-0005-0000-0000-0000FF770000}"/>
    <cellStyle name="Normal 7 15 2 5" xfId="17600" xr:uid="{00000000-0005-0000-0000-000000780000}"/>
    <cellStyle name="Normal 7 15 2 5 2" xfId="37520" xr:uid="{00000000-0005-0000-0000-000001780000}"/>
    <cellStyle name="Normal 7 15 2 6" xfId="25215" xr:uid="{00000000-0005-0000-0000-000002780000}"/>
    <cellStyle name="Normal 7 15 3" xfId="5986" xr:uid="{00000000-0005-0000-0000-000003780000}"/>
    <cellStyle name="Normal 7 15 3 2" xfId="9086" xr:uid="{00000000-0005-0000-0000-000004780000}"/>
    <cellStyle name="Normal 7 15 3 2 2" xfId="15279" xr:uid="{00000000-0005-0000-0000-000005780000}"/>
    <cellStyle name="Normal 7 15 3 2 2 2" xfId="35199" xr:uid="{00000000-0005-0000-0000-000006780000}"/>
    <cellStyle name="Normal 7 15 3 2 3" xfId="21431" xr:uid="{00000000-0005-0000-0000-000007780000}"/>
    <cellStyle name="Normal 7 15 3 2 3 2" xfId="41351" xr:uid="{00000000-0005-0000-0000-000008780000}"/>
    <cellStyle name="Normal 7 15 3 2 4" xfId="29046" xr:uid="{00000000-0005-0000-0000-000009780000}"/>
    <cellStyle name="Normal 7 15 3 3" xfId="12213" xr:uid="{00000000-0005-0000-0000-00000A780000}"/>
    <cellStyle name="Normal 7 15 3 3 2" xfId="32133" xr:uid="{00000000-0005-0000-0000-00000B780000}"/>
    <cellStyle name="Normal 7 15 3 4" xfId="18365" xr:uid="{00000000-0005-0000-0000-00000C780000}"/>
    <cellStyle name="Normal 7 15 3 4 2" xfId="38285" xr:uid="{00000000-0005-0000-0000-00000D780000}"/>
    <cellStyle name="Normal 7 15 3 5" xfId="25980" xr:uid="{00000000-0005-0000-0000-00000E780000}"/>
    <cellStyle name="Normal 7 15 4" xfId="7551" xr:uid="{00000000-0005-0000-0000-00000F780000}"/>
    <cellStyle name="Normal 7 15 4 2" xfId="13745" xr:uid="{00000000-0005-0000-0000-000010780000}"/>
    <cellStyle name="Normal 7 15 4 2 2" xfId="33665" xr:uid="{00000000-0005-0000-0000-000011780000}"/>
    <cellStyle name="Normal 7 15 4 3" xfId="19897" xr:uid="{00000000-0005-0000-0000-000012780000}"/>
    <cellStyle name="Normal 7 15 4 3 2" xfId="39817" xr:uid="{00000000-0005-0000-0000-000013780000}"/>
    <cellStyle name="Normal 7 15 4 4" xfId="27512" xr:uid="{00000000-0005-0000-0000-000014780000}"/>
    <cellStyle name="Normal 7 15 5" xfId="10679" xr:uid="{00000000-0005-0000-0000-000015780000}"/>
    <cellStyle name="Normal 7 15 5 2" xfId="30599" xr:uid="{00000000-0005-0000-0000-000016780000}"/>
    <cellStyle name="Normal 7 15 6" xfId="16831" xr:uid="{00000000-0005-0000-0000-000017780000}"/>
    <cellStyle name="Normal 7 15 6 2" xfId="36751" xr:uid="{00000000-0005-0000-0000-000018780000}"/>
    <cellStyle name="Normal 7 15 7" xfId="24446" xr:uid="{00000000-0005-0000-0000-000019780000}"/>
    <cellStyle name="Normal 7 16" xfId="3963" xr:uid="{00000000-0005-0000-0000-00001A780000}"/>
    <cellStyle name="Normal 7 16 2" xfId="5145" xr:uid="{00000000-0005-0000-0000-00001B780000}"/>
    <cellStyle name="Normal 7 16 2 2" xfId="6770" xr:uid="{00000000-0005-0000-0000-00001C780000}"/>
    <cellStyle name="Normal 7 16 2 2 2" xfId="9856" xr:uid="{00000000-0005-0000-0000-00001D780000}"/>
    <cellStyle name="Normal 7 16 2 2 2 2" xfId="16049" xr:uid="{00000000-0005-0000-0000-00001E780000}"/>
    <cellStyle name="Normal 7 16 2 2 2 2 2" xfId="35969" xr:uid="{00000000-0005-0000-0000-00001F780000}"/>
    <cellStyle name="Normal 7 16 2 2 2 3" xfId="22201" xr:uid="{00000000-0005-0000-0000-000020780000}"/>
    <cellStyle name="Normal 7 16 2 2 2 3 2" xfId="42121" xr:uid="{00000000-0005-0000-0000-000021780000}"/>
    <cellStyle name="Normal 7 16 2 2 2 4" xfId="29816" xr:uid="{00000000-0005-0000-0000-000022780000}"/>
    <cellStyle name="Normal 7 16 2 2 3" xfId="12983" xr:uid="{00000000-0005-0000-0000-000023780000}"/>
    <cellStyle name="Normal 7 16 2 2 3 2" xfId="32903" xr:uid="{00000000-0005-0000-0000-000024780000}"/>
    <cellStyle name="Normal 7 16 2 2 4" xfId="19135" xr:uid="{00000000-0005-0000-0000-000025780000}"/>
    <cellStyle name="Normal 7 16 2 2 4 2" xfId="39055" xr:uid="{00000000-0005-0000-0000-000026780000}"/>
    <cellStyle name="Normal 7 16 2 2 5" xfId="26750" xr:uid="{00000000-0005-0000-0000-000027780000}"/>
    <cellStyle name="Normal 7 16 2 3" xfId="8321" xr:uid="{00000000-0005-0000-0000-000028780000}"/>
    <cellStyle name="Normal 7 16 2 3 2" xfId="14515" xr:uid="{00000000-0005-0000-0000-000029780000}"/>
    <cellStyle name="Normal 7 16 2 3 2 2" xfId="34435" xr:uid="{00000000-0005-0000-0000-00002A780000}"/>
    <cellStyle name="Normal 7 16 2 3 3" xfId="20667" xr:uid="{00000000-0005-0000-0000-00002B780000}"/>
    <cellStyle name="Normal 7 16 2 3 3 2" xfId="40587" xr:uid="{00000000-0005-0000-0000-00002C780000}"/>
    <cellStyle name="Normal 7 16 2 3 4" xfId="28282" xr:uid="{00000000-0005-0000-0000-00002D780000}"/>
    <cellStyle name="Normal 7 16 2 4" xfId="11449" xr:uid="{00000000-0005-0000-0000-00002E780000}"/>
    <cellStyle name="Normal 7 16 2 4 2" xfId="31369" xr:uid="{00000000-0005-0000-0000-00002F780000}"/>
    <cellStyle name="Normal 7 16 2 5" xfId="17601" xr:uid="{00000000-0005-0000-0000-000030780000}"/>
    <cellStyle name="Normal 7 16 2 5 2" xfId="37521" xr:uid="{00000000-0005-0000-0000-000031780000}"/>
    <cellStyle name="Normal 7 16 2 6" xfId="25216" xr:uid="{00000000-0005-0000-0000-000032780000}"/>
    <cellStyle name="Normal 7 16 3" xfId="5987" xr:uid="{00000000-0005-0000-0000-000033780000}"/>
    <cellStyle name="Normal 7 16 3 2" xfId="9087" xr:uid="{00000000-0005-0000-0000-000034780000}"/>
    <cellStyle name="Normal 7 16 3 2 2" xfId="15280" xr:uid="{00000000-0005-0000-0000-000035780000}"/>
    <cellStyle name="Normal 7 16 3 2 2 2" xfId="35200" xr:uid="{00000000-0005-0000-0000-000036780000}"/>
    <cellStyle name="Normal 7 16 3 2 3" xfId="21432" xr:uid="{00000000-0005-0000-0000-000037780000}"/>
    <cellStyle name="Normal 7 16 3 2 3 2" xfId="41352" xr:uid="{00000000-0005-0000-0000-000038780000}"/>
    <cellStyle name="Normal 7 16 3 2 4" xfId="29047" xr:uid="{00000000-0005-0000-0000-000039780000}"/>
    <cellStyle name="Normal 7 16 3 3" xfId="12214" xr:uid="{00000000-0005-0000-0000-00003A780000}"/>
    <cellStyle name="Normal 7 16 3 3 2" xfId="32134" xr:uid="{00000000-0005-0000-0000-00003B780000}"/>
    <cellStyle name="Normal 7 16 3 4" xfId="18366" xr:uid="{00000000-0005-0000-0000-00003C780000}"/>
    <cellStyle name="Normal 7 16 3 4 2" xfId="38286" xr:uid="{00000000-0005-0000-0000-00003D780000}"/>
    <cellStyle name="Normal 7 16 3 5" xfId="25981" xr:uid="{00000000-0005-0000-0000-00003E780000}"/>
    <cellStyle name="Normal 7 16 4" xfId="7552" xr:uid="{00000000-0005-0000-0000-00003F780000}"/>
    <cellStyle name="Normal 7 16 4 2" xfId="13746" xr:uid="{00000000-0005-0000-0000-000040780000}"/>
    <cellStyle name="Normal 7 16 4 2 2" xfId="33666" xr:uid="{00000000-0005-0000-0000-000041780000}"/>
    <cellStyle name="Normal 7 16 4 3" xfId="19898" xr:uid="{00000000-0005-0000-0000-000042780000}"/>
    <cellStyle name="Normal 7 16 4 3 2" xfId="39818" xr:uid="{00000000-0005-0000-0000-000043780000}"/>
    <cellStyle name="Normal 7 16 4 4" xfId="27513" xr:uid="{00000000-0005-0000-0000-000044780000}"/>
    <cellStyle name="Normal 7 16 5" xfId="10680" xr:uid="{00000000-0005-0000-0000-000045780000}"/>
    <cellStyle name="Normal 7 16 5 2" xfId="30600" xr:uid="{00000000-0005-0000-0000-000046780000}"/>
    <cellStyle name="Normal 7 16 6" xfId="16832" xr:uid="{00000000-0005-0000-0000-000047780000}"/>
    <cellStyle name="Normal 7 16 6 2" xfId="36752" xr:uid="{00000000-0005-0000-0000-000048780000}"/>
    <cellStyle name="Normal 7 16 7" xfId="24447" xr:uid="{00000000-0005-0000-0000-000049780000}"/>
    <cellStyle name="Normal 7 17" xfId="3964" xr:uid="{00000000-0005-0000-0000-00004A780000}"/>
    <cellStyle name="Normal 7 17 2" xfId="5146" xr:uid="{00000000-0005-0000-0000-00004B780000}"/>
    <cellStyle name="Normal 7 17 2 2" xfId="6771" xr:uid="{00000000-0005-0000-0000-00004C780000}"/>
    <cellStyle name="Normal 7 17 2 2 2" xfId="9857" xr:uid="{00000000-0005-0000-0000-00004D780000}"/>
    <cellStyle name="Normal 7 17 2 2 2 2" xfId="16050" xr:uid="{00000000-0005-0000-0000-00004E780000}"/>
    <cellStyle name="Normal 7 17 2 2 2 2 2" xfId="35970" xr:uid="{00000000-0005-0000-0000-00004F780000}"/>
    <cellStyle name="Normal 7 17 2 2 2 3" xfId="22202" xr:uid="{00000000-0005-0000-0000-000050780000}"/>
    <cellStyle name="Normal 7 17 2 2 2 3 2" xfId="42122" xr:uid="{00000000-0005-0000-0000-000051780000}"/>
    <cellStyle name="Normal 7 17 2 2 2 4" xfId="29817" xr:uid="{00000000-0005-0000-0000-000052780000}"/>
    <cellStyle name="Normal 7 17 2 2 3" xfId="12984" xr:uid="{00000000-0005-0000-0000-000053780000}"/>
    <cellStyle name="Normal 7 17 2 2 3 2" xfId="32904" xr:uid="{00000000-0005-0000-0000-000054780000}"/>
    <cellStyle name="Normal 7 17 2 2 4" xfId="19136" xr:uid="{00000000-0005-0000-0000-000055780000}"/>
    <cellStyle name="Normal 7 17 2 2 4 2" xfId="39056" xr:uid="{00000000-0005-0000-0000-000056780000}"/>
    <cellStyle name="Normal 7 17 2 2 5" xfId="26751" xr:uid="{00000000-0005-0000-0000-000057780000}"/>
    <cellStyle name="Normal 7 17 2 3" xfId="8322" xr:uid="{00000000-0005-0000-0000-000058780000}"/>
    <cellStyle name="Normal 7 17 2 3 2" xfId="14516" xr:uid="{00000000-0005-0000-0000-000059780000}"/>
    <cellStyle name="Normal 7 17 2 3 2 2" xfId="34436" xr:uid="{00000000-0005-0000-0000-00005A780000}"/>
    <cellStyle name="Normal 7 17 2 3 3" xfId="20668" xr:uid="{00000000-0005-0000-0000-00005B780000}"/>
    <cellStyle name="Normal 7 17 2 3 3 2" xfId="40588" xr:uid="{00000000-0005-0000-0000-00005C780000}"/>
    <cellStyle name="Normal 7 17 2 3 4" xfId="28283" xr:uid="{00000000-0005-0000-0000-00005D780000}"/>
    <cellStyle name="Normal 7 17 2 4" xfId="11450" xr:uid="{00000000-0005-0000-0000-00005E780000}"/>
    <cellStyle name="Normal 7 17 2 4 2" xfId="31370" xr:uid="{00000000-0005-0000-0000-00005F780000}"/>
    <cellStyle name="Normal 7 17 2 5" xfId="17602" xr:uid="{00000000-0005-0000-0000-000060780000}"/>
    <cellStyle name="Normal 7 17 2 5 2" xfId="37522" xr:uid="{00000000-0005-0000-0000-000061780000}"/>
    <cellStyle name="Normal 7 17 2 6" xfId="25217" xr:uid="{00000000-0005-0000-0000-000062780000}"/>
    <cellStyle name="Normal 7 17 3" xfId="5988" xr:uid="{00000000-0005-0000-0000-000063780000}"/>
    <cellStyle name="Normal 7 17 3 2" xfId="9088" xr:uid="{00000000-0005-0000-0000-000064780000}"/>
    <cellStyle name="Normal 7 17 3 2 2" xfId="15281" xr:uid="{00000000-0005-0000-0000-000065780000}"/>
    <cellStyle name="Normal 7 17 3 2 2 2" xfId="35201" xr:uid="{00000000-0005-0000-0000-000066780000}"/>
    <cellStyle name="Normal 7 17 3 2 3" xfId="21433" xr:uid="{00000000-0005-0000-0000-000067780000}"/>
    <cellStyle name="Normal 7 17 3 2 3 2" xfId="41353" xr:uid="{00000000-0005-0000-0000-000068780000}"/>
    <cellStyle name="Normal 7 17 3 2 4" xfId="29048" xr:uid="{00000000-0005-0000-0000-000069780000}"/>
    <cellStyle name="Normal 7 17 3 3" xfId="12215" xr:uid="{00000000-0005-0000-0000-00006A780000}"/>
    <cellStyle name="Normal 7 17 3 3 2" xfId="32135" xr:uid="{00000000-0005-0000-0000-00006B780000}"/>
    <cellStyle name="Normal 7 17 3 4" xfId="18367" xr:uid="{00000000-0005-0000-0000-00006C780000}"/>
    <cellStyle name="Normal 7 17 3 4 2" xfId="38287" xr:uid="{00000000-0005-0000-0000-00006D780000}"/>
    <cellStyle name="Normal 7 17 3 5" xfId="25982" xr:uid="{00000000-0005-0000-0000-00006E780000}"/>
    <cellStyle name="Normal 7 17 4" xfId="7553" xr:uid="{00000000-0005-0000-0000-00006F780000}"/>
    <cellStyle name="Normal 7 17 4 2" xfId="13747" xr:uid="{00000000-0005-0000-0000-000070780000}"/>
    <cellStyle name="Normal 7 17 4 2 2" xfId="33667" xr:uid="{00000000-0005-0000-0000-000071780000}"/>
    <cellStyle name="Normal 7 17 4 3" xfId="19899" xr:uid="{00000000-0005-0000-0000-000072780000}"/>
    <cellStyle name="Normal 7 17 4 3 2" xfId="39819" xr:uid="{00000000-0005-0000-0000-000073780000}"/>
    <cellStyle name="Normal 7 17 4 4" xfId="27514" xr:uid="{00000000-0005-0000-0000-000074780000}"/>
    <cellStyle name="Normal 7 17 5" xfId="10681" xr:uid="{00000000-0005-0000-0000-000075780000}"/>
    <cellStyle name="Normal 7 17 5 2" xfId="30601" xr:uid="{00000000-0005-0000-0000-000076780000}"/>
    <cellStyle name="Normal 7 17 6" xfId="16833" xr:uid="{00000000-0005-0000-0000-000077780000}"/>
    <cellStyle name="Normal 7 17 6 2" xfId="36753" xr:uid="{00000000-0005-0000-0000-000078780000}"/>
    <cellStyle name="Normal 7 17 7" xfId="24448" xr:uid="{00000000-0005-0000-0000-000079780000}"/>
    <cellStyle name="Normal 7 18" xfId="3965" xr:uid="{00000000-0005-0000-0000-00007A780000}"/>
    <cellStyle name="Normal 7 18 2" xfId="5147" xr:uid="{00000000-0005-0000-0000-00007B780000}"/>
    <cellStyle name="Normal 7 18 2 2" xfId="6772" xr:uid="{00000000-0005-0000-0000-00007C780000}"/>
    <cellStyle name="Normal 7 18 2 2 2" xfId="9858" xr:uid="{00000000-0005-0000-0000-00007D780000}"/>
    <cellStyle name="Normal 7 18 2 2 2 2" xfId="16051" xr:uid="{00000000-0005-0000-0000-00007E780000}"/>
    <cellStyle name="Normal 7 18 2 2 2 2 2" xfId="35971" xr:uid="{00000000-0005-0000-0000-00007F780000}"/>
    <cellStyle name="Normal 7 18 2 2 2 3" xfId="22203" xr:uid="{00000000-0005-0000-0000-000080780000}"/>
    <cellStyle name="Normal 7 18 2 2 2 3 2" xfId="42123" xr:uid="{00000000-0005-0000-0000-000081780000}"/>
    <cellStyle name="Normal 7 18 2 2 2 4" xfId="29818" xr:uid="{00000000-0005-0000-0000-000082780000}"/>
    <cellStyle name="Normal 7 18 2 2 3" xfId="12985" xr:uid="{00000000-0005-0000-0000-000083780000}"/>
    <cellStyle name="Normal 7 18 2 2 3 2" xfId="32905" xr:uid="{00000000-0005-0000-0000-000084780000}"/>
    <cellStyle name="Normal 7 18 2 2 4" xfId="19137" xr:uid="{00000000-0005-0000-0000-000085780000}"/>
    <cellStyle name="Normal 7 18 2 2 4 2" xfId="39057" xr:uid="{00000000-0005-0000-0000-000086780000}"/>
    <cellStyle name="Normal 7 18 2 2 5" xfId="26752" xr:uid="{00000000-0005-0000-0000-000087780000}"/>
    <cellStyle name="Normal 7 18 2 3" xfId="8323" xr:uid="{00000000-0005-0000-0000-000088780000}"/>
    <cellStyle name="Normal 7 18 2 3 2" xfId="14517" xr:uid="{00000000-0005-0000-0000-000089780000}"/>
    <cellStyle name="Normal 7 18 2 3 2 2" xfId="34437" xr:uid="{00000000-0005-0000-0000-00008A780000}"/>
    <cellStyle name="Normal 7 18 2 3 3" xfId="20669" xr:uid="{00000000-0005-0000-0000-00008B780000}"/>
    <cellStyle name="Normal 7 18 2 3 3 2" xfId="40589" xr:uid="{00000000-0005-0000-0000-00008C780000}"/>
    <cellStyle name="Normal 7 18 2 3 4" xfId="28284" xr:uid="{00000000-0005-0000-0000-00008D780000}"/>
    <cellStyle name="Normal 7 18 2 4" xfId="11451" xr:uid="{00000000-0005-0000-0000-00008E780000}"/>
    <cellStyle name="Normal 7 18 2 4 2" xfId="31371" xr:uid="{00000000-0005-0000-0000-00008F780000}"/>
    <cellStyle name="Normal 7 18 2 5" xfId="17603" xr:uid="{00000000-0005-0000-0000-000090780000}"/>
    <cellStyle name="Normal 7 18 2 5 2" xfId="37523" xr:uid="{00000000-0005-0000-0000-000091780000}"/>
    <cellStyle name="Normal 7 18 2 6" xfId="25218" xr:uid="{00000000-0005-0000-0000-000092780000}"/>
    <cellStyle name="Normal 7 18 3" xfId="5989" xr:uid="{00000000-0005-0000-0000-000093780000}"/>
    <cellStyle name="Normal 7 18 3 2" xfId="9089" xr:uid="{00000000-0005-0000-0000-000094780000}"/>
    <cellStyle name="Normal 7 18 3 2 2" xfId="15282" xr:uid="{00000000-0005-0000-0000-000095780000}"/>
    <cellStyle name="Normal 7 18 3 2 2 2" xfId="35202" xr:uid="{00000000-0005-0000-0000-000096780000}"/>
    <cellStyle name="Normal 7 18 3 2 3" xfId="21434" xr:uid="{00000000-0005-0000-0000-000097780000}"/>
    <cellStyle name="Normal 7 18 3 2 3 2" xfId="41354" xr:uid="{00000000-0005-0000-0000-000098780000}"/>
    <cellStyle name="Normal 7 18 3 2 4" xfId="29049" xr:uid="{00000000-0005-0000-0000-000099780000}"/>
    <cellStyle name="Normal 7 18 3 3" xfId="12216" xr:uid="{00000000-0005-0000-0000-00009A780000}"/>
    <cellStyle name="Normal 7 18 3 3 2" xfId="32136" xr:uid="{00000000-0005-0000-0000-00009B780000}"/>
    <cellStyle name="Normal 7 18 3 4" xfId="18368" xr:uid="{00000000-0005-0000-0000-00009C780000}"/>
    <cellStyle name="Normal 7 18 3 4 2" xfId="38288" xr:uid="{00000000-0005-0000-0000-00009D780000}"/>
    <cellStyle name="Normal 7 18 3 5" xfId="25983" xr:uid="{00000000-0005-0000-0000-00009E780000}"/>
    <cellStyle name="Normal 7 18 4" xfId="7554" xr:uid="{00000000-0005-0000-0000-00009F780000}"/>
    <cellStyle name="Normal 7 18 4 2" xfId="13748" xr:uid="{00000000-0005-0000-0000-0000A0780000}"/>
    <cellStyle name="Normal 7 18 4 2 2" xfId="33668" xr:uid="{00000000-0005-0000-0000-0000A1780000}"/>
    <cellStyle name="Normal 7 18 4 3" xfId="19900" xr:uid="{00000000-0005-0000-0000-0000A2780000}"/>
    <cellStyle name="Normal 7 18 4 3 2" xfId="39820" xr:uid="{00000000-0005-0000-0000-0000A3780000}"/>
    <cellStyle name="Normal 7 18 4 4" xfId="27515" xr:uid="{00000000-0005-0000-0000-0000A4780000}"/>
    <cellStyle name="Normal 7 18 5" xfId="10682" xr:uid="{00000000-0005-0000-0000-0000A5780000}"/>
    <cellStyle name="Normal 7 18 5 2" xfId="30602" xr:uid="{00000000-0005-0000-0000-0000A6780000}"/>
    <cellStyle name="Normal 7 18 6" xfId="16834" xr:uid="{00000000-0005-0000-0000-0000A7780000}"/>
    <cellStyle name="Normal 7 18 6 2" xfId="36754" xr:uid="{00000000-0005-0000-0000-0000A8780000}"/>
    <cellStyle name="Normal 7 18 7" xfId="24449" xr:uid="{00000000-0005-0000-0000-0000A9780000}"/>
    <cellStyle name="Normal 7 19" xfId="3966" xr:uid="{00000000-0005-0000-0000-0000AA780000}"/>
    <cellStyle name="Normal 7 19 2" xfId="5148" xr:uid="{00000000-0005-0000-0000-0000AB780000}"/>
    <cellStyle name="Normal 7 19 2 2" xfId="6773" xr:uid="{00000000-0005-0000-0000-0000AC780000}"/>
    <cellStyle name="Normal 7 19 2 2 2" xfId="9859" xr:uid="{00000000-0005-0000-0000-0000AD780000}"/>
    <cellStyle name="Normal 7 19 2 2 2 2" xfId="16052" xr:uid="{00000000-0005-0000-0000-0000AE780000}"/>
    <cellStyle name="Normal 7 19 2 2 2 2 2" xfId="35972" xr:uid="{00000000-0005-0000-0000-0000AF780000}"/>
    <cellStyle name="Normal 7 19 2 2 2 3" xfId="22204" xr:uid="{00000000-0005-0000-0000-0000B0780000}"/>
    <cellStyle name="Normal 7 19 2 2 2 3 2" xfId="42124" xr:uid="{00000000-0005-0000-0000-0000B1780000}"/>
    <cellStyle name="Normal 7 19 2 2 2 4" xfId="29819" xr:uid="{00000000-0005-0000-0000-0000B2780000}"/>
    <cellStyle name="Normal 7 19 2 2 3" xfId="12986" xr:uid="{00000000-0005-0000-0000-0000B3780000}"/>
    <cellStyle name="Normal 7 19 2 2 3 2" xfId="32906" xr:uid="{00000000-0005-0000-0000-0000B4780000}"/>
    <cellStyle name="Normal 7 19 2 2 4" xfId="19138" xr:uid="{00000000-0005-0000-0000-0000B5780000}"/>
    <cellStyle name="Normal 7 19 2 2 4 2" xfId="39058" xr:uid="{00000000-0005-0000-0000-0000B6780000}"/>
    <cellStyle name="Normal 7 19 2 2 5" xfId="26753" xr:uid="{00000000-0005-0000-0000-0000B7780000}"/>
    <cellStyle name="Normal 7 19 2 3" xfId="8324" xr:uid="{00000000-0005-0000-0000-0000B8780000}"/>
    <cellStyle name="Normal 7 19 2 3 2" xfId="14518" xr:uid="{00000000-0005-0000-0000-0000B9780000}"/>
    <cellStyle name="Normal 7 19 2 3 2 2" xfId="34438" xr:uid="{00000000-0005-0000-0000-0000BA780000}"/>
    <cellStyle name="Normal 7 19 2 3 3" xfId="20670" xr:uid="{00000000-0005-0000-0000-0000BB780000}"/>
    <cellStyle name="Normal 7 19 2 3 3 2" xfId="40590" xr:uid="{00000000-0005-0000-0000-0000BC780000}"/>
    <cellStyle name="Normal 7 19 2 3 4" xfId="28285" xr:uid="{00000000-0005-0000-0000-0000BD780000}"/>
    <cellStyle name="Normal 7 19 2 4" xfId="11452" xr:uid="{00000000-0005-0000-0000-0000BE780000}"/>
    <cellStyle name="Normal 7 19 2 4 2" xfId="31372" xr:uid="{00000000-0005-0000-0000-0000BF780000}"/>
    <cellStyle name="Normal 7 19 2 5" xfId="17604" xr:uid="{00000000-0005-0000-0000-0000C0780000}"/>
    <cellStyle name="Normal 7 19 2 5 2" xfId="37524" xr:uid="{00000000-0005-0000-0000-0000C1780000}"/>
    <cellStyle name="Normal 7 19 2 6" xfId="25219" xr:uid="{00000000-0005-0000-0000-0000C2780000}"/>
    <cellStyle name="Normal 7 19 3" xfId="5990" xr:uid="{00000000-0005-0000-0000-0000C3780000}"/>
    <cellStyle name="Normal 7 19 3 2" xfId="9090" xr:uid="{00000000-0005-0000-0000-0000C4780000}"/>
    <cellStyle name="Normal 7 19 3 2 2" xfId="15283" xr:uid="{00000000-0005-0000-0000-0000C5780000}"/>
    <cellStyle name="Normal 7 19 3 2 2 2" xfId="35203" xr:uid="{00000000-0005-0000-0000-0000C6780000}"/>
    <cellStyle name="Normal 7 19 3 2 3" xfId="21435" xr:uid="{00000000-0005-0000-0000-0000C7780000}"/>
    <cellStyle name="Normal 7 19 3 2 3 2" xfId="41355" xr:uid="{00000000-0005-0000-0000-0000C8780000}"/>
    <cellStyle name="Normal 7 19 3 2 4" xfId="29050" xr:uid="{00000000-0005-0000-0000-0000C9780000}"/>
    <cellStyle name="Normal 7 19 3 3" xfId="12217" xr:uid="{00000000-0005-0000-0000-0000CA780000}"/>
    <cellStyle name="Normal 7 19 3 3 2" xfId="32137" xr:uid="{00000000-0005-0000-0000-0000CB780000}"/>
    <cellStyle name="Normal 7 19 3 4" xfId="18369" xr:uid="{00000000-0005-0000-0000-0000CC780000}"/>
    <cellStyle name="Normal 7 19 3 4 2" xfId="38289" xr:uid="{00000000-0005-0000-0000-0000CD780000}"/>
    <cellStyle name="Normal 7 19 3 5" xfId="25984" xr:uid="{00000000-0005-0000-0000-0000CE780000}"/>
    <cellStyle name="Normal 7 19 4" xfId="7555" xr:uid="{00000000-0005-0000-0000-0000CF780000}"/>
    <cellStyle name="Normal 7 19 4 2" xfId="13749" xr:uid="{00000000-0005-0000-0000-0000D0780000}"/>
    <cellStyle name="Normal 7 19 4 2 2" xfId="33669" xr:uid="{00000000-0005-0000-0000-0000D1780000}"/>
    <cellStyle name="Normal 7 19 4 3" xfId="19901" xr:uid="{00000000-0005-0000-0000-0000D2780000}"/>
    <cellStyle name="Normal 7 19 4 3 2" xfId="39821" xr:uid="{00000000-0005-0000-0000-0000D3780000}"/>
    <cellStyle name="Normal 7 19 4 4" xfId="27516" xr:uid="{00000000-0005-0000-0000-0000D4780000}"/>
    <cellStyle name="Normal 7 19 5" xfId="10683" xr:uid="{00000000-0005-0000-0000-0000D5780000}"/>
    <cellStyle name="Normal 7 19 5 2" xfId="30603" xr:uid="{00000000-0005-0000-0000-0000D6780000}"/>
    <cellStyle name="Normal 7 19 6" xfId="16835" xr:uid="{00000000-0005-0000-0000-0000D7780000}"/>
    <cellStyle name="Normal 7 19 6 2" xfId="36755" xr:uid="{00000000-0005-0000-0000-0000D8780000}"/>
    <cellStyle name="Normal 7 19 7" xfId="24450" xr:uid="{00000000-0005-0000-0000-0000D9780000}"/>
    <cellStyle name="Normal 7 2" xfId="3967" xr:uid="{00000000-0005-0000-0000-0000DA780000}"/>
    <cellStyle name="Normal 7 2 10" xfId="10684" xr:uid="{00000000-0005-0000-0000-0000DB780000}"/>
    <cellStyle name="Normal 7 2 10 2" xfId="30604" xr:uid="{00000000-0005-0000-0000-0000DC780000}"/>
    <cellStyle name="Normal 7 2 11" xfId="16836" xr:uid="{00000000-0005-0000-0000-0000DD780000}"/>
    <cellStyle name="Normal 7 2 11 2" xfId="36756" xr:uid="{00000000-0005-0000-0000-0000DE780000}"/>
    <cellStyle name="Normal 7 2 12" xfId="24451" xr:uid="{00000000-0005-0000-0000-0000DF780000}"/>
    <cellStyle name="Normal 7 2 2" xfId="3968" xr:uid="{00000000-0005-0000-0000-0000E0780000}"/>
    <cellStyle name="Normal 7 2 2 2" xfId="5150" xr:uid="{00000000-0005-0000-0000-0000E1780000}"/>
    <cellStyle name="Normal 7 2 2 2 2" xfId="6775" xr:uid="{00000000-0005-0000-0000-0000E2780000}"/>
    <cellStyle name="Normal 7 2 2 2 2 2" xfId="9861" xr:uid="{00000000-0005-0000-0000-0000E3780000}"/>
    <cellStyle name="Normal 7 2 2 2 2 2 2" xfId="16054" xr:uid="{00000000-0005-0000-0000-0000E4780000}"/>
    <cellStyle name="Normal 7 2 2 2 2 2 2 2" xfId="35974" xr:uid="{00000000-0005-0000-0000-0000E5780000}"/>
    <cellStyle name="Normal 7 2 2 2 2 2 3" xfId="22206" xr:uid="{00000000-0005-0000-0000-0000E6780000}"/>
    <cellStyle name="Normal 7 2 2 2 2 2 3 2" xfId="42126" xr:uid="{00000000-0005-0000-0000-0000E7780000}"/>
    <cellStyle name="Normal 7 2 2 2 2 2 4" xfId="29821" xr:uid="{00000000-0005-0000-0000-0000E8780000}"/>
    <cellStyle name="Normal 7 2 2 2 2 3" xfId="12988" xr:uid="{00000000-0005-0000-0000-0000E9780000}"/>
    <cellStyle name="Normal 7 2 2 2 2 3 2" xfId="32908" xr:uid="{00000000-0005-0000-0000-0000EA780000}"/>
    <cellStyle name="Normal 7 2 2 2 2 4" xfId="19140" xr:uid="{00000000-0005-0000-0000-0000EB780000}"/>
    <cellStyle name="Normal 7 2 2 2 2 4 2" xfId="39060" xr:uid="{00000000-0005-0000-0000-0000EC780000}"/>
    <cellStyle name="Normal 7 2 2 2 2 5" xfId="26755" xr:uid="{00000000-0005-0000-0000-0000ED780000}"/>
    <cellStyle name="Normal 7 2 2 2 3" xfId="8326" xr:uid="{00000000-0005-0000-0000-0000EE780000}"/>
    <cellStyle name="Normal 7 2 2 2 3 2" xfId="14520" xr:uid="{00000000-0005-0000-0000-0000EF780000}"/>
    <cellStyle name="Normal 7 2 2 2 3 2 2" xfId="34440" xr:uid="{00000000-0005-0000-0000-0000F0780000}"/>
    <cellStyle name="Normal 7 2 2 2 3 3" xfId="20672" xr:uid="{00000000-0005-0000-0000-0000F1780000}"/>
    <cellStyle name="Normal 7 2 2 2 3 3 2" xfId="40592" xr:uid="{00000000-0005-0000-0000-0000F2780000}"/>
    <cellStyle name="Normal 7 2 2 2 3 4" xfId="28287" xr:uid="{00000000-0005-0000-0000-0000F3780000}"/>
    <cellStyle name="Normal 7 2 2 2 4" xfId="11454" xr:uid="{00000000-0005-0000-0000-0000F4780000}"/>
    <cellStyle name="Normal 7 2 2 2 4 2" xfId="31374" xr:uid="{00000000-0005-0000-0000-0000F5780000}"/>
    <cellStyle name="Normal 7 2 2 2 5" xfId="17606" xr:uid="{00000000-0005-0000-0000-0000F6780000}"/>
    <cellStyle name="Normal 7 2 2 2 5 2" xfId="37526" xr:uid="{00000000-0005-0000-0000-0000F7780000}"/>
    <cellStyle name="Normal 7 2 2 2 6" xfId="25221" xr:uid="{00000000-0005-0000-0000-0000F8780000}"/>
    <cellStyle name="Normal 7 2 2 3" xfId="5992" xr:uid="{00000000-0005-0000-0000-0000F9780000}"/>
    <cellStyle name="Normal 7 2 2 3 2" xfId="9092" xr:uid="{00000000-0005-0000-0000-0000FA780000}"/>
    <cellStyle name="Normal 7 2 2 3 2 2" xfId="15285" xr:uid="{00000000-0005-0000-0000-0000FB780000}"/>
    <cellStyle name="Normal 7 2 2 3 2 2 2" xfId="35205" xr:uid="{00000000-0005-0000-0000-0000FC780000}"/>
    <cellStyle name="Normal 7 2 2 3 2 3" xfId="21437" xr:uid="{00000000-0005-0000-0000-0000FD780000}"/>
    <cellStyle name="Normal 7 2 2 3 2 3 2" xfId="41357" xr:uid="{00000000-0005-0000-0000-0000FE780000}"/>
    <cellStyle name="Normal 7 2 2 3 2 4" xfId="29052" xr:uid="{00000000-0005-0000-0000-0000FF780000}"/>
    <cellStyle name="Normal 7 2 2 3 3" xfId="12219" xr:uid="{00000000-0005-0000-0000-000000790000}"/>
    <cellStyle name="Normal 7 2 2 3 3 2" xfId="32139" xr:uid="{00000000-0005-0000-0000-000001790000}"/>
    <cellStyle name="Normal 7 2 2 3 4" xfId="18371" xr:uid="{00000000-0005-0000-0000-000002790000}"/>
    <cellStyle name="Normal 7 2 2 3 4 2" xfId="38291" xr:uid="{00000000-0005-0000-0000-000003790000}"/>
    <cellStyle name="Normal 7 2 2 3 5" xfId="25986" xr:uid="{00000000-0005-0000-0000-000004790000}"/>
    <cellStyle name="Normal 7 2 2 4" xfId="7557" xr:uid="{00000000-0005-0000-0000-000005790000}"/>
    <cellStyle name="Normal 7 2 2 4 2" xfId="13751" xr:uid="{00000000-0005-0000-0000-000006790000}"/>
    <cellStyle name="Normal 7 2 2 4 2 2" xfId="33671" xr:uid="{00000000-0005-0000-0000-000007790000}"/>
    <cellStyle name="Normal 7 2 2 4 3" xfId="19903" xr:uid="{00000000-0005-0000-0000-000008790000}"/>
    <cellStyle name="Normal 7 2 2 4 3 2" xfId="39823" xr:uid="{00000000-0005-0000-0000-000009790000}"/>
    <cellStyle name="Normal 7 2 2 4 4" xfId="27518" xr:uid="{00000000-0005-0000-0000-00000A790000}"/>
    <cellStyle name="Normal 7 2 2 5" xfId="10685" xr:uid="{00000000-0005-0000-0000-00000B790000}"/>
    <cellStyle name="Normal 7 2 2 5 2" xfId="30605" xr:uid="{00000000-0005-0000-0000-00000C790000}"/>
    <cellStyle name="Normal 7 2 2 6" xfId="16837" xr:uid="{00000000-0005-0000-0000-00000D790000}"/>
    <cellStyle name="Normal 7 2 2 6 2" xfId="36757" xr:uid="{00000000-0005-0000-0000-00000E790000}"/>
    <cellStyle name="Normal 7 2 2 7" xfId="24452" xr:uid="{00000000-0005-0000-0000-00000F790000}"/>
    <cellStyle name="Normal 7 2 3" xfId="3969" xr:uid="{00000000-0005-0000-0000-000010790000}"/>
    <cellStyle name="Normal 7 2 3 2" xfId="5151" xr:uid="{00000000-0005-0000-0000-000011790000}"/>
    <cellStyle name="Normal 7 2 3 2 2" xfId="6776" xr:uid="{00000000-0005-0000-0000-000012790000}"/>
    <cellStyle name="Normal 7 2 3 2 2 2" xfId="9862" xr:uid="{00000000-0005-0000-0000-000013790000}"/>
    <cellStyle name="Normal 7 2 3 2 2 2 2" xfId="16055" xr:uid="{00000000-0005-0000-0000-000014790000}"/>
    <cellStyle name="Normal 7 2 3 2 2 2 2 2" xfId="35975" xr:uid="{00000000-0005-0000-0000-000015790000}"/>
    <cellStyle name="Normal 7 2 3 2 2 2 3" xfId="22207" xr:uid="{00000000-0005-0000-0000-000016790000}"/>
    <cellStyle name="Normal 7 2 3 2 2 2 3 2" xfId="42127" xr:uid="{00000000-0005-0000-0000-000017790000}"/>
    <cellStyle name="Normal 7 2 3 2 2 2 4" xfId="29822" xr:uid="{00000000-0005-0000-0000-000018790000}"/>
    <cellStyle name="Normal 7 2 3 2 2 3" xfId="12989" xr:uid="{00000000-0005-0000-0000-000019790000}"/>
    <cellStyle name="Normal 7 2 3 2 2 3 2" xfId="32909" xr:uid="{00000000-0005-0000-0000-00001A790000}"/>
    <cellStyle name="Normal 7 2 3 2 2 4" xfId="19141" xr:uid="{00000000-0005-0000-0000-00001B790000}"/>
    <cellStyle name="Normal 7 2 3 2 2 4 2" xfId="39061" xr:uid="{00000000-0005-0000-0000-00001C790000}"/>
    <cellStyle name="Normal 7 2 3 2 2 5" xfId="26756" xr:uid="{00000000-0005-0000-0000-00001D790000}"/>
    <cellStyle name="Normal 7 2 3 2 3" xfId="8327" xr:uid="{00000000-0005-0000-0000-00001E790000}"/>
    <cellStyle name="Normal 7 2 3 2 3 2" xfId="14521" xr:uid="{00000000-0005-0000-0000-00001F790000}"/>
    <cellStyle name="Normal 7 2 3 2 3 2 2" xfId="34441" xr:uid="{00000000-0005-0000-0000-000020790000}"/>
    <cellStyle name="Normal 7 2 3 2 3 3" xfId="20673" xr:uid="{00000000-0005-0000-0000-000021790000}"/>
    <cellStyle name="Normal 7 2 3 2 3 3 2" xfId="40593" xr:uid="{00000000-0005-0000-0000-000022790000}"/>
    <cellStyle name="Normal 7 2 3 2 3 4" xfId="28288" xr:uid="{00000000-0005-0000-0000-000023790000}"/>
    <cellStyle name="Normal 7 2 3 2 4" xfId="11455" xr:uid="{00000000-0005-0000-0000-000024790000}"/>
    <cellStyle name="Normal 7 2 3 2 4 2" xfId="31375" xr:uid="{00000000-0005-0000-0000-000025790000}"/>
    <cellStyle name="Normal 7 2 3 2 5" xfId="17607" xr:uid="{00000000-0005-0000-0000-000026790000}"/>
    <cellStyle name="Normal 7 2 3 2 5 2" xfId="37527" xr:uid="{00000000-0005-0000-0000-000027790000}"/>
    <cellStyle name="Normal 7 2 3 2 6" xfId="25222" xr:uid="{00000000-0005-0000-0000-000028790000}"/>
    <cellStyle name="Normal 7 2 3 3" xfId="5993" xr:uid="{00000000-0005-0000-0000-000029790000}"/>
    <cellStyle name="Normal 7 2 3 3 2" xfId="9093" xr:uid="{00000000-0005-0000-0000-00002A790000}"/>
    <cellStyle name="Normal 7 2 3 3 2 2" xfId="15286" xr:uid="{00000000-0005-0000-0000-00002B790000}"/>
    <cellStyle name="Normal 7 2 3 3 2 2 2" xfId="35206" xr:uid="{00000000-0005-0000-0000-00002C790000}"/>
    <cellStyle name="Normal 7 2 3 3 2 3" xfId="21438" xr:uid="{00000000-0005-0000-0000-00002D790000}"/>
    <cellStyle name="Normal 7 2 3 3 2 3 2" xfId="41358" xr:uid="{00000000-0005-0000-0000-00002E790000}"/>
    <cellStyle name="Normal 7 2 3 3 2 4" xfId="29053" xr:uid="{00000000-0005-0000-0000-00002F790000}"/>
    <cellStyle name="Normal 7 2 3 3 3" xfId="12220" xr:uid="{00000000-0005-0000-0000-000030790000}"/>
    <cellStyle name="Normal 7 2 3 3 3 2" xfId="32140" xr:uid="{00000000-0005-0000-0000-000031790000}"/>
    <cellStyle name="Normal 7 2 3 3 4" xfId="18372" xr:uid="{00000000-0005-0000-0000-000032790000}"/>
    <cellStyle name="Normal 7 2 3 3 4 2" xfId="38292" xr:uid="{00000000-0005-0000-0000-000033790000}"/>
    <cellStyle name="Normal 7 2 3 3 5" xfId="25987" xr:uid="{00000000-0005-0000-0000-000034790000}"/>
    <cellStyle name="Normal 7 2 3 4" xfId="7558" xr:uid="{00000000-0005-0000-0000-000035790000}"/>
    <cellStyle name="Normal 7 2 3 4 2" xfId="13752" xr:uid="{00000000-0005-0000-0000-000036790000}"/>
    <cellStyle name="Normal 7 2 3 4 2 2" xfId="33672" xr:uid="{00000000-0005-0000-0000-000037790000}"/>
    <cellStyle name="Normal 7 2 3 4 3" xfId="19904" xr:uid="{00000000-0005-0000-0000-000038790000}"/>
    <cellStyle name="Normal 7 2 3 4 3 2" xfId="39824" xr:uid="{00000000-0005-0000-0000-000039790000}"/>
    <cellStyle name="Normal 7 2 3 4 4" xfId="27519" xr:uid="{00000000-0005-0000-0000-00003A790000}"/>
    <cellStyle name="Normal 7 2 3 5" xfId="10686" xr:uid="{00000000-0005-0000-0000-00003B790000}"/>
    <cellStyle name="Normal 7 2 3 5 2" xfId="30606" xr:uid="{00000000-0005-0000-0000-00003C790000}"/>
    <cellStyle name="Normal 7 2 3 6" xfId="16838" xr:uid="{00000000-0005-0000-0000-00003D790000}"/>
    <cellStyle name="Normal 7 2 3 6 2" xfId="36758" xr:uid="{00000000-0005-0000-0000-00003E790000}"/>
    <cellStyle name="Normal 7 2 3 7" xfId="24453" xr:uid="{00000000-0005-0000-0000-00003F790000}"/>
    <cellStyle name="Normal 7 2 4" xfId="3970" xr:uid="{00000000-0005-0000-0000-000040790000}"/>
    <cellStyle name="Normal 7 2 4 2" xfId="5152" xr:uid="{00000000-0005-0000-0000-000041790000}"/>
    <cellStyle name="Normal 7 2 4 2 2" xfId="6777" xr:uid="{00000000-0005-0000-0000-000042790000}"/>
    <cellStyle name="Normal 7 2 4 2 2 2" xfId="9863" xr:uid="{00000000-0005-0000-0000-000043790000}"/>
    <cellStyle name="Normal 7 2 4 2 2 2 2" xfId="16056" xr:uid="{00000000-0005-0000-0000-000044790000}"/>
    <cellStyle name="Normal 7 2 4 2 2 2 2 2" xfId="35976" xr:uid="{00000000-0005-0000-0000-000045790000}"/>
    <cellStyle name="Normal 7 2 4 2 2 2 3" xfId="22208" xr:uid="{00000000-0005-0000-0000-000046790000}"/>
    <cellStyle name="Normal 7 2 4 2 2 2 3 2" xfId="42128" xr:uid="{00000000-0005-0000-0000-000047790000}"/>
    <cellStyle name="Normal 7 2 4 2 2 2 4" xfId="29823" xr:uid="{00000000-0005-0000-0000-000048790000}"/>
    <cellStyle name="Normal 7 2 4 2 2 3" xfId="12990" xr:uid="{00000000-0005-0000-0000-000049790000}"/>
    <cellStyle name="Normal 7 2 4 2 2 3 2" xfId="32910" xr:uid="{00000000-0005-0000-0000-00004A790000}"/>
    <cellStyle name="Normal 7 2 4 2 2 4" xfId="19142" xr:uid="{00000000-0005-0000-0000-00004B790000}"/>
    <cellStyle name="Normal 7 2 4 2 2 4 2" xfId="39062" xr:uid="{00000000-0005-0000-0000-00004C790000}"/>
    <cellStyle name="Normal 7 2 4 2 2 5" xfId="26757" xr:uid="{00000000-0005-0000-0000-00004D790000}"/>
    <cellStyle name="Normal 7 2 4 2 3" xfId="8328" xr:uid="{00000000-0005-0000-0000-00004E790000}"/>
    <cellStyle name="Normal 7 2 4 2 3 2" xfId="14522" xr:uid="{00000000-0005-0000-0000-00004F790000}"/>
    <cellStyle name="Normal 7 2 4 2 3 2 2" xfId="34442" xr:uid="{00000000-0005-0000-0000-000050790000}"/>
    <cellStyle name="Normal 7 2 4 2 3 3" xfId="20674" xr:uid="{00000000-0005-0000-0000-000051790000}"/>
    <cellStyle name="Normal 7 2 4 2 3 3 2" xfId="40594" xr:uid="{00000000-0005-0000-0000-000052790000}"/>
    <cellStyle name="Normal 7 2 4 2 3 4" xfId="28289" xr:uid="{00000000-0005-0000-0000-000053790000}"/>
    <cellStyle name="Normal 7 2 4 2 4" xfId="11456" xr:uid="{00000000-0005-0000-0000-000054790000}"/>
    <cellStyle name="Normal 7 2 4 2 4 2" xfId="31376" xr:uid="{00000000-0005-0000-0000-000055790000}"/>
    <cellStyle name="Normal 7 2 4 2 5" xfId="17608" xr:uid="{00000000-0005-0000-0000-000056790000}"/>
    <cellStyle name="Normal 7 2 4 2 5 2" xfId="37528" xr:uid="{00000000-0005-0000-0000-000057790000}"/>
    <cellStyle name="Normal 7 2 4 2 6" xfId="25223" xr:uid="{00000000-0005-0000-0000-000058790000}"/>
    <cellStyle name="Normal 7 2 4 3" xfId="5994" xr:uid="{00000000-0005-0000-0000-000059790000}"/>
    <cellStyle name="Normal 7 2 4 3 2" xfId="9094" xr:uid="{00000000-0005-0000-0000-00005A790000}"/>
    <cellStyle name="Normal 7 2 4 3 2 2" xfId="15287" xr:uid="{00000000-0005-0000-0000-00005B790000}"/>
    <cellStyle name="Normal 7 2 4 3 2 2 2" xfId="35207" xr:uid="{00000000-0005-0000-0000-00005C790000}"/>
    <cellStyle name="Normal 7 2 4 3 2 3" xfId="21439" xr:uid="{00000000-0005-0000-0000-00005D790000}"/>
    <cellStyle name="Normal 7 2 4 3 2 3 2" xfId="41359" xr:uid="{00000000-0005-0000-0000-00005E790000}"/>
    <cellStyle name="Normal 7 2 4 3 2 4" xfId="29054" xr:uid="{00000000-0005-0000-0000-00005F790000}"/>
    <cellStyle name="Normal 7 2 4 3 3" xfId="12221" xr:uid="{00000000-0005-0000-0000-000060790000}"/>
    <cellStyle name="Normal 7 2 4 3 3 2" xfId="32141" xr:uid="{00000000-0005-0000-0000-000061790000}"/>
    <cellStyle name="Normal 7 2 4 3 4" xfId="18373" xr:uid="{00000000-0005-0000-0000-000062790000}"/>
    <cellStyle name="Normal 7 2 4 3 4 2" xfId="38293" xr:uid="{00000000-0005-0000-0000-000063790000}"/>
    <cellStyle name="Normal 7 2 4 3 5" xfId="25988" xr:uid="{00000000-0005-0000-0000-000064790000}"/>
    <cellStyle name="Normal 7 2 4 4" xfId="7559" xr:uid="{00000000-0005-0000-0000-000065790000}"/>
    <cellStyle name="Normal 7 2 4 4 2" xfId="13753" xr:uid="{00000000-0005-0000-0000-000066790000}"/>
    <cellStyle name="Normal 7 2 4 4 2 2" xfId="33673" xr:uid="{00000000-0005-0000-0000-000067790000}"/>
    <cellStyle name="Normal 7 2 4 4 3" xfId="19905" xr:uid="{00000000-0005-0000-0000-000068790000}"/>
    <cellStyle name="Normal 7 2 4 4 3 2" xfId="39825" xr:uid="{00000000-0005-0000-0000-000069790000}"/>
    <cellStyle name="Normal 7 2 4 4 4" xfId="27520" xr:uid="{00000000-0005-0000-0000-00006A790000}"/>
    <cellStyle name="Normal 7 2 4 5" xfId="10687" xr:uid="{00000000-0005-0000-0000-00006B790000}"/>
    <cellStyle name="Normal 7 2 4 5 2" xfId="30607" xr:uid="{00000000-0005-0000-0000-00006C790000}"/>
    <cellStyle name="Normal 7 2 4 6" xfId="16839" xr:uid="{00000000-0005-0000-0000-00006D790000}"/>
    <cellStyle name="Normal 7 2 4 6 2" xfId="36759" xr:uid="{00000000-0005-0000-0000-00006E790000}"/>
    <cellStyle name="Normal 7 2 4 7" xfId="24454" xr:uid="{00000000-0005-0000-0000-00006F790000}"/>
    <cellStyle name="Normal 7 2 5" xfId="3971" xr:uid="{00000000-0005-0000-0000-000070790000}"/>
    <cellStyle name="Normal 7 2 5 2" xfId="5153" xr:uid="{00000000-0005-0000-0000-000071790000}"/>
    <cellStyle name="Normal 7 2 5 2 2" xfId="6778" xr:uid="{00000000-0005-0000-0000-000072790000}"/>
    <cellStyle name="Normal 7 2 5 2 2 2" xfId="9864" xr:uid="{00000000-0005-0000-0000-000073790000}"/>
    <cellStyle name="Normal 7 2 5 2 2 2 2" xfId="16057" xr:uid="{00000000-0005-0000-0000-000074790000}"/>
    <cellStyle name="Normal 7 2 5 2 2 2 2 2" xfId="35977" xr:uid="{00000000-0005-0000-0000-000075790000}"/>
    <cellStyle name="Normal 7 2 5 2 2 2 3" xfId="22209" xr:uid="{00000000-0005-0000-0000-000076790000}"/>
    <cellStyle name="Normal 7 2 5 2 2 2 3 2" xfId="42129" xr:uid="{00000000-0005-0000-0000-000077790000}"/>
    <cellStyle name="Normal 7 2 5 2 2 2 4" xfId="29824" xr:uid="{00000000-0005-0000-0000-000078790000}"/>
    <cellStyle name="Normal 7 2 5 2 2 3" xfId="12991" xr:uid="{00000000-0005-0000-0000-000079790000}"/>
    <cellStyle name="Normal 7 2 5 2 2 3 2" xfId="32911" xr:uid="{00000000-0005-0000-0000-00007A790000}"/>
    <cellStyle name="Normal 7 2 5 2 2 4" xfId="19143" xr:uid="{00000000-0005-0000-0000-00007B790000}"/>
    <cellStyle name="Normal 7 2 5 2 2 4 2" xfId="39063" xr:uid="{00000000-0005-0000-0000-00007C790000}"/>
    <cellStyle name="Normal 7 2 5 2 2 5" xfId="26758" xr:uid="{00000000-0005-0000-0000-00007D790000}"/>
    <cellStyle name="Normal 7 2 5 2 3" xfId="8329" xr:uid="{00000000-0005-0000-0000-00007E790000}"/>
    <cellStyle name="Normal 7 2 5 2 3 2" xfId="14523" xr:uid="{00000000-0005-0000-0000-00007F790000}"/>
    <cellStyle name="Normal 7 2 5 2 3 2 2" xfId="34443" xr:uid="{00000000-0005-0000-0000-000080790000}"/>
    <cellStyle name="Normal 7 2 5 2 3 3" xfId="20675" xr:uid="{00000000-0005-0000-0000-000081790000}"/>
    <cellStyle name="Normal 7 2 5 2 3 3 2" xfId="40595" xr:uid="{00000000-0005-0000-0000-000082790000}"/>
    <cellStyle name="Normal 7 2 5 2 3 4" xfId="28290" xr:uid="{00000000-0005-0000-0000-000083790000}"/>
    <cellStyle name="Normal 7 2 5 2 4" xfId="11457" xr:uid="{00000000-0005-0000-0000-000084790000}"/>
    <cellStyle name="Normal 7 2 5 2 4 2" xfId="31377" xr:uid="{00000000-0005-0000-0000-000085790000}"/>
    <cellStyle name="Normal 7 2 5 2 5" xfId="17609" xr:uid="{00000000-0005-0000-0000-000086790000}"/>
    <cellStyle name="Normal 7 2 5 2 5 2" xfId="37529" xr:uid="{00000000-0005-0000-0000-000087790000}"/>
    <cellStyle name="Normal 7 2 5 2 6" xfId="25224" xr:uid="{00000000-0005-0000-0000-000088790000}"/>
    <cellStyle name="Normal 7 2 5 3" xfId="5995" xr:uid="{00000000-0005-0000-0000-000089790000}"/>
    <cellStyle name="Normal 7 2 5 3 2" xfId="9095" xr:uid="{00000000-0005-0000-0000-00008A790000}"/>
    <cellStyle name="Normal 7 2 5 3 2 2" xfId="15288" xr:uid="{00000000-0005-0000-0000-00008B790000}"/>
    <cellStyle name="Normal 7 2 5 3 2 2 2" xfId="35208" xr:uid="{00000000-0005-0000-0000-00008C790000}"/>
    <cellStyle name="Normal 7 2 5 3 2 3" xfId="21440" xr:uid="{00000000-0005-0000-0000-00008D790000}"/>
    <cellStyle name="Normal 7 2 5 3 2 3 2" xfId="41360" xr:uid="{00000000-0005-0000-0000-00008E790000}"/>
    <cellStyle name="Normal 7 2 5 3 2 4" xfId="29055" xr:uid="{00000000-0005-0000-0000-00008F790000}"/>
    <cellStyle name="Normal 7 2 5 3 3" xfId="12222" xr:uid="{00000000-0005-0000-0000-000090790000}"/>
    <cellStyle name="Normal 7 2 5 3 3 2" xfId="32142" xr:uid="{00000000-0005-0000-0000-000091790000}"/>
    <cellStyle name="Normal 7 2 5 3 4" xfId="18374" xr:uid="{00000000-0005-0000-0000-000092790000}"/>
    <cellStyle name="Normal 7 2 5 3 4 2" xfId="38294" xr:uid="{00000000-0005-0000-0000-000093790000}"/>
    <cellStyle name="Normal 7 2 5 3 5" xfId="25989" xr:uid="{00000000-0005-0000-0000-000094790000}"/>
    <cellStyle name="Normal 7 2 5 4" xfId="7560" xr:uid="{00000000-0005-0000-0000-000095790000}"/>
    <cellStyle name="Normal 7 2 5 4 2" xfId="13754" xr:uid="{00000000-0005-0000-0000-000096790000}"/>
    <cellStyle name="Normal 7 2 5 4 2 2" xfId="33674" xr:uid="{00000000-0005-0000-0000-000097790000}"/>
    <cellStyle name="Normal 7 2 5 4 3" xfId="19906" xr:uid="{00000000-0005-0000-0000-000098790000}"/>
    <cellStyle name="Normal 7 2 5 4 3 2" xfId="39826" xr:uid="{00000000-0005-0000-0000-000099790000}"/>
    <cellStyle name="Normal 7 2 5 4 4" xfId="27521" xr:uid="{00000000-0005-0000-0000-00009A790000}"/>
    <cellStyle name="Normal 7 2 5 5" xfId="10688" xr:uid="{00000000-0005-0000-0000-00009B790000}"/>
    <cellStyle name="Normal 7 2 5 5 2" xfId="30608" xr:uid="{00000000-0005-0000-0000-00009C790000}"/>
    <cellStyle name="Normal 7 2 5 6" xfId="16840" xr:uid="{00000000-0005-0000-0000-00009D790000}"/>
    <cellStyle name="Normal 7 2 5 6 2" xfId="36760" xr:uid="{00000000-0005-0000-0000-00009E790000}"/>
    <cellStyle name="Normal 7 2 5 7" xfId="24455" xr:uid="{00000000-0005-0000-0000-00009F790000}"/>
    <cellStyle name="Normal 7 2 6" xfId="5149" xr:uid="{00000000-0005-0000-0000-0000A0790000}"/>
    <cellStyle name="Normal 7 2 6 2" xfId="6774" xr:uid="{00000000-0005-0000-0000-0000A1790000}"/>
    <cellStyle name="Normal 7 2 6 2 2" xfId="9860" xr:uid="{00000000-0005-0000-0000-0000A2790000}"/>
    <cellStyle name="Normal 7 2 6 2 2 2" xfId="16053" xr:uid="{00000000-0005-0000-0000-0000A3790000}"/>
    <cellStyle name="Normal 7 2 6 2 2 2 2" xfId="35973" xr:uid="{00000000-0005-0000-0000-0000A4790000}"/>
    <cellStyle name="Normal 7 2 6 2 2 3" xfId="22205" xr:uid="{00000000-0005-0000-0000-0000A5790000}"/>
    <cellStyle name="Normal 7 2 6 2 2 3 2" xfId="42125" xr:uid="{00000000-0005-0000-0000-0000A6790000}"/>
    <cellStyle name="Normal 7 2 6 2 2 4" xfId="29820" xr:uid="{00000000-0005-0000-0000-0000A7790000}"/>
    <cellStyle name="Normal 7 2 6 2 3" xfId="12987" xr:uid="{00000000-0005-0000-0000-0000A8790000}"/>
    <cellStyle name="Normal 7 2 6 2 3 2" xfId="32907" xr:uid="{00000000-0005-0000-0000-0000A9790000}"/>
    <cellStyle name="Normal 7 2 6 2 4" xfId="19139" xr:uid="{00000000-0005-0000-0000-0000AA790000}"/>
    <cellStyle name="Normal 7 2 6 2 4 2" xfId="39059" xr:uid="{00000000-0005-0000-0000-0000AB790000}"/>
    <cellStyle name="Normal 7 2 6 2 5" xfId="26754" xr:uid="{00000000-0005-0000-0000-0000AC790000}"/>
    <cellStyle name="Normal 7 2 6 3" xfId="8325" xr:uid="{00000000-0005-0000-0000-0000AD790000}"/>
    <cellStyle name="Normal 7 2 6 3 2" xfId="14519" xr:uid="{00000000-0005-0000-0000-0000AE790000}"/>
    <cellStyle name="Normal 7 2 6 3 2 2" xfId="34439" xr:uid="{00000000-0005-0000-0000-0000AF790000}"/>
    <cellStyle name="Normal 7 2 6 3 3" xfId="20671" xr:uid="{00000000-0005-0000-0000-0000B0790000}"/>
    <cellStyle name="Normal 7 2 6 3 3 2" xfId="40591" xr:uid="{00000000-0005-0000-0000-0000B1790000}"/>
    <cellStyle name="Normal 7 2 6 3 4" xfId="28286" xr:uid="{00000000-0005-0000-0000-0000B2790000}"/>
    <cellStyle name="Normal 7 2 6 4" xfId="11453" xr:uid="{00000000-0005-0000-0000-0000B3790000}"/>
    <cellStyle name="Normal 7 2 6 4 2" xfId="31373" xr:uid="{00000000-0005-0000-0000-0000B4790000}"/>
    <cellStyle name="Normal 7 2 6 5" xfId="17605" xr:uid="{00000000-0005-0000-0000-0000B5790000}"/>
    <cellStyle name="Normal 7 2 6 5 2" xfId="37525" xr:uid="{00000000-0005-0000-0000-0000B6790000}"/>
    <cellStyle name="Normal 7 2 6 6" xfId="25220" xr:uid="{00000000-0005-0000-0000-0000B7790000}"/>
    <cellStyle name="Normal 7 2 7" xfId="5991" xr:uid="{00000000-0005-0000-0000-0000B8790000}"/>
    <cellStyle name="Normal 7 2 7 2" xfId="9091" xr:uid="{00000000-0005-0000-0000-0000B9790000}"/>
    <cellStyle name="Normal 7 2 7 2 2" xfId="15284" xr:uid="{00000000-0005-0000-0000-0000BA790000}"/>
    <cellStyle name="Normal 7 2 7 2 2 2" xfId="35204" xr:uid="{00000000-0005-0000-0000-0000BB790000}"/>
    <cellStyle name="Normal 7 2 7 2 3" xfId="21436" xr:uid="{00000000-0005-0000-0000-0000BC790000}"/>
    <cellStyle name="Normal 7 2 7 2 3 2" xfId="41356" xr:uid="{00000000-0005-0000-0000-0000BD790000}"/>
    <cellStyle name="Normal 7 2 7 2 4" xfId="29051" xr:uid="{00000000-0005-0000-0000-0000BE790000}"/>
    <cellStyle name="Normal 7 2 7 3" xfId="12218" xr:uid="{00000000-0005-0000-0000-0000BF790000}"/>
    <cellStyle name="Normal 7 2 7 3 2" xfId="32138" xr:uid="{00000000-0005-0000-0000-0000C0790000}"/>
    <cellStyle name="Normal 7 2 7 4" xfId="18370" xr:uid="{00000000-0005-0000-0000-0000C1790000}"/>
    <cellStyle name="Normal 7 2 7 4 2" xfId="38290" xr:uid="{00000000-0005-0000-0000-0000C2790000}"/>
    <cellStyle name="Normal 7 2 7 5" xfId="25985" xr:uid="{00000000-0005-0000-0000-0000C3790000}"/>
    <cellStyle name="Normal 7 2 8" xfId="7556" xr:uid="{00000000-0005-0000-0000-0000C4790000}"/>
    <cellStyle name="Normal 7 2 8 2" xfId="13750" xr:uid="{00000000-0005-0000-0000-0000C5790000}"/>
    <cellStyle name="Normal 7 2 8 2 2" xfId="33670" xr:uid="{00000000-0005-0000-0000-0000C6790000}"/>
    <cellStyle name="Normal 7 2 8 3" xfId="19902" xr:uid="{00000000-0005-0000-0000-0000C7790000}"/>
    <cellStyle name="Normal 7 2 8 3 2" xfId="39822" xr:uid="{00000000-0005-0000-0000-0000C8790000}"/>
    <cellStyle name="Normal 7 2 8 4" xfId="27517" xr:uid="{00000000-0005-0000-0000-0000C9790000}"/>
    <cellStyle name="Normal 7 2 9" xfId="10130" xr:uid="{00000000-0005-0000-0000-0000CA790000}"/>
    <cellStyle name="Normal 7 2 9 2" xfId="16302" xr:uid="{00000000-0005-0000-0000-0000CB790000}"/>
    <cellStyle name="Normal 7 2 9 2 2" xfId="36222" xr:uid="{00000000-0005-0000-0000-0000CC790000}"/>
    <cellStyle name="Normal 7 2 9 3" xfId="22454" xr:uid="{00000000-0005-0000-0000-0000CD790000}"/>
    <cellStyle name="Normal 7 2 9 3 2" xfId="42374" xr:uid="{00000000-0005-0000-0000-0000CE790000}"/>
    <cellStyle name="Normal 7 2 9 4" xfId="30069" xr:uid="{00000000-0005-0000-0000-0000CF790000}"/>
    <cellStyle name="Normal 7 20" xfId="3972" xr:uid="{00000000-0005-0000-0000-0000D0790000}"/>
    <cellStyle name="Normal 7 20 2" xfId="5154" xr:uid="{00000000-0005-0000-0000-0000D1790000}"/>
    <cellStyle name="Normal 7 20 2 2" xfId="6779" xr:uid="{00000000-0005-0000-0000-0000D2790000}"/>
    <cellStyle name="Normal 7 20 2 2 2" xfId="9865" xr:uid="{00000000-0005-0000-0000-0000D3790000}"/>
    <cellStyle name="Normal 7 20 2 2 2 2" xfId="16058" xr:uid="{00000000-0005-0000-0000-0000D4790000}"/>
    <cellStyle name="Normal 7 20 2 2 2 2 2" xfId="35978" xr:uid="{00000000-0005-0000-0000-0000D5790000}"/>
    <cellStyle name="Normal 7 20 2 2 2 3" xfId="22210" xr:uid="{00000000-0005-0000-0000-0000D6790000}"/>
    <cellStyle name="Normal 7 20 2 2 2 3 2" xfId="42130" xr:uid="{00000000-0005-0000-0000-0000D7790000}"/>
    <cellStyle name="Normal 7 20 2 2 2 4" xfId="29825" xr:uid="{00000000-0005-0000-0000-0000D8790000}"/>
    <cellStyle name="Normal 7 20 2 2 3" xfId="12992" xr:uid="{00000000-0005-0000-0000-0000D9790000}"/>
    <cellStyle name="Normal 7 20 2 2 3 2" xfId="32912" xr:uid="{00000000-0005-0000-0000-0000DA790000}"/>
    <cellStyle name="Normal 7 20 2 2 4" xfId="19144" xr:uid="{00000000-0005-0000-0000-0000DB790000}"/>
    <cellStyle name="Normal 7 20 2 2 4 2" xfId="39064" xr:uid="{00000000-0005-0000-0000-0000DC790000}"/>
    <cellStyle name="Normal 7 20 2 2 5" xfId="26759" xr:uid="{00000000-0005-0000-0000-0000DD790000}"/>
    <cellStyle name="Normal 7 20 2 3" xfId="8330" xr:uid="{00000000-0005-0000-0000-0000DE790000}"/>
    <cellStyle name="Normal 7 20 2 3 2" xfId="14524" xr:uid="{00000000-0005-0000-0000-0000DF790000}"/>
    <cellStyle name="Normal 7 20 2 3 2 2" xfId="34444" xr:uid="{00000000-0005-0000-0000-0000E0790000}"/>
    <cellStyle name="Normal 7 20 2 3 3" xfId="20676" xr:uid="{00000000-0005-0000-0000-0000E1790000}"/>
    <cellStyle name="Normal 7 20 2 3 3 2" xfId="40596" xr:uid="{00000000-0005-0000-0000-0000E2790000}"/>
    <cellStyle name="Normal 7 20 2 3 4" xfId="28291" xr:uid="{00000000-0005-0000-0000-0000E3790000}"/>
    <cellStyle name="Normal 7 20 2 4" xfId="11458" xr:uid="{00000000-0005-0000-0000-0000E4790000}"/>
    <cellStyle name="Normal 7 20 2 4 2" xfId="31378" xr:uid="{00000000-0005-0000-0000-0000E5790000}"/>
    <cellStyle name="Normal 7 20 2 5" xfId="17610" xr:uid="{00000000-0005-0000-0000-0000E6790000}"/>
    <cellStyle name="Normal 7 20 2 5 2" xfId="37530" xr:uid="{00000000-0005-0000-0000-0000E7790000}"/>
    <cellStyle name="Normal 7 20 2 6" xfId="25225" xr:uid="{00000000-0005-0000-0000-0000E8790000}"/>
    <cellStyle name="Normal 7 20 3" xfId="5996" xr:uid="{00000000-0005-0000-0000-0000E9790000}"/>
    <cellStyle name="Normal 7 20 3 2" xfId="9096" xr:uid="{00000000-0005-0000-0000-0000EA790000}"/>
    <cellStyle name="Normal 7 20 3 2 2" xfId="15289" xr:uid="{00000000-0005-0000-0000-0000EB790000}"/>
    <cellStyle name="Normal 7 20 3 2 2 2" xfId="35209" xr:uid="{00000000-0005-0000-0000-0000EC790000}"/>
    <cellStyle name="Normal 7 20 3 2 3" xfId="21441" xr:uid="{00000000-0005-0000-0000-0000ED790000}"/>
    <cellStyle name="Normal 7 20 3 2 3 2" xfId="41361" xr:uid="{00000000-0005-0000-0000-0000EE790000}"/>
    <cellStyle name="Normal 7 20 3 2 4" xfId="29056" xr:uid="{00000000-0005-0000-0000-0000EF790000}"/>
    <cellStyle name="Normal 7 20 3 3" xfId="12223" xr:uid="{00000000-0005-0000-0000-0000F0790000}"/>
    <cellStyle name="Normal 7 20 3 3 2" xfId="32143" xr:uid="{00000000-0005-0000-0000-0000F1790000}"/>
    <cellStyle name="Normal 7 20 3 4" xfId="18375" xr:uid="{00000000-0005-0000-0000-0000F2790000}"/>
    <cellStyle name="Normal 7 20 3 4 2" xfId="38295" xr:uid="{00000000-0005-0000-0000-0000F3790000}"/>
    <cellStyle name="Normal 7 20 3 5" xfId="25990" xr:uid="{00000000-0005-0000-0000-0000F4790000}"/>
    <cellStyle name="Normal 7 20 4" xfId="7561" xr:uid="{00000000-0005-0000-0000-0000F5790000}"/>
    <cellStyle name="Normal 7 20 4 2" xfId="13755" xr:uid="{00000000-0005-0000-0000-0000F6790000}"/>
    <cellStyle name="Normal 7 20 4 2 2" xfId="33675" xr:uid="{00000000-0005-0000-0000-0000F7790000}"/>
    <cellStyle name="Normal 7 20 4 3" xfId="19907" xr:uid="{00000000-0005-0000-0000-0000F8790000}"/>
    <cellStyle name="Normal 7 20 4 3 2" xfId="39827" xr:uid="{00000000-0005-0000-0000-0000F9790000}"/>
    <cellStyle name="Normal 7 20 4 4" xfId="27522" xr:uid="{00000000-0005-0000-0000-0000FA790000}"/>
    <cellStyle name="Normal 7 20 5" xfId="10689" xr:uid="{00000000-0005-0000-0000-0000FB790000}"/>
    <cellStyle name="Normal 7 20 5 2" xfId="30609" xr:uid="{00000000-0005-0000-0000-0000FC790000}"/>
    <cellStyle name="Normal 7 20 6" xfId="16841" xr:uid="{00000000-0005-0000-0000-0000FD790000}"/>
    <cellStyle name="Normal 7 20 6 2" xfId="36761" xr:uid="{00000000-0005-0000-0000-0000FE790000}"/>
    <cellStyle name="Normal 7 20 7" xfId="24456" xr:uid="{00000000-0005-0000-0000-0000FF790000}"/>
    <cellStyle name="Normal 7 21" xfId="3973" xr:uid="{00000000-0005-0000-0000-0000007A0000}"/>
    <cellStyle name="Normal 7 22" xfId="3974" xr:uid="{00000000-0005-0000-0000-0000017A0000}"/>
    <cellStyle name="Normal 7 22 2" xfId="5155" xr:uid="{00000000-0005-0000-0000-0000027A0000}"/>
    <cellStyle name="Normal 7 22 2 2" xfId="6780" xr:uid="{00000000-0005-0000-0000-0000037A0000}"/>
    <cellStyle name="Normal 7 22 2 2 2" xfId="9866" xr:uid="{00000000-0005-0000-0000-0000047A0000}"/>
    <cellStyle name="Normal 7 22 2 2 2 2" xfId="16059" xr:uid="{00000000-0005-0000-0000-0000057A0000}"/>
    <cellStyle name="Normal 7 22 2 2 2 2 2" xfId="35979" xr:uid="{00000000-0005-0000-0000-0000067A0000}"/>
    <cellStyle name="Normal 7 22 2 2 2 3" xfId="22211" xr:uid="{00000000-0005-0000-0000-0000077A0000}"/>
    <cellStyle name="Normal 7 22 2 2 2 3 2" xfId="42131" xr:uid="{00000000-0005-0000-0000-0000087A0000}"/>
    <cellStyle name="Normal 7 22 2 2 2 4" xfId="29826" xr:uid="{00000000-0005-0000-0000-0000097A0000}"/>
    <cellStyle name="Normal 7 22 2 2 3" xfId="12993" xr:uid="{00000000-0005-0000-0000-00000A7A0000}"/>
    <cellStyle name="Normal 7 22 2 2 3 2" xfId="32913" xr:uid="{00000000-0005-0000-0000-00000B7A0000}"/>
    <cellStyle name="Normal 7 22 2 2 4" xfId="19145" xr:uid="{00000000-0005-0000-0000-00000C7A0000}"/>
    <cellStyle name="Normal 7 22 2 2 4 2" xfId="39065" xr:uid="{00000000-0005-0000-0000-00000D7A0000}"/>
    <cellStyle name="Normal 7 22 2 2 5" xfId="26760" xr:uid="{00000000-0005-0000-0000-00000E7A0000}"/>
    <cellStyle name="Normal 7 22 2 3" xfId="8331" xr:uid="{00000000-0005-0000-0000-00000F7A0000}"/>
    <cellStyle name="Normal 7 22 2 3 2" xfId="14525" xr:uid="{00000000-0005-0000-0000-0000107A0000}"/>
    <cellStyle name="Normal 7 22 2 3 2 2" xfId="34445" xr:uid="{00000000-0005-0000-0000-0000117A0000}"/>
    <cellStyle name="Normal 7 22 2 3 3" xfId="20677" xr:uid="{00000000-0005-0000-0000-0000127A0000}"/>
    <cellStyle name="Normal 7 22 2 3 3 2" xfId="40597" xr:uid="{00000000-0005-0000-0000-0000137A0000}"/>
    <cellStyle name="Normal 7 22 2 3 4" xfId="28292" xr:uid="{00000000-0005-0000-0000-0000147A0000}"/>
    <cellStyle name="Normal 7 22 2 4" xfId="11459" xr:uid="{00000000-0005-0000-0000-0000157A0000}"/>
    <cellStyle name="Normal 7 22 2 4 2" xfId="31379" xr:uid="{00000000-0005-0000-0000-0000167A0000}"/>
    <cellStyle name="Normal 7 22 2 5" xfId="17611" xr:uid="{00000000-0005-0000-0000-0000177A0000}"/>
    <cellStyle name="Normal 7 22 2 5 2" xfId="37531" xr:uid="{00000000-0005-0000-0000-0000187A0000}"/>
    <cellStyle name="Normal 7 22 2 6" xfId="25226" xr:uid="{00000000-0005-0000-0000-0000197A0000}"/>
    <cellStyle name="Normal 7 22 3" xfId="5997" xr:uid="{00000000-0005-0000-0000-00001A7A0000}"/>
    <cellStyle name="Normal 7 22 3 2" xfId="9097" xr:uid="{00000000-0005-0000-0000-00001B7A0000}"/>
    <cellStyle name="Normal 7 22 3 2 2" xfId="15290" xr:uid="{00000000-0005-0000-0000-00001C7A0000}"/>
    <cellStyle name="Normal 7 22 3 2 2 2" xfId="35210" xr:uid="{00000000-0005-0000-0000-00001D7A0000}"/>
    <cellStyle name="Normal 7 22 3 2 3" xfId="21442" xr:uid="{00000000-0005-0000-0000-00001E7A0000}"/>
    <cellStyle name="Normal 7 22 3 2 3 2" xfId="41362" xr:uid="{00000000-0005-0000-0000-00001F7A0000}"/>
    <cellStyle name="Normal 7 22 3 2 4" xfId="29057" xr:uid="{00000000-0005-0000-0000-0000207A0000}"/>
    <cellStyle name="Normal 7 22 3 3" xfId="12224" xr:uid="{00000000-0005-0000-0000-0000217A0000}"/>
    <cellStyle name="Normal 7 22 3 3 2" xfId="32144" xr:uid="{00000000-0005-0000-0000-0000227A0000}"/>
    <cellStyle name="Normal 7 22 3 4" xfId="18376" xr:uid="{00000000-0005-0000-0000-0000237A0000}"/>
    <cellStyle name="Normal 7 22 3 4 2" xfId="38296" xr:uid="{00000000-0005-0000-0000-0000247A0000}"/>
    <cellStyle name="Normal 7 22 3 5" xfId="25991" xr:uid="{00000000-0005-0000-0000-0000257A0000}"/>
    <cellStyle name="Normal 7 22 4" xfId="7562" xr:uid="{00000000-0005-0000-0000-0000267A0000}"/>
    <cellStyle name="Normal 7 22 4 2" xfId="13756" xr:uid="{00000000-0005-0000-0000-0000277A0000}"/>
    <cellStyle name="Normal 7 22 4 2 2" xfId="33676" xr:uid="{00000000-0005-0000-0000-0000287A0000}"/>
    <cellStyle name="Normal 7 22 4 3" xfId="19908" xr:uid="{00000000-0005-0000-0000-0000297A0000}"/>
    <cellStyle name="Normal 7 22 4 3 2" xfId="39828" xr:uid="{00000000-0005-0000-0000-00002A7A0000}"/>
    <cellStyle name="Normal 7 22 4 4" xfId="27523" xr:uid="{00000000-0005-0000-0000-00002B7A0000}"/>
    <cellStyle name="Normal 7 22 5" xfId="10690" xr:uid="{00000000-0005-0000-0000-00002C7A0000}"/>
    <cellStyle name="Normal 7 22 5 2" xfId="30610" xr:uid="{00000000-0005-0000-0000-00002D7A0000}"/>
    <cellStyle name="Normal 7 22 6" xfId="16842" xr:uid="{00000000-0005-0000-0000-00002E7A0000}"/>
    <cellStyle name="Normal 7 22 6 2" xfId="36762" xr:uid="{00000000-0005-0000-0000-00002F7A0000}"/>
    <cellStyle name="Normal 7 22 7" xfId="24457" xr:uid="{00000000-0005-0000-0000-0000307A0000}"/>
    <cellStyle name="Normal 7 23" xfId="3975" xr:uid="{00000000-0005-0000-0000-0000317A0000}"/>
    <cellStyle name="Normal 7 24" xfId="4503" xr:uid="{00000000-0005-0000-0000-0000327A0000}"/>
    <cellStyle name="Normal 7 25" xfId="3956" xr:uid="{00000000-0005-0000-0000-0000337A0000}"/>
    <cellStyle name="Normal 7 25 2" xfId="5138" xr:uid="{00000000-0005-0000-0000-0000347A0000}"/>
    <cellStyle name="Normal 7 25 2 2" xfId="6763" xr:uid="{00000000-0005-0000-0000-0000357A0000}"/>
    <cellStyle name="Normal 7 25 2 2 2" xfId="9849" xr:uid="{00000000-0005-0000-0000-0000367A0000}"/>
    <cellStyle name="Normal 7 25 2 2 2 2" xfId="16042" xr:uid="{00000000-0005-0000-0000-0000377A0000}"/>
    <cellStyle name="Normal 7 25 2 2 2 2 2" xfId="35962" xr:uid="{00000000-0005-0000-0000-0000387A0000}"/>
    <cellStyle name="Normal 7 25 2 2 2 3" xfId="22194" xr:uid="{00000000-0005-0000-0000-0000397A0000}"/>
    <cellStyle name="Normal 7 25 2 2 2 3 2" xfId="42114" xr:uid="{00000000-0005-0000-0000-00003A7A0000}"/>
    <cellStyle name="Normal 7 25 2 2 2 4" xfId="29809" xr:uid="{00000000-0005-0000-0000-00003B7A0000}"/>
    <cellStyle name="Normal 7 25 2 2 3" xfId="12976" xr:uid="{00000000-0005-0000-0000-00003C7A0000}"/>
    <cellStyle name="Normal 7 25 2 2 3 2" xfId="32896" xr:uid="{00000000-0005-0000-0000-00003D7A0000}"/>
    <cellStyle name="Normal 7 25 2 2 4" xfId="19128" xr:uid="{00000000-0005-0000-0000-00003E7A0000}"/>
    <cellStyle name="Normal 7 25 2 2 4 2" xfId="39048" xr:uid="{00000000-0005-0000-0000-00003F7A0000}"/>
    <cellStyle name="Normal 7 25 2 2 5" xfId="26743" xr:uid="{00000000-0005-0000-0000-0000407A0000}"/>
    <cellStyle name="Normal 7 25 2 3" xfId="8314" xr:uid="{00000000-0005-0000-0000-0000417A0000}"/>
    <cellStyle name="Normal 7 25 2 3 2" xfId="14508" xr:uid="{00000000-0005-0000-0000-0000427A0000}"/>
    <cellStyle name="Normal 7 25 2 3 2 2" xfId="34428" xr:uid="{00000000-0005-0000-0000-0000437A0000}"/>
    <cellStyle name="Normal 7 25 2 3 3" xfId="20660" xr:uid="{00000000-0005-0000-0000-0000447A0000}"/>
    <cellStyle name="Normal 7 25 2 3 3 2" xfId="40580" xr:uid="{00000000-0005-0000-0000-0000457A0000}"/>
    <cellStyle name="Normal 7 25 2 3 4" xfId="28275" xr:uid="{00000000-0005-0000-0000-0000467A0000}"/>
    <cellStyle name="Normal 7 25 2 4" xfId="11442" xr:uid="{00000000-0005-0000-0000-0000477A0000}"/>
    <cellStyle name="Normal 7 25 2 4 2" xfId="31362" xr:uid="{00000000-0005-0000-0000-0000487A0000}"/>
    <cellStyle name="Normal 7 25 2 5" xfId="17594" xr:uid="{00000000-0005-0000-0000-0000497A0000}"/>
    <cellStyle name="Normal 7 25 2 5 2" xfId="37514" xr:uid="{00000000-0005-0000-0000-00004A7A0000}"/>
    <cellStyle name="Normal 7 25 2 6" xfId="25209" xr:uid="{00000000-0005-0000-0000-00004B7A0000}"/>
    <cellStyle name="Normal 7 25 3" xfId="5980" xr:uid="{00000000-0005-0000-0000-00004C7A0000}"/>
    <cellStyle name="Normal 7 25 3 2" xfId="9080" xr:uid="{00000000-0005-0000-0000-00004D7A0000}"/>
    <cellStyle name="Normal 7 25 3 2 2" xfId="15273" xr:uid="{00000000-0005-0000-0000-00004E7A0000}"/>
    <cellStyle name="Normal 7 25 3 2 2 2" xfId="35193" xr:uid="{00000000-0005-0000-0000-00004F7A0000}"/>
    <cellStyle name="Normal 7 25 3 2 3" xfId="21425" xr:uid="{00000000-0005-0000-0000-0000507A0000}"/>
    <cellStyle name="Normal 7 25 3 2 3 2" xfId="41345" xr:uid="{00000000-0005-0000-0000-0000517A0000}"/>
    <cellStyle name="Normal 7 25 3 2 4" xfId="29040" xr:uid="{00000000-0005-0000-0000-0000527A0000}"/>
    <cellStyle name="Normal 7 25 3 3" xfId="12207" xr:uid="{00000000-0005-0000-0000-0000537A0000}"/>
    <cellStyle name="Normal 7 25 3 3 2" xfId="32127" xr:uid="{00000000-0005-0000-0000-0000547A0000}"/>
    <cellStyle name="Normal 7 25 3 4" xfId="18359" xr:uid="{00000000-0005-0000-0000-0000557A0000}"/>
    <cellStyle name="Normal 7 25 3 4 2" xfId="38279" xr:uid="{00000000-0005-0000-0000-0000567A0000}"/>
    <cellStyle name="Normal 7 25 3 5" xfId="25974" xr:uid="{00000000-0005-0000-0000-0000577A0000}"/>
    <cellStyle name="Normal 7 25 4" xfId="7545" xr:uid="{00000000-0005-0000-0000-0000587A0000}"/>
    <cellStyle name="Normal 7 25 4 2" xfId="13739" xr:uid="{00000000-0005-0000-0000-0000597A0000}"/>
    <cellStyle name="Normal 7 25 4 2 2" xfId="33659" xr:uid="{00000000-0005-0000-0000-00005A7A0000}"/>
    <cellStyle name="Normal 7 25 4 3" xfId="19891" xr:uid="{00000000-0005-0000-0000-00005B7A0000}"/>
    <cellStyle name="Normal 7 25 4 3 2" xfId="39811" xr:uid="{00000000-0005-0000-0000-00005C7A0000}"/>
    <cellStyle name="Normal 7 25 4 4" xfId="27506" xr:uid="{00000000-0005-0000-0000-00005D7A0000}"/>
    <cellStyle name="Normal 7 25 5" xfId="10673" xr:uid="{00000000-0005-0000-0000-00005E7A0000}"/>
    <cellStyle name="Normal 7 25 5 2" xfId="30593" xr:uid="{00000000-0005-0000-0000-00005F7A0000}"/>
    <cellStyle name="Normal 7 25 6" xfId="16825" xr:uid="{00000000-0005-0000-0000-0000607A0000}"/>
    <cellStyle name="Normal 7 25 6 2" xfId="36745" xr:uid="{00000000-0005-0000-0000-0000617A0000}"/>
    <cellStyle name="Normal 7 25 7" xfId="24440" xr:uid="{00000000-0005-0000-0000-0000627A0000}"/>
    <cellStyle name="Normal 7 26" xfId="10117" xr:uid="{00000000-0005-0000-0000-0000637A0000}"/>
    <cellStyle name="Normal 7 26 2" xfId="16293" xr:uid="{00000000-0005-0000-0000-0000647A0000}"/>
    <cellStyle name="Normal 7 26 2 2" xfId="36213" xr:uid="{00000000-0005-0000-0000-0000657A0000}"/>
    <cellStyle name="Normal 7 26 3" xfId="22445" xr:uid="{00000000-0005-0000-0000-0000667A0000}"/>
    <cellStyle name="Normal 7 26 3 2" xfId="42365" xr:uid="{00000000-0005-0000-0000-0000677A0000}"/>
    <cellStyle name="Normal 7 26 4" xfId="30060" xr:uid="{00000000-0005-0000-0000-0000687A0000}"/>
    <cellStyle name="Normal 7 27" xfId="1060" xr:uid="{00000000-0005-0000-0000-0000697A0000}"/>
    <cellStyle name="Normal 7 3" xfId="3976" xr:uid="{00000000-0005-0000-0000-00006A7A0000}"/>
    <cellStyle name="Normal 7 3 10" xfId="16843" xr:uid="{00000000-0005-0000-0000-00006B7A0000}"/>
    <cellStyle name="Normal 7 3 10 2" xfId="36763" xr:uid="{00000000-0005-0000-0000-00006C7A0000}"/>
    <cellStyle name="Normal 7 3 11" xfId="24458" xr:uid="{00000000-0005-0000-0000-00006D7A0000}"/>
    <cellStyle name="Normal 7 3 2" xfId="3977" xr:uid="{00000000-0005-0000-0000-00006E7A0000}"/>
    <cellStyle name="Normal 7 3 2 2" xfId="5157" xr:uid="{00000000-0005-0000-0000-00006F7A0000}"/>
    <cellStyle name="Normal 7 3 2 2 2" xfId="6782" xr:uid="{00000000-0005-0000-0000-0000707A0000}"/>
    <cellStyle name="Normal 7 3 2 2 2 2" xfId="9868" xr:uid="{00000000-0005-0000-0000-0000717A0000}"/>
    <cellStyle name="Normal 7 3 2 2 2 2 2" xfId="16061" xr:uid="{00000000-0005-0000-0000-0000727A0000}"/>
    <cellStyle name="Normal 7 3 2 2 2 2 2 2" xfId="35981" xr:uid="{00000000-0005-0000-0000-0000737A0000}"/>
    <cellStyle name="Normal 7 3 2 2 2 2 3" xfId="22213" xr:uid="{00000000-0005-0000-0000-0000747A0000}"/>
    <cellStyle name="Normal 7 3 2 2 2 2 3 2" xfId="42133" xr:uid="{00000000-0005-0000-0000-0000757A0000}"/>
    <cellStyle name="Normal 7 3 2 2 2 2 4" xfId="29828" xr:uid="{00000000-0005-0000-0000-0000767A0000}"/>
    <cellStyle name="Normal 7 3 2 2 2 3" xfId="12995" xr:uid="{00000000-0005-0000-0000-0000777A0000}"/>
    <cellStyle name="Normal 7 3 2 2 2 3 2" xfId="32915" xr:uid="{00000000-0005-0000-0000-0000787A0000}"/>
    <cellStyle name="Normal 7 3 2 2 2 4" xfId="19147" xr:uid="{00000000-0005-0000-0000-0000797A0000}"/>
    <cellStyle name="Normal 7 3 2 2 2 4 2" xfId="39067" xr:uid="{00000000-0005-0000-0000-00007A7A0000}"/>
    <cellStyle name="Normal 7 3 2 2 2 5" xfId="26762" xr:uid="{00000000-0005-0000-0000-00007B7A0000}"/>
    <cellStyle name="Normal 7 3 2 2 3" xfId="8333" xr:uid="{00000000-0005-0000-0000-00007C7A0000}"/>
    <cellStyle name="Normal 7 3 2 2 3 2" xfId="14527" xr:uid="{00000000-0005-0000-0000-00007D7A0000}"/>
    <cellStyle name="Normal 7 3 2 2 3 2 2" xfId="34447" xr:uid="{00000000-0005-0000-0000-00007E7A0000}"/>
    <cellStyle name="Normal 7 3 2 2 3 3" xfId="20679" xr:uid="{00000000-0005-0000-0000-00007F7A0000}"/>
    <cellStyle name="Normal 7 3 2 2 3 3 2" xfId="40599" xr:uid="{00000000-0005-0000-0000-0000807A0000}"/>
    <cellStyle name="Normal 7 3 2 2 3 4" xfId="28294" xr:uid="{00000000-0005-0000-0000-0000817A0000}"/>
    <cellStyle name="Normal 7 3 2 2 4" xfId="11461" xr:uid="{00000000-0005-0000-0000-0000827A0000}"/>
    <cellStyle name="Normal 7 3 2 2 4 2" xfId="31381" xr:uid="{00000000-0005-0000-0000-0000837A0000}"/>
    <cellStyle name="Normal 7 3 2 2 5" xfId="17613" xr:uid="{00000000-0005-0000-0000-0000847A0000}"/>
    <cellStyle name="Normal 7 3 2 2 5 2" xfId="37533" xr:uid="{00000000-0005-0000-0000-0000857A0000}"/>
    <cellStyle name="Normal 7 3 2 2 6" xfId="25228" xr:uid="{00000000-0005-0000-0000-0000867A0000}"/>
    <cellStyle name="Normal 7 3 2 3" xfId="5999" xr:uid="{00000000-0005-0000-0000-0000877A0000}"/>
    <cellStyle name="Normal 7 3 2 3 2" xfId="9099" xr:uid="{00000000-0005-0000-0000-0000887A0000}"/>
    <cellStyle name="Normal 7 3 2 3 2 2" xfId="15292" xr:uid="{00000000-0005-0000-0000-0000897A0000}"/>
    <cellStyle name="Normal 7 3 2 3 2 2 2" xfId="35212" xr:uid="{00000000-0005-0000-0000-00008A7A0000}"/>
    <cellStyle name="Normal 7 3 2 3 2 3" xfId="21444" xr:uid="{00000000-0005-0000-0000-00008B7A0000}"/>
    <cellStyle name="Normal 7 3 2 3 2 3 2" xfId="41364" xr:uid="{00000000-0005-0000-0000-00008C7A0000}"/>
    <cellStyle name="Normal 7 3 2 3 2 4" xfId="29059" xr:uid="{00000000-0005-0000-0000-00008D7A0000}"/>
    <cellStyle name="Normal 7 3 2 3 3" xfId="12226" xr:uid="{00000000-0005-0000-0000-00008E7A0000}"/>
    <cellStyle name="Normal 7 3 2 3 3 2" xfId="32146" xr:uid="{00000000-0005-0000-0000-00008F7A0000}"/>
    <cellStyle name="Normal 7 3 2 3 4" xfId="18378" xr:uid="{00000000-0005-0000-0000-0000907A0000}"/>
    <cellStyle name="Normal 7 3 2 3 4 2" xfId="38298" xr:uid="{00000000-0005-0000-0000-0000917A0000}"/>
    <cellStyle name="Normal 7 3 2 3 5" xfId="25993" xr:uid="{00000000-0005-0000-0000-0000927A0000}"/>
    <cellStyle name="Normal 7 3 2 4" xfId="7564" xr:uid="{00000000-0005-0000-0000-0000937A0000}"/>
    <cellStyle name="Normal 7 3 2 4 2" xfId="13758" xr:uid="{00000000-0005-0000-0000-0000947A0000}"/>
    <cellStyle name="Normal 7 3 2 4 2 2" xfId="33678" xr:uid="{00000000-0005-0000-0000-0000957A0000}"/>
    <cellStyle name="Normal 7 3 2 4 3" xfId="19910" xr:uid="{00000000-0005-0000-0000-0000967A0000}"/>
    <cellStyle name="Normal 7 3 2 4 3 2" xfId="39830" xr:uid="{00000000-0005-0000-0000-0000977A0000}"/>
    <cellStyle name="Normal 7 3 2 4 4" xfId="27525" xr:uid="{00000000-0005-0000-0000-0000987A0000}"/>
    <cellStyle name="Normal 7 3 2 5" xfId="10692" xr:uid="{00000000-0005-0000-0000-0000997A0000}"/>
    <cellStyle name="Normal 7 3 2 5 2" xfId="30612" xr:uid="{00000000-0005-0000-0000-00009A7A0000}"/>
    <cellStyle name="Normal 7 3 2 6" xfId="16844" xr:uid="{00000000-0005-0000-0000-00009B7A0000}"/>
    <cellStyle name="Normal 7 3 2 6 2" xfId="36764" xr:uid="{00000000-0005-0000-0000-00009C7A0000}"/>
    <cellStyle name="Normal 7 3 2 7" xfId="24459" xr:uid="{00000000-0005-0000-0000-00009D7A0000}"/>
    <cellStyle name="Normal 7 3 3" xfId="3978" xr:uid="{00000000-0005-0000-0000-00009E7A0000}"/>
    <cellStyle name="Normal 7 3 3 2" xfId="5158" xr:uid="{00000000-0005-0000-0000-00009F7A0000}"/>
    <cellStyle name="Normal 7 3 3 2 2" xfId="6783" xr:uid="{00000000-0005-0000-0000-0000A07A0000}"/>
    <cellStyle name="Normal 7 3 3 2 2 2" xfId="9869" xr:uid="{00000000-0005-0000-0000-0000A17A0000}"/>
    <cellStyle name="Normal 7 3 3 2 2 2 2" xfId="16062" xr:uid="{00000000-0005-0000-0000-0000A27A0000}"/>
    <cellStyle name="Normal 7 3 3 2 2 2 2 2" xfId="35982" xr:uid="{00000000-0005-0000-0000-0000A37A0000}"/>
    <cellStyle name="Normal 7 3 3 2 2 2 3" xfId="22214" xr:uid="{00000000-0005-0000-0000-0000A47A0000}"/>
    <cellStyle name="Normal 7 3 3 2 2 2 3 2" xfId="42134" xr:uid="{00000000-0005-0000-0000-0000A57A0000}"/>
    <cellStyle name="Normal 7 3 3 2 2 2 4" xfId="29829" xr:uid="{00000000-0005-0000-0000-0000A67A0000}"/>
    <cellStyle name="Normal 7 3 3 2 2 3" xfId="12996" xr:uid="{00000000-0005-0000-0000-0000A77A0000}"/>
    <cellStyle name="Normal 7 3 3 2 2 3 2" xfId="32916" xr:uid="{00000000-0005-0000-0000-0000A87A0000}"/>
    <cellStyle name="Normal 7 3 3 2 2 4" xfId="19148" xr:uid="{00000000-0005-0000-0000-0000A97A0000}"/>
    <cellStyle name="Normal 7 3 3 2 2 4 2" xfId="39068" xr:uid="{00000000-0005-0000-0000-0000AA7A0000}"/>
    <cellStyle name="Normal 7 3 3 2 2 5" xfId="26763" xr:uid="{00000000-0005-0000-0000-0000AB7A0000}"/>
    <cellStyle name="Normal 7 3 3 2 3" xfId="8334" xr:uid="{00000000-0005-0000-0000-0000AC7A0000}"/>
    <cellStyle name="Normal 7 3 3 2 3 2" xfId="14528" xr:uid="{00000000-0005-0000-0000-0000AD7A0000}"/>
    <cellStyle name="Normal 7 3 3 2 3 2 2" xfId="34448" xr:uid="{00000000-0005-0000-0000-0000AE7A0000}"/>
    <cellStyle name="Normal 7 3 3 2 3 3" xfId="20680" xr:uid="{00000000-0005-0000-0000-0000AF7A0000}"/>
    <cellStyle name="Normal 7 3 3 2 3 3 2" xfId="40600" xr:uid="{00000000-0005-0000-0000-0000B07A0000}"/>
    <cellStyle name="Normal 7 3 3 2 3 4" xfId="28295" xr:uid="{00000000-0005-0000-0000-0000B17A0000}"/>
    <cellStyle name="Normal 7 3 3 2 4" xfId="11462" xr:uid="{00000000-0005-0000-0000-0000B27A0000}"/>
    <cellStyle name="Normal 7 3 3 2 4 2" xfId="31382" xr:uid="{00000000-0005-0000-0000-0000B37A0000}"/>
    <cellStyle name="Normal 7 3 3 2 5" xfId="17614" xr:uid="{00000000-0005-0000-0000-0000B47A0000}"/>
    <cellStyle name="Normal 7 3 3 2 5 2" xfId="37534" xr:uid="{00000000-0005-0000-0000-0000B57A0000}"/>
    <cellStyle name="Normal 7 3 3 2 6" xfId="25229" xr:uid="{00000000-0005-0000-0000-0000B67A0000}"/>
    <cellStyle name="Normal 7 3 3 3" xfId="6000" xr:uid="{00000000-0005-0000-0000-0000B77A0000}"/>
    <cellStyle name="Normal 7 3 3 3 2" xfId="9100" xr:uid="{00000000-0005-0000-0000-0000B87A0000}"/>
    <cellStyle name="Normal 7 3 3 3 2 2" xfId="15293" xr:uid="{00000000-0005-0000-0000-0000B97A0000}"/>
    <cellStyle name="Normal 7 3 3 3 2 2 2" xfId="35213" xr:uid="{00000000-0005-0000-0000-0000BA7A0000}"/>
    <cellStyle name="Normal 7 3 3 3 2 3" xfId="21445" xr:uid="{00000000-0005-0000-0000-0000BB7A0000}"/>
    <cellStyle name="Normal 7 3 3 3 2 3 2" xfId="41365" xr:uid="{00000000-0005-0000-0000-0000BC7A0000}"/>
    <cellStyle name="Normal 7 3 3 3 2 4" xfId="29060" xr:uid="{00000000-0005-0000-0000-0000BD7A0000}"/>
    <cellStyle name="Normal 7 3 3 3 3" xfId="12227" xr:uid="{00000000-0005-0000-0000-0000BE7A0000}"/>
    <cellStyle name="Normal 7 3 3 3 3 2" xfId="32147" xr:uid="{00000000-0005-0000-0000-0000BF7A0000}"/>
    <cellStyle name="Normal 7 3 3 3 4" xfId="18379" xr:uid="{00000000-0005-0000-0000-0000C07A0000}"/>
    <cellStyle name="Normal 7 3 3 3 4 2" xfId="38299" xr:uid="{00000000-0005-0000-0000-0000C17A0000}"/>
    <cellStyle name="Normal 7 3 3 3 5" xfId="25994" xr:uid="{00000000-0005-0000-0000-0000C27A0000}"/>
    <cellStyle name="Normal 7 3 3 4" xfId="7565" xr:uid="{00000000-0005-0000-0000-0000C37A0000}"/>
    <cellStyle name="Normal 7 3 3 4 2" xfId="13759" xr:uid="{00000000-0005-0000-0000-0000C47A0000}"/>
    <cellStyle name="Normal 7 3 3 4 2 2" xfId="33679" xr:uid="{00000000-0005-0000-0000-0000C57A0000}"/>
    <cellStyle name="Normal 7 3 3 4 3" xfId="19911" xr:uid="{00000000-0005-0000-0000-0000C67A0000}"/>
    <cellStyle name="Normal 7 3 3 4 3 2" xfId="39831" xr:uid="{00000000-0005-0000-0000-0000C77A0000}"/>
    <cellStyle name="Normal 7 3 3 4 4" xfId="27526" xr:uid="{00000000-0005-0000-0000-0000C87A0000}"/>
    <cellStyle name="Normal 7 3 3 5" xfId="10693" xr:uid="{00000000-0005-0000-0000-0000C97A0000}"/>
    <cellStyle name="Normal 7 3 3 5 2" xfId="30613" xr:uid="{00000000-0005-0000-0000-0000CA7A0000}"/>
    <cellStyle name="Normal 7 3 3 6" xfId="16845" xr:uid="{00000000-0005-0000-0000-0000CB7A0000}"/>
    <cellStyle name="Normal 7 3 3 6 2" xfId="36765" xr:uid="{00000000-0005-0000-0000-0000CC7A0000}"/>
    <cellStyle name="Normal 7 3 3 7" xfId="24460" xr:uid="{00000000-0005-0000-0000-0000CD7A0000}"/>
    <cellStyle name="Normal 7 3 4" xfId="3979" xr:uid="{00000000-0005-0000-0000-0000CE7A0000}"/>
    <cellStyle name="Normal 7 3 4 2" xfId="5159" xr:uid="{00000000-0005-0000-0000-0000CF7A0000}"/>
    <cellStyle name="Normal 7 3 4 2 2" xfId="6784" xr:uid="{00000000-0005-0000-0000-0000D07A0000}"/>
    <cellStyle name="Normal 7 3 4 2 2 2" xfId="9870" xr:uid="{00000000-0005-0000-0000-0000D17A0000}"/>
    <cellStyle name="Normal 7 3 4 2 2 2 2" xfId="16063" xr:uid="{00000000-0005-0000-0000-0000D27A0000}"/>
    <cellStyle name="Normal 7 3 4 2 2 2 2 2" xfId="35983" xr:uid="{00000000-0005-0000-0000-0000D37A0000}"/>
    <cellStyle name="Normal 7 3 4 2 2 2 3" xfId="22215" xr:uid="{00000000-0005-0000-0000-0000D47A0000}"/>
    <cellStyle name="Normal 7 3 4 2 2 2 3 2" xfId="42135" xr:uid="{00000000-0005-0000-0000-0000D57A0000}"/>
    <cellStyle name="Normal 7 3 4 2 2 2 4" xfId="29830" xr:uid="{00000000-0005-0000-0000-0000D67A0000}"/>
    <cellStyle name="Normal 7 3 4 2 2 3" xfId="12997" xr:uid="{00000000-0005-0000-0000-0000D77A0000}"/>
    <cellStyle name="Normal 7 3 4 2 2 3 2" xfId="32917" xr:uid="{00000000-0005-0000-0000-0000D87A0000}"/>
    <cellStyle name="Normal 7 3 4 2 2 4" xfId="19149" xr:uid="{00000000-0005-0000-0000-0000D97A0000}"/>
    <cellStyle name="Normal 7 3 4 2 2 4 2" xfId="39069" xr:uid="{00000000-0005-0000-0000-0000DA7A0000}"/>
    <cellStyle name="Normal 7 3 4 2 2 5" xfId="26764" xr:uid="{00000000-0005-0000-0000-0000DB7A0000}"/>
    <cellStyle name="Normal 7 3 4 2 3" xfId="8335" xr:uid="{00000000-0005-0000-0000-0000DC7A0000}"/>
    <cellStyle name="Normal 7 3 4 2 3 2" xfId="14529" xr:uid="{00000000-0005-0000-0000-0000DD7A0000}"/>
    <cellStyle name="Normal 7 3 4 2 3 2 2" xfId="34449" xr:uid="{00000000-0005-0000-0000-0000DE7A0000}"/>
    <cellStyle name="Normal 7 3 4 2 3 3" xfId="20681" xr:uid="{00000000-0005-0000-0000-0000DF7A0000}"/>
    <cellStyle name="Normal 7 3 4 2 3 3 2" xfId="40601" xr:uid="{00000000-0005-0000-0000-0000E07A0000}"/>
    <cellStyle name="Normal 7 3 4 2 3 4" xfId="28296" xr:uid="{00000000-0005-0000-0000-0000E17A0000}"/>
    <cellStyle name="Normal 7 3 4 2 4" xfId="11463" xr:uid="{00000000-0005-0000-0000-0000E27A0000}"/>
    <cellStyle name="Normal 7 3 4 2 4 2" xfId="31383" xr:uid="{00000000-0005-0000-0000-0000E37A0000}"/>
    <cellStyle name="Normal 7 3 4 2 5" xfId="17615" xr:uid="{00000000-0005-0000-0000-0000E47A0000}"/>
    <cellStyle name="Normal 7 3 4 2 5 2" xfId="37535" xr:uid="{00000000-0005-0000-0000-0000E57A0000}"/>
    <cellStyle name="Normal 7 3 4 2 6" xfId="25230" xr:uid="{00000000-0005-0000-0000-0000E67A0000}"/>
    <cellStyle name="Normal 7 3 4 3" xfId="6001" xr:uid="{00000000-0005-0000-0000-0000E77A0000}"/>
    <cellStyle name="Normal 7 3 4 3 2" xfId="9101" xr:uid="{00000000-0005-0000-0000-0000E87A0000}"/>
    <cellStyle name="Normal 7 3 4 3 2 2" xfId="15294" xr:uid="{00000000-0005-0000-0000-0000E97A0000}"/>
    <cellStyle name="Normal 7 3 4 3 2 2 2" xfId="35214" xr:uid="{00000000-0005-0000-0000-0000EA7A0000}"/>
    <cellStyle name="Normal 7 3 4 3 2 3" xfId="21446" xr:uid="{00000000-0005-0000-0000-0000EB7A0000}"/>
    <cellStyle name="Normal 7 3 4 3 2 3 2" xfId="41366" xr:uid="{00000000-0005-0000-0000-0000EC7A0000}"/>
    <cellStyle name="Normal 7 3 4 3 2 4" xfId="29061" xr:uid="{00000000-0005-0000-0000-0000ED7A0000}"/>
    <cellStyle name="Normal 7 3 4 3 3" xfId="12228" xr:uid="{00000000-0005-0000-0000-0000EE7A0000}"/>
    <cellStyle name="Normal 7 3 4 3 3 2" xfId="32148" xr:uid="{00000000-0005-0000-0000-0000EF7A0000}"/>
    <cellStyle name="Normal 7 3 4 3 4" xfId="18380" xr:uid="{00000000-0005-0000-0000-0000F07A0000}"/>
    <cellStyle name="Normal 7 3 4 3 4 2" xfId="38300" xr:uid="{00000000-0005-0000-0000-0000F17A0000}"/>
    <cellStyle name="Normal 7 3 4 3 5" xfId="25995" xr:uid="{00000000-0005-0000-0000-0000F27A0000}"/>
    <cellStyle name="Normal 7 3 4 4" xfId="7566" xr:uid="{00000000-0005-0000-0000-0000F37A0000}"/>
    <cellStyle name="Normal 7 3 4 4 2" xfId="13760" xr:uid="{00000000-0005-0000-0000-0000F47A0000}"/>
    <cellStyle name="Normal 7 3 4 4 2 2" xfId="33680" xr:uid="{00000000-0005-0000-0000-0000F57A0000}"/>
    <cellStyle name="Normal 7 3 4 4 3" xfId="19912" xr:uid="{00000000-0005-0000-0000-0000F67A0000}"/>
    <cellStyle name="Normal 7 3 4 4 3 2" xfId="39832" xr:uid="{00000000-0005-0000-0000-0000F77A0000}"/>
    <cellStyle name="Normal 7 3 4 4 4" xfId="27527" xr:uid="{00000000-0005-0000-0000-0000F87A0000}"/>
    <cellStyle name="Normal 7 3 4 5" xfId="10694" xr:uid="{00000000-0005-0000-0000-0000F97A0000}"/>
    <cellStyle name="Normal 7 3 4 5 2" xfId="30614" xr:uid="{00000000-0005-0000-0000-0000FA7A0000}"/>
    <cellStyle name="Normal 7 3 4 6" xfId="16846" xr:uid="{00000000-0005-0000-0000-0000FB7A0000}"/>
    <cellStyle name="Normal 7 3 4 6 2" xfId="36766" xr:uid="{00000000-0005-0000-0000-0000FC7A0000}"/>
    <cellStyle name="Normal 7 3 4 7" xfId="24461" xr:uid="{00000000-0005-0000-0000-0000FD7A0000}"/>
    <cellStyle name="Normal 7 3 5" xfId="3980" xr:uid="{00000000-0005-0000-0000-0000FE7A0000}"/>
    <cellStyle name="Normal 7 3 5 2" xfId="5160" xr:uid="{00000000-0005-0000-0000-0000FF7A0000}"/>
    <cellStyle name="Normal 7 3 5 2 2" xfId="6785" xr:uid="{00000000-0005-0000-0000-0000007B0000}"/>
    <cellStyle name="Normal 7 3 5 2 2 2" xfId="9871" xr:uid="{00000000-0005-0000-0000-0000017B0000}"/>
    <cellStyle name="Normal 7 3 5 2 2 2 2" xfId="16064" xr:uid="{00000000-0005-0000-0000-0000027B0000}"/>
    <cellStyle name="Normal 7 3 5 2 2 2 2 2" xfId="35984" xr:uid="{00000000-0005-0000-0000-0000037B0000}"/>
    <cellStyle name="Normal 7 3 5 2 2 2 3" xfId="22216" xr:uid="{00000000-0005-0000-0000-0000047B0000}"/>
    <cellStyle name="Normal 7 3 5 2 2 2 3 2" xfId="42136" xr:uid="{00000000-0005-0000-0000-0000057B0000}"/>
    <cellStyle name="Normal 7 3 5 2 2 2 4" xfId="29831" xr:uid="{00000000-0005-0000-0000-0000067B0000}"/>
    <cellStyle name="Normal 7 3 5 2 2 3" xfId="12998" xr:uid="{00000000-0005-0000-0000-0000077B0000}"/>
    <cellStyle name="Normal 7 3 5 2 2 3 2" xfId="32918" xr:uid="{00000000-0005-0000-0000-0000087B0000}"/>
    <cellStyle name="Normal 7 3 5 2 2 4" xfId="19150" xr:uid="{00000000-0005-0000-0000-0000097B0000}"/>
    <cellStyle name="Normal 7 3 5 2 2 4 2" xfId="39070" xr:uid="{00000000-0005-0000-0000-00000A7B0000}"/>
    <cellStyle name="Normal 7 3 5 2 2 5" xfId="26765" xr:uid="{00000000-0005-0000-0000-00000B7B0000}"/>
    <cellStyle name="Normal 7 3 5 2 3" xfId="8336" xr:uid="{00000000-0005-0000-0000-00000C7B0000}"/>
    <cellStyle name="Normal 7 3 5 2 3 2" xfId="14530" xr:uid="{00000000-0005-0000-0000-00000D7B0000}"/>
    <cellStyle name="Normal 7 3 5 2 3 2 2" xfId="34450" xr:uid="{00000000-0005-0000-0000-00000E7B0000}"/>
    <cellStyle name="Normal 7 3 5 2 3 3" xfId="20682" xr:uid="{00000000-0005-0000-0000-00000F7B0000}"/>
    <cellStyle name="Normal 7 3 5 2 3 3 2" xfId="40602" xr:uid="{00000000-0005-0000-0000-0000107B0000}"/>
    <cellStyle name="Normal 7 3 5 2 3 4" xfId="28297" xr:uid="{00000000-0005-0000-0000-0000117B0000}"/>
    <cellStyle name="Normal 7 3 5 2 4" xfId="11464" xr:uid="{00000000-0005-0000-0000-0000127B0000}"/>
    <cellStyle name="Normal 7 3 5 2 4 2" xfId="31384" xr:uid="{00000000-0005-0000-0000-0000137B0000}"/>
    <cellStyle name="Normal 7 3 5 2 5" xfId="17616" xr:uid="{00000000-0005-0000-0000-0000147B0000}"/>
    <cellStyle name="Normal 7 3 5 2 5 2" xfId="37536" xr:uid="{00000000-0005-0000-0000-0000157B0000}"/>
    <cellStyle name="Normal 7 3 5 2 6" xfId="25231" xr:uid="{00000000-0005-0000-0000-0000167B0000}"/>
    <cellStyle name="Normal 7 3 5 3" xfId="6002" xr:uid="{00000000-0005-0000-0000-0000177B0000}"/>
    <cellStyle name="Normal 7 3 5 3 2" xfId="9102" xr:uid="{00000000-0005-0000-0000-0000187B0000}"/>
    <cellStyle name="Normal 7 3 5 3 2 2" xfId="15295" xr:uid="{00000000-0005-0000-0000-0000197B0000}"/>
    <cellStyle name="Normal 7 3 5 3 2 2 2" xfId="35215" xr:uid="{00000000-0005-0000-0000-00001A7B0000}"/>
    <cellStyle name="Normal 7 3 5 3 2 3" xfId="21447" xr:uid="{00000000-0005-0000-0000-00001B7B0000}"/>
    <cellStyle name="Normal 7 3 5 3 2 3 2" xfId="41367" xr:uid="{00000000-0005-0000-0000-00001C7B0000}"/>
    <cellStyle name="Normal 7 3 5 3 2 4" xfId="29062" xr:uid="{00000000-0005-0000-0000-00001D7B0000}"/>
    <cellStyle name="Normal 7 3 5 3 3" xfId="12229" xr:uid="{00000000-0005-0000-0000-00001E7B0000}"/>
    <cellStyle name="Normal 7 3 5 3 3 2" xfId="32149" xr:uid="{00000000-0005-0000-0000-00001F7B0000}"/>
    <cellStyle name="Normal 7 3 5 3 4" xfId="18381" xr:uid="{00000000-0005-0000-0000-0000207B0000}"/>
    <cellStyle name="Normal 7 3 5 3 4 2" xfId="38301" xr:uid="{00000000-0005-0000-0000-0000217B0000}"/>
    <cellStyle name="Normal 7 3 5 3 5" xfId="25996" xr:uid="{00000000-0005-0000-0000-0000227B0000}"/>
    <cellStyle name="Normal 7 3 5 4" xfId="7567" xr:uid="{00000000-0005-0000-0000-0000237B0000}"/>
    <cellStyle name="Normal 7 3 5 4 2" xfId="13761" xr:uid="{00000000-0005-0000-0000-0000247B0000}"/>
    <cellStyle name="Normal 7 3 5 4 2 2" xfId="33681" xr:uid="{00000000-0005-0000-0000-0000257B0000}"/>
    <cellStyle name="Normal 7 3 5 4 3" xfId="19913" xr:uid="{00000000-0005-0000-0000-0000267B0000}"/>
    <cellStyle name="Normal 7 3 5 4 3 2" xfId="39833" xr:uid="{00000000-0005-0000-0000-0000277B0000}"/>
    <cellStyle name="Normal 7 3 5 4 4" xfId="27528" xr:uid="{00000000-0005-0000-0000-0000287B0000}"/>
    <cellStyle name="Normal 7 3 5 5" xfId="10695" xr:uid="{00000000-0005-0000-0000-0000297B0000}"/>
    <cellStyle name="Normal 7 3 5 5 2" xfId="30615" xr:uid="{00000000-0005-0000-0000-00002A7B0000}"/>
    <cellStyle name="Normal 7 3 5 6" xfId="16847" xr:uid="{00000000-0005-0000-0000-00002B7B0000}"/>
    <cellStyle name="Normal 7 3 5 6 2" xfId="36767" xr:uid="{00000000-0005-0000-0000-00002C7B0000}"/>
    <cellStyle name="Normal 7 3 5 7" xfId="24462" xr:uid="{00000000-0005-0000-0000-00002D7B0000}"/>
    <cellStyle name="Normal 7 3 6" xfId="5156" xr:uid="{00000000-0005-0000-0000-00002E7B0000}"/>
    <cellStyle name="Normal 7 3 6 2" xfId="6781" xr:uid="{00000000-0005-0000-0000-00002F7B0000}"/>
    <cellStyle name="Normal 7 3 6 2 2" xfId="9867" xr:uid="{00000000-0005-0000-0000-0000307B0000}"/>
    <cellStyle name="Normal 7 3 6 2 2 2" xfId="16060" xr:uid="{00000000-0005-0000-0000-0000317B0000}"/>
    <cellStyle name="Normal 7 3 6 2 2 2 2" xfId="35980" xr:uid="{00000000-0005-0000-0000-0000327B0000}"/>
    <cellStyle name="Normal 7 3 6 2 2 3" xfId="22212" xr:uid="{00000000-0005-0000-0000-0000337B0000}"/>
    <cellStyle name="Normal 7 3 6 2 2 3 2" xfId="42132" xr:uid="{00000000-0005-0000-0000-0000347B0000}"/>
    <cellStyle name="Normal 7 3 6 2 2 4" xfId="29827" xr:uid="{00000000-0005-0000-0000-0000357B0000}"/>
    <cellStyle name="Normal 7 3 6 2 3" xfId="12994" xr:uid="{00000000-0005-0000-0000-0000367B0000}"/>
    <cellStyle name="Normal 7 3 6 2 3 2" xfId="32914" xr:uid="{00000000-0005-0000-0000-0000377B0000}"/>
    <cellStyle name="Normal 7 3 6 2 4" xfId="19146" xr:uid="{00000000-0005-0000-0000-0000387B0000}"/>
    <cellStyle name="Normal 7 3 6 2 4 2" xfId="39066" xr:uid="{00000000-0005-0000-0000-0000397B0000}"/>
    <cellStyle name="Normal 7 3 6 2 5" xfId="26761" xr:uid="{00000000-0005-0000-0000-00003A7B0000}"/>
    <cellStyle name="Normal 7 3 6 3" xfId="8332" xr:uid="{00000000-0005-0000-0000-00003B7B0000}"/>
    <cellStyle name="Normal 7 3 6 3 2" xfId="14526" xr:uid="{00000000-0005-0000-0000-00003C7B0000}"/>
    <cellStyle name="Normal 7 3 6 3 2 2" xfId="34446" xr:uid="{00000000-0005-0000-0000-00003D7B0000}"/>
    <cellStyle name="Normal 7 3 6 3 3" xfId="20678" xr:uid="{00000000-0005-0000-0000-00003E7B0000}"/>
    <cellStyle name="Normal 7 3 6 3 3 2" xfId="40598" xr:uid="{00000000-0005-0000-0000-00003F7B0000}"/>
    <cellStyle name="Normal 7 3 6 3 4" xfId="28293" xr:uid="{00000000-0005-0000-0000-0000407B0000}"/>
    <cellStyle name="Normal 7 3 6 4" xfId="11460" xr:uid="{00000000-0005-0000-0000-0000417B0000}"/>
    <cellStyle name="Normal 7 3 6 4 2" xfId="31380" xr:uid="{00000000-0005-0000-0000-0000427B0000}"/>
    <cellStyle name="Normal 7 3 6 5" xfId="17612" xr:uid="{00000000-0005-0000-0000-0000437B0000}"/>
    <cellStyle name="Normal 7 3 6 5 2" xfId="37532" xr:uid="{00000000-0005-0000-0000-0000447B0000}"/>
    <cellStyle name="Normal 7 3 6 6" xfId="25227" xr:uid="{00000000-0005-0000-0000-0000457B0000}"/>
    <cellStyle name="Normal 7 3 7" xfId="5998" xr:uid="{00000000-0005-0000-0000-0000467B0000}"/>
    <cellStyle name="Normal 7 3 7 2" xfId="9098" xr:uid="{00000000-0005-0000-0000-0000477B0000}"/>
    <cellStyle name="Normal 7 3 7 2 2" xfId="15291" xr:uid="{00000000-0005-0000-0000-0000487B0000}"/>
    <cellStyle name="Normal 7 3 7 2 2 2" xfId="35211" xr:uid="{00000000-0005-0000-0000-0000497B0000}"/>
    <cellStyle name="Normal 7 3 7 2 3" xfId="21443" xr:uid="{00000000-0005-0000-0000-00004A7B0000}"/>
    <cellStyle name="Normal 7 3 7 2 3 2" xfId="41363" xr:uid="{00000000-0005-0000-0000-00004B7B0000}"/>
    <cellStyle name="Normal 7 3 7 2 4" xfId="29058" xr:uid="{00000000-0005-0000-0000-00004C7B0000}"/>
    <cellStyle name="Normal 7 3 7 3" xfId="12225" xr:uid="{00000000-0005-0000-0000-00004D7B0000}"/>
    <cellStyle name="Normal 7 3 7 3 2" xfId="32145" xr:uid="{00000000-0005-0000-0000-00004E7B0000}"/>
    <cellStyle name="Normal 7 3 7 4" xfId="18377" xr:uid="{00000000-0005-0000-0000-00004F7B0000}"/>
    <cellStyle name="Normal 7 3 7 4 2" xfId="38297" xr:uid="{00000000-0005-0000-0000-0000507B0000}"/>
    <cellStyle name="Normal 7 3 7 5" xfId="25992" xr:uid="{00000000-0005-0000-0000-0000517B0000}"/>
    <cellStyle name="Normal 7 3 8" xfId="7563" xr:uid="{00000000-0005-0000-0000-0000527B0000}"/>
    <cellStyle name="Normal 7 3 8 2" xfId="13757" xr:uid="{00000000-0005-0000-0000-0000537B0000}"/>
    <cellStyle name="Normal 7 3 8 2 2" xfId="33677" xr:uid="{00000000-0005-0000-0000-0000547B0000}"/>
    <cellStyle name="Normal 7 3 8 3" xfId="19909" xr:uid="{00000000-0005-0000-0000-0000557B0000}"/>
    <cellStyle name="Normal 7 3 8 3 2" xfId="39829" xr:uid="{00000000-0005-0000-0000-0000567B0000}"/>
    <cellStyle name="Normal 7 3 8 4" xfId="27524" xr:uid="{00000000-0005-0000-0000-0000577B0000}"/>
    <cellStyle name="Normal 7 3 9" xfId="10691" xr:uid="{00000000-0005-0000-0000-0000587B0000}"/>
    <cellStyle name="Normal 7 3 9 2" xfId="30611" xr:uid="{00000000-0005-0000-0000-0000597B0000}"/>
    <cellStyle name="Normal 7 4" xfId="3981" xr:uid="{00000000-0005-0000-0000-00005A7B0000}"/>
    <cellStyle name="Normal 7 4 2" xfId="5161" xr:uid="{00000000-0005-0000-0000-00005B7B0000}"/>
    <cellStyle name="Normal 7 4 2 2" xfId="6786" xr:uid="{00000000-0005-0000-0000-00005C7B0000}"/>
    <cellStyle name="Normal 7 4 2 2 2" xfId="9872" xr:uid="{00000000-0005-0000-0000-00005D7B0000}"/>
    <cellStyle name="Normal 7 4 2 2 2 2" xfId="16065" xr:uid="{00000000-0005-0000-0000-00005E7B0000}"/>
    <cellStyle name="Normal 7 4 2 2 2 2 2" xfId="35985" xr:uid="{00000000-0005-0000-0000-00005F7B0000}"/>
    <cellStyle name="Normal 7 4 2 2 2 3" xfId="22217" xr:uid="{00000000-0005-0000-0000-0000607B0000}"/>
    <cellStyle name="Normal 7 4 2 2 2 3 2" xfId="42137" xr:uid="{00000000-0005-0000-0000-0000617B0000}"/>
    <cellStyle name="Normal 7 4 2 2 2 4" xfId="29832" xr:uid="{00000000-0005-0000-0000-0000627B0000}"/>
    <cellStyle name="Normal 7 4 2 2 3" xfId="12999" xr:uid="{00000000-0005-0000-0000-0000637B0000}"/>
    <cellStyle name="Normal 7 4 2 2 3 2" xfId="32919" xr:uid="{00000000-0005-0000-0000-0000647B0000}"/>
    <cellStyle name="Normal 7 4 2 2 4" xfId="19151" xr:uid="{00000000-0005-0000-0000-0000657B0000}"/>
    <cellStyle name="Normal 7 4 2 2 4 2" xfId="39071" xr:uid="{00000000-0005-0000-0000-0000667B0000}"/>
    <cellStyle name="Normal 7 4 2 2 5" xfId="26766" xr:uid="{00000000-0005-0000-0000-0000677B0000}"/>
    <cellStyle name="Normal 7 4 2 3" xfId="8337" xr:uid="{00000000-0005-0000-0000-0000687B0000}"/>
    <cellStyle name="Normal 7 4 2 3 2" xfId="14531" xr:uid="{00000000-0005-0000-0000-0000697B0000}"/>
    <cellStyle name="Normal 7 4 2 3 2 2" xfId="34451" xr:uid="{00000000-0005-0000-0000-00006A7B0000}"/>
    <cellStyle name="Normal 7 4 2 3 3" xfId="20683" xr:uid="{00000000-0005-0000-0000-00006B7B0000}"/>
    <cellStyle name="Normal 7 4 2 3 3 2" xfId="40603" xr:uid="{00000000-0005-0000-0000-00006C7B0000}"/>
    <cellStyle name="Normal 7 4 2 3 4" xfId="28298" xr:uid="{00000000-0005-0000-0000-00006D7B0000}"/>
    <cellStyle name="Normal 7 4 2 4" xfId="11465" xr:uid="{00000000-0005-0000-0000-00006E7B0000}"/>
    <cellStyle name="Normal 7 4 2 4 2" xfId="31385" xr:uid="{00000000-0005-0000-0000-00006F7B0000}"/>
    <cellStyle name="Normal 7 4 2 5" xfId="17617" xr:uid="{00000000-0005-0000-0000-0000707B0000}"/>
    <cellStyle name="Normal 7 4 2 5 2" xfId="37537" xr:uid="{00000000-0005-0000-0000-0000717B0000}"/>
    <cellStyle name="Normal 7 4 2 6" xfId="25232" xr:uid="{00000000-0005-0000-0000-0000727B0000}"/>
    <cellStyle name="Normal 7 4 3" xfId="6003" xr:uid="{00000000-0005-0000-0000-0000737B0000}"/>
    <cellStyle name="Normal 7 4 3 2" xfId="9103" xr:uid="{00000000-0005-0000-0000-0000747B0000}"/>
    <cellStyle name="Normal 7 4 3 2 2" xfId="15296" xr:uid="{00000000-0005-0000-0000-0000757B0000}"/>
    <cellStyle name="Normal 7 4 3 2 2 2" xfId="35216" xr:uid="{00000000-0005-0000-0000-0000767B0000}"/>
    <cellStyle name="Normal 7 4 3 2 3" xfId="21448" xr:uid="{00000000-0005-0000-0000-0000777B0000}"/>
    <cellStyle name="Normal 7 4 3 2 3 2" xfId="41368" xr:uid="{00000000-0005-0000-0000-0000787B0000}"/>
    <cellStyle name="Normal 7 4 3 2 4" xfId="29063" xr:uid="{00000000-0005-0000-0000-0000797B0000}"/>
    <cellStyle name="Normal 7 4 3 3" xfId="12230" xr:uid="{00000000-0005-0000-0000-00007A7B0000}"/>
    <cellStyle name="Normal 7 4 3 3 2" xfId="32150" xr:uid="{00000000-0005-0000-0000-00007B7B0000}"/>
    <cellStyle name="Normal 7 4 3 4" xfId="18382" xr:uid="{00000000-0005-0000-0000-00007C7B0000}"/>
    <cellStyle name="Normal 7 4 3 4 2" xfId="38302" xr:uid="{00000000-0005-0000-0000-00007D7B0000}"/>
    <cellStyle name="Normal 7 4 3 5" xfId="25997" xr:uid="{00000000-0005-0000-0000-00007E7B0000}"/>
    <cellStyle name="Normal 7 4 4" xfId="7568" xr:uid="{00000000-0005-0000-0000-00007F7B0000}"/>
    <cellStyle name="Normal 7 4 4 2" xfId="13762" xr:uid="{00000000-0005-0000-0000-0000807B0000}"/>
    <cellStyle name="Normal 7 4 4 2 2" xfId="33682" xr:uid="{00000000-0005-0000-0000-0000817B0000}"/>
    <cellStyle name="Normal 7 4 4 3" xfId="19914" xr:uid="{00000000-0005-0000-0000-0000827B0000}"/>
    <cellStyle name="Normal 7 4 4 3 2" xfId="39834" xr:uid="{00000000-0005-0000-0000-0000837B0000}"/>
    <cellStyle name="Normal 7 4 4 4" xfId="27529" xr:uid="{00000000-0005-0000-0000-0000847B0000}"/>
    <cellStyle name="Normal 7 4 5" xfId="10696" xr:uid="{00000000-0005-0000-0000-0000857B0000}"/>
    <cellStyle name="Normal 7 4 5 2" xfId="30616" xr:uid="{00000000-0005-0000-0000-0000867B0000}"/>
    <cellStyle name="Normal 7 4 6" xfId="16848" xr:uid="{00000000-0005-0000-0000-0000877B0000}"/>
    <cellStyle name="Normal 7 4 6 2" xfId="36768" xr:uid="{00000000-0005-0000-0000-0000887B0000}"/>
    <cellStyle name="Normal 7 4 7" xfId="24463" xr:uid="{00000000-0005-0000-0000-0000897B0000}"/>
    <cellStyle name="Normal 7 5" xfId="3982" xr:uid="{00000000-0005-0000-0000-00008A7B0000}"/>
    <cellStyle name="Normal 7 5 2" xfId="5162" xr:uid="{00000000-0005-0000-0000-00008B7B0000}"/>
    <cellStyle name="Normal 7 5 2 2" xfId="6787" xr:uid="{00000000-0005-0000-0000-00008C7B0000}"/>
    <cellStyle name="Normal 7 5 2 2 2" xfId="9873" xr:uid="{00000000-0005-0000-0000-00008D7B0000}"/>
    <cellStyle name="Normal 7 5 2 2 2 2" xfId="16066" xr:uid="{00000000-0005-0000-0000-00008E7B0000}"/>
    <cellStyle name="Normal 7 5 2 2 2 2 2" xfId="35986" xr:uid="{00000000-0005-0000-0000-00008F7B0000}"/>
    <cellStyle name="Normal 7 5 2 2 2 3" xfId="22218" xr:uid="{00000000-0005-0000-0000-0000907B0000}"/>
    <cellStyle name="Normal 7 5 2 2 2 3 2" xfId="42138" xr:uid="{00000000-0005-0000-0000-0000917B0000}"/>
    <cellStyle name="Normal 7 5 2 2 2 4" xfId="29833" xr:uid="{00000000-0005-0000-0000-0000927B0000}"/>
    <cellStyle name="Normal 7 5 2 2 3" xfId="13000" xr:uid="{00000000-0005-0000-0000-0000937B0000}"/>
    <cellStyle name="Normal 7 5 2 2 3 2" xfId="32920" xr:uid="{00000000-0005-0000-0000-0000947B0000}"/>
    <cellStyle name="Normal 7 5 2 2 4" xfId="19152" xr:uid="{00000000-0005-0000-0000-0000957B0000}"/>
    <cellStyle name="Normal 7 5 2 2 4 2" xfId="39072" xr:uid="{00000000-0005-0000-0000-0000967B0000}"/>
    <cellStyle name="Normal 7 5 2 2 5" xfId="26767" xr:uid="{00000000-0005-0000-0000-0000977B0000}"/>
    <cellStyle name="Normal 7 5 2 3" xfId="8338" xr:uid="{00000000-0005-0000-0000-0000987B0000}"/>
    <cellStyle name="Normal 7 5 2 3 2" xfId="14532" xr:uid="{00000000-0005-0000-0000-0000997B0000}"/>
    <cellStyle name="Normal 7 5 2 3 2 2" xfId="34452" xr:uid="{00000000-0005-0000-0000-00009A7B0000}"/>
    <cellStyle name="Normal 7 5 2 3 3" xfId="20684" xr:uid="{00000000-0005-0000-0000-00009B7B0000}"/>
    <cellStyle name="Normal 7 5 2 3 3 2" xfId="40604" xr:uid="{00000000-0005-0000-0000-00009C7B0000}"/>
    <cellStyle name="Normal 7 5 2 3 4" xfId="28299" xr:uid="{00000000-0005-0000-0000-00009D7B0000}"/>
    <cellStyle name="Normal 7 5 2 4" xfId="11466" xr:uid="{00000000-0005-0000-0000-00009E7B0000}"/>
    <cellStyle name="Normal 7 5 2 4 2" xfId="31386" xr:uid="{00000000-0005-0000-0000-00009F7B0000}"/>
    <cellStyle name="Normal 7 5 2 5" xfId="17618" xr:uid="{00000000-0005-0000-0000-0000A07B0000}"/>
    <cellStyle name="Normal 7 5 2 5 2" xfId="37538" xr:uid="{00000000-0005-0000-0000-0000A17B0000}"/>
    <cellStyle name="Normal 7 5 2 6" xfId="25233" xr:uid="{00000000-0005-0000-0000-0000A27B0000}"/>
    <cellStyle name="Normal 7 5 3" xfId="6004" xr:uid="{00000000-0005-0000-0000-0000A37B0000}"/>
    <cellStyle name="Normal 7 5 3 2" xfId="9104" xr:uid="{00000000-0005-0000-0000-0000A47B0000}"/>
    <cellStyle name="Normal 7 5 3 2 2" xfId="15297" xr:uid="{00000000-0005-0000-0000-0000A57B0000}"/>
    <cellStyle name="Normal 7 5 3 2 2 2" xfId="35217" xr:uid="{00000000-0005-0000-0000-0000A67B0000}"/>
    <cellStyle name="Normal 7 5 3 2 3" xfId="21449" xr:uid="{00000000-0005-0000-0000-0000A77B0000}"/>
    <cellStyle name="Normal 7 5 3 2 3 2" xfId="41369" xr:uid="{00000000-0005-0000-0000-0000A87B0000}"/>
    <cellStyle name="Normal 7 5 3 2 4" xfId="29064" xr:uid="{00000000-0005-0000-0000-0000A97B0000}"/>
    <cellStyle name="Normal 7 5 3 3" xfId="12231" xr:uid="{00000000-0005-0000-0000-0000AA7B0000}"/>
    <cellStyle name="Normal 7 5 3 3 2" xfId="32151" xr:uid="{00000000-0005-0000-0000-0000AB7B0000}"/>
    <cellStyle name="Normal 7 5 3 4" xfId="18383" xr:uid="{00000000-0005-0000-0000-0000AC7B0000}"/>
    <cellStyle name="Normal 7 5 3 4 2" xfId="38303" xr:uid="{00000000-0005-0000-0000-0000AD7B0000}"/>
    <cellStyle name="Normal 7 5 3 5" xfId="25998" xr:uid="{00000000-0005-0000-0000-0000AE7B0000}"/>
    <cellStyle name="Normal 7 5 4" xfId="7569" xr:uid="{00000000-0005-0000-0000-0000AF7B0000}"/>
    <cellStyle name="Normal 7 5 4 2" xfId="13763" xr:uid="{00000000-0005-0000-0000-0000B07B0000}"/>
    <cellStyle name="Normal 7 5 4 2 2" xfId="33683" xr:uid="{00000000-0005-0000-0000-0000B17B0000}"/>
    <cellStyle name="Normal 7 5 4 3" xfId="19915" xr:uid="{00000000-0005-0000-0000-0000B27B0000}"/>
    <cellStyle name="Normal 7 5 4 3 2" xfId="39835" xr:uid="{00000000-0005-0000-0000-0000B37B0000}"/>
    <cellStyle name="Normal 7 5 4 4" xfId="27530" xr:uid="{00000000-0005-0000-0000-0000B47B0000}"/>
    <cellStyle name="Normal 7 5 5" xfId="10697" xr:uid="{00000000-0005-0000-0000-0000B57B0000}"/>
    <cellStyle name="Normal 7 5 5 2" xfId="30617" xr:uid="{00000000-0005-0000-0000-0000B67B0000}"/>
    <cellStyle name="Normal 7 5 6" xfId="16849" xr:uid="{00000000-0005-0000-0000-0000B77B0000}"/>
    <cellStyle name="Normal 7 5 6 2" xfId="36769" xr:uid="{00000000-0005-0000-0000-0000B87B0000}"/>
    <cellStyle name="Normal 7 5 7" xfId="24464" xr:uid="{00000000-0005-0000-0000-0000B97B0000}"/>
    <cellStyle name="Normal 7 6" xfId="3983" xr:uid="{00000000-0005-0000-0000-0000BA7B0000}"/>
    <cellStyle name="Normal 7 6 2" xfId="5163" xr:uid="{00000000-0005-0000-0000-0000BB7B0000}"/>
    <cellStyle name="Normal 7 6 2 2" xfId="6788" xr:uid="{00000000-0005-0000-0000-0000BC7B0000}"/>
    <cellStyle name="Normal 7 6 2 2 2" xfId="9874" xr:uid="{00000000-0005-0000-0000-0000BD7B0000}"/>
    <cellStyle name="Normal 7 6 2 2 2 2" xfId="16067" xr:uid="{00000000-0005-0000-0000-0000BE7B0000}"/>
    <cellStyle name="Normal 7 6 2 2 2 2 2" xfId="35987" xr:uid="{00000000-0005-0000-0000-0000BF7B0000}"/>
    <cellStyle name="Normal 7 6 2 2 2 3" xfId="22219" xr:uid="{00000000-0005-0000-0000-0000C07B0000}"/>
    <cellStyle name="Normal 7 6 2 2 2 3 2" xfId="42139" xr:uid="{00000000-0005-0000-0000-0000C17B0000}"/>
    <cellStyle name="Normal 7 6 2 2 2 4" xfId="29834" xr:uid="{00000000-0005-0000-0000-0000C27B0000}"/>
    <cellStyle name="Normal 7 6 2 2 3" xfId="13001" xr:uid="{00000000-0005-0000-0000-0000C37B0000}"/>
    <cellStyle name="Normal 7 6 2 2 3 2" xfId="32921" xr:uid="{00000000-0005-0000-0000-0000C47B0000}"/>
    <cellStyle name="Normal 7 6 2 2 4" xfId="19153" xr:uid="{00000000-0005-0000-0000-0000C57B0000}"/>
    <cellStyle name="Normal 7 6 2 2 4 2" xfId="39073" xr:uid="{00000000-0005-0000-0000-0000C67B0000}"/>
    <cellStyle name="Normal 7 6 2 2 5" xfId="26768" xr:uid="{00000000-0005-0000-0000-0000C77B0000}"/>
    <cellStyle name="Normal 7 6 2 3" xfId="8339" xr:uid="{00000000-0005-0000-0000-0000C87B0000}"/>
    <cellStyle name="Normal 7 6 2 3 2" xfId="14533" xr:uid="{00000000-0005-0000-0000-0000C97B0000}"/>
    <cellStyle name="Normal 7 6 2 3 2 2" xfId="34453" xr:uid="{00000000-0005-0000-0000-0000CA7B0000}"/>
    <cellStyle name="Normal 7 6 2 3 3" xfId="20685" xr:uid="{00000000-0005-0000-0000-0000CB7B0000}"/>
    <cellStyle name="Normal 7 6 2 3 3 2" xfId="40605" xr:uid="{00000000-0005-0000-0000-0000CC7B0000}"/>
    <cellStyle name="Normal 7 6 2 3 4" xfId="28300" xr:uid="{00000000-0005-0000-0000-0000CD7B0000}"/>
    <cellStyle name="Normal 7 6 2 4" xfId="11467" xr:uid="{00000000-0005-0000-0000-0000CE7B0000}"/>
    <cellStyle name="Normal 7 6 2 4 2" xfId="31387" xr:uid="{00000000-0005-0000-0000-0000CF7B0000}"/>
    <cellStyle name="Normal 7 6 2 5" xfId="17619" xr:uid="{00000000-0005-0000-0000-0000D07B0000}"/>
    <cellStyle name="Normal 7 6 2 5 2" xfId="37539" xr:uid="{00000000-0005-0000-0000-0000D17B0000}"/>
    <cellStyle name="Normal 7 6 2 6" xfId="25234" xr:uid="{00000000-0005-0000-0000-0000D27B0000}"/>
    <cellStyle name="Normal 7 6 3" xfId="6005" xr:uid="{00000000-0005-0000-0000-0000D37B0000}"/>
    <cellStyle name="Normal 7 6 3 2" xfId="9105" xr:uid="{00000000-0005-0000-0000-0000D47B0000}"/>
    <cellStyle name="Normal 7 6 3 2 2" xfId="15298" xr:uid="{00000000-0005-0000-0000-0000D57B0000}"/>
    <cellStyle name="Normal 7 6 3 2 2 2" xfId="35218" xr:uid="{00000000-0005-0000-0000-0000D67B0000}"/>
    <cellStyle name="Normal 7 6 3 2 3" xfId="21450" xr:uid="{00000000-0005-0000-0000-0000D77B0000}"/>
    <cellStyle name="Normal 7 6 3 2 3 2" xfId="41370" xr:uid="{00000000-0005-0000-0000-0000D87B0000}"/>
    <cellStyle name="Normal 7 6 3 2 4" xfId="29065" xr:uid="{00000000-0005-0000-0000-0000D97B0000}"/>
    <cellStyle name="Normal 7 6 3 3" xfId="12232" xr:uid="{00000000-0005-0000-0000-0000DA7B0000}"/>
    <cellStyle name="Normal 7 6 3 3 2" xfId="32152" xr:uid="{00000000-0005-0000-0000-0000DB7B0000}"/>
    <cellStyle name="Normal 7 6 3 4" xfId="18384" xr:uid="{00000000-0005-0000-0000-0000DC7B0000}"/>
    <cellStyle name="Normal 7 6 3 4 2" xfId="38304" xr:uid="{00000000-0005-0000-0000-0000DD7B0000}"/>
    <cellStyle name="Normal 7 6 3 5" xfId="25999" xr:uid="{00000000-0005-0000-0000-0000DE7B0000}"/>
    <cellStyle name="Normal 7 6 4" xfId="7570" xr:uid="{00000000-0005-0000-0000-0000DF7B0000}"/>
    <cellStyle name="Normal 7 6 4 2" xfId="13764" xr:uid="{00000000-0005-0000-0000-0000E07B0000}"/>
    <cellStyle name="Normal 7 6 4 2 2" xfId="33684" xr:uid="{00000000-0005-0000-0000-0000E17B0000}"/>
    <cellStyle name="Normal 7 6 4 3" xfId="19916" xr:uid="{00000000-0005-0000-0000-0000E27B0000}"/>
    <cellStyle name="Normal 7 6 4 3 2" xfId="39836" xr:uid="{00000000-0005-0000-0000-0000E37B0000}"/>
    <cellStyle name="Normal 7 6 4 4" xfId="27531" xr:uid="{00000000-0005-0000-0000-0000E47B0000}"/>
    <cellStyle name="Normal 7 6 5" xfId="10698" xr:uid="{00000000-0005-0000-0000-0000E57B0000}"/>
    <cellStyle name="Normal 7 6 5 2" xfId="30618" xr:uid="{00000000-0005-0000-0000-0000E67B0000}"/>
    <cellStyle name="Normal 7 6 6" xfId="16850" xr:uid="{00000000-0005-0000-0000-0000E77B0000}"/>
    <cellStyle name="Normal 7 6 6 2" xfId="36770" xr:uid="{00000000-0005-0000-0000-0000E87B0000}"/>
    <cellStyle name="Normal 7 6 7" xfId="24465" xr:uid="{00000000-0005-0000-0000-0000E97B0000}"/>
    <cellStyle name="Normal 7 7" xfId="3984" xr:uid="{00000000-0005-0000-0000-0000EA7B0000}"/>
    <cellStyle name="Normal 7 7 2" xfId="5164" xr:uid="{00000000-0005-0000-0000-0000EB7B0000}"/>
    <cellStyle name="Normal 7 7 2 2" xfId="6789" xr:uid="{00000000-0005-0000-0000-0000EC7B0000}"/>
    <cellStyle name="Normal 7 7 2 2 2" xfId="9875" xr:uid="{00000000-0005-0000-0000-0000ED7B0000}"/>
    <cellStyle name="Normal 7 7 2 2 2 2" xfId="16068" xr:uid="{00000000-0005-0000-0000-0000EE7B0000}"/>
    <cellStyle name="Normal 7 7 2 2 2 2 2" xfId="35988" xr:uid="{00000000-0005-0000-0000-0000EF7B0000}"/>
    <cellStyle name="Normal 7 7 2 2 2 3" xfId="22220" xr:uid="{00000000-0005-0000-0000-0000F07B0000}"/>
    <cellStyle name="Normal 7 7 2 2 2 3 2" xfId="42140" xr:uid="{00000000-0005-0000-0000-0000F17B0000}"/>
    <cellStyle name="Normal 7 7 2 2 2 4" xfId="29835" xr:uid="{00000000-0005-0000-0000-0000F27B0000}"/>
    <cellStyle name="Normal 7 7 2 2 3" xfId="13002" xr:uid="{00000000-0005-0000-0000-0000F37B0000}"/>
    <cellStyle name="Normal 7 7 2 2 3 2" xfId="32922" xr:uid="{00000000-0005-0000-0000-0000F47B0000}"/>
    <cellStyle name="Normal 7 7 2 2 4" xfId="19154" xr:uid="{00000000-0005-0000-0000-0000F57B0000}"/>
    <cellStyle name="Normal 7 7 2 2 4 2" xfId="39074" xr:uid="{00000000-0005-0000-0000-0000F67B0000}"/>
    <cellStyle name="Normal 7 7 2 2 5" xfId="26769" xr:uid="{00000000-0005-0000-0000-0000F77B0000}"/>
    <cellStyle name="Normal 7 7 2 3" xfId="8340" xr:uid="{00000000-0005-0000-0000-0000F87B0000}"/>
    <cellStyle name="Normal 7 7 2 3 2" xfId="14534" xr:uid="{00000000-0005-0000-0000-0000F97B0000}"/>
    <cellStyle name="Normal 7 7 2 3 2 2" xfId="34454" xr:uid="{00000000-0005-0000-0000-0000FA7B0000}"/>
    <cellStyle name="Normal 7 7 2 3 3" xfId="20686" xr:uid="{00000000-0005-0000-0000-0000FB7B0000}"/>
    <cellStyle name="Normal 7 7 2 3 3 2" xfId="40606" xr:uid="{00000000-0005-0000-0000-0000FC7B0000}"/>
    <cellStyle name="Normal 7 7 2 3 4" xfId="28301" xr:uid="{00000000-0005-0000-0000-0000FD7B0000}"/>
    <cellStyle name="Normal 7 7 2 4" xfId="11468" xr:uid="{00000000-0005-0000-0000-0000FE7B0000}"/>
    <cellStyle name="Normal 7 7 2 4 2" xfId="31388" xr:uid="{00000000-0005-0000-0000-0000FF7B0000}"/>
    <cellStyle name="Normal 7 7 2 5" xfId="17620" xr:uid="{00000000-0005-0000-0000-0000007C0000}"/>
    <cellStyle name="Normal 7 7 2 5 2" xfId="37540" xr:uid="{00000000-0005-0000-0000-0000017C0000}"/>
    <cellStyle name="Normal 7 7 2 6" xfId="25235" xr:uid="{00000000-0005-0000-0000-0000027C0000}"/>
    <cellStyle name="Normal 7 7 3" xfId="6006" xr:uid="{00000000-0005-0000-0000-0000037C0000}"/>
    <cellStyle name="Normal 7 7 3 2" xfId="9106" xr:uid="{00000000-0005-0000-0000-0000047C0000}"/>
    <cellStyle name="Normal 7 7 3 2 2" xfId="15299" xr:uid="{00000000-0005-0000-0000-0000057C0000}"/>
    <cellStyle name="Normal 7 7 3 2 2 2" xfId="35219" xr:uid="{00000000-0005-0000-0000-0000067C0000}"/>
    <cellStyle name="Normal 7 7 3 2 3" xfId="21451" xr:uid="{00000000-0005-0000-0000-0000077C0000}"/>
    <cellStyle name="Normal 7 7 3 2 3 2" xfId="41371" xr:uid="{00000000-0005-0000-0000-0000087C0000}"/>
    <cellStyle name="Normal 7 7 3 2 4" xfId="29066" xr:uid="{00000000-0005-0000-0000-0000097C0000}"/>
    <cellStyle name="Normal 7 7 3 3" xfId="12233" xr:uid="{00000000-0005-0000-0000-00000A7C0000}"/>
    <cellStyle name="Normal 7 7 3 3 2" xfId="32153" xr:uid="{00000000-0005-0000-0000-00000B7C0000}"/>
    <cellStyle name="Normal 7 7 3 4" xfId="18385" xr:uid="{00000000-0005-0000-0000-00000C7C0000}"/>
    <cellStyle name="Normal 7 7 3 4 2" xfId="38305" xr:uid="{00000000-0005-0000-0000-00000D7C0000}"/>
    <cellStyle name="Normal 7 7 3 5" xfId="26000" xr:uid="{00000000-0005-0000-0000-00000E7C0000}"/>
    <cellStyle name="Normal 7 7 4" xfId="7571" xr:uid="{00000000-0005-0000-0000-00000F7C0000}"/>
    <cellStyle name="Normal 7 7 4 2" xfId="13765" xr:uid="{00000000-0005-0000-0000-0000107C0000}"/>
    <cellStyle name="Normal 7 7 4 2 2" xfId="33685" xr:uid="{00000000-0005-0000-0000-0000117C0000}"/>
    <cellStyle name="Normal 7 7 4 3" xfId="19917" xr:uid="{00000000-0005-0000-0000-0000127C0000}"/>
    <cellStyle name="Normal 7 7 4 3 2" xfId="39837" xr:uid="{00000000-0005-0000-0000-0000137C0000}"/>
    <cellStyle name="Normal 7 7 4 4" xfId="27532" xr:uid="{00000000-0005-0000-0000-0000147C0000}"/>
    <cellStyle name="Normal 7 7 5" xfId="10699" xr:uid="{00000000-0005-0000-0000-0000157C0000}"/>
    <cellStyle name="Normal 7 7 5 2" xfId="30619" xr:uid="{00000000-0005-0000-0000-0000167C0000}"/>
    <cellStyle name="Normal 7 7 6" xfId="16851" xr:uid="{00000000-0005-0000-0000-0000177C0000}"/>
    <cellStyle name="Normal 7 7 6 2" xfId="36771" xr:uid="{00000000-0005-0000-0000-0000187C0000}"/>
    <cellStyle name="Normal 7 7 7" xfId="24466" xr:uid="{00000000-0005-0000-0000-0000197C0000}"/>
    <cellStyle name="Normal 7 8" xfId="3985" xr:uid="{00000000-0005-0000-0000-00001A7C0000}"/>
    <cellStyle name="Normal 7 8 2" xfId="5165" xr:uid="{00000000-0005-0000-0000-00001B7C0000}"/>
    <cellStyle name="Normal 7 8 2 2" xfId="6790" xr:uid="{00000000-0005-0000-0000-00001C7C0000}"/>
    <cellStyle name="Normal 7 8 2 2 2" xfId="9876" xr:uid="{00000000-0005-0000-0000-00001D7C0000}"/>
    <cellStyle name="Normal 7 8 2 2 2 2" xfId="16069" xr:uid="{00000000-0005-0000-0000-00001E7C0000}"/>
    <cellStyle name="Normal 7 8 2 2 2 2 2" xfId="35989" xr:uid="{00000000-0005-0000-0000-00001F7C0000}"/>
    <cellStyle name="Normal 7 8 2 2 2 3" xfId="22221" xr:uid="{00000000-0005-0000-0000-0000207C0000}"/>
    <cellStyle name="Normal 7 8 2 2 2 3 2" xfId="42141" xr:uid="{00000000-0005-0000-0000-0000217C0000}"/>
    <cellStyle name="Normal 7 8 2 2 2 4" xfId="29836" xr:uid="{00000000-0005-0000-0000-0000227C0000}"/>
    <cellStyle name="Normal 7 8 2 2 3" xfId="13003" xr:uid="{00000000-0005-0000-0000-0000237C0000}"/>
    <cellStyle name="Normal 7 8 2 2 3 2" xfId="32923" xr:uid="{00000000-0005-0000-0000-0000247C0000}"/>
    <cellStyle name="Normal 7 8 2 2 4" xfId="19155" xr:uid="{00000000-0005-0000-0000-0000257C0000}"/>
    <cellStyle name="Normal 7 8 2 2 4 2" xfId="39075" xr:uid="{00000000-0005-0000-0000-0000267C0000}"/>
    <cellStyle name="Normal 7 8 2 2 5" xfId="26770" xr:uid="{00000000-0005-0000-0000-0000277C0000}"/>
    <cellStyle name="Normal 7 8 2 3" xfId="8341" xr:uid="{00000000-0005-0000-0000-0000287C0000}"/>
    <cellStyle name="Normal 7 8 2 3 2" xfId="14535" xr:uid="{00000000-0005-0000-0000-0000297C0000}"/>
    <cellStyle name="Normal 7 8 2 3 2 2" xfId="34455" xr:uid="{00000000-0005-0000-0000-00002A7C0000}"/>
    <cellStyle name="Normal 7 8 2 3 3" xfId="20687" xr:uid="{00000000-0005-0000-0000-00002B7C0000}"/>
    <cellStyle name="Normal 7 8 2 3 3 2" xfId="40607" xr:uid="{00000000-0005-0000-0000-00002C7C0000}"/>
    <cellStyle name="Normal 7 8 2 3 4" xfId="28302" xr:uid="{00000000-0005-0000-0000-00002D7C0000}"/>
    <cellStyle name="Normal 7 8 2 4" xfId="11469" xr:uid="{00000000-0005-0000-0000-00002E7C0000}"/>
    <cellStyle name="Normal 7 8 2 4 2" xfId="31389" xr:uid="{00000000-0005-0000-0000-00002F7C0000}"/>
    <cellStyle name="Normal 7 8 2 5" xfId="17621" xr:uid="{00000000-0005-0000-0000-0000307C0000}"/>
    <cellStyle name="Normal 7 8 2 5 2" xfId="37541" xr:uid="{00000000-0005-0000-0000-0000317C0000}"/>
    <cellStyle name="Normal 7 8 2 6" xfId="25236" xr:uid="{00000000-0005-0000-0000-0000327C0000}"/>
    <cellStyle name="Normal 7 8 3" xfId="6007" xr:uid="{00000000-0005-0000-0000-0000337C0000}"/>
    <cellStyle name="Normal 7 8 3 2" xfId="9107" xr:uid="{00000000-0005-0000-0000-0000347C0000}"/>
    <cellStyle name="Normal 7 8 3 2 2" xfId="15300" xr:uid="{00000000-0005-0000-0000-0000357C0000}"/>
    <cellStyle name="Normal 7 8 3 2 2 2" xfId="35220" xr:uid="{00000000-0005-0000-0000-0000367C0000}"/>
    <cellStyle name="Normal 7 8 3 2 3" xfId="21452" xr:uid="{00000000-0005-0000-0000-0000377C0000}"/>
    <cellStyle name="Normal 7 8 3 2 3 2" xfId="41372" xr:uid="{00000000-0005-0000-0000-0000387C0000}"/>
    <cellStyle name="Normal 7 8 3 2 4" xfId="29067" xr:uid="{00000000-0005-0000-0000-0000397C0000}"/>
    <cellStyle name="Normal 7 8 3 3" xfId="12234" xr:uid="{00000000-0005-0000-0000-00003A7C0000}"/>
    <cellStyle name="Normal 7 8 3 3 2" xfId="32154" xr:uid="{00000000-0005-0000-0000-00003B7C0000}"/>
    <cellStyle name="Normal 7 8 3 4" xfId="18386" xr:uid="{00000000-0005-0000-0000-00003C7C0000}"/>
    <cellStyle name="Normal 7 8 3 4 2" xfId="38306" xr:uid="{00000000-0005-0000-0000-00003D7C0000}"/>
    <cellStyle name="Normal 7 8 3 5" xfId="26001" xr:uid="{00000000-0005-0000-0000-00003E7C0000}"/>
    <cellStyle name="Normal 7 8 4" xfId="7572" xr:uid="{00000000-0005-0000-0000-00003F7C0000}"/>
    <cellStyle name="Normal 7 8 4 2" xfId="13766" xr:uid="{00000000-0005-0000-0000-0000407C0000}"/>
    <cellStyle name="Normal 7 8 4 2 2" xfId="33686" xr:uid="{00000000-0005-0000-0000-0000417C0000}"/>
    <cellStyle name="Normal 7 8 4 3" xfId="19918" xr:uid="{00000000-0005-0000-0000-0000427C0000}"/>
    <cellStyle name="Normal 7 8 4 3 2" xfId="39838" xr:uid="{00000000-0005-0000-0000-0000437C0000}"/>
    <cellStyle name="Normal 7 8 4 4" xfId="27533" xr:uid="{00000000-0005-0000-0000-0000447C0000}"/>
    <cellStyle name="Normal 7 8 5" xfId="10700" xr:uid="{00000000-0005-0000-0000-0000457C0000}"/>
    <cellStyle name="Normal 7 8 5 2" xfId="30620" xr:uid="{00000000-0005-0000-0000-0000467C0000}"/>
    <cellStyle name="Normal 7 8 6" xfId="16852" xr:uid="{00000000-0005-0000-0000-0000477C0000}"/>
    <cellStyle name="Normal 7 8 6 2" xfId="36772" xr:uid="{00000000-0005-0000-0000-0000487C0000}"/>
    <cellStyle name="Normal 7 8 7" xfId="24467" xr:uid="{00000000-0005-0000-0000-0000497C0000}"/>
    <cellStyle name="Normal 7 9" xfId="3986" xr:uid="{00000000-0005-0000-0000-00004A7C0000}"/>
    <cellStyle name="Normal 7 9 2" xfId="5166" xr:uid="{00000000-0005-0000-0000-00004B7C0000}"/>
    <cellStyle name="Normal 7 9 2 2" xfId="6791" xr:uid="{00000000-0005-0000-0000-00004C7C0000}"/>
    <cellStyle name="Normal 7 9 2 2 2" xfId="9877" xr:uid="{00000000-0005-0000-0000-00004D7C0000}"/>
    <cellStyle name="Normal 7 9 2 2 2 2" xfId="16070" xr:uid="{00000000-0005-0000-0000-00004E7C0000}"/>
    <cellStyle name="Normal 7 9 2 2 2 2 2" xfId="35990" xr:uid="{00000000-0005-0000-0000-00004F7C0000}"/>
    <cellStyle name="Normal 7 9 2 2 2 3" xfId="22222" xr:uid="{00000000-0005-0000-0000-0000507C0000}"/>
    <cellStyle name="Normal 7 9 2 2 2 3 2" xfId="42142" xr:uid="{00000000-0005-0000-0000-0000517C0000}"/>
    <cellStyle name="Normal 7 9 2 2 2 4" xfId="29837" xr:uid="{00000000-0005-0000-0000-0000527C0000}"/>
    <cellStyle name="Normal 7 9 2 2 3" xfId="13004" xr:uid="{00000000-0005-0000-0000-0000537C0000}"/>
    <cellStyle name="Normal 7 9 2 2 3 2" xfId="32924" xr:uid="{00000000-0005-0000-0000-0000547C0000}"/>
    <cellStyle name="Normal 7 9 2 2 4" xfId="19156" xr:uid="{00000000-0005-0000-0000-0000557C0000}"/>
    <cellStyle name="Normal 7 9 2 2 4 2" xfId="39076" xr:uid="{00000000-0005-0000-0000-0000567C0000}"/>
    <cellStyle name="Normal 7 9 2 2 5" xfId="26771" xr:uid="{00000000-0005-0000-0000-0000577C0000}"/>
    <cellStyle name="Normal 7 9 2 3" xfId="8342" xr:uid="{00000000-0005-0000-0000-0000587C0000}"/>
    <cellStyle name="Normal 7 9 2 3 2" xfId="14536" xr:uid="{00000000-0005-0000-0000-0000597C0000}"/>
    <cellStyle name="Normal 7 9 2 3 2 2" xfId="34456" xr:uid="{00000000-0005-0000-0000-00005A7C0000}"/>
    <cellStyle name="Normal 7 9 2 3 3" xfId="20688" xr:uid="{00000000-0005-0000-0000-00005B7C0000}"/>
    <cellStyle name="Normal 7 9 2 3 3 2" xfId="40608" xr:uid="{00000000-0005-0000-0000-00005C7C0000}"/>
    <cellStyle name="Normal 7 9 2 3 4" xfId="28303" xr:uid="{00000000-0005-0000-0000-00005D7C0000}"/>
    <cellStyle name="Normal 7 9 2 4" xfId="11470" xr:uid="{00000000-0005-0000-0000-00005E7C0000}"/>
    <cellStyle name="Normal 7 9 2 4 2" xfId="31390" xr:uid="{00000000-0005-0000-0000-00005F7C0000}"/>
    <cellStyle name="Normal 7 9 2 5" xfId="17622" xr:uid="{00000000-0005-0000-0000-0000607C0000}"/>
    <cellStyle name="Normal 7 9 2 5 2" xfId="37542" xr:uid="{00000000-0005-0000-0000-0000617C0000}"/>
    <cellStyle name="Normal 7 9 2 6" xfId="25237" xr:uid="{00000000-0005-0000-0000-0000627C0000}"/>
    <cellStyle name="Normal 7 9 3" xfId="6008" xr:uid="{00000000-0005-0000-0000-0000637C0000}"/>
    <cellStyle name="Normal 7 9 3 2" xfId="9108" xr:uid="{00000000-0005-0000-0000-0000647C0000}"/>
    <cellStyle name="Normal 7 9 3 2 2" xfId="15301" xr:uid="{00000000-0005-0000-0000-0000657C0000}"/>
    <cellStyle name="Normal 7 9 3 2 2 2" xfId="35221" xr:uid="{00000000-0005-0000-0000-0000667C0000}"/>
    <cellStyle name="Normal 7 9 3 2 3" xfId="21453" xr:uid="{00000000-0005-0000-0000-0000677C0000}"/>
    <cellStyle name="Normal 7 9 3 2 3 2" xfId="41373" xr:uid="{00000000-0005-0000-0000-0000687C0000}"/>
    <cellStyle name="Normal 7 9 3 2 4" xfId="29068" xr:uid="{00000000-0005-0000-0000-0000697C0000}"/>
    <cellStyle name="Normal 7 9 3 3" xfId="12235" xr:uid="{00000000-0005-0000-0000-00006A7C0000}"/>
    <cellStyle name="Normal 7 9 3 3 2" xfId="32155" xr:uid="{00000000-0005-0000-0000-00006B7C0000}"/>
    <cellStyle name="Normal 7 9 3 4" xfId="18387" xr:uid="{00000000-0005-0000-0000-00006C7C0000}"/>
    <cellStyle name="Normal 7 9 3 4 2" xfId="38307" xr:uid="{00000000-0005-0000-0000-00006D7C0000}"/>
    <cellStyle name="Normal 7 9 3 5" xfId="26002" xr:uid="{00000000-0005-0000-0000-00006E7C0000}"/>
    <cellStyle name="Normal 7 9 4" xfId="7573" xr:uid="{00000000-0005-0000-0000-00006F7C0000}"/>
    <cellStyle name="Normal 7 9 4 2" xfId="13767" xr:uid="{00000000-0005-0000-0000-0000707C0000}"/>
    <cellStyle name="Normal 7 9 4 2 2" xfId="33687" xr:uid="{00000000-0005-0000-0000-0000717C0000}"/>
    <cellStyle name="Normal 7 9 4 3" xfId="19919" xr:uid="{00000000-0005-0000-0000-0000727C0000}"/>
    <cellStyle name="Normal 7 9 4 3 2" xfId="39839" xr:uid="{00000000-0005-0000-0000-0000737C0000}"/>
    <cellStyle name="Normal 7 9 4 4" xfId="27534" xr:uid="{00000000-0005-0000-0000-0000747C0000}"/>
    <cellStyle name="Normal 7 9 5" xfId="10701" xr:uid="{00000000-0005-0000-0000-0000757C0000}"/>
    <cellStyle name="Normal 7 9 5 2" xfId="30621" xr:uid="{00000000-0005-0000-0000-0000767C0000}"/>
    <cellStyle name="Normal 7 9 6" xfId="16853" xr:uid="{00000000-0005-0000-0000-0000777C0000}"/>
    <cellStyle name="Normal 7 9 6 2" xfId="36773" xr:uid="{00000000-0005-0000-0000-0000787C0000}"/>
    <cellStyle name="Normal 7 9 7" xfId="24468" xr:uid="{00000000-0005-0000-0000-0000797C0000}"/>
    <cellStyle name="Normal 8" xfId="30" xr:uid="{00000000-0005-0000-0000-00007A7C0000}"/>
    <cellStyle name="Normal 8 10" xfId="3988" xr:uid="{00000000-0005-0000-0000-00007B7C0000}"/>
    <cellStyle name="Normal 8 10 2" xfId="5168" xr:uid="{00000000-0005-0000-0000-00007C7C0000}"/>
    <cellStyle name="Normal 8 10 2 2" xfId="6793" xr:uid="{00000000-0005-0000-0000-00007D7C0000}"/>
    <cellStyle name="Normal 8 10 2 2 2" xfId="9879" xr:uid="{00000000-0005-0000-0000-00007E7C0000}"/>
    <cellStyle name="Normal 8 10 2 2 2 2" xfId="16072" xr:uid="{00000000-0005-0000-0000-00007F7C0000}"/>
    <cellStyle name="Normal 8 10 2 2 2 2 2" xfId="35992" xr:uid="{00000000-0005-0000-0000-0000807C0000}"/>
    <cellStyle name="Normal 8 10 2 2 2 3" xfId="22224" xr:uid="{00000000-0005-0000-0000-0000817C0000}"/>
    <cellStyle name="Normal 8 10 2 2 2 3 2" xfId="42144" xr:uid="{00000000-0005-0000-0000-0000827C0000}"/>
    <cellStyle name="Normal 8 10 2 2 2 4" xfId="29839" xr:uid="{00000000-0005-0000-0000-0000837C0000}"/>
    <cellStyle name="Normal 8 10 2 2 3" xfId="13006" xr:uid="{00000000-0005-0000-0000-0000847C0000}"/>
    <cellStyle name="Normal 8 10 2 2 3 2" xfId="32926" xr:uid="{00000000-0005-0000-0000-0000857C0000}"/>
    <cellStyle name="Normal 8 10 2 2 4" xfId="19158" xr:uid="{00000000-0005-0000-0000-0000867C0000}"/>
    <cellStyle name="Normal 8 10 2 2 4 2" xfId="39078" xr:uid="{00000000-0005-0000-0000-0000877C0000}"/>
    <cellStyle name="Normal 8 10 2 2 5" xfId="26773" xr:uid="{00000000-0005-0000-0000-0000887C0000}"/>
    <cellStyle name="Normal 8 10 2 3" xfId="8344" xr:uid="{00000000-0005-0000-0000-0000897C0000}"/>
    <cellStyle name="Normal 8 10 2 3 2" xfId="14538" xr:uid="{00000000-0005-0000-0000-00008A7C0000}"/>
    <cellStyle name="Normal 8 10 2 3 2 2" xfId="34458" xr:uid="{00000000-0005-0000-0000-00008B7C0000}"/>
    <cellStyle name="Normal 8 10 2 3 3" xfId="20690" xr:uid="{00000000-0005-0000-0000-00008C7C0000}"/>
    <cellStyle name="Normal 8 10 2 3 3 2" xfId="40610" xr:uid="{00000000-0005-0000-0000-00008D7C0000}"/>
    <cellStyle name="Normal 8 10 2 3 4" xfId="28305" xr:uid="{00000000-0005-0000-0000-00008E7C0000}"/>
    <cellStyle name="Normal 8 10 2 4" xfId="11472" xr:uid="{00000000-0005-0000-0000-00008F7C0000}"/>
    <cellStyle name="Normal 8 10 2 4 2" xfId="31392" xr:uid="{00000000-0005-0000-0000-0000907C0000}"/>
    <cellStyle name="Normal 8 10 2 5" xfId="17624" xr:uid="{00000000-0005-0000-0000-0000917C0000}"/>
    <cellStyle name="Normal 8 10 2 5 2" xfId="37544" xr:uid="{00000000-0005-0000-0000-0000927C0000}"/>
    <cellStyle name="Normal 8 10 2 6" xfId="25239" xr:uid="{00000000-0005-0000-0000-0000937C0000}"/>
    <cellStyle name="Normal 8 10 3" xfId="6010" xr:uid="{00000000-0005-0000-0000-0000947C0000}"/>
    <cellStyle name="Normal 8 10 3 2" xfId="9110" xr:uid="{00000000-0005-0000-0000-0000957C0000}"/>
    <cellStyle name="Normal 8 10 3 2 2" xfId="15303" xr:uid="{00000000-0005-0000-0000-0000967C0000}"/>
    <cellStyle name="Normal 8 10 3 2 2 2" xfId="35223" xr:uid="{00000000-0005-0000-0000-0000977C0000}"/>
    <cellStyle name="Normal 8 10 3 2 3" xfId="21455" xr:uid="{00000000-0005-0000-0000-0000987C0000}"/>
    <cellStyle name="Normal 8 10 3 2 3 2" xfId="41375" xr:uid="{00000000-0005-0000-0000-0000997C0000}"/>
    <cellStyle name="Normal 8 10 3 2 4" xfId="29070" xr:uid="{00000000-0005-0000-0000-00009A7C0000}"/>
    <cellStyle name="Normal 8 10 3 3" xfId="12237" xr:uid="{00000000-0005-0000-0000-00009B7C0000}"/>
    <cellStyle name="Normal 8 10 3 3 2" xfId="32157" xr:uid="{00000000-0005-0000-0000-00009C7C0000}"/>
    <cellStyle name="Normal 8 10 3 4" xfId="18389" xr:uid="{00000000-0005-0000-0000-00009D7C0000}"/>
    <cellStyle name="Normal 8 10 3 4 2" xfId="38309" xr:uid="{00000000-0005-0000-0000-00009E7C0000}"/>
    <cellStyle name="Normal 8 10 3 5" xfId="26004" xr:uid="{00000000-0005-0000-0000-00009F7C0000}"/>
    <cellStyle name="Normal 8 10 4" xfId="7575" xr:uid="{00000000-0005-0000-0000-0000A07C0000}"/>
    <cellStyle name="Normal 8 10 4 2" xfId="13769" xr:uid="{00000000-0005-0000-0000-0000A17C0000}"/>
    <cellStyle name="Normal 8 10 4 2 2" xfId="33689" xr:uid="{00000000-0005-0000-0000-0000A27C0000}"/>
    <cellStyle name="Normal 8 10 4 3" xfId="19921" xr:uid="{00000000-0005-0000-0000-0000A37C0000}"/>
    <cellStyle name="Normal 8 10 4 3 2" xfId="39841" xr:uid="{00000000-0005-0000-0000-0000A47C0000}"/>
    <cellStyle name="Normal 8 10 4 4" xfId="27536" xr:uid="{00000000-0005-0000-0000-0000A57C0000}"/>
    <cellStyle name="Normal 8 10 5" xfId="10703" xr:uid="{00000000-0005-0000-0000-0000A67C0000}"/>
    <cellStyle name="Normal 8 10 5 2" xfId="30623" xr:uid="{00000000-0005-0000-0000-0000A77C0000}"/>
    <cellStyle name="Normal 8 10 6" xfId="16855" xr:uid="{00000000-0005-0000-0000-0000A87C0000}"/>
    <cellStyle name="Normal 8 10 6 2" xfId="36775" xr:uid="{00000000-0005-0000-0000-0000A97C0000}"/>
    <cellStyle name="Normal 8 10 7" xfId="24470" xr:uid="{00000000-0005-0000-0000-0000AA7C0000}"/>
    <cellStyle name="Normal 8 11" xfId="3989" xr:uid="{00000000-0005-0000-0000-0000AB7C0000}"/>
    <cellStyle name="Normal 8 11 2" xfId="5169" xr:uid="{00000000-0005-0000-0000-0000AC7C0000}"/>
    <cellStyle name="Normal 8 11 2 2" xfId="6794" xr:uid="{00000000-0005-0000-0000-0000AD7C0000}"/>
    <cellStyle name="Normal 8 11 2 2 2" xfId="9880" xr:uid="{00000000-0005-0000-0000-0000AE7C0000}"/>
    <cellStyle name="Normal 8 11 2 2 2 2" xfId="16073" xr:uid="{00000000-0005-0000-0000-0000AF7C0000}"/>
    <cellStyle name="Normal 8 11 2 2 2 2 2" xfId="35993" xr:uid="{00000000-0005-0000-0000-0000B07C0000}"/>
    <cellStyle name="Normal 8 11 2 2 2 3" xfId="22225" xr:uid="{00000000-0005-0000-0000-0000B17C0000}"/>
    <cellStyle name="Normal 8 11 2 2 2 3 2" xfId="42145" xr:uid="{00000000-0005-0000-0000-0000B27C0000}"/>
    <cellStyle name="Normal 8 11 2 2 2 4" xfId="29840" xr:uid="{00000000-0005-0000-0000-0000B37C0000}"/>
    <cellStyle name="Normal 8 11 2 2 3" xfId="13007" xr:uid="{00000000-0005-0000-0000-0000B47C0000}"/>
    <cellStyle name="Normal 8 11 2 2 3 2" xfId="32927" xr:uid="{00000000-0005-0000-0000-0000B57C0000}"/>
    <cellStyle name="Normal 8 11 2 2 4" xfId="19159" xr:uid="{00000000-0005-0000-0000-0000B67C0000}"/>
    <cellStyle name="Normal 8 11 2 2 4 2" xfId="39079" xr:uid="{00000000-0005-0000-0000-0000B77C0000}"/>
    <cellStyle name="Normal 8 11 2 2 5" xfId="26774" xr:uid="{00000000-0005-0000-0000-0000B87C0000}"/>
    <cellStyle name="Normal 8 11 2 3" xfId="8345" xr:uid="{00000000-0005-0000-0000-0000B97C0000}"/>
    <cellStyle name="Normal 8 11 2 3 2" xfId="14539" xr:uid="{00000000-0005-0000-0000-0000BA7C0000}"/>
    <cellStyle name="Normal 8 11 2 3 2 2" xfId="34459" xr:uid="{00000000-0005-0000-0000-0000BB7C0000}"/>
    <cellStyle name="Normal 8 11 2 3 3" xfId="20691" xr:uid="{00000000-0005-0000-0000-0000BC7C0000}"/>
    <cellStyle name="Normal 8 11 2 3 3 2" xfId="40611" xr:uid="{00000000-0005-0000-0000-0000BD7C0000}"/>
    <cellStyle name="Normal 8 11 2 3 4" xfId="28306" xr:uid="{00000000-0005-0000-0000-0000BE7C0000}"/>
    <cellStyle name="Normal 8 11 2 4" xfId="11473" xr:uid="{00000000-0005-0000-0000-0000BF7C0000}"/>
    <cellStyle name="Normal 8 11 2 4 2" xfId="31393" xr:uid="{00000000-0005-0000-0000-0000C07C0000}"/>
    <cellStyle name="Normal 8 11 2 5" xfId="17625" xr:uid="{00000000-0005-0000-0000-0000C17C0000}"/>
    <cellStyle name="Normal 8 11 2 5 2" xfId="37545" xr:uid="{00000000-0005-0000-0000-0000C27C0000}"/>
    <cellStyle name="Normal 8 11 2 6" xfId="25240" xr:uid="{00000000-0005-0000-0000-0000C37C0000}"/>
    <cellStyle name="Normal 8 11 3" xfId="6011" xr:uid="{00000000-0005-0000-0000-0000C47C0000}"/>
    <cellStyle name="Normal 8 11 3 2" xfId="9111" xr:uid="{00000000-0005-0000-0000-0000C57C0000}"/>
    <cellStyle name="Normal 8 11 3 2 2" xfId="15304" xr:uid="{00000000-0005-0000-0000-0000C67C0000}"/>
    <cellStyle name="Normal 8 11 3 2 2 2" xfId="35224" xr:uid="{00000000-0005-0000-0000-0000C77C0000}"/>
    <cellStyle name="Normal 8 11 3 2 3" xfId="21456" xr:uid="{00000000-0005-0000-0000-0000C87C0000}"/>
    <cellStyle name="Normal 8 11 3 2 3 2" xfId="41376" xr:uid="{00000000-0005-0000-0000-0000C97C0000}"/>
    <cellStyle name="Normal 8 11 3 2 4" xfId="29071" xr:uid="{00000000-0005-0000-0000-0000CA7C0000}"/>
    <cellStyle name="Normal 8 11 3 3" xfId="12238" xr:uid="{00000000-0005-0000-0000-0000CB7C0000}"/>
    <cellStyle name="Normal 8 11 3 3 2" xfId="32158" xr:uid="{00000000-0005-0000-0000-0000CC7C0000}"/>
    <cellStyle name="Normal 8 11 3 4" xfId="18390" xr:uid="{00000000-0005-0000-0000-0000CD7C0000}"/>
    <cellStyle name="Normal 8 11 3 4 2" xfId="38310" xr:uid="{00000000-0005-0000-0000-0000CE7C0000}"/>
    <cellStyle name="Normal 8 11 3 5" xfId="26005" xr:uid="{00000000-0005-0000-0000-0000CF7C0000}"/>
    <cellStyle name="Normal 8 11 4" xfId="7576" xr:uid="{00000000-0005-0000-0000-0000D07C0000}"/>
    <cellStyle name="Normal 8 11 4 2" xfId="13770" xr:uid="{00000000-0005-0000-0000-0000D17C0000}"/>
    <cellStyle name="Normal 8 11 4 2 2" xfId="33690" xr:uid="{00000000-0005-0000-0000-0000D27C0000}"/>
    <cellStyle name="Normal 8 11 4 3" xfId="19922" xr:uid="{00000000-0005-0000-0000-0000D37C0000}"/>
    <cellStyle name="Normal 8 11 4 3 2" xfId="39842" xr:uid="{00000000-0005-0000-0000-0000D47C0000}"/>
    <cellStyle name="Normal 8 11 4 4" xfId="27537" xr:uid="{00000000-0005-0000-0000-0000D57C0000}"/>
    <cellStyle name="Normal 8 11 5" xfId="10704" xr:uid="{00000000-0005-0000-0000-0000D67C0000}"/>
    <cellStyle name="Normal 8 11 5 2" xfId="30624" xr:uid="{00000000-0005-0000-0000-0000D77C0000}"/>
    <cellStyle name="Normal 8 11 6" xfId="16856" xr:uid="{00000000-0005-0000-0000-0000D87C0000}"/>
    <cellStyle name="Normal 8 11 6 2" xfId="36776" xr:uid="{00000000-0005-0000-0000-0000D97C0000}"/>
    <cellStyle name="Normal 8 11 7" xfId="24471" xr:uid="{00000000-0005-0000-0000-0000DA7C0000}"/>
    <cellStyle name="Normal 8 12" xfId="3990" xr:uid="{00000000-0005-0000-0000-0000DB7C0000}"/>
    <cellStyle name="Normal 8 12 2" xfId="5170" xr:uid="{00000000-0005-0000-0000-0000DC7C0000}"/>
    <cellStyle name="Normal 8 12 2 2" xfId="6795" xr:uid="{00000000-0005-0000-0000-0000DD7C0000}"/>
    <cellStyle name="Normal 8 12 2 2 2" xfId="9881" xr:uid="{00000000-0005-0000-0000-0000DE7C0000}"/>
    <cellStyle name="Normal 8 12 2 2 2 2" xfId="16074" xr:uid="{00000000-0005-0000-0000-0000DF7C0000}"/>
    <cellStyle name="Normal 8 12 2 2 2 2 2" xfId="35994" xr:uid="{00000000-0005-0000-0000-0000E07C0000}"/>
    <cellStyle name="Normal 8 12 2 2 2 3" xfId="22226" xr:uid="{00000000-0005-0000-0000-0000E17C0000}"/>
    <cellStyle name="Normal 8 12 2 2 2 3 2" xfId="42146" xr:uid="{00000000-0005-0000-0000-0000E27C0000}"/>
    <cellStyle name="Normal 8 12 2 2 2 4" xfId="29841" xr:uid="{00000000-0005-0000-0000-0000E37C0000}"/>
    <cellStyle name="Normal 8 12 2 2 3" xfId="13008" xr:uid="{00000000-0005-0000-0000-0000E47C0000}"/>
    <cellStyle name="Normal 8 12 2 2 3 2" xfId="32928" xr:uid="{00000000-0005-0000-0000-0000E57C0000}"/>
    <cellStyle name="Normal 8 12 2 2 4" xfId="19160" xr:uid="{00000000-0005-0000-0000-0000E67C0000}"/>
    <cellStyle name="Normal 8 12 2 2 4 2" xfId="39080" xr:uid="{00000000-0005-0000-0000-0000E77C0000}"/>
    <cellStyle name="Normal 8 12 2 2 5" xfId="26775" xr:uid="{00000000-0005-0000-0000-0000E87C0000}"/>
    <cellStyle name="Normal 8 12 2 3" xfId="8346" xr:uid="{00000000-0005-0000-0000-0000E97C0000}"/>
    <cellStyle name="Normal 8 12 2 3 2" xfId="14540" xr:uid="{00000000-0005-0000-0000-0000EA7C0000}"/>
    <cellStyle name="Normal 8 12 2 3 2 2" xfId="34460" xr:uid="{00000000-0005-0000-0000-0000EB7C0000}"/>
    <cellStyle name="Normal 8 12 2 3 3" xfId="20692" xr:uid="{00000000-0005-0000-0000-0000EC7C0000}"/>
    <cellStyle name="Normal 8 12 2 3 3 2" xfId="40612" xr:uid="{00000000-0005-0000-0000-0000ED7C0000}"/>
    <cellStyle name="Normal 8 12 2 3 4" xfId="28307" xr:uid="{00000000-0005-0000-0000-0000EE7C0000}"/>
    <cellStyle name="Normal 8 12 2 4" xfId="11474" xr:uid="{00000000-0005-0000-0000-0000EF7C0000}"/>
    <cellStyle name="Normal 8 12 2 4 2" xfId="31394" xr:uid="{00000000-0005-0000-0000-0000F07C0000}"/>
    <cellStyle name="Normal 8 12 2 5" xfId="17626" xr:uid="{00000000-0005-0000-0000-0000F17C0000}"/>
    <cellStyle name="Normal 8 12 2 5 2" xfId="37546" xr:uid="{00000000-0005-0000-0000-0000F27C0000}"/>
    <cellStyle name="Normal 8 12 2 6" xfId="25241" xr:uid="{00000000-0005-0000-0000-0000F37C0000}"/>
    <cellStyle name="Normal 8 12 3" xfId="6012" xr:uid="{00000000-0005-0000-0000-0000F47C0000}"/>
    <cellStyle name="Normal 8 12 3 2" xfId="9112" xr:uid="{00000000-0005-0000-0000-0000F57C0000}"/>
    <cellStyle name="Normal 8 12 3 2 2" xfId="15305" xr:uid="{00000000-0005-0000-0000-0000F67C0000}"/>
    <cellStyle name="Normal 8 12 3 2 2 2" xfId="35225" xr:uid="{00000000-0005-0000-0000-0000F77C0000}"/>
    <cellStyle name="Normal 8 12 3 2 3" xfId="21457" xr:uid="{00000000-0005-0000-0000-0000F87C0000}"/>
    <cellStyle name="Normal 8 12 3 2 3 2" xfId="41377" xr:uid="{00000000-0005-0000-0000-0000F97C0000}"/>
    <cellStyle name="Normal 8 12 3 2 4" xfId="29072" xr:uid="{00000000-0005-0000-0000-0000FA7C0000}"/>
    <cellStyle name="Normal 8 12 3 3" xfId="12239" xr:uid="{00000000-0005-0000-0000-0000FB7C0000}"/>
    <cellStyle name="Normal 8 12 3 3 2" xfId="32159" xr:uid="{00000000-0005-0000-0000-0000FC7C0000}"/>
    <cellStyle name="Normal 8 12 3 4" xfId="18391" xr:uid="{00000000-0005-0000-0000-0000FD7C0000}"/>
    <cellStyle name="Normal 8 12 3 4 2" xfId="38311" xr:uid="{00000000-0005-0000-0000-0000FE7C0000}"/>
    <cellStyle name="Normal 8 12 3 5" xfId="26006" xr:uid="{00000000-0005-0000-0000-0000FF7C0000}"/>
    <cellStyle name="Normal 8 12 4" xfId="7577" xr:uid="{00000000-0005-0000-0000-0000007D0000}"/>
    <cellStyle name="Normal 8 12 4 2" xfId="13771" xr:uid="{00000000-0005-0000-0000-0000017D0000}"/>
    <cellStyle name="Normal 8 12 4 2 2" xfId="33691" xr:uid="{00000000-0005-0000-0000-0000027D0000}"/>
    <cellStyle name="Normal 8 12 4 3" xfId="19923" xr:uid="{00000000-0005-0000-0000-0000037D0000}"/>
    <cellStyle name="Normal 8 12 4 3 2" xfId="39843" xr:uid="{00000000-0005-0000-0000-0000047D0000}"/>
    <cellStyle name="Normal 8 12 4 4" xfId="27538" xr:uid="{00000000-0005-0000-0000-0000057D0000}"/>
    <cellStyle name="Normal 8 12 5" xfId="10705" xr:uid="{00000000-0005-0000-0000-0000067D0000}"/>
    <cellStyle name="Normal 8 12 5 2" xfId="30625" xr:uid="{00000000-0005-0000-0000-0000077D0000}"/>
    <cellStyle name="Normal 8 12 6" xfId="16857" xr:uid="{00000000-0005-0000-0000-0000087D0000}"/>
    <cellStyle name="Normal 8 12 6 2" xfId="36777" xr:uid="{00000000-0005-0000-0000-0000097D0000}"/>
    <cellStyle name="Normal 8 12 7" xfId="24472" xr:uid="{00000000-0005-0000-0000-00000A7D0000}"/>
    <cellStyle name="Normal 8 13" xfId="3991" xr:uid="{00000000-0005-0000-0000-00000B7D0000}"/>
    <cellStyle name="Normal 8 13 2" xfId="5171" xr:uid="{00000000-0005-0000-0000-00000C7D0000}"/>
    <cellStyle name="Normal 8 13 2 2" xfId="6796" xr:uid="{00000000-0005-0000-0000-00000D7D0000}"/>
    <cellStyle name="Normal 8 13 2 2 2" xfId="9882" xr:uid="{00000000-0005-0000-0000-00000E7D0000}"/>
    <cellStyle name="Normal 8 13 2 2 2 2" xfId="16075" xr:uid="{00000000-0005-0000-0000-00000F7D0000}"/>
    <cellStyle name="Normal 8 13 2 2 2 2 2" xfId="35995" xr:uid="{00000000-0005-0000-0000-0000107D0000}"/>
    <cellStyle name="Normal 8 13 2 2 2 3" xfId="22227" xr:uid="{00000000-0005-0000-0000-0000117D0000}"/>
    <cellStyle name="Normal 8 13 2 2 2 3 2" xfId="42147" xr:uid="{00000000-0005-0000-0000-0000127D0000}"/>
    <cellStyle name="Normal 8 13 2 2 2 4" xfId="29842" xr:uid="{00000000-0005-0000-0000-0000137D0000}"/>
    <cellStyle name="Normal 8 13 2 2 3" xfId="13009" xr:uid="{00000000-0005-0000-0000-0000147D0000}"/>
    <cellStyle name="Normal 8 13 2 2 3 2" xfId="32929" xr:uid="{00000000-0005-0000-0000-0000157D0000}"/>
    <cellStyle name="Normal 8 13 2 2 4" xfId="19161" xr:uid="{00000000-0005-0000-0000-0000167D0000}"/>
    <cellStyle name="Normal 8 13 2 2 4 2" xfId="39081" xr:uid="{00000000-0005-0000-0000-0000177D0000}"/>
    <cellStyle name="Normal 8 13 2 2 5" xfId="26776" xr:uid="{00000000-0005-0000-0000-0000187D0000}"/>
    <cellStyle name="Normal 8 13 2 3" xfId="8347" xr:uid="{00000000-0005-0000-0000-0000197D0000}"/>
    <cellStyle name="Normal 8 13 2 3 2" xfId="14541" xr:uid="{00000000-0005-0000-0000-00001A7D0000}"/>
    <cellStyle name="Normal 8 13 2 3 2 2" xfId="34461" xr:uid="{00000000-0005-0000-0000-00001B7D0000}"/>
    <cellStyle name="Normal 8 13 2 3 3" xfId="20693" xr:uid="{00000000-0005-0000-0000-00001C7D0000}"/>
    <cellStyle name="Normal 8 13 2 3 3 2" xfId="40613" xr:uid="{00000000-0005-0000-0000-00001D7D0000}"/>
    <cellStyle name="Normal 8 13 2 3 4" xfId="28308" xr:uid="{00000000-0005-0000-0000-00001E7D0000}"/>
    <cellStyle name="Normal 8 13 2 4" xfId="11475" xr:uid="{00000000-0005-0000-0000-00001F7D0000}"/>
    <cellStyle name="Normal 8 13 2 4 2" xfId="31395" xr:uid="{00000000-0005-0000-0000-0000207D0000}"/>
    <cellStyle name="Normal 8 13 2 5" xfId="17627" xr:uid="{00000000-0005-0000-0000-0000217D0000}"/>
    <cellStyle name="Normal 8 13 2 5 2" xfId="37547" xr:uid="{00000000-0005-0000-0000-0000227D0000}"/>
    <cellStyle name="Normal 8 13 2 6" xfId="25242" xr:uid="{00000000-0005-0000-0000-0000237D0000}"/>
    <cellStyle name="Normal 8 13 3" xfId="6013" xr:uid="{00000000-0005-0000-0000-0000247D0000}"/>
    <cellStyle name="Normal 8 13 3 2" xfId="9113" xr:uid="{00000000-0005-0000-0000-0000257D0000}"/>
    <cellStyle name="Normal 8 13 3 2 2" xfId="15306" xr:uid="{00000000-0005-0000-0000-0000267D0000}"/>
    <cellStyle name="Normal 8 13 3 2 2 2" xfId="35226" xr:uid="{00000000-0005-0000-0000-0000277D0000}"/>
    <cellStyle name="Normal 8 13 3 2 3" xfId="21458" xr:uid="{00000000-0005-0000-0000-0000287D0000}"/>
    <cellStyle name="Normal 8 13 3 2 3 2" xfId="41378" xr:uid="{00000000-0005-0000-0000-0000297D0000}"/>
    <cellStyle name="Normal 8 13 3 2 4" xfId="29073" xr:uid="{00000000-0005-0000-0000-00002A7D0000}"/>
    <cellStyle name="Normal 8 13 3 3" xfId="12240" xr:uid="{00000000-0005-0000-0000-00002B7D0000}"/>
    <cellStyle name="Normal 8 13 3 3 2" xfId="32160" xr:uid="{00000000-0005-0000-0000-00002C7D0000}"/>
    <cellStyle name="Normal 8 13 3 4" xfId="18392" xr:uid="{00000000-0005-0000-0000-00002D7D0000}"/>
    <cellStyle name="Normal 8 13 3 4 2" xfId="38312" xr:uid="{00000000-0005-0000-0000-00002E7D0000}"/>
    <cellStyle name="Normal 8 13 3 5" xfId="26007" xr:uid="{00000000-0005-0000-0000-00002F7D0000}"/>
    <cellStyle name="Normal 8 13 4" xfId="7578" xr:uid="{00000000-0005-0000-0000-0000307D0000}"/>
    <cellStyle name="Normal 8 13 4 2" xfId="13772" xr:uid="{00000000-0005-0000-0000-0000317D0000}"/>
    <cellStyle name="Normal 8 13 4 2 2" xfId="33692" xr:uid="{00000000-0005-0000-0000-0000327D0000}"/>
    <cellStyle name="Normal 8 13 4 3" xfId="19924" xr:uid="{00000000-0005-0000-0000-0000337D0000}"/>
    <cellStyle name="Normal 8 13 4 3 2" xfId="39844" xr:uid="{00000000-0005-0000-0000-0000347D0000}"/>
    <cellStyle name="Normal 8 13 4 4" xfId="27539" xr:uid="{00000000-0005-0000-0000-0000357D0000}"/>
    <cellStyle name="Normal 8 13 5" xfId="10706" xr:uid="{00000000-0005-0000-0000-0000367D0000}"/>
    <cellStyle name="Normal 8 13 5 2" xfId="30626" xr:uid="{00000000-0005-0000-0000-0000377D0000}"/>
    <cellStyle name="Normal 8 13 6" xfId="16858" xr:uid="{00000000-0005-0000-0000-0000387D0000}"/>
    <cellStyle name="Normal 8 13 6 2" xfId="36778" xr:uid="{00000000-0005-0000-0000-0000397D0000}"/>
    <cellStyle name="Normal 8 13 7" xfId="24473" xr:uid="{00000000-0005-0000-0000-00003A7D0000}"/>
    <cellStyle name="Normal 8 14" xfId="3992" xr:uid="{00000000-0005-0000-0000-00003B7D0000}"/>
    <cellStyle name="Normal 8 14 2" xfId="5172" xr:uid="{00000000-0005-0000-0000-00003C7D0000}"/>
    <cellStyle name="Normal 8 14 2 2" xfId="6797" xr:uid="{00000000-0005-0000-0000-00003D7D0000}"/>
    <cellStyle name="Normal 8 14 2 2 2" xfId="9883" xr:uid="{00000000-0005-0000-0000-00003E7D0000}"/>
    <cellStyle name="Normal 8 14 2 2 2 2" xfId="16076" xr:uid="{00000000-0005-0000-0000-00003F7D0000}"/>
    <cellStyle name="Normal 8 14 2 2 2 2 2" xfId="35996" xr:uid="{00000000-0005-0000-0000-0000407D0000}"/>
    <cellStyle name="Normal 8 14 2 2 2 3" xfId="22228" xr:uid="{00000000-0005-0000-0000-0000417D0000}"/>
    <cellStyle name="Normal 8 14 2 2 2 3 2" xfId="42148" xr:uid="{00000000-0005-0000-0000-0000427D0000}"/>
    <cellStyle name="Normal 8 14 2 2 2 4" xfId="29843" xr:uid="{00000000-0005-0000-0000-0000437D0000}"/>
    <cellStyle name="Normal 8 14 2 2 3" xfId="13010" xr:uid="{00000000-0005-0000-0000-0000447D0000}"/>
    <cellStyle name="Normal 8 14 2 2 3 2" xfId="32930" xr:uid="{00000000-0005-0000-0000-0000457D0000}"/>
    <cellStyle name="Normal 8 14 2 2 4" xfId="19162" xr:uid="{00000000-0005-0000-0000-0000467D0000}"/>
    <cellStyle name="Normal 8 14 2 2 4 2" xfId="39082" xr:uid="{00000000-0005-0000-0000-0000477D0000}"/>
    <cellStyle name="Normal 8 14 2 2 5" xfId="26777" xr:uid="{00000000-0005-0000-0000-0000487D0000}"/>
    <cellStyle name="Normal 8 14 2 3" xfId="8348" xr:uid="{00000000-0005-0000-0000-0000497D0000}"/>
    <cellStyle name="Normal 8 14 2 3 2" xfId="14542" xr:uid="{00000000-0005-0000-0000-00004A7D0000}"/>
    <cellStyle name="Normal 8 14 2 3 2 2" xfId="34462" xr:uid="{00000000-0005-0000-0000-00004B7D0000}"/>
    <cellStyle name="Normal 8 14 2 3 3" xfId="20694" xr:uid="{00000000-0005-0000-0000-00004C7D0000}"/>
    <cellStyle name="Normal 8 14 2 3 3 2" xfId="40614" xr:uid="{00000000-0005-0000-0000-00004D7D0000}"/>
    <cellStyle name="Normal 8 14 2 3 4" xfId="28309" xr:uid="{00000000-0005-0000-0000-00004E7D0000}"/>
    <cellStyle name="Normal 8 14 2 4" xfId="11476" xr:uid="{00000000-0005-0000-0000-00004F7D0000}"/>
    <cellStyle name="Normal 8 14 2 4 2" xfId="31396" xr:uid="{00000000-0005-0000-0000-0000507D0000}"/>
    <cellStyle name="Normal 8 14 2 5" xfId="17628" xr:uid="{00000000-0005-0000-0000-0000517D0000}"/>
    <cellStyle name="Normal 8 14 2 5 2" xfId="37548" xr:uid="{00000000-0005-0000-0000-0000527D0000}"/>
    <cellStyle name="Normal 8 14 2 6" xfId="25243" xr:uid="{00000000-0005-0000-0000-0000537D0000}"/>
    <cellStyle name="Normal 8 14 3" xfId="6014" xr:uid="{00000000-0005-0000-0000-0000547D0000}"/>
    <cellStyle name="Normal 8 14 3 2" xfId="9114" xr:uid="{00000000-0005-0000-0000-0000557D0000}"/>
    <cellStyle name="Normal 8 14 3 2 2" xfId="15307" xr:uid="{00000000-0005-0000-0000-0000567D0000}"/>
    <cellStyle name="Normal 8 14 3 2 2 2" xfId="35227" xr:uid="{00000000-0005-0000-0000-0000577D0000}"/>
    <cellStyle name="Normal 8 14 3 2 3" xfId="21459" xr:uid="{00000000-0005-0000-0000-0000587D0000}"/>
    <cellStyle name="Normal 8 14 3 2 3 2" xfId="41379" xr:uid="{00000000-0005-0000-0000-0000597D0000}"/>
    <cellStyle name="Normal 8 14 3 2 4" xfId="29074" xr:uid="{00000000-0005-0000-0000-00005A7D0000}"/>
    <cellStyle name="Normal 8 14 3 3" xfId="12241" xr:uid="{00000000-0005-0000-0000-00005B7D0000}"/>
    <cellStyle name="Normal 8 14 3 3 2" xfId="32161" xr:uid="{00000000-0005-0000-0000-00005C7D0000}"/>
    <cellStyle name="Normal 8 14 3 4" xfId="18393" xr:uid="{00000000-0005-0000-0000-00005D7D0000}"/>
    <cellStyle name="Normal 8 14 3 4 2" xfId="38313" xr:uid="{00000000-0005-0000-0000-00005E7D0000}"/>
    <cellStyle name="Normal 8 14 3 5" xfId="26008" xr:uid="{00000000-0005-0000-0000-00005F7D0000}"/>
    <cellStyle name="Normal 8 14 4" xfId="7579" xr:uid="{00000000-0005-0000-0000-0000607D0000}"/>
    <cellStyle name="Normal 8 14 4 2" xfId="13773" xr:uid="{00000000-0005-0000-0000-0000617D0000}"/>
    <cellStyle name="Normal 8 14 4 2 2" xfId="33693" xr:uid="{00000000-0005-0000-0000-0000627D0000}"/>
    <cellStyle name="Normal 8 14 4 3" xfId="19925" xr:uid="{00000000-0005-0000-0000-0000637D0000}"/>
    <cellStyle name="Normal 8 14 4 3 2" xfId="39845" xr:uid="{00000000-0005-0000-0000-0000647D0000}"/>
    <cellStyle name="Normal 8 14 4 4" xfId="27540" xr:uid="{00000000-0005-0000-0000-0000657D0000}"/>
    <cellStyle name="Normal 8 14 5" xfId="10707" xr:uid="{00000000-0005-0000-0000-0000667D0000}"/>
    <cellStyle name="Normal 8 14 5 2" xfId="30627" xr:uid="{00000000-0005-0000-0000-0000677D0000}"/>
    <cellStyle name="Normal 8 14 6" xfId="16859" xr:uid="{00000000-0005-0000-0000-0000687D0000}"/>
    <cellStyle name="Normal 8 14 6 2" xfId="36779" xr:uid="{00000000-0005-0000-0000-0000697D0000}"/>
    <cellStyle name="Normal 8 14 7" xfId="24474" xr:uid="{00000000-0005-0000-0000-00006A7D0000}"/>
    <cellStyle name="Normal 8 15" xfId="3993" xr:uid="{00000000-0005-0000-0000-00006B7D0000}"/>
    <cellStyle name="Normal 8 15 2" xfId="5173" xr:uid="{00000000-0005-0000-0000-00006C7D0000}"/>
    <cellStyle name="Normal 8 15 2 2" xfId="6798" xr:uid="{00000000-0005-0000-0000-00006D7D0000}"/>
    <cellStyle name="Normal 8 15 2 2 2" xfId="9884" xr:uid="{00000000-0005-0000-0000-00006E7D0000}"/>
    <cellStyle name="Normal 8 15 2 2 2 2" xfId="16077" xr:uid="{00000000-0005-0000-0000-00006F7D0000}"/>
    <cellStyle name="Normal 8 15 2 2 2 2 2" xfId="35997" xr:uid="{00000000-0005-0000-0000-0000707D0000}"/>
    <cellStyle name="Normal 8 15 2 2 2 3" xfId="22229" xr:uid="{00000000-0005-0000-0000-0000717D0000}"/>
    <cellStyle name="Normal 8 15 2 2 2 3 2" xfId="42149" xr:uid="{00000000-0005-0000-0000-0000727D0000}"/>
    <cellStyle name="Normal 8 15 2 2 2 4" xfId="29844" xr:uid="{00000000-0005-0000-0000-0000737D0000}"/>
    <cellStyle name="Normal 8 15 2 2 3" xfId="13011" xr:uid="{00000000-0005-0000-0000-0000747D0000}"/>
    <cellStyle name="Normal 8 15 2 2 3 2" xfId="32931" xr:uid="{00000000-0005-0000-0000-0000757D0000}"/>
    <cellStyle name="Normal 8 15 2 2 4" xfId="19163" xr:uid="{00000000-0005-0000-0000-0000767D0000}"/>
    <cellStyle name="Normal 8 15 2 2 4 2" xfId="39083" xr:uid="{00000000-0005-0000-0000-0000777D0000}"/>
    <cellStyle name="Normal 8 15 2 2 5" xfId="26778" xr:uid="{00000000-0005-0000-0000-0000787D0000}"/>
    <cellStyle name="Normal 8 15 2 3" xfId="8349" xr:uid="{00000000-0005-0000-0000-0000797D0000}"/>
    <cellStyle name="Normal 8 15 2 3 2" xfId="14543" xr:uid="{00000000-0005-0000-0000-00007A7D0000}"/>
    <cellStyle name="Normal 8 15 2 3 2 2" xfId="34463" xr:uid="{00000000-0005-0000-0000-00007B7D0000}"/>
    <cellStyle name="Normal 8 15 2 3 3" xfId="20695" xr:uid="{00000000-0005-0000-0000-00007C7D0000}"/>
    <cellStyle name="Normal 8 15 2 3 3 2" xfId="40615" xr:uid="{00000000-0005-0000-0000-00007D7D0000}"/>
    <cellStyle name="Normal 8 15 2 3 4" xfId="28310" xr:uid="{00000000-0005-0000-0000-00007E7D0000}"/>
    <cellStyle name="Normal 8 15 2 4" xfId="11477" xr:uid="{00000000-0005-0000-0000-00007F7D0000}"/>
    <cellStyle name="Normal 8 15 2 4 2" xfId="31397" xr:uid="{00000000-0005-0000-0000-0000807D0000}"/>
    <cellStyle name="Normal 8 15 2 5" xfId="17629" xr:uid="{00000000-0005-0000-0000-0000817D0000}"/>
    <cellStyle name="Normal 8 15 2 5 2" xfId="37549" xr:uid="{00000000-0005-0000-0000-0000827D0000}"/>
    <cellStyle name="Normal 8 15 2 6" xfId="25244" xr:uid="{00000000-0005-0000-0000-0000837D0000}"/>
    <cellStyle name="Normal 8 15 3" xfId="6015" xr:uid="{00000000-0005-0000-0000-0000847D0000}"/>
    <cellStyle name="Normal 8 15 3 2" xfId="9115" xr:uid="{00000000-0005-0000-0000-0000857D0000}"/>
    <cellStyle name="Normal 8 15 3 2 2" xfId="15308" xr:uid="{00000000-0005-0000-0000-0000867D0000}"/>
    <cellStyle name="Normal 8 15 3 2 2 2" xfId="35228" xr:uid="{00000000-0005-0000-0000-0000877D0000}"/>
    <cellStyle name="Normal 8 15 3 2 3" xfId="21460" xr:uid="{00000000-0005-0000-0000-0000887D0000}"/>
    <cellStyle name="Normal 8 15 3 2 3 2" xfId="41380" xr:uid="{00000000-0005-0000-0000-0000897D0000}"/>
    <cellStyle name="Normal 8 15 3 2 4" xfId="29075" xr:uid="{00000000-0005-0000-0000-00008A7D0000}"/>
    <cellStyle name="Normal 8 15 3 3" xfId="12242" xr:uid="{00000000-0005-0000-0000-00008B7D0000}"/>
    <cellStyle name="Normal 8 15 3 3 2" xfId="32162" xr:uid="{00000000-0005-0000-0000-00008C7D0000}"/>
    <cellStyle name="Normal 8 15 3 4" xfId="18394" xr:uid="{00000000-0005-0000-0000-00008D7D0000}"/>
    <cellStyle name="Normal 8 15 3 4 2" xfId="38314" xr:uid="{00000000-0005-0000-0000-00008E7D0000}"/>
    <cellStyle name="Normal 8 15 3 5" xfId="26009" xr:uid="{00000000-0005-0000-0000-00008F7D0000}"/>
    <cellStyle name="Normal 8 15 4" xfId="7580" xr:uid="{00000000-0005-0000-0000-0000907D0000}"/>
    <cellStyle name="Normal 8 15 4 2" xfId="13774" xr:uid="{00000000-0005-0000-0000-0000917D0000}"/>
    <cellStyle name="Normal 8 15 4 2 2" xfId="33694" xr:uid="{00000000-0005-0000-0000-0000927D0000}"/>
    <cellStyle name="Normal 8 15 4 3" xfId="19926" xr:uid="{00000000-0005-0000-0000-0000937D0000}"/>
    <cellStyle name="Normal 8 15 4 3 2" xfId="39846" xr:uid="{00000000-0005-0000-0000-0000947D0000}"/>
    <cellStyle name="Normal 8 15 4 4" xfId="27541" xr:uid="{00000000-0005-0000-0000-0000957D0000}"/>
    <cellStyle name="Normal 8 15 5" xfId="10708" xr:uid="{00000000-0005-0000-0000-0000967D0000}"/>
    <cellStyle name="Normal 8 15 5 2" xfId="30628" xr:uid="{00000000-0005-0000-0000-0000977D0000}"/>
    <cellStyle name="Normal 8 15 6" xfId="16860" xr:uid="{00000000-0005-0000-0000-0000987D0000}"/>
    <cellStyle name="Normal 8 15 6 2" xfId="36780" xr:uid="{00000000-0005-0000-0000-0000997D0000}"/>
    <cellStyle name="Normal 8 15 7" xfId="24475" xr:uid="{00000000-0005-0000-0000-00009A7D0000}"/>
    <cellStyle name="Normal 8 16" xfId="3994" xr:uid="{00000000-0005-0000-0000-00009B7D0000}"/>
    <cellStyle name="Normal 8 16 2" xfId="5174" xr:uid="{00000000-0005-0000-0000-00009C7D0000}"/>
    <cellStyle name="Normal 8 16 2 2" xfId="6799" xr:uid="{00000000-0005-0000-0000-00009D7D0000}"/>
    <cellStyle name="Normal 8 16 2 2 2" xfId="9885" xr:uid="{00000000-0005-0000-0000-00009E7D0000}"/>
    <cellStyle name="Normal 8 16 2 2 2 2" xfId="16078" xr:uid="{00000000-0005-0000-0000-00009F7D0000}"/>
    <cellStyle name="Normal 8 16 2 2 2 2 2" xfId="35998" xr:uid="{00000000-0005-0000-0000-0000A07D0000}"/>
    <cellStyle name="Normal 8 16 2 2 2 3" xfId="22230" xr:uid="{00000000-0005-0000-0000-0000A17D0000}"/>
    <cellStyle name="Normal 8 16 2 2 2 3 2" xfId="42150" xr:uid="{00000000-0005-0000-0000-0000A27D0000}"/>
    <cellStyle name="Normal 8 16 2 2 2 4" xfId="29845" xr:uid="{00000000-0005-0000-0000-0000A37D0000}"/>
    <cellStyle name="Normal 8 16 2 2 3" xfId="13012" xr:uid="{00000000-0005-0000-0000-0000A47D0000}"/>
    <cellStyle name="Normal 8 16 2 2 3 2" xfId="32932" xr:uid="{00000000-0005-0000-0000-0000A57D0000}"/>
    <cellStyle name="Normal 8 16 2 2 4" xfId="19164" xr:uid="{00000000-0005-0000-0000-0000A67D0000}"/>
    <cellStyle name="Normal 8 16 2 2 4 2" xfId="39084" xr:uid="{00000000-0005-0000-0000-0000A77D0000}"/>
    <cellStyle name="Normal 8 16 2 2 5" xfId="26779" xr:uid="{00000000-0005-0000-0000-0000A87D0000}"/>
    <cellStyle name="Normal 8 16 2 3" xfId="8350" xr:uid="{00000000-0005-0000-0000-0000A97D0000}"/>
    <cellStyle name="Normal 8 16 2 3 2" xfId="14544" xr:uid="{00000000-0005-0000-0000-0000AA7D0000}"/>
    <cellStyle name="Normal 8 16 2 3 2 2" xfId="34464" xr:uid="{00000000-0005-0000-0000-0000AB7D0000}"/>
    <cellStyle name="Normal 8 16 2 3 3" xfId="20696" xr:uid="{00000000-0005-0000-0000-0000AC7D0000}"/>
    <cellStyle name="Normal 8 16 2 3 3 2" xfId="40616" xr:uid="{00000000-0005-0000-0000-0000AD7D0000}"/>
    <cellStyle name="Normal 8 16 2 3 4" xfId="28311" xr:uid="{00000000-0005-0000-0000-0000AE7D0000}"/>
    <cellStyle name="Normal 8 16 2 4" xfId="11478" xr:uid="{00000000-0005-0000-0000-0000AF7D0000}"/>
    <cellStyle name="Normal 8 16 2 4 2" xfId="31398" xr:uid="{00000000-0005-0000-0000-0000B07D0000}"/>
    <cellStyle name="Normal 8 16 2 5" xfId="17630" xr:uid="{00000000-0005-0000-0000-0000B17D0000}"/>
    <cellStyle name="Normal 8 16 2 5 2" xfId="37550" xr:uid="{00000000-0005-0000-0000-0000B27D0000}"/>
    <cellStyle name="Normal 8 16 2 6" xfId="25245" xr:uid="{00000000-0005-0000-0000-0000B37D0000}"/>
    <cellStyle name="Normal 8 16 3" xfId="6016" xr:uid="{00000000-0005-0000-0000-0000B47D0000}"/>
    <cellStyle name="Normal 8 16 3 2" xfId="9116" xr:uid="{00000000-0005-0000-0000-0000B57D0000}"/>
    <cellStyle name="Normal 8 16 3 2 2" xfId="15309" xr:uid="{00000000-0005-0000-0000-0000B67D0000}"/>
    <cellStyle name="Normal 8 16 3 2 2 2" xfId="35229" xr:uid="{00000000-0005-0000-0000-0000B77D0000}"/>
    <cellStyle name="Normal 8 16 3 2 3" xfId="21461" xr:uid="{00000000-0005-0000-0000-0000B87D0000}"/>
    <cellStyle name="Normal 8 16 3 2 3 2" xfId="41381" xr:uid="{00000000-0005-0000-0000-0000B97D0000}"/>
    <cellStyle name="Normal 8 16 3 2 4" xfId="29076" xr:uid="{00000000-0005-0000-0000-0000BA7D0000}"/>
    <cellStyle name="Normal 8 16 3 3" xfId="12243" xr:uid="{00000000-0005-0000-0000-0000BB7D0000}"/>
    <cellStyle name="Normal 8 16 3 3 2" xfId="32163" xr:uid="{00000000-0005-0000-0000-0000BC7D0000}"/>
    <cellStyle name="Normal 8 16 3 4" xfId="18395" xr:uid="{00000000-0005-0000-0000-0000BD7D0000}"/>
    <cellStyle name="Normal 8 16 3 4 2" xfId="38315" xr:uid="{00000000-0005-0000-0000-0000BE7D0000}"/>
    <cellStyle name="Normal 8 16 3 5" xfId="26010" xr:uid="{00000000-0005-0000-0000-0000BF7D0000}"/>
    <cellStyle name="Normal 8 16 4" xfId="7581" xr:uid="{00000000-0005-0000-0000-0000C07D0000}"/>
    <cellStyle name="Normal 8 16 4 2" xfId="13775" xr:uid="{00000000-0005-0000-0000-0000C17D0000}"/>
    <cellStyle name="Normal 8 16 4 2 2" xfId="33695" xr:uid="{00000000-0005-0000-0000-0000C27D0000}"/>
    <cellStyle name="Normal 8 16 4 3" xfId="19927" xr:uid="{00000000-0005-0000-0000-0000C37D0000}"/>
    <cellStyle name="Normal 8 16 4 3 2" xfId="39847" xr:uid="{00000000-0005-0000-0000-0000C47D0000}"/>
    <cellStyle name="Normal 8 16 4 4" xfId="27542" xr:uid="{00000000-0005-0000-0000-0000C57D0000}"/>
    <cellStyle name="Normal 8 16 5" xfId="10709" xr:uid="{00000000-0005-0000-0000-0000C67D0000}"/>
    <cellStyle name="Normal 8 16 5 2" xfId="30629" xr:uid="{00000000-0005-0000-0000-0000C77D0000}"/>
    <cellStyle name="Normal 8 16 6" xfId="16861" xr:uid="{00000000-0005-0000-0000-0000C87D0000}"/>
    <cellStyle name="Normal 8 16 6 2" xfId="36781" xr:uid="{00000000-0005-0000-0000-0000C97D0000}"/>
    <cellStyle name="Normal 8 16 7" xfId="24476" xr:uid="{00000000-0005-0000-0000-0000CA7D0000}"/>
    <cellStyle name="Normal 8 17" xfId="3995" xr:uid="{00000000-0005-0000-0000-0000CB7D0000}"/>
    <cellStyle name="Normal 8 17 2" xfId="5175" xr:uid="{00000000-0005-0000-0000-0000CC7D0000}"/>
    <cellStyle name="Normal 8 17 2 2" xfId="6800" xr:uid="{00000000-0005-0000-0000-0000CD7D0000}"/>
    <cellStyle name="Normal 8 17 2 2 2" xfId="9886" xr:uid="{00000000-0005-0000-0000-0000CE7D0000}"/>
    <cellStyle name="Normal 8 17 2 2 2 2" xfId="16079" xr:uid="{00000000-0005-0000-0000-0000CF7D0000}"/>
    <cellStyle name="Normal 8 17 2 2 2 2 2" xfId="35999" xr:uid="{00000000-0005-0000-0000-0000D07D0000}"/>
    <cellStyle name="Normal 8 17 2 2 2 3" xfId="22231" xr:uid="{00000000-0005-0000-0000-0000D17D0000}"/>
    <cellStyle name="Normal 8 17 2 2 2 3 2" xfId="42151" xr:uid="{00000000-0005-0000-0000-0000D27D0000}"/>
    <cellStyle name="Normal 8 17 2 2 2 4" xfId="29846" xr:uid="{00000000-0005-0000-0000-0000D37D0000}"/>
    <cellStyle name="Normal 8 17 2 2 3" xfId="13013" xr:uid="{00000000-0005-0000-0000-0000D47D0000}"/>
    <cellStyle name="Normal 8 17 2 2 3 2" xfId="32933" xr:uid="{00000000-0005-0000-0000-0000D57D0000}"/>
    <cellStyle name="Normal 8 17 2 2 4" xfId="19165" xr:uid="{00000000-0005-0000-0000-0000D67D0000}"/>
    <cellStyle name="Normal 8 17 2 2 4 2" xfId="39085" xr:uid="{00000000-0005-0000-0000-0000D77D0000}"/>
    <cellStyle name="Normal 8 17 2 2 5" xfId="26780" xr:uid="{00000000-0005-0000-0000-0000D87D0000}"/>
    <cellStyle name="Normal 8 17 2 3" xfId="8351" xr:uid="{00000000-0005-0000-0000-0000D97D0000}"/>
    <cellStyle name="Normal 8 17 2 3 2" xfId="14545" xr:uid="{00000000-0005-0000-0000-0000DA7D0000}"/>
    <cellStyle name="Normal 8 17 2 3 2 2" xfId="34465" xr:uid="{00000000-0005-0000-0000-0000DB7D0000}"/>
    <cellStyle name="Normal 8 17 2 3 3" xfId="20697" xr:uid="{00000000-0005-0000-0000-0000DC7D0000}"/>
    <cellStyle name="Normal 8 17 2 3 3 2" xfId="40617" xr:uid="{00000000-0005-0000-0000-0000DD7D0000}"/>
    <cellStyle name="Normal 8 17 2 3 4" xfId="28312" xr:uid="{00000000-0005-0000-0000-0000DE7D0000}"/>
    <cellStyle name="Normal 8 17 2 4" xfId="11479" xr:uid="{00000000-0005-0000-0000-0000DF7D0000}"/>
    <cellStyle name="Normal 8 17 2 4 2" xfId="31399" xr:uid="{00000000-0005-0000-0000-0000E07D0000}"/>
    <cellStyle name="Normal 8 17 2 5" xfId="17631" xr:uid="{00000000-0005-0000-0000-0000E17D0000}"/>
    <cellStyle name="Normal 8 17 2 5 2" xfId="37551" xr:uid="{00000000-0005-0000-0000-0000E27D0000}"/>
    <cellStyle name="Normal 8 17 2 6" xfId="25246" xr:uid="{00000000-0005-0000-0000-0000E37D0000}"/>
    <cellStyle name="Normal 8 17 3" xfId="6017" xr:uid="{00000000-0005-0000-0000-0000E47D0000}"/>
    <cellStyle name="Normal 8 17 3 2" xfId="9117" xr:uid="{00000000-0005-0000-0000-0000E57D0000}"/>
    <cellStyle name="Normal 8 17 3 2 2" xfId="15310" xr:uid="{00000000-0005-0000-0000-0000E67D0000}"/>
    <cellStyle name="Normal 8 17 3 2 2 2" xfId="35230" xr:uid="{00000000-0005-0000-0000-0000E77D0000}"/>
    <cellStyle name="Normal 8 17 3 2 3" xfId="21462" xr:uid="{00000000-0005-0000-0000-0000E87D0000}"/>
    <cellStyle name="Normal 8 17 3 2 3 2" xfId="41382" xr:uid="{00000000-0005-0000-0000-0000E97D0000}"/>
    <cellStyle name="Normal 8 17 3 2 4" xfId="29077" xr:uid="{00000000-0005-0000-0000-0000EA7D0000}"/>
    <cellStyle name="Normal 8 17 3 3" xfId="12244" xr:uid="{00000000-0005-0000-0000-0000EB7D0000}"/>
    <cellStyle name="Normal 8 17 3 3 2" xfId="32164" xr:uid="{00000000-0005-0000-0000-0000EC7D0000}"/>
    <cellStyle name="Normal 8 17 3 4" xfId="18396" xr:uid="{00000000-0005-0000-0000-0000ED7D0000}"/>
    <cellStyle name="Normal 8 17 3 4 2" xfId="38316" xr:uid="{00000000-0005-0000-0000-0000EE7D0000}"/>
    <cellStyle name="Normal 8 17 3 5" xfId="26011" xr:uid="{00000000-0005-0000-0000-0000EF7D0000}"/>
    <cellStyle name="Normal 8 17 4" xfId="7582" xr:uid="{00000000-0005-0000-0000-0000F07D0000}"/>
    <cellStyle name="Normal 8 17 4 2" xfId="13776" xr:uid="{00000000-0005-0000-0000-0000F17D0000}"/>
    <cellStyle name="Normal 8 17 4 2 2" xfId="33696" xr:uid="{00000000-0005-0000-0000-0000F27D0000}"/>
    <cellStyle name="Normal 8 17 4 3" xfId="19928" xr:uid="{00000000-0005-0000-0000-0000F37D0000}"/>
    <cellStyle name="Normal 8 17 4 3 2" xfId="39848" xr:uid="{00000000-0005-0000-0000-0000F47D0000}"/>
    <cellStyle name="Normal 8 17 4 4" xfId="27543" xr:uid="{00000000-0005-0000-0000-0000F57D0000}"/>
    <cellStyle name="Normal 8 17 5" xfId="10710" xr:uid="{00000000-0005-0000-0000-0000F67D0000}"/>
    <cellStyle name="Normal 8 17 5 2" xfId="30630" xr:uid="{00000000-0005-0000-0000-0000F77D0000}"/>
    <cellStyle name="Normal 8 17 6" xfId="16862" xr:uid="{00000000-0005-0000-0000-0000F87D0000}"/>
    <cellStyle name="Normal 8 17 6 2" xfId="36782" xr:uid="{00000000-0005-0000-0000-0000F97D0000}"/>
    <cellStyle name="Normal 8 17 7" xfId="24477" xr:uid="{00000000-0005-0000-0000-0000FA7D0000}"/>
    <cellStyle name="Normal 8 18" xfId="3996" xr:uid="{00000000-0005-0000-0000-0000FB7D0000}"/>
    <cellStyle name="Normal 8 18 2" xfId="5176" xr:uid="{00000000-0005-0000-0000-0000FC7D0000}"/>
    <cellStyle name="Normal 8 18 2 2" xfId="6801" xr:uid="{00000000-0005-0000-0000-0000FD7D0000}"/>
    <cellStyle name="Normal 8 18 2 2 2" xfId="9887" xr:uid="{00000000-0005-0000-0000-0000FE7D0000}"/>
    <cellStyle name="Normal 8 18 2 2 2 2" xfId="16080" xr:uid="{00000000-0005-0000-0000-0000FF7D0000}"/>
    <cellStyle name="Normal 8 18 2 2 2 2 2" xfId="36000" xr:uid="{00000000-0005-0000-0000-0000007E0000}"/>
    <cellStyle name="Normal 8 18 2 2 2 3" xfId="22232" xr:uid="{00000000-0005-0000-0000-0000017E0000}"/>
    <cellStyle name="Normal 8 18 2 2 2 3 2" xfId="42152" xr:uid="{00000000-0005-0000-0000-0000027E0000}"/>
    <cellStyle name="Normal 8 18 2 2 2 4" xfId="29847" xr:uid="{00000000-0005-0000-0000-0000037E0000}"/>
    <cellStyle name="Normal 8 18 2 2 3" xfId="13014" xr:uid="{00000000-0005-0000-0000-0000047E0000}"/>
    <cellStyle name="Normal 8 18 2 2 3 2" xfId="32934" xr:uid="{00000000-0005-0000-0000-0000057E0000}"/>
    <cellStyle name="Normal 8 18 2 2 4" xfId="19166" xr:uid="{00000000-0005-0000-0000-0000067E0000}"/>
    <cellStyle name="Normal 8 18 2 2 4 2" xfId="39086" xr:uid="{00000000-0005-0000-0000-0000077E0000}"/>
    <cellStyle name="Normal 8 18 2 2 5" xfId="26781" xr:uid="{00000000-0005-0000-0000-0000087E0000}"/>
    <cellStyle name="Normal 8 18 2 3" xfId="8352" xr:uid="{00000000-0005-0000-0000-0000097E0000}"/>
    <cellStyle name="Normal 8 18 2 3 2" xfId="14546" xr:uid="{00000000-0005-0000-0000-00000A7E0000}"/>
    <cellStyle name="Normal 8 18 2 3 2 2" xfId="34466" xr:uid="{00000000-0005-0000-0000-00000B7E0000}"/>
    <cellStyle name="Normal 8 18 2 3 3" xfId="20698" xr:uid="{00000000-0005-0000-0000-00000C7E0000}"/>
    <cellStyle name="Normal 8 18 2 3 3 2" xfId="40618" xr:uid="{00000000-0005-0000-0000-00000D7E0000}"/>
    <cellStyle name="Normal 8 18 2 3 4" xfId="28313" xr:uid="{00000000-0005-0000-0000-00000E7E0000}"/>
    <cellStyle name="Normal 8 18 2 4" xfId="11480" xr:uid="{00000000-0005-0000-0000-00000F7E0000}"/>
    <cellStyle name="Normal 8 18 2 4 2" xfId="31400" xr:uid="{00000000-0005-0000-0000-0000107E0000}"/>
    <cellStyle name="Normal 8 18 2 5" xfId="17632" xr:uid="{00000000-0005-0000-0000-0000117E0000}"/>
    <cellStyle name="Normal 8 18 2 5 2" xfId="37552" xr:uid="{00000000-0005-0000-0000-0000127E0000}"/>
    <cellStyle name="Normal 8 18 2 6" xfId="25247" xr:uid="{00000000-0005-0000-0000-0000137E0000}"/>
    <cellStyle name="Normal 8 18 3" xfId="6018" xr:uid="{00000000-0005-0000-0000-0000147E0000}"/>
    <cellStyle name="Normal 8 18 3 2" xfId="9118" xr:uid="{00000000-0005-0000-0000-0000157E0000}"/>
    <cellStyle name="Normal 8 18 3 2 2" xfId="15311" xr:uid="{00000000-0005-0000-0000-0000167E0000}"/>
    <cellStyle name="Normal 8 18 3 2 2 2" xfId="35231" xr:uid="{00000000-0005-0000-0000-0000177E0000}"/>
    <cellStyle name="Normal 8 18 3 2 3" xfId="21463" xr:uid="{00000000-0005-0000-0000-0000187E0000}"/>
    <cellStyle name="Normal 8 18 3 2 3 2" xfId="41383" xr:uid="{00000000-0005-0000-0000-0000197E0000}"/>
    <cellStyle name="Normal 8 18 3 2 4" xfId="29078" xr:uid="{00000000-0005-0000-0000-00001A7E0000}"/>
    <cellStyle name="Normal 8 18 3 3" xfId="12245" xr:uid="{00000000-0005-0000-0000-00001B7E0000}"/>
    <cellStyle name="Normal 8 18 3 3 2" xfId="32165" xr:uid="{00000000-0005-0000-0000-00001C7E0000}"/>
    <cellStyle name="Normal 8 18 3 4" xfId="18397" xr:uid="{00000000-0005-0000-0000-00001D7E0000}"/>
    <cellStyle name="Normal 8 18 3 4 2" xfId="38317" xr:uid="{00000000-0005-0000-0000-00001E7E0000}"/>
    <cellStyle name="Normal 8 18 3 5" xfId="26012" xr:uid="{00000000-0005-0000-0000-00001F7E0000}"/>
    <cellStyle name="Normal 8 18 4" xfId="7583" xr:uid="{00000000-0005-0000-0000-0000207E0000}"/>
    <cellStyle name="Normal 8 18 4 2" xfId="13777" xr:uid="{00000000-0005-0000-0000-0000217E0000}"/>
    <cellStyle name="Normal 8 18 4 2 2" xfId="33697" xr:uid="{00000000-0005-0000-0000-0000227E0000}"/>
    <cellStyle name="Normal 8 18 4 3" xfId="19929" xr:uid="{00000000-0005-0000-0000-0000237E0000}"/>
    <cellStyle name="Normal 8 18 4 3 2" xfId="39849" xr:uid="{00000000-0005-0000-0000-0000247E0000}"/>
    <cellStyle name="Normal 8 18 4 4" xfId="27544" xr:uid="{00000000-0005-0000-0000-0000257E0000}"/>
    <cellStyle name="Normal 8 18 5" xfId="10711" xr:uid="{00000000-0005-0000-0000-0000267E0000}"/>
    <cellStyle name="Normal 8 18 5 2" xfId="30631" xr:uid="{00000000-0005-0000-0000-0000277E0000}"/>
    <cellStyle name="Normal 8 18 6" xfId="16863" xr:uid="{00000000-0005-0000-0000-0000287E0000}"/>
    <cellStyle name="Normal 8 18 6 2" xfId="36783" xr:uid="{00000000-0005-0000-0000-0000297E0000}"/>
    <cellStyle name="Normal 8 18 7" xfId="24478" xr:uid="{00000000-0005-0000-0000-00002A7E0000}"/>
    <cellStyle name="Normal 8 19" xfId="3997" xr:uid="{00000000-0005-0000-0000-00002B7E0000}"/>
    <cellStyle name="Normal 8 19 2" xfId="5177" xr:uid="{00000000-0005-0000-0000-00002C7E0000}"/>
    <cellStyle name="Normal 8 19 2 2" xfId="6802" xr:uid="{00000000-0005-0000-0000-00002D7E0000}"/>
    <cellStyle name="Normal 8 19 2 2 2" xfId="9888" xr:uid="{00000000-0005-0000-0000-00002E7E0000}"/>
    <cellStyle name="Normal 8 19 2 2 2 2" xfId="16081" xr:uid="{00000000-0005-0000-0000-00002F7E0000}"/>
    <cellStyle name="Normal 8 19 2 2 2 2 2" xfId="36001" xr:uid="{00000000-0005-0000-0000-0000307E0000}"/>
    <cellStyle name="Normal 8 19 2 2 2 3" xfId="22233" xr:uid="{00000000-0005-0000-0000-0000317E0000}"/>
    <cellStyle name="Normal 8 19 2 2 2 3 2" xfId="42153" xr:uid="{00000000-0005-0000-0000-0000327E0000}"/>
    <cellStyle name="Normal 8 19 2 2 2 4" xfId="29848" xr:uid="{00000000-0005-0000-0000-0000337E0000}"/>
    <cellStyle name="Normal 8 19 2 2 3" xfId="13015" xr:uid="{00000000-0005-0000-0000-0000347E0000}"/>
    <cellStyle name="Normal 8 19 2 2 3 2" xfId="32935" xr:uid="{00000000-0005-0000-0000-0000357E0000}"/>
    <cellStyle name="Normal 8 19 2 2 4" xfId="19167" xr:uid="{00000000-0005-0000-0000-0000367E0000}"/>
    <cellStyle name="Normal 8 19 2 2 4 2" xfId="39087" xr:uid="{00000000-0005-0000-0000-0000377E0000}"/>
    <cellStyle name="Normal 8 19 2 2 5" xfId="26782" xr:uid="{00000000-0005-0000-0000-0000387E0000}"/>
    <cellStyle name="Normal 8 19 2 3" xfId="8353" xr:uid="{00000000-0005-0000-0000-0000397E0000}"/>
    <cellStyle name="Normal 8 19 2 3 2" xfId="14547" xr:uid="{00000000-0005-0000-0000-00003A7E0000}"/>
    <cellStyle name="Normal 8 19 2 3 2 2" xfId="34467" xr:uid="{00000000-0005-0000-0000-00003B7E0000}"/>
    <cellStyle name="Normal 8 19 2 3 3" xfId="20699" xr:uid="{00000000-0005-0000-0000-00003C7E0000}"/>
    <cellStyle name="Normal 8 19 2 3 3 2" xfId="40619" xr:uid="{00000000-0005-0000-0000-00003D7E0000}"/>
    <cellStyle name="Normal 8 19 2 3 4" xfId="28314" xr:uid="{00000000-0005-0000-0000-00003E7E0000}"/>
    <cellStyle name="Normal 8 19 2 4" xfId="11481" xr:uid="{00000000-0005-0000-0000-00003F7E0000}"/>
    <cellStyle name="Normal 8 19 2 4 2" xfId="31401" xr:uid="{00000000-0005-0000-0000-0000407E0000}"/>
    <cellStyle name="Normal 8 19 2 5" xfId="17633" xr:uid="{00000000-0005-0000-0000-0000417E0000}"/>
    <cellStyle name="Normal 8 19 2 5 2" xfId="37553" xr:uid="{00000000-0005-0000-0000-0000427E0000}"/>
    <cellStyle name="Normal 8 19 2 6" xfId="25248" xr:uid="{00000000-0005-0000-0000-0000437E0000}"/>
    <cellStyle name="Normal 8 19 3" xfId="6019" xr:uid="{00000000-0005-0000-0000-0000447E0000}"/>
    <cellStyle name="Normal 8 19 3 2" xfId="9119" xr:uid="{00000000-0005-0000-0000-0000457E0000}"/>
    <cellStyle name="Normal 8 19 3 2 2" xfId="15312" xr:uid="{00000000-0005-0000-0000-0000467E0000}"/>
    <cellStyle name="Normal 8 19 3 2 2 2" xfId="35232" xr:uid="{00000000-0005-0000-0000-0000477E0000}"/>
    <cellStyle name="Normal 8 19 3 2 3" xfId="21464" xr:uid="{00000000-0005-0000-0000-0000487E0000}"/>
    <cellStyle name="Normal 8 19 3 2 3 2" xfId="41384" xr:uid="{00000000-0005-0000-0000-0000497E0000}"/>
    <cellStyle name="Normal 8 19 3 2 4" xfId="29079" xr:uid="{00000000-0005-0000-0000-00004A7E0000}"/>
    <cellStyle name="Normal 8 19 3 3" xfId="12246" xr:uid="{00000000-0005-0000-0000-00004B7E0000}"/>
    <cellStyle name="Normal 8 19 3 3 2" xfId="32166" xr:uid="{00000000-0005-0000-0000-00004C7E0000}"/>
    <cellStyle name="Normal 8 19 3 4" xfId="18398" xr:uid="{00000000-0005-0000-0000-00004D7E0000}"/>
    <cellStyle name="Normal 8 19 3 4 2" xfId="38318" xr:uid="{00000000-0005-0000-0000-00004E7E0000}"/>
    <cellStyle name="Normal 8 19 3 5" xfId="26013" xr:uid="{00000000-0005-0000-0000-00004F7E0000}"/>
    <cellStyle name="Normal 8 19 4" xfId="7584" xr:uid="{00000000-0005-0000-0000-0000507E0000}"/>
    <cellStyle name="Normal 8 19 4 2" xfId="13778" xr:uid="{00000000-0005-0000-0000-0000517E0000}"/>
    <cellStyle name="Normal 8 19 4 2 2" xfId="33698" xr:uid="{00000000-0005-0000-0000-0000527E0000}"/>
    <cellStyle name="Normal 8 19 4 3" xfId="19930" xr:uid="{00000000-0005-0000-0000-0000537E0000}"/>
    <cellStyle name="Normal 8 19 4 3 2" xfId="39850" xr:uid="{00000000-0005-0000-0000-0000547E0000}"/>
    <cellStyle name="Normal 8 19 4 4" xfId="27545" xr:uid="{00000000-0005-0000-0000-0000557E0000}"/>
    <cellStyle name="Normal 8 19 5" xfId="10712" xr:uid="{00000000-0005-0000-0000-0000567E0000}"/>
    <cellStyle name="Normal 8 19 5 2" xfId="30632" xr:uid="{00000000-0005-0000-0000-0000577E0000}"/>
    <cellStyle name="Normal 8 19 6" xfId="16864" xr:uid="{00000000-0005-0000-0000-0000587E0000}"/>
    <cellStyle name="Normal 8 19 6 2" xfId="36784" xr:uid="{00000000-0005-0000-0000-0000597E0000}"/>
    <cellStyle name="Normal 8 19 7" xfId="24479" xr:uid="{00000000-0005-0000-0000-00005A7E0000}"/>
    <cellStyle name="Normal 8 2" xfId="1174" xr:uid="{00000000-0005-0000-0000-00005B7E0000}"/>
    <cellStyle name="Normal 8 2 10" xfId="10165" xr:uid="{00000000-0005-0000-0000-00005C7E0000}"/>
    <cellStyle name="Normal 8 2 10 2" xfId="30085" xr:uid="{00000000-0005-0000-0000-00005D7E0000}"/>
    <cellStyle name="Normal 8 2 11" xfId="16317" xr:uid="{00000000-0005-0000-0000-00005E7E0000}"/>
    <cellStyle name="Normal 8 2 11 2" xfId="36237" xr:uid="{00000000-0005-0000-0000-00005F7E0000}"/>
    <cellStyle name="Normal 8 2 12" xfId="23932" xr:uid="{00000000-0005-0000-0000-0000607E0000}"/>
    <cellStyle name="Normal 8 2 2" xfId="1193" xr:uid="{00000000-0005-0000-0000-0000617E0000}"/>
    <cellStyle name="Normal 8 2 2 2" xfId="3999" xr:uid="{00000000-0005-0000-0000-0000627E0000}"/>
    <cellStyle name="Normal 8 2 2 2 2" xfId="5179" xr:uid="{00000000-0005-0000-0000-0000637E0000}"/>
    <cellStyle name="Normal 8 2 2 2 2 2" xfId="6804" xr:uid="{00000000-0005-0000-0000-0000647E0000}"/>
    <cellStyle name="Normal 8 2 2 2 2 2 2" xfId="9890" xr:uid="{00000000-0005-0000-0000-0000657E0000}"/>
    <cellStyle name="Normal 8 2 2 2 2 2 2 2" xfId="16083" xr:uid="{00000000-0005-0000-0000-0000667E0000}"/>
    <cellStyle name="Normal 8 2 2 2 2 2 2 2 2" xfId="36003" xr:uid="{00000000-0005-0000-0000-0000677E0000}"/>
    <cellStyle name="Normal 8 2 2 2 2 2 2 3" xfId="22235" xr:uid="{00000000-0005-0000-0000-0000687E0000}"/>
    <cellStyle name="Normal 8 2 2 2 2 2 2 3 2" xfId="42155" xr:uid="{00000000-0005-0000-0000-0000697E0000}"/>
    <cellStyle name="Normal 8 2 2 2 2 2 2 4" xfId="29850" xr:uid="{00000000-0005-0000-0000-00006A7E0000}"/>
    <cellStyle name="Normal 8 2 2 2 2 2 3" xfId="13017" xr:uid="{00000000-0005-0000-0000-00006B7E0000}"/>
    <cellStyle name="Normal 8 2 2 2 2 2 3 2" xfId="32937" xr:uid="{00000000-0005-0000-0000-00006C7E0000}"/>
    <cellStyle name="Normal 8 2 2 2 2 2 4" xfId="19169" xr:uid="{00000000-0005-0000-0000-00006D7E0000}"/>
    <cellStyle name="Normal 8 2 2 2 2 2 4 2" xfId="39089" xr:uid="{00000000-0005-0000-0000-00006E7E0000}"/>
    <cellStyle name="Normal 8 2 2 2 2 2 5" xfId="26784" xr:uid="{00000000-0005-0000-0000-00006F7E0000}"/>
    <cellStyle name="Normal 8 2 2 2 2 3" xfId="8355" xr:uid="{00000000-0005-0000-0000-0000707E0000}"/>
    <cellStyle name="Normal 8 2 2 2 2 3 2" xfId="14549" xr:uid="{00000000-0005-0000-0000-0000717E0000}"/>
    <cellStyle name="Normal 8 2 2 2 2 3 2 2" xfId="34469" xr:uid="{00000000-0005-0000-0000-0000727E0000}"/>
    <cellStyle name="Normal 8 2 2 2 2 3 3" xfId="20701" xr:uid="{00000000-0005-0000-0000-0000737E0000}"/>
    <cellStyle name="Normal 8 2 2 2 2 3 3 2" xfId="40621" xr:uid="{00000000-0005-0000-0000-0000747E0000}"/>
    <cellStyle name="Normal 8 2 2 2 2 3 4" xfId="28316" xr:uid="{00000000-0005-0000-0000-0000757E0000}"/>
    <cellStyle name="Normal 8 2 2 2 2 4" xfId="11483" xr:uid="{00000000-0005-0000-0000-0000767E0000}"/>
    <cellStyle name="Normal 8 2 2 2 2 4 2" xfId="31403" xr:uid="{00000000-0005-0000-0000-0000777E0000}"/>
    <cellStyle name="Normal 8 2 2 2 2 5" xfId="17635" xr:uid="{00000000-0005-0000-0000-0000787E0000}"/>
    <cellStyle name="Normal 8 2 2 2 2 5 2" xfId="37555" xr:uid="{00000000-0005-0000-0000-0000797E0000}"/>
    <cellStyle name="Normal 8 2 2 2 2 6" xfId="25250" xr:uid="{00000000-0005-0000-0000-00007A7E0000}"/>
    <cellStyle name="Normal 8 2 2 2 3" xfId="6021" xr:uid="{00000000-0005-0000-0000-00007B7E0000}"/>
    <cellStyle name="Normal 8 2 2 2 3 2" xfId="9121" xr:uid="{00000000-0005-0000-0000-00007C7E0000}"/>
    <cellStyle name="Normal 8 2 2 2 3 2 2" xfId="15314" xr:uid="{00000000-0005-0000-0000-00007D7E0000}"/>
    <cellStyle name="Normal 8 2 2 2 3 2 2 2" xfId="35234" xr:uid="{00000000-0005-0000-0000-00007E7E0000}"/>
    <cellStyle name="Normal 8 2 2 2 3 2 3" xfId="21466" xr:uid="{00000000-0005-0000-0000-00007F7E0000}"/>
    <cellStyle name="Normal 8 2 2 2 3 2 3 2" xfId="41386" xr:uid="{00000000-0005-0000-0000-0000807E0000}"/>
    <cellStyle name="Normal 8 2 2 2 3 2 4" xfId="29081" xr:uid="{00000000-0005-0000-0000-0000817E0000}"/>
    <cellStyle name="Normal 8 2 2 2 3 3" xfId="12248" xr:uid="{00000000-0005-0000-0000-0000827E0000}"/>
    <cellStyle name="Normal 8 2 2 2 3 3 2" xfId="32168" xr:uid="{00000000-0005-0000-0000-0000837E0000}"/>
    <cellStyle name="Normal 8 2 2 2 3 4" xfId="18400" xr:uid="{00000000-0005-0000-0000-0000847E0000}"/>
    <cellStyle name="Normal 8 2 2 2 3 4 2" xfId="38320" xr:uid="{00000000-0005-0000-0000-0000857E0000}"/>
    <cellStyle name="Normal 8 2 2 2 3 5" xfId="26015" xr:uid="{00000000-0005-0000-0000-0000867E0000}"/>
    <cellStyle name="Normal 8 2 2 2 4" xfId="7586" xr:uid="{00000000-0005-0000-0000-0000877E0000}"/>
    <cellStyle name="Normal 8 2 2 2 4 2" xfId="13780" xr:uid="{00000000-0005-0000-0000-0000887E0000}"/>
    <cellStyle name="Normal 8 2 2 2 4 2 2" xfId="33700" xr:uid="{00000000-0005-0000-0000-0000897E0000}"/>
    <cellStyle name="Normal 8 2 2 2 4 3" xfId="19932" xr:uid="{00000000-0005-0000-0000-00008A7E0000}"/>
    <cellStyle name="Normal 8 2 2 2 4 3 2" xfId="39852" xr:uid="{00000000-0005-0000-0000-00008B7E0000}"/>
    <cellStyle name="Normal 8 2 2 2 4 4" xfId="27547" xr:uid="{00000000-0005-0000-0000-00008C7E0000}"/>
    <cellStyle name="Normal 8 2 2 2 5" xfId="10714" xr:uid="{00000000-0005-0000-0000-00008D7E0000}"/>
    <cellStyle name="Normal 8 2 2 2 5 2" xfId="30634" xr:uid="{00000000-0005-0000-0000-00008E7E0000}"/>
    <cellStyle name="Normal 8 2 2 2 6" xfId="16866" xr:uid="{00000000-0005-0000-0000-00008F7E0000}"/>
    <cellStyle name="Normal 8 2 2 2 6 2" xfId="36786" xr:uid="{00000000-0005-0000-0000-0000907E0000}"/>
    <cellStyle name="Normal 8 2 2 2 7" xfId="24481" xr:uid="{00000000-0005-0000-0000-0000917E0000}"/>
    <cellStyle name="Normal 8 2 2 3" xfId="4641" xr:uid="{00000000-0005-0000-0000-0000927E0000}"/>
    <cellStyle name="Normal 8 2 2 3 2" xfId="6266" xr:uid="{00000000-0005-0000-0000-0000937E0000}"/>
    <cellStyle name="Normal 8 2 2 3 2 2" xfId="9352" xr:uid="{00000000-0005-0000-0000-0000947E0000}"/>
    <cellStyle name="Normal 8 2 2 3 2 2 2" xfId="15545" xr:uid="{00000000-0005-0000-0000-0000957E0000}"/>
    <cellStyle name="Normal 8 2 2 3 2 2 2 2" xfId="35465" xr:uid="{00000000-0005-0000-0000-0000967E0000}"/>
    <cellStyle name="Normal 8 2 2 3 2 2 3" xfId="21697" xr:uid="{00000000-0005-0000-0000-0000977E0000}"/>
    <cellStyle name="Normal 8 2 2 3 2 2 3 2" xfId="41617" xr:uid="{00000000-0005-0000-0000-0000987E0000}"/>
    <cellStyle name="Normal 8 2 2 3 2 2 4" xfId="29312" xr:uid="{00000000-0005-0000-0000-0000997E0000}"/>
    <cellStyle name="Normal 8 2 2 3 2 3" xfId="12479" xr:uid="{00000000-0005-0000-0000-00009A7E0000}"/>
    <cellStyle name="Normal 8 2 2 3 2 3 2" xfId="32399" xr:uid="{00000000-0005-0000-0000-00009B7E0000}"/>
    <cellStyle name="Normal 8 2 2 3 2 4" xfId="18631" xr:uid="{00000000-0005-0000-0000-00009C7E0000}"/>
    <cellStyle name="Normal 8 2 2 3 2 4 2" xfId="38551" xr:uid="{00000000-0005-0000-0000-00009D7E0000}"/>
    <cellStyle name="Normal 8 2 2 3 2 5" xfId="26246" xr:uid="{00000000-0005-0000-0000-00009E7E0000}"/>
    <cellStyle name="Normal 8 2 2 3 3" xfId="7817" xr:uid="{00000000-0005-0000-0000-00009F7E0000}"/>
    <cellStyle name="Normal 8 2 2 3 3 2" xfId="14011" xr:uid="{00000000-0005-0000-0000-0000A07E0000}"/>
    <cellStyle name="Normal 8 2 2 3 3 2 2" xfId="33931" xr:uid="{00000000-0005-0000-0000-0000A17E0000}"/>
    <cellStyle name="Normal 8 2 2 3 3 3" xfId="20163" xr:uid="{00000000-0005-0000-0000-0000A27E0000}"/>
    <cellStyle name="Normal 8 2 2 3 3 3 2" xfId="40083" xr:uid="{00000000-0005-0000-0000-0000A37E0000}"/>
    <cellStyle name="Normal 8 2 2 3 3 4" xfId="27778" xr:uid="{00000000-0005-0000-0000-0000A47E0000}"/>
    <cellStyle name="Normal 8 2 2 3 4" xfId="10945" xr:uid="{00000000-0005-0000-0000-0000A57E0000}"/>
    <cellStyle name="Normal 8 2 2 3 4 2" xfId="30865" xr:uid="{00000000-0005-0000-0000-0000A67E0000}"/>
    <cellStyle name="Normal 8 2 2 3 5" xfId="17097" xr:uid="{00000000-0005-0000-0000-0000A77E0000}"/>
    <cellStyle name="Normal 8 2 2 3 5 2" xfId="37017" xr:uid="{00000000-0005-0000-0000-0000A87E0000}"/>
    <cellStyle name="Normal 8 2 2 3 6" xfId="24712" xr:uid="{00000000-0005-0000-0000-0000A97E0000}"/>
    <cellStyle name="Normal 8 2 2 4" xfId="5480" xr:uid="{00000000-0005-0000-0000-0000AA7E0000}"/>
    <cellStyle name="Normal 8 2 2 4 2" xfId="8583" xr:uid="{00000000-0005-0000-0000-0000AB7E0000}"/>
    <cellStyle name="Normal 8 2 2 4 2 2" xfId="14776" xr:uid="{00000000-0005-0000-0000-0000AC7E0000}"/>
    <cellStyle name="Normal 8 2 2 4 2 2 2" xfId="34696" xr:uid="{00000000-0005-0000-0000-0000AD7E0000}"/>
    <cellStyle name="Normal 8 2 2 4 2 3" xfId="20928" xr:uid="{00000000-0005-0000-0000-0000AE7E0000}"/>
    <cellStyle name="Normal 8 2 2 4 2 3 2" xfId="40848" xr:uid="{00000000-0005-0000-0000-0000AF7E0000}"/>
    <cellStyle name="Normal 8 2 2 4 2 4" xfId="28543" xr:uid="{00000000-0005-0000-0000-0000B07E0000}"/>
    <cellStyle name="Normal 8 2 2 4 3" xfId="11710" xr:uid="{00000000-0005-0000-0000-0000B17E0000}"/>
    <cellStyle name="Normal 8 2 2 4 3 2" xfId="31630" xr:uid="{00000000-0005-0000-0000-0000B27E0000}"/>
    <cellStyle name="Normal 8 2 2 4 4" xfId="17862" xr:uid="{00000000-0005-0000-0000-0000B37E0000}"/>
    <cellStyle name="Normal 8 2 2 4 4 2" xfId="37782" xr:uid="{00000000-0005-0000-0000-0000B47E0000}"/>
    <cellStyle name="Normal 8 2 2 4 5" xfId="25477" xr:uid="{00000000-0005-0000-0000-0000B57E0000}"/>
    <cellStyle name="Normal 8 2 2 5" xfId="7048" xr:uid="{00000000-0005-0000-0000-0000B67E0000}"/>
    <cellStyle name="Normal 8 2 2 5 2" xfId="13242" xr:uid="{00000000-0005-0000-0000-0000B77E0000}"/>
    <cellStyle name="Normal 8 2 2 5 2 2" xfId="33162" xr:uid="{00000000-0005-0000-0000-0000B87E0000}"/>
    <cellStyle name="Normal 8 2 2 5 3" xfId="19394" xr:uid="{00000000-0005-0000-0000-0000B97E0000}"/>
    <cellStyle name="Normal 8 2 2 5 3 2" xfId="39314" xr:uid="{00000000-0005-0000-0000-0000BA7E0000}"/>
    <cellStyle name="Normal 8 2 2 5 4" xfId="27009" xr:uid="{00000000-0005-0000-0000-0000BB7E0000}"/>
    <cellStyle name="Normal 8 2 2 6" xfId="10176" xr:uid="{00000000-0005-0000-0000-0000BC7E0000}"/>
    <cellStyle name="Normal 8 2 2 6 2" xfId="30096" xr:uid="{00000000-0005-0000-0000-0000BD7E0000}"/>
    <cellStyle name="Normal 8 2 2 7" xfId="16328" xr:uid="{00000000-0005-0000-0000-0000BE7E0000}"/>
    <cellStyle name="Normal 8 2 2 7 2" xfId="36248" xr:uid="{00000000-0005-0000-0000-0000BF7E0000}"/>
    <cellStyle name="Normal 8 2 2 8" xfId="23943" xr:uid="{00000000-0005-0000-0000-0000C07E0000}"/>
    <cellStyle name="Normal 8 2 3" xfId="4000" xr:uid="{00000000-0005-0000-0000-0000C17E0000}"/>
    <cellStyle name="Normal 8 2 3 2" xfId="5180" xr:uid="{00000000-0005-0000-0000-0000C27E0000}"/>
    <cellStyle name="Normal 8 2 3 2 2" xfId="6805" xr:uid="{00000000-0005-0000-0000-0000C37E0000}"/>
    <cellStyle name="Normal 8 2 3 2 2 2" xfId="9891" xr:uid="{00000000-0005-0000-0000-0000C47E0000}"/>
    <cellStyle name="Normal 8 2 3 2 2 2 2" xfId="16084" xr:uid="{00000000-0005-0000-0000-0000C57E0000}"/>
    <cellStyle name="Normal 8 2 3 2 2 2 2 2" xfId="36004" xr:uid="{00000000-0005-0000-0000-0000C67E0000}"/>
    <cellStyle name="Normal 8 2 3 2 2 2 3" xfId="22236" xr:uid="{00000000-0005-0000-0000-0000C77E0000}"/>
    <cellStyle name="Normal 8 2 3 2 2 2 3 2" xfId="42156" xr:uid="{00000000-0005-0000-0000-0000C87E0000}"/>
    <cellStyle name="Normal 8 2 3 2 2 2 4" xfId="29851" xr:uid="{00000000-0005-0000-0000-0000C97E0000}"/>
    <cellStyle name="Normal 8 2 3 2 2 3" xfId="13018" xr:uid="{00000000-0005-0000-0000-0000CA7E0000}"/>
    <cellStyle name="Normal 8 2 3 2 2 3 2" xfId="32938" xr:uid="{00000000-0005-0000-0000-0000CB7E0000}"/>
    <cellStyle name="Normal 8 2 3 2 2 4" xfId="19170" xr:uid="{00000000-0005-0000-0000-0000CC7E0000}"/>
    <cellStyle name="Normal 8 2 3 2 2 4 2" xfId="39090" xr:uid="{00000000-0005-0000-0000-0000CD7E0000}"/>
    <cellStyle name="Normal 8 2 3 2 2 5" xfId="26785" xr:uid="{00000000-0005-0000-0000-0000CE7E0000}"/>
    <cellStyle name="Normal 8 2 3 2 3" xfId="8356" xr:uid="{00000000-0005-0000-0000-0000CF7E0000}"/>
    <cellStyle name="Normal 8 2 3 2 3 2" xfId="14550" xr:uid="{00000000-0005-0000-0000-0000D07E0000}"/>
    <cellStyle name="Normal 8 2 3 2 3 2 2" xfId="34470" xr:uid="{00000000-0005-0000-0000-0000D17E0000}"/>
    <cellStyle name="Normal 8 2 3 2 3 3" xfId="20702" xr:uid="{00000000-0005-0000-0000-0000D27E0000}"/>
    <cellStyle name="Normal 8 2 3 2 3 3 2" xfId="40622" xr:uid="{00000000-0005-0000-0000-0000D37E0000}"/>
    <cellStyle name="Normal 8 2 3 2 3 4" xfId="28317" xr:uid="{00000000-0005-0000-0000-0000D47E0000}"/>
    <cellStyle name="Normal 8 2 3 2 4" xfId="11484" xr:uid="{00000000-0005-0000-0000-0000D57E0000}"/>
    <cellStyle name="Normal 8 2 3 2 4 2" xfId="31404" xr:uid="{00000000-0005-0000-0000-0000D67E0000}"/>
    <cellStyle name="Normal 8 2 3 2 5" xfId="17636" xr:uid="{00000000-0005-0000-0000-0000D77E0000}"/>
    <cellStyle name="Normal 8 2 3 2 5 2" xfId="37556" xr:uid="{00000000-0005-0000-0000-0000D87E0000}"/>
    <cellStyle name="Normal 8 2 3 2 6" xfId="25251" xr:uid="{00000000-0005-0000-0000-0000D97E0000}"/>
    <cellStyle name="Normal 8 2 3 3" xfId="6022" xr:uid="{00000000-0005-0000-0000-0000DA7E0000}"/>
    <cellStyle name="Normal 8 2 3 3 2" xfId="9122" xr:uid="{00000000-0005-0000-0000-0000DB7E0000}"/>
    <cellStyle name="Normal 8 2 3 3 2 2" xfId="15315" xr:uid="{00000000-0005-0000-0000-0000DC7E0000}"/>
    <cellStyle name="Normal 8 2 3 3 2 2 2" xfId="35235" xr:uid="{00000000-0005-0000-0000-0000DD7E0000}"/>
    <cellStyle name="Normal 8 2 3 3 2 3" xfId="21467" xr:uid="{00000000-0005-0000-0000-0000DE7E0000}"/>
    <cellStyle name="Normal 8 2 3 3 2 3 2" xfId="41387" xr:uid="{00000000-0005-0000-0000-0000DF7E0000}"/>
    <cellStyle name="Normal 8 2 3 3 2 4" xfId="29082" xr:uid="{00000000-0005-0000-0000-0000E07E0000}"/>
    <cellStyle name="Normal 8 2 3 3 3" xfId="12249" xr:uid="{00000000-0005-0000-0000-0000E17E0000}"/>
    <cellStyle name="Normal 8 2 3 3 3 2" xfId="32169" xr:uid="{00000000-0005-0000-0000-0000E27E0000}"/>
    <cellStyle name="Normal 8 2 3 3 4" xfId="18401" xr:uid="{00000000-0005-0000-0000-0000E37E0000}"/>
    <cellStyle name="Normal 8 2 3 3 4 2" xfId="38321" xr:uid="{00000000-0005-0000-0000-0000E47E0000}"/>
    <cellStyle name="Normal 8 2 3 3 5" xfId="26016" xr:uid="{00000000-0005-0000-0000-0000E57E0000}"/>
    <cellStyle name="Normal 8 2 3 4" xfId="7587" xr:uid="{00000000-0005-0000-0000-0000E67E0000}"/>
    <cellStyle name="Normal 8 2 3 4 2" xfId="13781" xr:uid="{00000000-0005-0000-0000-0000E77E0000}"/>
    <cellStyle name="Normal 8 2 3 4 2 2" xfId="33701" xr:uid="{00000000-0005-0000-0000-0000E87E0000}"/>
    <cellStyle name="Normal 8 2 3 4 3" xfId="19933" xr:uid="{00000000-0005-0000-0000-0000E97E0000}"/>
    <cellStyle name="Normal 8 2 3 4 3 2" xfId="39853" xr:uid="{00000000-0005-0000-0000-0000EA7E0000}"/>
    <cellStyle name="Normal 8 2 3 4 4" xfId="27548" xr:uid="{00000000-0005-0000-0000-0000EB7E0000}"/>
    <cellStyle name="Normal 8 2 3 5" xfId="10715" xr:uid="{00000000-0005-0000-0000-0000EC7E0000}"/>
    <cellStyle name="Normal 8 2 3 5 2" xfId="30635" xr:uid="{00000000-0005-0000-0000-0000ED7E0000}"/>
    <cellStyle name="Normal 8 2 3 6" xfId="16867" xr:uid="{00000000-0005-0000-0000-0000EE7E0000}"/>
    <cellStyle name="Normal 8 2 3 6 2" xfId="36787" xr:uid="{00000000-0005-0000-0000-0000EF7E0000}"/>
    <cellStyle name="Normal 8 2 3 7" xfId="24482" xr:uid="{00000000-0005-0000-0000-0000F07E0000}"/>
    <cellStyle name="Normal 8 2 4" xfId="4001" xr:uid="{00000000-0005-0000-0000-0000F17E0000}"/>
    <cellStyle name="Normal 8 2 4 2" xfId="5181" xr:uid="{00000000-0005-0000-0000-0000F27E0000}"/>
    <cellStyle name="Normal 8 2 4 2 2" xfId="6806" xr:uid="{00000000-0005-0000-0000-0000F37E0000}"/>
    <cellStyle name="Normal 8 2 4 2 2 2" xfId="9892" xr:uid="{00000000-0005-0000-0000-0000F47E0000}"/>
    <cellStyle name="Normal 8 2 4 2 2 2 2" xfId="16085" xr:uid="{00000000-0005-0000-0000-0000F57E0000}"/>
    <cellStyle name="Normal 8 2 4 2 2 2 2 2" xfId="36005" xr:uid="{00000000-0005-0000-0000-0000F67E0000}"/>
    <cellStyle name="Normal 8 2 4 2 2 2 3" xfId="22237" xr:uid="{00000000-0005-0000-0000-0000F77E0000}"/>
    <cellStyle name="Normal 8 2 4 2 2 2 3 2" xfId="42157" xr:uid="{00000000-0005-0000-0000-0000F87E0000}"/>
    <cellStyle name="Normal 8 2 4 2 2 2 4" xfId="29852" xr:uid="{00000000-0005-0000-0000-0000F97E0000}"/>
    <cellStyle name="Normal 8 2 4 2 2 3" xfId="13019" xr:uid="{00000000-0005-0000-0000-0000FA7E0000}"/>
    <cellStyle name="Normal 8 2 4 2 2 3 2" xfId="32939" xr:uid="{00000000-0005-0000-0000-0000FB7E0000}"/>
    <cellStyle name="Normal 8 2 4 2 2 4" xfId="19171" xr:uid="{00000000-0005-0000-0000-0000FC7E0000}"/>
    <cellStyle name="Normal 8 2 4 2 2 4 2" xfId="39091" xr:uid="{00000000-0005-0000-0000-0000FD7E0000}"/>
    <cellStyle name="Normal 8 2 4 2 2 5" xfId="26786" xr:uid="{00000000-0005-0000-0000-0000FE7E0000}"/>
    <cellStyle name="Normal 8 2 4 2 3" xfId="8357" xr:uid="{00000000-0005-0000-0000-0000FF7E0000}"/>
    <cellStyle name="Normal 8 2 4 2 3 2" xfId="14551" xr:uid="{00000000-0005-0000-0000-0000007F0000}"/>
    <cellStyle name="Normal 8 2 4 2 3 2 2" xfId="34471" xr:uid="{00000000-0005-0000-0000-0000017F0000}"/>
    <cellStyle name="Normal 8 2 4 2 3 3" xfId="20703" xr:uid="{00000000-0005-0000-0000-0000027F0000}"/>
    <cellStyle name="Normal 8 2 4 2 3 3 2" xfId="40623" xr:uid="{00000000-0005-0000-0000-0000037F0000}"/>
    <cellStyle name="Normal 8 2 4 2 3 4" xfId="28318" xr:uid="{00000000-0005-0000-0000-0000047F0000}"/>
    <cellStyle name="Normal 8 2 4 2 4" xfId="11485" xr:uid="{00000000-0005-0000-0000-0000057F0000}"/>
    <cellStyle name="Normal 8 2 4 2 4 2" xfId="31405" xr:uid="{00000000-0005-0000-0000-0000067F0000}"/>
    <cellStyle name="Normal 8 2 4 2 5" xfId="17637" xr:uid="{00000000-0005-0000-0000-0000077F0000}"/>
    <cellStyle name="Normal 8 2 4 2 5 2" xfId="37557" xr:uid="{00000000-0005-0000-0000-0000087F0000}"/>
    <cellStyle name="Normal 8 2 4 2 6" xfId="25252" xr:uid="{00000000-0005-0000-0000-0000097F0000}"/>
    <cellStyle name="Normal 8 2 4 3" xfId="6023" xr:uid="{00000000-0005-0000-0000-00000A7F0000}"/>
    <cellStyle name="Normal 8 2 4 3 2" xfId="9123" xr:uid="{00000000-0005-0000-0000-00000B7F0000}"/>
    <cellStyle name="Normal 8 2 4 3 2 2" xfId="15316" xr:uid="{00000000-0005-0000-0000-00000C7F0000}"/>
    <cellStyle name="Normal 8 2 4 3 2 2 2" xfId="35236" xr:uid="{00000000-0005-0000-0000-00000D7F0000}"/>
    <cellStyle name="Normal 8 2 4 3 2 3" xfId="21468" xr:uid="{00000000-0005-0000-0000-00000E7F0000}"/>
    <cellStyle name="Normal 8 2 4 3 2 3 2" xfId="41388" xr:uid="{00000000-0005-0000-0000-00000F7F0000}"/>
    <cellStyle name="Normal 8 2 4 3 2 4" xfId="29083" xr:uid="{00000000-0005-0000-0000-0000107F0000}"/>
    <cellStyle name="Normal 8 2 4 3 3" xfId="12250" xr:uid="{00000000-0005-0000-0000-0000117F0000}"/>
    <cellStyle name="Normal 8 2 4 3 3 2" xfId="32170" xr:uid="{00000000-0005-0000-0000-0000127F0000}"/>
    <cellStyle name="Normal 8 2 4 3 4" xfId="18402" xr:uid="{00000000-0005-0000-0000-0000137F0000}"/>
    <cellStyle name="Normal 8 2 4 3 4 2" xfId="38322" xr:uid="{00000000-0005-0000-0000-0000147F0000}"/>
    <cellStyle name="Normal 8 2 4 3 5" xfId="26017" xr:uid="{00000000-0005-0000-0000-0000157F0000}"/>
    <cellStyle name="Normal 8 2 4 4" xfId="7588" xr:uid="{00000000-0005-0000-0000-0000167F0000}"/>
    <cellStyle name="Normal 8 2 4 4 2" xfId="13782" xr:uid="{00000000-0005-0000-0000-0000177F0000}"/>
    <cellStyle name="Normal 8 2 4 4 2 2" xfId="33702" xr:uid="{00000000-0005-0000-0000-0000187F0000}"/>
    <cellStyle name="Normal 8 2 4 4 3" xfId="19934" xr:uid="{00000000-0005-0000-0000-0000197F0000}"/>
    <cellStyle name="Normal 8 2 4 4 3 2" xfId="39854" xr:uid="{00000000-0005-0000-0000-00001A7F0000}"/>
    <cellStyle name="Normal 8 2 4 4 4" xfId="27549" xr:uid="{00000000-0005-0000-0000-00001B7F0000}"/>
    <cellStyle name="Normal 8 2 4 5" xfId="10716" xr:uid="{00000000-0005-0000-0000-00001C7F0000}"/>
    <cellStyle name="Normal 8 2 4 5 2" xfId="30636" xr:uid="{00000000-0005-0000-0000-00001D7F0000}"/>
    <cellStyle name="Normal 8 2 4 6" xfId="16868" xr:uid="{00000000-0005-0000-0000-00001E7F0000}"/>
    <cellStyle name="Normal 8 2 4 6 2" xfId="36788" xr:uid="{00000000-0005-0000-0000-00001F7F0000}"/>
    <cellStyle name="Normal 8 2 4 7" xfId="24483" xr:uid="{00000000-0005-0000-0000-0000207F0000}"/>
    <cellStyle name="Normal 8 2 5" xfId="4002" xr:uid="{00000000-0005-0000-0000-0000217F0000}"/>
    <cellStyle name="Normal 8 2 5 2" xfId="5182" xr:uid="{00000000-0005-0000-0000-0000227F0000}"/>
    <cellStyle name="Normal 8 2 5 2 2" xfId="6807" xr:uid="{00000000-0005-0000-0000-0000237F0000}"/>
    <cellStyle name="Normal 8 2 5 2 2 2" xfId="9893" xr:uid="{00000000-0005-0000-0000-0000247F0000}"/>
    <cellStyle name="Normal 8 2 5 2 2 2 2" xfId="16086" xr:uid="{00000000-0005-0000-0000-0000257F0000}"/>
    <cellStyle name="Normal 8 2 5 2 2 2 2 2" xfId="36006" xr:uid="{00000000-0005-0000-0000-0000267F0000}"/>
    <cellStyle name="Normal 8 2 5 2 2 2 3" xfId="22238" xr:uid="{00000000-0005-0000-0000-0000277F0000}"/>
    <cellStyle name="Normal 8 2 5 2 2 2 3 2" xfId="42158" xr:uid="{00000000-0005-0000-0000-0000287F0000}"/>
    <cellStyle name="Normal 8 2 5 2 2 2 4" xfId="29853" xr:uid="{00000000-0005-0000-0000-0000297F0000}"/>
    <cellStyle name="Normal 8 2 5 2 2 3" xfId="13020" xr:uid="{00000000-0005-0000-0000-00002A7F0000}"/>
    <cellStyle name="Normal 8 2 5 2 2 3 2" xfId="32940" xr:uid="{00000000-0005-0000-0000-00002B7F0000}"/>
    <cellStyle name="Normal 8 2 5 2 2 4" xfId="19172" xr:uid="{00000000-0005-0000-0000-00002C7F0000}"/>
    <cellStyle name="Normal 8 2 5 2 2 4 2" xfId="39092" xr:uid="{00000000-0005-0000-0000-00002D7F0000}"/>
    <cellStyle name="Normal 8 2 5 2 2 5" xfId="26787" xr:uid="{00000000-0005-0000-0000-00002E7F0000}"/>
    <cellStyle name="Normal 8 2 5 2 3" xfId="8358" xr:uid="{00000000-0005-0000-0000-00002F7F0000}"/>
    <cellStyle name="Normal 8 2 5 2 3 2" xfId="14552" xr:uid="{00000000-0005-0000-0000-0000307F0000}"/>
    <cellStyle name="Normal 8 2 5 2 3 2 2" xfId="34472" xr:uid="{00000000-0005-0000-0000-0000317F0000}"/>
    <cellStyle name="Normal 8 2 5 2 3 3" xfId="20704" xr:uid="{00000000-0005-0000-0000-0000327F0000}"/>
    <cellStyle name="Normal 8 2 5 2 3 3 2" xfId="40624" xr:uid="{00000000-0005-0000-0000-0000337F0000}"/>
    <cellStyle name="Normal 8 2 5 2 3 4" xfId="28319" xr:uid="{00000000-0005-0000-0000-0000347F0000}"/>
    <cellStyle name="Normal 8 2 5 2 4" xfId="11486" xr:uid="{00000000-0005-0000-0000-0000357F0000}"/>
    <cellStyle name="Normal 8 2 5 2 4 2" xfId="31406" xr:uid="{00000000-0005-0000-0000-0000367F0000}"/>
    <cellStyle name="Normal 8 2 5 2 5" xfId="17638" xr:uid="{00000000-0005-0000-0000-0000377F0000}"/>
    <cellStyle name="Normal 8 2 5 2 5 2" xfId="37558" xr:uid="{00000000-0005-0000-0000-0000387F0000}"/>
    <cellStyle name="Normal 8 2 5 2 6" xfId="25253" xr:uid="{00000000-0005-0000-0000-0000397F0000}"/>
    <cellStyle name="Normal 8 2 5 3" xfId="6024" xr:uid="{00000000-0005-0000-0000-00003A7F0000}"/>
    <cellStyle name="Normal 8 2 5 3 2" xfId="9124" xr:uid="{00000000-0005-0000-0000-00003B7F0000}"/>
    <cellStyle name="Normal 8 2 5 3 2 2" xfId="15317" xr:uid="{00000000-0005-0000-0000-00003C7F0000}"/>
    <cellStyle name="Normal 8 2 5 3 2 2 2" xfId="35237" xr:uid="{00000000-0005-0000-0000-00003D7F0000}"/>
    <cellStyle name="Normal 8 2 5 3 2 3" xfId="21469" xr:uid="{00000000-0005-0000-0000-00003E7F0000}"/>
    <cellStyle name="Normal 8 2 5 3 2 3 2" xfId="41389" xr:uid="{00000000-0005-0000-0000-00003F7F0000}"/>
    <cellStyle name="Normal 8 2 5 3 2 4" xfId="29084" xr:uid="{00000000-0005-0000-0000-0000407F0000}"/>
    <cellStyle name="Normal 8 2 5 3 3" xfId="12251" xr:uid="{00000000-0005-0000-0000-0000417F0000}"/>
    <cellStyle name="Normal 8 2 5 3 3 2" xfId="32171" xr:uid="{00000000-0005-0000-0000-0000427F0000}"/>
    <cellStyle name="Normal 8 2 5 3 4" xfId="18403" xr:uid="{00000000-0005-0000-0000-0000437F0000}"/>
    <cellStyle name="Normal 8 2 5 3 4 2" xfId="38323" xr:uid="{00000000-0005-0000-0000-0000447F0000}"/>
    <cellStyle name="Normal 8 2 5 3 5" xfId="26018" xr:uid="{00000000-0005-0000-0000-0000457F0000}"/>
    <cellStyle name="Normal 8 2 5 4" xfId="7589" xr:uid="{00000000-0005-0000-0000-0000467F0000}"/>
    <cellStyle name="Normal 8 2 5 4 2" xfId="13783" xr:uid="{00000000-0005-0000-0000-0000477F0000}"/>
    <cellStyle name="Normal 8 2 5 4 2 2" xfId="33703" xr:uid="{00000000-0005-0000-0000-0000487F0000}"/>
    <cellStyle name="Normal 8 2 5 4 3" xfId="19935" xr:uid="{00000000-0005-0000-0000-0000497F0000}"/>
    <cellStyle name="Normal 8 2 5 4 3 2" xfId="39855" xr:uid="{00000000-0005-0000-0000-00004A7F0000}"/>
    <cellStyle name="Normal 8 2 5 4 4" xfId="27550" xr:uid="{00000000-0005-0000-0000-00004B7F0000}"/>
    <cellStyle name="Normal 8 2 5 5" xfId="10717" xr:uid="{00000000-0005-0000-0000-00004C7F0000}"/>
    <cellStyle name="Normal 8 2 5 5 2" xfId="30637" xr:uid="{00000000-0005-0000-0000-00004D7F0000}"/>
    <cellStyle name="Normal 8 2 5 6" xfId="16869" xr:uid="{00000000-0005-0000-0000-00004E7F0000}"/>
    <cellStyle name="Normal 8 2 5 6 2" xfId="36789" xr:uid="{00000000-0005-0000-0000-00004F7F0000}"/>
    <cellStyle name="Normal 8 2 5 7" xfId="24484" xr:uid="{00000000-0005-0000-0000-0000507F0000}"/>
    <cellStyle name="Normal 8 2 6" xfId="3998" xr:uid="{00000000-0005-0000-0000-0000517F0000}"/>
    <cellStyle name="Normal 8 2 6 2" xfId="5178" xr:uid="{00000000-0005-0000-0000-0000527F0000}"/>
    <cellStyle name="Normal 8 2 6 2 2" xfId="6803" xr:uid="{00000000-0005-0000-0000-0000537F0000}"/>
    <cellStyle name="Normal 8 2 6 2 2 2" xfId="9889" xr:uid="{00000000-0005-0000-0000-0000547F0000}"/>
    <cellStyle name="Normal 8 2 6 2 2 2 2" xfId="16082" xr:uid="{00000000-0005-0000-0000-0000557F0000}"/>
    <cellStyle name="Normal 8 2 6 2 2 2 2 2" xfId="36002" xr:uid="{00000000-0005-0000-0000-0000567F0000}"/>
    <cellStyle name="Normal 8 2 6 2 2 2 3" xfId="22234" xr:uid="{00000000-0005-0000-0000-0000577F0000}"/>
    <cellStyle name="Normal 8 2 6 2 2 2 3 2" xfId="42154" xr:uid="{00000000-0005-0000-0000-0000587F0000}"/>
    <cellStyle name="Normal 8 2 6 2 2 2 4" xfId="29849" xr:uid="{00000000-0005-0000-0000-0000597F0000}"/>
    <cellStyle name="Normal 8 2 6 2 2 3" xfId="13016" xr:uid="{00000000-0005-0000-0000-00005A7F0000}"/>
    <cellStyle name="Normal 8 2 6 2 2 3 2" xfId="32936" xr:uid="{00000000-0005-0000-0000-00005B7F0000}"/>
    <cellStyle name="Normal 8 2 6 2 2 4" xfId="19168" xr:uid="{00000000-0005-0000-0000-00005C7F0000}"/>
    <cellStyle name="Normal 8 2 6 2 2 4 2" xfId="39088" xr:uid="{00000000-0005-0000-0000-00005D7F0000}"/>
    <cellStyle name="Normal 8 2 6 2 2 5" xfId="26783" xr:uid="{00000000-0005-0000-0000-00005E7F0000}"/>
    <cellStyle name="Normal 8 2 6 2 3" xfId="8354" xr:uid="{00000000-0005-0000-0000-00005F7F0000}"/>
    <cellStyle name="Normal 8 2 6 2 3 2" xfId="14548" xr:uid="{00000000-0005-0000-0000-0000607F0000}"/>
    <cellStyle name="Normal 8 2 6 2 3 2 2" xfId="34468" xr:uid="{00000000-0005-0000-0000-0000617F0000}"/>
    <cellStyle name="Normal 8 2 6 2 3 3" xfId="20700" xr:uid="{00000000-0005-0000-0000-0000627F0000}"/>
    <cellStyle name="Normal 8 2 6 2 3 3 2" xfId="40620" xr:uid="{00000000-0005-0000-0000-0000637F0000}"/>
    <cellStyle name="Normal 8 2 6 2 3 4" xfId="28315" xr:uid="{00000000-0005-0000-0000-0000647F0000}"/>
    <cellStyle name="Normal 8 2 6 2 4" xfId="11482" xr:uid="{00000000-0005-0000-0000-0000657F0000}"/>
    <cellStyle name="Normal 8 2 6 2 4 2" xfId="31402" xr:uid="{00000000-0005-0000-0000-0000667F0000}"/>
    <cellStyle name="Normal 8 2 6 2 5" xfId="17634" xr:uid="{00000000-0005-0000-0000-0000677F0000}"/>
    <cellStyle name="Normal 8 2 6 2 5 2" xfId="37554" xr:uid="{00000000-0005-0000-0000-0000687F0000}"/>
    <cellStyle name="Normal 8 2 6 2 6" xfId="25249" xr:uid="{00000000-0005-0000-0000-0000697F0000}"/>
    <cellStyle name="Normal 8 2 6 3" xfId="6020" xr:uid="{00000000-0005-0000-0000-00006A7F0000}"/>
    <cellStyle name="Normal 8 2 6 3 2" xfId="9120" xr:uid="{00000000-0005-0000-0000-00006B7F0000}"/>
    <cellStyle name="Normal 8 2 6 3 2 2" xfId="15313" xr:uid="{00000000-0005-0000-0000-00006C7F0000}"/>
    <cellStyle name="Normal 8 2 6 3 2 2 2" xfId="35233" xr:uid="{00000000-0005-0000-0000-00006D7F0000}"/>
    <cellStyle name="Normal 8 2 6 3 2 3" xfId="21465" xr:uid="{00000000-0005-0000-0000-00006E7F0000}"/>
    <cellStyle name="Normal 8 2 6 3 2 3 2" xfId="41385" xr:uid="{00000000-0005-0000-0000-00006F7F0000}"/>
    <cellStyle name="Normal 8 2 6 3 2 4" xfId="29080" xr:uid="{00000000-0005-0000-0000-0000707F0000}"/>
    <cellStyle name="Normal 8 2 6 3 3" xfId="12247" xr:uid="{00000000-0005-0000-0000-0000717F0000}"/>
    <cellStyle name="Normal 8 2 6 3 3 2" xfId="32167" xr:uid="{00000000-0005-0000-0000-0000727F0000}"/>
    <cellStyle name="Normal 8 2 6 3 4" xfId="18399" xr:uid="{00000000-0005-0000-0000-0000737F0000}"/>
    <cellStyle name="Normal 8 2 6 3 4 2" xfId="38319" xr:uid="{00000000-0005-0000-0000-0000747F0000}"/>
    <cellStyle name="Normal 8 2 6 3 5" xfId="26014" xr:uid="{00000000-0005-0000-0000-0000757F0000}"/>
    <cellStyle name="Normal 8 2 6 4" xfId="7585" xr:uid="{00000000-0005-0000-0000-0000767F0000}"/>
    <cellStyle name="Normal 8 2 6 4 2" xfId="13779" xr:uid="{00000000-0005-0000-0000-0000777F0000}"/>
    <cellStyle name="Normal 8 2 6 4 2 2" xfId="33699" xr:uid="{00000000-0005-0000-0000-0000787F0000}"/>
    <cellStyle name="Normal 8 2 6 4 3" xfId="19931" xr:uid="{00000000-0005-0000-0000-0000797F0000}"/>
    <cellStyle name="Normal 8 2 6 4 3 2" xfId="39851" xr:uid="{00000000-0005-0000-0000-00007A7F0000}"/>
    <cellStyle name="Normal 8 2 6 4 4" xfId="27546" xr:uid="{00000000-0005-0000-0000-00007B7F0000}"/>
    <cellStyle name="Normal 8 2 6 5" xfId="10713" xr:uid="{00000000-0005-0000-0000-00007C7F0000}"/>
    <cellStyle name="Normal 8 2 6 5 2" xfId="30633" xr:uid="{00000000-0005-0000-0000-00007D7F0000}"/>
    <cellStyle name="Normal 8 2 6 6" xfId="16865" xr:uid="{00000000-0005-0000-0000-00007E7F0000}"/>
    <cellStyle name="Normal 8 2 6 6 2" xfId="36785" xr:uid="{00000000-0005-0000-0000-00007F7F0000}"/>
    <cellStyle name="Normal 8 2 6 7" xfId="24480" xr:uid="{00000000-0005-0000-0000-0000807F0000}"/>
    <cellStyle name="Normal 8 2 7" xfId="4630" xr:uid="{00000000-0005-0000-0000-0000817F0000}"/>
    <cellStyle name="Normal 8 2 7 2" xfId="6255" xr:uid="{00000000-0005-0000-0000-0000827F0000}"/>
    <cellStyle name="Normal 8 2 7 2 2" xfId="9341" xr:uid="{00000000-0005-0000-0000-0000837F0000}"/>
    <cellStyle name="Normal 8 2 7 2 2 2" xfId="15534" xr:uid="{00000000-0005-0000-0000-0000847F0000}"/>
    <cellStyle name="Normal 8 2 7 2 2 2 2" xfId="35454" xr:uid="{00000000-0005-0000-0000-0000857F0000}"/>
    <cellStyle name="Normal 8 2 7 2 2 3" xfId="21686" xr:uid="{00000000-0005-0000-0000-0000867F0000}"/>
    <cellStyle name="Normal 8 2 7 2 2 3 2" xfId="41606" xr:uid="{00000000-0005-0000-0000-0000877F0000}"/>
    <cellStyle name="Normal 8 2 7 2 2 4" xfId="29301" xr:uid="{00000000-0005-0000-0000-0000887F0000}"/>
    <cellStyle name="Normal 8 2 7 2 3" xfId="12468" xr:uid="{00000000-0005-0000-0000-0000897F0000}"/>
    <cellStyle name="Normal 8 2 7 2 3 2" xfId="32388" xr:uid="{00000000-0005-0000-0000-00008A7F0000}"/>
    <cellStyle name="Normal 8 2 7 2 4" xfId="18620" xr:uid="{00000000-0005-0000-0000-00008B7F0000}"/>
    <cellStyle name="Normal 8 2 7 2 4 2" xfId="38540" xr:uid="{00000000-0005-0000-0000-00008C7F0000}"/>
    <cellStyle name="Normal 8 2 7 2 5" xfId="26235" xr:uid="{00000000-0005-0000-0000-00008D7F0000}"/>
    <cellStyle name="Normal 8 2 7 3" xfId="7806" xr:uid="{00000000-0005-0000-0000-00008E7F0000}"/>
    <cellStyle name="Normal 8 2 7 3 2" xfId="14000" xr:uid="{00000000-0005-0000-0000-00008F7F0000}"/>
    <cellStyle name="Normal 8 2 7 3 2 2" xfId="33920" xr:uid="{00000000-0005-0000-0000-0000907F0000}"/>
    <cellStyle name="Normal 8 2 7 3 3" xfId="20152" xr:uid="{00000000-0005-0000-0000-0000917F0000}"/>
    <cellStyle name="Normal 8 2 7 3 3 2" xfId="40072" xr:uid="{00000000-0005-0000-0000-0000927F0000}"/>
    <cellStyle name="Normal 8 2 7 3 4" xfId="27767" xr:uid="{00000000-0005-0000-0000-0000937F0000}"/>
    <cellStyle name="Normal 8 2 7 4" xfId="10934" xr:uid="{00000000-0005-0000-0000-0000947F0000}"/>
    <cellStyle name="Normal 8 2 7 4 2" xfId="30854" xr:uid="{00000000-0005-0000-0000-0000957F0000}"/>
    <cellStyle name="Normal 8 2 7 5" xfId="17086" xr:uid="{00000000-0005-0000-0000-0000967F0000}"/>
    <cellStyle name="Normal 8 2 7 5 2" xfId="37006" xr:uid="{00000000-0005-0000-0000-0000977F0000}"/>
    <cellStyle name="Normal 8 2 7 6" xfId="24701" xr:uid="{00000000-0005-0000-0000-0000987F0000}"/>
    <cellStyle name="Normal 8 2 8" xfId="5468" xr:uid="{00000000-0005-0000-0000-0000997F0000}"/>
    <cellStyle name="Normal 8 2 8 2" xfId="8572" xr:uid="{00000000-0005-0000-0000-00009A7F0000}"/>
    <cellStyle name="Normal 8 2 8 2 2" xfId="14765" xr:uid="{00000000-0005-0000-0000-00009B7F0000}"/>
    <cellStyle name="Normal 8 2 8 2 2 2" xfId="34685" xr:uid="{00000000-0005-0000-0000-00009C7F0000}"/>
    <cellStyle name="Normal 8 2 8 2 3" xfId="20917" xr:uid="{00000000-0005-0000-0000-00009D7F0000}"/>
    <cellStyle name="Normal 8 2 8 2 3 2" xfId="40837" xr:uid="{00000000-0005-0000-0000-00009E7F0000}"/>
    <cellStyle name="Normal 8 2 8 2 4" xfId="28532" xr:uid="{00000000-0005-0000-0000-00009F7F0000}"/>
    <cellStyle name="Normal 8 2 8 3" xfId="11699" xr:uid="{00000000-0005-0000-0000-0000A07F0000}"/>
    <cellStyle name="Normal 8 2 8 3 2" xfId="31619" xr:uid="{00000000-0005-0000-0000-0000A17F0000}"/>
    <cellStyle name="Normal 8 2 8 4" xfId="17851" xr:uid="{00000000-0005-0000-0000-0000A27F0000}"/>
    <cellStyle name="Normal 8 2 8 4 2" xfId="37771" xr:uid="{00000000-0005-0000-0000-0000A37F0000}"/>
    <cellStyle name="Normal 8 2 8 5" xfId="25466" xr:uid="{00000000-0005-0000-0000-0000A47F0000}"/>
    <cellStyle name="Normal 8 2 9" xfId="7037" xr:uid="{00000000-0005-0000-0000-0000A57F0000}"/>
    <cellStyle name="Normal 8 2 9 2" xfId="13231" xr:uid="{00000000-0005-0000-0000-0000A67F0000}"/>
    <cellStyle name="Normal 8 2 9 2 2" xfId="33151" xr:uid="{00000000-0005-0000-0000-0000A77F0000}"/>
    <cellStyle name="Normal 8 2 9 3" xfId="19383" xr:uid="{00000000-0005-0000-0000-0000A87F0000}"/>
    <cellStyle name="Normal 8 2 9 3 2" xfId="39303" xr:uid="{00000000-0005-0000-0000-0000A97F0000}"/>
    <cellStyle name="Normal 8 2 9 4" xfId="26998" xr:uid="{00000000-0005-0000-0000-0000AA7F0000}"/>
    <cellStyle name="Normal 8 20" xfId="4003" xr:uid="{00000000-0005-0000-0000-0000AB7F0000}"/>
    <cellStyle name="Normal 8 20 2" xfId="5183" xr:uid="{00000000-0005-0000-0000-0000AC7F0000}"/>
    <cellStyle name="Normal 8 20 2 2" xfId="6808" xr:uid="{00000000-0005-0000-0000-0000AD7F0000}"/>
    <cellStyle name="Normal 8 20 2 2 2" xfId="9894" xr:uid="{00000000-0005-0000-0000-0000AE7F0000}"/>
    <cellStyle name="Normal 8 20 2 2 2 2" xfId="16087" xr:uid="{00000000-0005-0000-0000-0000AF7F0000}"/>
    <cellStyle name="Normal 8 20 2 2 2 2 2" xfId="36007" xr:uid="{00000000-0005-0000-0000-0000B07F0000}"/>
    <cellStyle name="Normal 8 20 2 2 2 3" xfId="22239" xr:uid="{00000000-0005-0000-0000-0000B17F0000}"/>
    <cellStyle name="Normal 8 20 2 2 2 3 2" xfId="42159" xr:uid="{00000000-0005-0000-0000-0000B27F0000}"/>
    <cellStyle name="Normal 8 20 2 2 2 4" xfId="29854" xr:uid="{00000000-0005-0000-0000-0000B37F0000}"/>
    <cellStyle name="Normal 8 20 2 2 3" xfId="13021" xr:uid="{00000000-0005-0000-0000-0000B47F0000}"/>
    <cellStyle name="Normal 8 20 2 2 3 2" xfId="32941" xr:uid="{00000000-0005-0000-0000-0000B57F0000}"/>
    <cellStyle name="Normal 8 20 2 2 4" xfId="19173" xr:uid="{00000000-0005-0000-0000-0000B67F0000}"/>
    <cellStyle name="Normal 8 20 2 2 4 2" xfId="39093" xr:uid="{00000000-0005-0000-0000-0000B77F0000}"/>
    <cellStyle name="Normal 8 20 2 2 5" xfId="26788" xr:uid="{00000000-0005-0000-0000-0000B87F0000}"/>
    <cellStyle name="Normal 8 20 2 3" xfId="8359" xr:uid="{00000000-0005-0000-0000-0000B97F0000}"/>
    <cellStyle name="Normal 8 20 2 3 2" xfId="14553" xr:uid="{00000000-0005-0000-0000-0000BA7F0000}"/>
    <cellStyle name="Normal 8 20 2 3 2 2" xfId="34473" xr:uid="{00000000-0005-0000-0000-0000BB7F0000}"/>
    <cellStyle name="Normal 8 20 2 3 3" xfId="20705" xr:uid="{00000000-0005-0000-0000-0000BC7F0000}"/>
    <cellStyle name="Normal 8 20 2 3 3 2" xfId="40625" xr:uid="{00000000-0005-0000-0000-0000BD7F0000}"/>
    <cellStyle name="Normal 8 20 2 3 4" xfId="28320" xr:uid="{00000000-0005-0000-0000-0000BE7F0000}"/>
    <cellStyle name="Normal 8 20 2 4" xfId="11487" xr:uid="{00000000-0005-0000-0000-0000BF7F0000}"/>
    <cellStyle name="Normal 8 20 2 4 2" xfId="31407" xr:uid="{00000000-0005-0000-0000-0000C07F0000}"/>
    <cellStyle name="Normal 8 20 2 5" xfId="17639" xr:uid="{00000000-0005-0000-0000-0000C17F0000}"/>
    <cellStyle name="Normal 8 20 2 5 2" xfId="37559" xr:uid="{00000000-0005-0000-0000-0000C27F0000}"/>
    <cellStyle name="Normal 8 20 2 6" xfId="25254" xr:uid="{00000000-0005-0000-0000-0000C37F0000}"/>
    <cellStyle name="Normal 8 20 3" xfId="6025" xr:uid="{00000000-0005-0000-0000-0000C47F0000}"/>
    <cellStyle name="Normal 8 20 3 2" xfId="9125" xr:uid="{00000000-0005-0000-0000-0000C57F0000}"/>
    <cellStyle name="Normal 8 20 3 2 2" xfId="15318" xr:uid="{00000000-0005-0000-0000-0000C67F0000}"/>
    <cellStyle name="Normal 8 20 3 2 2 2" xfId="35238" xr:uid="{00000000-0005-0000-0000-0000C77F0000}"/>
    <cellStyle name="Normal 8 20 3 2 3" xfId="21470" xr:uid="{00000000-0005-0000-0000-0000C87F0000}"/>
    <cellStyle name="Normal 8 20 3 2 3 2" xfId="41390" xr:uid="{00000000-0005-0000-0000-0000C97F0000}"/>
    <cellStyle name="Normal 8 20 3 2 4" xfId="29085" xr:uid="{00000000-0005-0000-0000-0000CA7F0000}"/>
    <cellStyle name="Normal 8 20 3 3" xfId="12252" xr:uid="{00000000-0005-0000-0000-0000CB7F0000}"/>
    <cellStyle name="Normal 8 20 3 3 2" xfId="32172" xr:uid="{00000000-0005-0000-0000-0000CC7F0000}"/>
    <cellStyle name="Normal 8 20 3 4" xfId="18404" xr:uid="{00000000-0005-0000-0000-0000CD7F0000}"/>
    <cellStyle name="Normal 8 20 3 4 2" xfId="38324" xr:uid="{00000000-0005-0000-0000-0000CE7F0000}"/>
    <cellStyle name="Normal 8 20 3 5" xfId="26019" xr:uid="{00000000-0005-0000-0000-0000CF7F0000}"/>
    <cellStyle name="Normal 8 20 4" xfId="7590" xr:uid="{00000000-0005-0000-0000-0000D07F0000}"/>
    <cellStyle name="Normal 8 20 4 2" xfId="13784" xr:uid="{00000000-0005-0000-0000-0000D17F0000}"/>
    <cellStyle name="Normal 8 20 4 2 2" xfId="33704" xr:uid="{00000000-0005-0000-0000-0000D27F0000}"/>
    <cellStyle name="Normal 8 20 4 3" xfId="19936" xr:uid="{00000000-0005-0000-0000-0000D37F0000}"/>
    <cellStyle name="Normal 8 20 4 3 2" xfId="39856" xr:uid="{00000000-0005-0000-0000-0000D47F0000}"/>
    <cellStyle name="Normal 8 20 4 4" xfId="27551" xr:uid="{00000000-0005-0000-0000-0000D57F0000}"/>
    <cellStyle name="Normal 8 20 5" xfId="10718" xr:uid="{00000000-0005-0000-0000-0000D67F0000}"/>
    <cellStyle name="Normal 8 20 5 2" xfId="30638" xr:uid="{00000000-0005-0000-0000-0000D77F0000}"/>
    <cellStyle name="Normal 8 20 6" xfId="16870" xr:uid="{00000000-0005-0000-0000-0000D87F0000}"/>
    <cellStyle name="Normal 8 20 6 2" xfId="36790" xr:uid="{00000000-0005-0000-0000-0000D97F0000}"/>
    <cellStyle name="Normal 8 20 7" xfId="24485" xr:uid="{00000000-0005-0000-0000-0000DA7F0000}"/>
    <cellStyle name="Normal 8 21" xfId="4004" xr:uid="{00000000-0005-0000-0000-0000DB7F0000}"/>
    <cellStyle name="Normal 8 22" xfId="4005" xr:uid="{00000000-0005-0000-0000-0000DC7F0000}"/>
    <cellStyle name="Normal 8 22 2" xfId="5184" xr:uid="{00000000-0005-0000-0000-0000DD7F0000}"/>
    <cellStyle name="Normal 8 22 2 2" xfId="6809" xr:uid="{00000000-0005-0000-0000-0000DE7F0000}"/>
    <cellStyle name="Normal 8 22 2 2 2" xfId="9895" xr:uid="{00000000-0005-0000-0000-0000DF7F0000}"/>
    <cellStyle name="Normal 8 22 2 2 2 2" xfId="16088" xr:uid="{00000000-0005-0000-0000-0000E07F0000}"/>
    <cellStyle name="Normal 8 22 2 2 2 2 2" xfId="36008" xr:uid="{00000000-0005-0000-0000-0000E17F0000}"/>
    <cellStyle name="Normal 8 22 2 2 2 3" xfId="22240" xr:uid="{00000000-0005-0000-0000-0000E27F0000}"/>
    <cellStyle name="Normal 8 22 2 2 2 3 2" xfId="42160" xr:uid="{00000000-0005-0000-0000-0000E37F0000}"/>
    <cellStyle name="Normal 8 22 2 2 2 4" xfId="29855" xr:uid="{00000000-0005-0000-0000-0000E47F0000}"/>
    <cellStyle name="Normal 8 22 2 2 3" xfId="13022" xr:uid="{00000000-0005-0000-0000-0000E57F0000}"/>
    <cellStyle name="Normal 8 22 2 2 3 2" xfId="32942" xr:uid="{00000000-0005-0000-0000-0000E67F0000}"/>
    <cellStyle name="Normal 8 22 2 2 4" xfId="19174" xr:uid="{00000000-0005-0000-0000-0000E77F0000}"/>
    <cellStyle name="Normal 8 22 2 2 4 2" xfId="39094" xr:uid="{00000000-0005-0000-0000-0000E87F0000}"/>
    <cellStyle name="Normal 8 22 2 2 5" xfId="26789" xr:uid="{00000000-0005-0000-0000-0000E97F0000}"/>
    <cellStyle name="Normal 8 22 2 3" xfId="8360" xr:uid="{00000000-0005-0000-0000-0000EA7F0000}"/>
    <cellStyle name="Normal 8 22 2 3 2" xfId="14554" xr:uid="{00000000-0005-0000-0000-0000EB7F0000}"/>
    <cellStyle name="Normal 8 22 2 3 2 2" xfId="34474" xr:uid="{00000000-0005-0000-0000-0000EC7F0000}"/>
    <cellStyle name="Normal 8 22 2 3 3" xfId="20706" xr:uid="{00000000-0005-0000-0000-0000ED7F0000}"/>
    <cellStyle name="Normal 8 22 2 3 3 2" xfId="40626" xr:uid="{00000000-0005-0000-0000-0000EE7F0000}"/>
    <cellStyle name="Normal 8 22 2 3 4" xfId="28321" xr:uid="{00000000-0005-0000-0000-0000EF7F0000}"/>
    <cellStyle name="Normal 8 22 2 4" xfId="11488" xr:uid="{00000000-0005-0000-0000-0000F07F0000}"/>
    <cellStyle name="Normal 8 22 2 4 2" xfId="31408" xr:uid="{00000000-0005-0000-0000-0000F17F0000}"/>
    <cellStyle name="Normal 8 22 2 5" xfId="17640" xr:uid="{00000000-0005-0000-0000-0000F27F0000}"/>
    <cellStyle name="Normal 8 22 2 5 2" xfId="37560" xr:uid="{00000000-0005-0000-0000-0000F37F0000}"/>
    <cellStyle name="Normal 8 22 2 6" xfId="25255" xr:uid="{00000000-0005-0000-0000-0000F47F0000}"/>
    <cellStyle name="Normal 8 22 3" xfId="6026" xr:uid="{00000000-0005-0000-0000-0000F57F0000}"/>
    <cellStyle name="Normal 8 22 3 2" xfId="9126" xr:uid="{00000000-0005-0000-0000-0000F67F0000}"/>
    <cellStyle name="Normal 8 22 3 2 2" xfId="15319" xr:uid="{00000000-0005-0000-0000-0000F77F0000}"/>
    <cellStyle name="Normal 8 22 3 2 2 2" xfId="35239" xr:uid="{00000000-0005-0000-0000-0000F87F0000}"/>
    <cellStyle name="Normal 8 22 3 2 3" xfId="21471" xr:uid="{00000000-0005-0000-0000-0000F97F0000}"/>
    <cellStyle name="Normal 8 22 3 2 3 2" xfId="41391" xr:uid="{00000000-0005-0000-0000-0000FA7F0000}"/>
    <cellStyle name="Normal 8 22 3 2 4" xfId="29086" xr:uid="{00000000-0005-0000-0000-0000FB7F0000}"/>
    <cellStyle name="Normal 8 22 3 3" xfId="12253" xr:uid="{00000000-0005-0000-0000-0000FC7F0000}"/>
    <cellStyle name="Normal 8 22 3 3 2" xfId="32173" xr:uid="{00000000-0005-0000-0000-0000FD7F0000}"/>
    <cellStyle name="Normal 8 22 3 4" xfId="18405" xr:uid="{00000000-0005-0000-0000-0000FE7F0000}"/>
    <cellStyle name="Normal 8 22 3 4 2" xfId="38325" xr:uid="{00000000-0005-0000-0000-0000FF7F0000}"/>
    <cellStyle name="Normal 8 22 3 5" xfId="26020" xr:uid="{00000000-0005-0000-0000-000000800000}"/>
    <cellStyle name="Normal 8 22 4" xfId="7591" xr:uid="{00000000-0005-0000-0000-000001800000}"/>
    <cellStyle name="Normal 8 22 4 2" xfId="13785" xr:uid="{00000000-0005-0000-0000-000002800000}"/>
    <cellStyle name="Normal 8 22 4 2 2" xfId="33705" xr:uid="{00000000-0005-0000-0000-000003800000}"/>
    <cellStyle name="Normal 8 22 4 3" xfId="19937" xr:uid="{00000000-0005-0000-0000-000004800000}"/>
    <cellStyle name="Normal 8 22 4 3 2" xfId="39857" xr:uid="{00000000-0005-0000-0000-000005800000}"/>
    <cellStyle name="Normal 8 22 4 4" xfId="27552" xr:uid="{00000000-0005-0000-0000-000006800000}"/>
    <cellStyle name="Normal 8 22 5" xfId="10719" xr:uid="{00000000-0005-0000-0000-000007800000}"/>
    <cellStyle name="Normal 8 22 5 2" xfId="30639" xr:uid="{00000000-0005-0000-0000-000008800000}"/>
    <cellStyle name="Normal 8 22 6" xfId="16871" xr:uid="{00000000-0005-0000-0000-000009800000}"/>
    <cellStyle name="Normal 8 22 6 2" xfId="36791" xr:uid="{00000000-0005-0000-0000-00000A800000}"/>
    <cellStyle name="Normal 8 22 7" xfId="24486" xr:uid="{00000000-0005-0000-0000-00000B800000}"/>
    <cellStyle name="Normal 8 23" xfId="4006" xr:uid="{00000000-0005-0000-0000-00000C800000}"/>
    <cellStyle name="Normal 8 23 2" xfId="4007" xr:uid="{00000000-0005-0000-0000-00000D800000}"/>
    <cellStyle name="Normal 8 24" xfId="4008" xr:uid="{00000000-0005-0000-0000-00000E800000}"/>
    <cellStyle name="Normal 8 24 2" xfId="4009" xr:uid="{00000000-0005-0000-0000-00000F800000}"/>
    <cellStyle name="Normal 8 25" xfId="3987" xr:uid="{00000000-0005-0000-0000-000010800000}"/>
    <cellStyle name="Normal 8 25 2" xfId="5167" xr:uid="{00000000-0005-0000-0000-000011800000}"/>
    <cellStyle name="Normal 8 25 2 2" xfId="6792" xr:uid="{00000000-0005-0000-0000-000012800000}"/>
    <cellStyle name="Normal 8 25 2 2 2" xfId="9878" xr:uid="{00000000-0005-0000-0000-000013800000}"/>
    <cellStyle name="Normal 8 25 2 2 2 2" xfId="16071" xr:uid="{00000000-0005-0000-0000-000014800000}"/>
    <cellStyle name="Normal 8 25 2 2 2 2 2" xfId="35991" xr:uid="{00000000-0005-0000-0000-000015800000}"/>
    <cellStyle name="Normal 8 25 2 2 2 3" xfId="22223" xr:uid="{00000000-0005-0000-0000-000016800000}"/>
    <cellStyle name="Normal 8 25 2 2 2 3 2" xfId="42143" xr:uid="{00000000-0005-0000-0000-000017800000}"/>
    <cellStyle name="Normal 8 25 2 2 2 4" xfId="29838" xr:uid="{00000000-0005-0000-0000-000018800000}"/>
    <cellStyle name="Normal 8 25 2 2 3" xfId="13005" xr:uid="{00000000-0005-0000-0000-000019800000}"/>
    <cellStyle name="Normal 8 25 2 2 3 2" xfId="32925" xr:uid="{00000000-0005-0000-0000-00001A800000}"/>
    <cellStyle name="Normal 8 25 2 2 4" xfId="19157" xr:uid="{00000000-0005-0000-0000-00001B800000}"/>
    <cellStyle name="Normal 8 25 2 2 4 2" xfId="39077" xr:uid="{00000000-0005-0000-0000-00001C800000}"/>
    <cellStyle name="Normal 8 25 2 2 5" xfId="26772" xr:uid="{00000000-0005-0000-0000-00001D800000}"/>
    <cellStyle name="Normal 8 25 2 3" xfId="8343" xr:uid="{00000000-0005-0000-0000-00001E800000}"/>
    <cellStyle name="Normal 8 25 2 3 2" xfId="14537" xr:uid="{00000000-0005-0000-0000-00001F800000}"/>
    <cellStyle name="Normal 8 25 2 3 2 2" xfId="34457" xr:uid="{00000000-0005-0000-0000-000020800000}"/>
    <cellStyle name="Normal 8 25 2 3 3" xfId="20689" xr:uid="{00000000-0005-0000-0000-000021800000}"/>
    <cellStyle name="Normal 8 25 2 3 3 2" xfId="40609" xr:uid="{00000000-0005-0000-0000-000022800000}"/>
    <cellStyle name="Normal 8 25 2 3 4" xfId="28304" xr:uid="{00000000-0005-0000-0000-000023800000}"/>
    <cellStyle name="Normal 8 25 2 4" xfId="11471" xr:uid="{00000000-0005-0000-0000-000024800000}"/>
    <cellStyle name="Normal 8 25 2 4 2" xfId="31391" xr:uid="{00000000-0005-0000-0000-000025800000}"/>
    <cellStyle name="Normal 8 25 2 5" xfId="17623" xr:uid="{00000000-0005-0000-0000-000026800000}"/>
    <cellStyle name="Normal 8 25 2 5 2" xfId="37543" xr:uid="{00000000-0005-0000-0000-000027800000}"/>
    <cellStyle name="Normal 8 25 2 6" xfId="25238" xr:uid="{00000000-0005-0000-0000-000028800000}"/>
    <cellStyle name="Normal 8 25 3" xfId="6009" xr:uid="{00000000-0005-0000-0000-000029800000}"/>
    <cellStyle name="Normal 8 25 3 2" xfId="9109" xr:uid="{00000000-0005-0000-0000-00002A800000}"/>
    <cellStyle name="Normal 8 25 3 2 2" xfId="15302" xr:uid="{00000000-0005-0000-0000-00002B800000}"/>
    <cellStyle name="Normal 8 25 3 2 2 2" xfId="35222" xr:uid="{00000000-0005-0000-0000-00002C800000}"/>
    <cellStyle name="Normal 8 25 3 2 3" xfId="21454" xr:uid="{00000000-0005-0000-0000-00002D800000}"/>
    <cellStyle name="Normal 8 25 3 2 3 2" xfId="41374" xr:uid="{00000000-0005-0000-0000-00002E800000}"/>
    <cellStyle name="Normal 8 25 3 2 4" xfId="29069" xr:uid="{00000000-0005-0000-0000-00002F800000}"/>
    <cellStyle name="Normal 8 25 3 3" xfId="12236" xr:uid="{00000000-0005-0000-0000-000030800000}"/>
    <cellStyle name="Normal 8 25 3 3 2" xfId="32156" xr:uid="{00000000-0005-0000-0000-000031800000}"/>
    <cellStyle name="Normal 8 25 3 4" xfId="18388" xr:uid="{00000000-0005-0000-0000-000032800000}"/>
    <cellStyle name="Normal 8 25 3 4 2" xfId="38308" xr:uid="{00000000-0005-0000-0000-000033800000}"/>
    <cellStyle name="Normal 8 25 3 5" xfId="26003" xr:uid="{00000000-0005-0000-0000-000034800000}"/>
    <cellStyle name="Normal 8 25 4" xfId="7574" xr:uid="{00000000-0005-0000-0000-000035800000}"/>
    <cellStyle name="Normal 8 25 4 2" xfId="13768" xr:uid="{00000000-0005-0000-0000-000036800000}"/>
    <cellStyle name="Normal 8 25 4 2 2" xfId="33688" xr:uid="{00000000-0005-0000-0000-000037800000}"/>
    <cellStyle name="Normal 8 25 4 3" xfId="19920" xr:uid="{00000000-0005-0000-0000-000038800000}"/>
    <cellStyle name="Normal 8 25 4 3 2" xfId="39840" xr:uid="{00000000-0005-0000-0000-000039800000}"/>
    <cellStyle name="Normal 8 25 4 4" xfId="27535" xr:uid="{00000000-0005-0000-0000-00003A800000}"/>
    <cellStyle name="Normal 8 25 5" xfId="10702" xr:uid="{00000000-0005-0000-0000-00003B800000}"/>
    <cellStyle name="Normal 8 25 5 2" xfId="30622" xr:uid="{00000000-0005-0000-0000-00003C800000}"/>
    <cellStyle name="Normal 8 25 6" xfId="16854" xr:uid="{00000000-0005-0000-0000-00003D800000}"/>
    <cellStyle name="Normal 8 25 6 2" xfId="36774" xr:uid="{00000000-0005-0000-0000-00003E800000}"/>
    <cellStyle name="Normal 8 25 7" xfId="24469" xr:uid="{00000000-0005-0000-0000-00003F800000}"/>
    <cellStyle name="Normal 8 26" xfId="4624" xr:uid="{00000000-0005-0000-0000-000040800000}"/>
    <cellStyle name="Normal 8 26 2" xfId="6249" xr:uid="{00000000-0005-0000-0000-000041800000}"/>
    <cellStyle name="Normal 8 26 2 2" xfId="9335" xr:uid="{00000000-0005-0000-0000-000042800000}"/>
    <cellStyle name="Normal 8 26 2 2 2" xfId="15528" xr:uid="{00000000-0005-0000-0000-000043800000}"/>
    <cellStyle name="Normal 8 26 2 2 2 2" xfId="35448" xr:uid="{00000000-0005-0000-0000-000044800000}"/>
    <cellStyle name="Normal 8 26 2 2 3" xfId="21680" xr:uid="{00000000-0005-0000-0000-000045800000}"/>
    <cellStyle name="Normal 8 26 2 2 3 2" xfId="41600" xr:uid="{00000000-0005-0000-0000-000046800000}"/>
    <cellStyle name="Normal 8 26 2 2 4" xfId="29295" xr:uid="{00000000-0005-0000-0000-000047800000}"/>
    <cellStyle name="Normal 8 26 2 3" xfId="12462" xr:uid="{00000000-0005-0000-0000-000048800000}"/>
    <cellStyle name="Normal 8 26 2 3 2" xfId="32382" xr:uid="{00000000-0005-0000-0000-000049800000}"/>
    <cellStyle name="Normal 8 26 2 4" xfId="18614" xr:uid="{00000000-0005-0000-0000-00004A800000}"/>
    <cellStyle name="Normal 8 26 2 4 2" xfId="38534" xr:uid="{00000000-0005-0000-0000-00004B800000}"/>
    <cellStyle name="Normal 8 26 2 5" xfId="26229" xr:uid="{00000000-0005-0000-0000-00004C800000}"/>
    <cellStyle name="Normal 8 26 3" xfId="7800" xr:uid="{00000000-0005-0000-0000-00004D800000}"/>
    <cellStyle name="Normal 8 26 3 2" xfId="13994" xr:uid="{00000000-0005-0000-0000-00004E800000}"/>
    <cellStyle name="Normal 8 26 3 2 2" xfId="33914" xr:uid="{00000000-0005-0000-0000-00004F800000}"/>
    <cellStyle name="Normal 8 26 3 3" xfId="20146" xr:uid="{00000000-0005-0000-0000-000050800000}"/>
    <cellStyle name="Normal 8 26 3 3 2" xfId="40066" xr:uid="{00000000-0005-0000-0000-000051800000}"/>
    <cellStyle name="Normal 8 26 3 4" xfId="27761" xr:uid="{00000000-0005-0000-0000-000052800000}"/>
    <cellStyle name="Normal 8 26 4" xfId="10928" xr:uid="{00000000-0005-0000-0000-000053800000}"/>
    <cellStyle name="Normal 8 26 4 2" xfId="30848" xr:uid="{00000000-0005-0000-0000-000054800000}"/>
    <cellStyle name="Normal 8 26 5" xfId="17080" xr:uid="{00000000-0005-0000-0000-000055800000}"/>
    <cellStyle name="Normal 8 26 5 2" xfId="37000" xr:uid="{00000000-0005-0000-0000-000056800000}"/>
    <cellStyle name="Normal 8 26 6" xfId="24695" xr:uid="{00000000-0005-0000-0000-000057800000}"/>
    <cellStyle name="Normal 8 27" xfId="5462" xr:uid="{00000000-0005-0000-0000-000058800000}"/>
    <cellStyle name="Normal 8 27 2" xfId="8566" xr:uid="{00000000-0005-0000-0000-000059800000}"/>
    <cellStyle name="Normal 8 27 2 2" xfId="14759" xr:uid="{00000000-0005-0000-0000-00005A800000}"/>
    <cellStyle name="Normal 8 27 2 2 2" xfId="34679" xr:uid="{00000000-0005-0000-0000-00005B800000}"/>
    <cellStyle name="Normal 8 27 2 3" xfId="20911" xr:uid="{00000000-0005-0000-0000-00005C800000}"/>
    <cellStyle name="Normal 8 27 2 3 2" xfId="40831" xr:uid="{00000000-0005-0000-0000-00005D800000}"/>
    <cellStyle name="Normal 8 27 2 4" xfId="28526" xr:uid="{00000000-0005-0000-0000-00005E800000}"/>
    <cellStyle name="Normal 8 27 3" xfId="11693" xr:uid="{00000000-0005-0000-0000-00005F800000}"/>
    <cellStyle name="Normal 8 27 3 2" xfId="31613" xr:uid="{00000000-0005-0000-0000-000060800000}"/>
    <cellStyle name="Normal 8 27 4" xfId="17845" xr:uid="{00000000-0005-0000-0000-000061800000}"/>
    <cellStyle name="Normal 8 27 4 2" xfId="37765" xr:uid="{00000000-0005-0000-0000-000062800000}"/>
    <cellStyle name="Normal 8 27 5" xfId="25460" xr:uid="{00000000-0005-0000-0000-000063800000}"/>
    <cellStyle name="Normal 8 28" xfId="7031" xr:uid="{00000000-0005-0000-0000-000064800000}"/>
    <cellStyle name="Normal 8 28 2" xfId="13225" xr:uid="{00000000-0005-0000-0000-000065800000}"/>
    <cellStyle name="Normal 8 28 2 2" xfId="33145" xr:uid="{00000000-0005-0000-0000-000066800000}"/>
    <cellStyle name="Normal 8 28 3" xfId="19377" xr:uid="{00000000-0005-0000-0000-000067800000}"/>
    <cellStyle name="Normal 8 28 3 2" xfId="39297" xr:uid="{00000000-0005-0000-0000-000068800000}"/>
    <cellStyle name="Normal 8 28 4" xfId="26992" xr:uid="{00000000-0005-0000-0000-000069800000}"/>
    <cellStyle name="Normal 8 29" xfId="10159" xr:uid="{00000000-0005-0000-0000-00006A800000}"/>
    <cellStyle name="Normal 8 29 2" xfId="30079" xr:uid="{00000000-0005-0000-0000-00006B800000}"/>
    <cellStyle name="Normal 8 3" xfId="1187" xr:uid="{00000000-0005-0000-0000-00006C800000}"/>
    <cellStyle name="Normal 8 3 10" xfId="10170" xr:uid="{00000000-0005-0000-0000-00006D800000}"/>
    <cellStyle name="Normal 8 3 10 2" xfId="30090" xr:uid="{00000000-0005-0000-0000-00006E800000}"/>
    <cellStyle name="Normal 8 3 11" xfId="16322" xr:uid="{00000000-0005-0000-0000-00006F800000}"/>
    <cellStyle name="Normal 8 3 11 2" xfId="36242" xr:uid="{00000000-0005-0000-0000-000070800000}"/>
    <cellStyle name="Normal 8 3 12" xfId="23937" xr:uid="{00000000-0005-0000-0000-000071800000}"/>
    <cellStyle name="Normal 8 3 2" xfId="4011" xr:uid="{00000000-0005-0000-0000-000072800000}"/>
    <cellStyle name="Normal 8 3 2 2" xfId="5186" xr:uid="{00000000-0005-0000-0000-000073800000}"/>
    <cellStyle name="Normal 8 3 2 2 2" xfId="6811" xr:uid="{00000000-0005-0000-0000-000074800000}"/>
    <cellStyle name="Normal 8 3 2 2 2 2" xfId="9897" xr:uid="{00000000-0005-0000-0000-000075800000}"/>
    <cellStyle name="Normal 8 3 2 2 2 2 2" xfId="16090" xr:uid="{00000000-0005-0000-0000-000076800000}"/>
    <cellStyle name="Normal 8 3 2 2 2 2 2 2" xfId="36010" xr:uid="{00000000-0005-0000-0000-000077800000}"/>
    <cellStyle name="Normal 8 3 2 2 2 2 3" xfId="22242" xr:uid="{00000000-0005-0000-0000-000078800000}"/>
    <cellStyle name="Normal 8 3 2 2 2 2 3 2" xfId="42162" xr:uid="{00000000-0005-0000-0000-000079800000}"/>
    <cellStyle name="Normal 8 3 2 2 2 2 4" xfId="29857" xr:uid="{00000000-0005-0000-0000-00007A800000}"/>
    <cellStyle name="Normal 8 3 2 2 2 3" xfId="13024" xr:uid="{00000000-0005-0000-0000-00007B800000}"/>
    <cellStyle name="Normal 8 3 2 2 2 3 2" xfId="32944" xr:uid="{00000000-0005-0000-0000-00007C800000}"/>
    <cellStyle name="Normal 8 3 2 2 2 4" xfId="19176" xr:uid="{00000000-0005-0000-0000-00007D800000}"/>
    <cellStyle name="Normal 8 3 2 2 2 4 2" xfId="39096" xr:uid="{00000000-0005-0000-0000-00007E800000}"/>
    <cellStyle name="Normal 8 3 2 2 2 5" xfId="26791" xr:uid="{00000000-0005-0000-0000-00007F800000}"/>
    <cellStyle name="Normal 8 3 2 2 3" xfId="8362" xr:uid="{00000000-0005-0000-0000-000080800000}"/>
    <cellStyle name="Normal 8 3 2 2 3 2" xfId="14556" xr:uid="{00000000-0005-0000-0000-000081800000}"/>
    <cellStyle name="Normal 8 3 2 2 3 2 2" xfId="34476" xr:uid="{00000000-0005-0000-0000-000082800000}"/>
    <cellStyle name="Normal 8 3 2 2 3 3" xfId="20708" xr:uid="{00000000-0005-0000-0000-000083800000}"/>
    <cellStyle name="Normal 8 3 2 2 3 3 2" xfId="40628" xr:uid="{00000000-0005-0000-0000-000084800000}"/>
    <cellStyle name="Normal 8 3 2 2 3 4" xfId="28323" xr:uid="{00000000-0005-0000-0000-000085800000}"/>
    <cellStyle name="Normal 8 3 2 2 4" xfId="11490" xr:uid="{00000000-0005-0000-0000-000086800000}"/>
    <cellStyle name="Normal 8 3 2 2 4 2" xfId="31410" xr:uid="{00000000-0005-0000-0000-000087800000}"/>
    <cellStyle name="Normal 8 3 2 2 5" xfId="17642" xr:uid="{00000000-0005-0000-0000-000088800000}"/>
    <cellStyle name="Normal 8 3 2 2 5 2" xfId="37562" xr:uid="{00000000-0005-0000-0000-000089800000}"/>
    <cellStyle name="Normal 8 3 2 2 6" xfId="25257" xr:uid="{00000000-0005-0000-0000-00008A800000}"/>
    <cellStyle name="Normal 8 3 2 3" xfId="6028" xr:uid="{00000000-0005-0000-0000-00008B800000}"/>
    <cellStyle name="Normal 8 3 2 3 2" xfId="9128" xr:uid="{00000000-0005-0000-0000-00008C800000}"/>
    <cellStyle name="Normal 8 3 2 3 2 2" xfId="15321" xr:uid="{00000000-0005-0000-0000-00008D800000}"/>
    <cellStyle name="Normal 8 3 2 3 2 2 2" xfId="35241" xr:uid="{00000000-0005-0000-0000-00008E800000}"/>
    <cellStyle name="Normal 8 3 2 3 2 3" xfId="21473" xr:uid="{00000000-0005-0000-0000-00008F800000}"/>
    <cellStyle name="Normal 8 3 2 3 2 3 2" xfId="41393" xr:uid="{00000000-0005-0000-0000-000090800000}"/>
    <cellStyle name="Normal 8 3 2 3 2 4" xfId="29088" xr:uid="{00000000-0005-0000-0000-000091800000}"/>
    <cellStyle name="Normal 8 3 2 3 3" xfId="12255" xr:uid="{00000000-0005-0000-0000-000092800000}"/>
    <cellStyle name="Normal 8 3 2 3 3 2" xfId="32175" xr:uid="{00000000-0005-0000-0000-000093800000}"/>
    <cellStyle name="Normal 8 3 2 3 4" xfId="18407" xr:uid="{00000000-0005-0000-0000-000094800000}"/>
    <cellStyle name="Normal 8 3 2 3 4 2" xfId="38327" xr:uid="{00000000-0005-0000-0000-000095800000}"/>
    <cellStyle name="Normal 8 3 2 3 5" xfId="26022" xr:uid="{00000000-0005-0000-0000-000096800000}"/>
    <cellStyle name="Normal 8 3 2 4" xfId="7593" xr:uid="{00000000-0005-0000-0000-000097800000}"/>
    <cellStyle name="Normal 8 3 2 4 2" xfId="13787" xr:uid="{00000000-0005-0000-0000-000098800000}"/>
    <cellStyle name="Normal 8 3 2 4 2 2" xfId="33707" xr:uid="{00000000-0005-0000-0000-000099800000}"/>
    <cellStyle name="Normal 8 3 2 4 3" xfId="19939" xr:uid="{00000000-0005-0000-0000-00009A800000}"/>
    <cellStyle name="Normal 8 3 2 4 3 2" xfId="39859" xr:uid="{00000000-0005-0000-0000-00009B800000}"/>
    <cellStyle name="Normal 8 3 2 4 4" xfId="27554" xr:uid="{00000000-0005-0000-0000-00009C800000}"/>
    <cellStyle name="Normal 8 3 2 5" xfId="10721" xr:uid="{00000000-0005-0000-0000-00009D800000}"/>
    <cellStyle name="Normal 8 3 2 5 2" xfId="30641" xr:uid="{00000000-0005-0000-0000-00009E800000}"/>
    <cellStyle name="Normal 8 3 2 6" xfId="16873" xr:uid="{00000000-0005-0000-0000-00009F800000}"/>
    <cellStyle name="Normal 8 3 2 6 2" xfId="36793" xr:uid="{00000000-0005-0000-0000-0000A0800000}"/>
    <cellStyle name="Normal 8 3 2 7" xfId="24488" xr:uid="{00000000-0005-0000-0000-0000A1800000}"/>
    <cellStyle name="Normal 8 3 3" xfId="4012" xr:uid="{00000000-0005-0000-0000-0000A2800000}"/>
    <cellStyle name="Normal 8 3 3 2" xfId="5187" xr:uid="{00000000-0005-0000-0000-0000A3800000}"/>
    <cellStyle name="Normal 8 3 3 2 2" xfId="6812" xr:uid="{00000000-0005-0000-0000-0000A4800000}"/>
    <cellStyle name="Normal 8 3 3 2 2 2" xfId="9898" xr:uid="{00000000-0005-0000-0000-0000A5800000}"/>
    <cellStyle name="Normal 8 3 3 2 2 2 2" xfId="16091" xr:uid="{00000000-0005-0000-0000-0000A6800000}"/>
    <cellStyle name="Normal 8 3 3 2 2 2 2 2" xfId="36011" xr:uid="{00000000-0005-0000-0000-0000A7800000}"/>
    <cellStyle name="Normal 8 3 3 2 2 2 3" xfId="22243" xr:uid="{00000000-0005-0000-0000-0000A8800000}"/>
    <cellStyle name="Normal 8 3 3 2 2 2 3 2" xfId="42163" xr:uid="{00000000-0005-0000-0000-0000A9800000}"/>
    <cellStyle name="Normal 8 3 3 2 2 2 4" xfId="29858" xr:uid="{00000000-0005-0000-0000-0000AA800000}"/>
    <cellStyle name="Normal 8 3 3 2 2 3" xfId="13025" xr:uid="{00000000-0005-0000-0000-0000AB800000}"/>
    <cellStyle name="Normal 8 3 3 2 2 3 2" xfId="32945" xr:uid="{00000000-0005-0000-0000-0000AC800000}"/>
    <cellStyle name="Normal 8 3 3 2 2 4" xfId="19177" xr:uid="{00000000-0005-0000-0000-0000AD800000}"/>
    <cellStyle name="Normal 8 3 3 2 2 4 2" xfId="39097" xr:uid="{00000000-0005-0000-0000-0000AE800000}"/>
    <cellStyle name="Normal 8 3 3 2 2 5" xfId="26792" xr:uid="{00000000-0005-0000-0000-0000AF800000}"/>
    <cellStyle name="Normal 8 3 3 2 3" xfId="8363" xr:uid="{00000000-0005-0000-0000-0000B0800000}"/>
    <cellStyle name="Normal 8 3 3 2 3 2" xfId="14557" xr:uid="{00000000-0005-0000-0000-0000B1800000}"/>
    <cellStyle name="Normal 8 3 3 2 3 2 2" xfId="34477" xr:uid="{00000000-0005-0000-0000-0000B2800000}"/>
    <cellStyle name="Normal 8 3 3 2 3 3" xfId="20709" xr:uid="{00000000-0005-0000-0000-0000B3800000}"/>
    <cellStyle name="Normal 8 3 3 2 3 3 2" xfId="40629" xr:uid="{00000000-0005-0000-0000-0000B4800000}"/>
    <cellStyle name="Normal 8 3 3 2 3 4" xfId="28324" xr:uid="{00000000-0005-0000-0000-0000B5800000}"/>
    <cellStyle name="Normal 8 3 3 2 4" xfId="11491" xr:uid="{00000000-0005-0000-0000-0000B6800000}"/>
    <cellStyle name="Normal 8 3 3 2 4 2" xfId="31411" xr:uid="{00000000-0005-0000-0000-0000B7800000}"/>
    <cellStyle name="Normal 8 3 3 2 5" xfId="17643" xr:uid="{00000000-0005-0000-0000-0000B8800000}"/>
    <cellStyle name="Normal 8 3 3 2 5 2" xfId="37563" xr:uid="{00000000-0005-0000-0000-0000B9800000}"/>
    <cellStyle name="Normal 8 3 3 2 6" xfId="25258" xr:uid="{00000000-0005-0000-0000-0000BA800000}"/>
    <cellStyle name="Normal 8 3 3 3" xfId="6029" xr:uid="{00000000-0005-0000-0000-0000BB800000}"/>
    <cellStyle name="Normal 8 3 3 3 2" xfId="9129" xr:uid="{00000000-0005-0000-0000-0000BC800000}"/>
    <cellStyle name="Normal 8 3 3 3 2 2" xfId="15322" xr:uid="{00000000-0005-0000-0000-0000BD800000}"/>
    <cellStyle name="Normal 8 3 3 3 2 2 2" xfId="35242" xr:uid="{00000000-0005-0000-0000-0000BE800000}"/>
    <cellStyle name="Normal 8 3 3 3 2 3" xfId="21474" xr:uid="{00000000-0005-0000-0000-0000BF800000}"/>
    <cellStyle name="Normal 8 3 3 3 2 3 2" xfId="41394" xr:uid="{00000000-0005-0000-0000-0000C0800000}"/>
    <cellStyle name="Normal 8 3 3 3 2 4" xfId="29089" xr:uid="{00000000-0005-0000-0000-0000C1800000}"/>
    <cellStyle name="Normal 8 3 3 3 3" xfId="12256" xr:uid="{00000000-0005-0000-0000-0000C2800000}"/>
    <cellStyle name="Normal 8 3 3 3 3 2" xfId="32176" xr:uid="{00000000-0005-0000-0000-0000C3800000}"/>
    <cellStyle name="Normal 8 3 3 3 4" xfId="18408" xr:uid="{00000000-0005-0000-0000-0000C4800000}"/>
    <cellStyle name="Normal 8 3 3 3 4 2" xfId="38328" xr:uid="{00000000-0005-0000-0000-0000C5800000}"/>
    <cellStyle name="Normal 8 3 3 3 5" xfId="26023" xr:uid="{00000000-0005-0000-0000-0000C6800000}"/>
    <cellStyle name="Normal 8 3 3 4" xfId="7594" xr:uid="{00000000-0005-0000-0000-0000C7800000}"/>
    <cellStyle name="Normal 8 3 3 4 2" xfId="13788" xr:uid="{00000000-0005-0000-0000-0000C8800000}"/>
    <cellStyle name="Normal 8 3 3 4 2 2" xfId="33708" xr:uid="{00000000-0005-0000-0000-0000C9800000}"/>
    <cellStyle name="Normal 8 3 3 4 3" xfId="19940" xr:uid="{00000000-0005-0000-0000-0000CA800000}"/>
    <cellStyle name="Normal 8 3 3 4 3 2" xfId="39860" xr:uid="{00000000-0005-0000-0000-0000CB800000}"/>
    <cellStyle name="Normal 8 3 3 4 4" xfId="27555" xr:uid="{00000000-0005-0000-0000-0000CC800000}"/>
    <cellStyle name="Normal 8 3 3 5" xfId="10722" xr:uid="{00000000-0005-0000-0000-0000CD800000}"/>
    <cellStyle name="Normal 8 3 3 5 2" xfId="30642" xr:uid="{00000000-0005-0000-0000-0000CE800000}"/>
    <cellStyle name="Normal 8 3 3 6" xfId="16874" xr:uid="{00000000-0005-0000-0000-0000CF800000}"/>
    <cellStyle name="Normal 8 3 3 6 2" xfId="36794" xr:uid="{00000000-0005-0000-0000-0000D0800000}"/>
    <cellStyle name="Normal 8 3 3 7" xfId="24489" xr:uid="{00000000-0005-0000-0000-0000D1800000}"/>
    <cellStyle name="Normal 8 3 4" xfId="4013" xr:uid="{00000000-0005-0000-0000-0000D2800000}"/>
    <cellStyle name="Normal 8 3 4 2" xfId="5188" xr:uid="{00000000-0005-0000-0000-0000D3800000}"/>
    <cellStyle name="Normal 8 3 4 2 2" xfId="6813" xr:uid="{00000000-0005-0000-0000-0000D4800000}"/>
    <cellStyle name="Normal 8 3 4 2 2 2" xfId="9899" xr:uid="{00000000-0005-0000-0000-0000D5800000}"/>
    <cellStyle name="Normal 8 3 4 2 2 2 2" xfId="16092" xr:uid="{00000000-0005-0000-0000-0000D6800000}"/>
    <cellStyle name="Normal 8 3 4 2 2 2 2 2" xfId="36012" xr:uid="{00000000-0005-0000-0000-0000D7800000}"/>
    <cellStyle name="Normal 8 3 4 2 2 2 3" xfId="22244" xr:uid="{00000000-0005-0000-0000-0000D8800000}"/>
    <cellStyle name="Normal 8 3 4 2 2 2 3 2" xfId="42164" xr:uid="{00000000-0005-0000-0000-0000D9800000}"/>
    <cellStyle name="Normal 8 3 4 2 2 2 4" xfId="29859" xr:uid="{00000000-0005-0000-0000-0000DA800000}"/>
    <cellStyle name="Normal 8 3 4 2 2 3" xfId="13026" xr:uid="{00000000-0005-0000-0000-0000DB800000}"/>
    <cellStyle name="Normal 8 3 4 2 2 3 2" xfId="32946" xr:uid="{00000000-0005-0000-0000-0000DC800000}"/>
    <cellStyle name="Normal 8 3 4 2 2 4" xfId="19178" xr:uid="{00000000-0005-0000-0000-0000DD800000}"/>
    <cellStyle name="Normal 8 3 4 2 2 4 2" xfId="39098" xr:uid="{00000000-0005-0000-0000-0000DE800000}"/>
    <cellStyle name="Normal 8 3 4 2 2 5" xfId="26793" xr:uid="{00000000-0005-0000-0000-0000DF800000}"/>
    <cellStyle name="Normal 8 3 4 2 3" xfId="8364" xr:uid="{00000000-0005-0000-0000-0000E0800000}"/>
    <cellStyle name="Normal 8 3 4 2 3 2" xfId="14558" xr:uid="{00000000-0005-0000-0000-0000E1800000}"/>
    <cellStyle name="Normal 8 3 4 2 3 2 2" xfId="34478" xr:uid="{00000000-0005-0000-0000-0000E2800000}"/>
    <cellStyle name="Normal 8 3 4 2 3 3" xfId="20710" xr:uid="{00000000-0005-0000-0000-0000E3800000}"/>
    <cellStyle name="Normal 8 3 4 2 3 3 2" xfId="40630" xr:uid="{00000000-0005-0000-0000-0000E4800000}"/>
    <cellStyle name="Normal 8 3 4 2 3 4" xfId="28325" xr:uid="{00000000-0005-0000-0000-0000E5800000}"/>
    <cellStyle name="Normal 8 3 4 2 4" xfId="11492" xr:uid="{00000000-0005-0000-0000-0000E6800000}"/>
    <cellStyle name="Normal 8 3 4 2 4 2" xfId="31412" xr:uid="{00000000-0005-0000-0000-0000E7800000}"/>
    <cellStyle name="Normal 8 3 4 2 5" xfId="17644" xr:uid="{00000000-0005-0000-0000-0000E8800000}"/>
    <cellStyle name="Normal 8 3 4 2 5 2" xfId="37564" xr:uid="{00000000-0005-0000-0000-0000E9800000}"/>
    <cellStyle name="Normal 8 3 4 2 6" xfId="25259" xr:uid="{00000000-0005-0000-0000-0000EA800000}"/>
    <cellStyle name="Normal 8 3 4 3" xfId="6030" xr:uid="{00000000-0005-0000-0000-0000EB800000}"/>
    <cellStyle name="Normal 8 3 4 3 2" xfId="9130" xr:uid="{00000000-0005-0000-0000-0000EC800000}"/>
    <cellStyle name="Normal 8 3 4 3 2 2" xfId="15323" xr:uid="{00000000-0005-0000-0000-0000ED800000}"/>
    <cellStyle name="Normal 8 3 4 3 2 2 2" xfId="35243" xr:uid="{00000000-0005-0000-0000-0000EE800000}"/>
    <cellStyle name="Normal 8 3 4 3 2 3" xfId="21475" xr:uid="{00000000-0005-0000-0000-0000EF800000}"/>
    <cellStyle name="Normal 8 3 4 3 2 3 2" xfId="41395" xr:uid="{00000000-0005-0000-0000-0000F0800000}"/>
    <cellStyle name="Normal 8 3 4 3 2 4" xfId="29090" xr:uid="{00000000-0005-0000-0000-0000F1800000}"/>
    <cellStyle name="Normal 8 3 4 3 3" xfId="12257" xr:uid="{00000000-0005-0000-0000-0000F2800000}"/>
    <cellStyle name="Normal 8 3 4 3 3 2" xfId="32177" xr:uid="{00000000-0005-0000-0000-0000F3800000}"/>
    <cellStyle name="Normal 8 3 4 3 4" xfId="18409" xr:uid="{00000000-0005-0000-0000-0000F4800000}"/>
    <cellStyle name="Normal 8 3 4 3 4 2" xfId="38329" xr:uid="{00000000-0005-0000-0000-0000F5800000}"/>
    <cellStyle name="Normal 8 3 4 3 5" xfId="26024" xr:uid="{00000000-0005-0000-0000-0000F6800000}"/>
    <cellStyle name="Normal 8 3 4 4" xfId="7595" xr:uid="{00000000-0005-0000-0000-0000F7800000}"/>
    <cellStyle name="Normal 8 3 4 4 2" xfId="13789" xr:uid="{00000000-0005-0000-0000-0000F8800000}"/>
    <cellStyle name="Normal 8 3 4 4 2 2" xfId="33709" xr:uid="{00000000-0005-0000-0000-0000F9800000}"/>
    <cellStyle name="Normal 8 3 4 4 3" xfId="19941" xr:uid="{00000000-0005-0000-0000-0000FA800000}"/>
    <cellStyle name="Normal 8 3 4 4 3 2" xfId="39861" xr:uid="{00000000-0005-0000-0000-0000FB800000}"/>
    <cellStyle name="Normal 8 3 4 4 4" xfId="27556" xr:uid="{00000000-0005-0000-0000-0000FC800000}"/>
    <cellStyle name="Normal 8 3 4 5" xfId="10723" xr:uid="{00000000-0005-0000-0000-0000FD800000}"/>
    <cellStyle name="Normal 8 3 4 5 2" xfId="30643" xr:uid="{00000000-0005-0000-0000-0000FE800000}"/>
    <cellStyle name="Normal 8 3 4 6" xfId="16875" xr:uid="{00000000-0005-0000-0000-0000FF800000}"/>
    <cellStyle name="Normal 8 3 4 6 2" xfId="36795" xr:uid="{00000000-0005-0000-0000-000000810000}"/>
    <cellStyle name="Normal 8 3 4 7" xfId="24490" xr:uid="{00000000-0005-0000-0000-000001810000}"/>
    <cellStyle name="Normal 8 3 5" xfId="4014" xr:uid="{00000000-0005-0000-0000-000002810000}"/>
    <cellStyle name="Normal 8 3 5 2" xfId="5189" xr:uid="{00000000-0005-0000-0000-000003810000}"/>
    <cellStyle name="Normal 8 3 5 2 2" xfId="6814" xr:uid="{00000000-0005-0000-0000-000004810000}"/>
    <cellStyle name="Normal 8 3 5 2 2 2" xfId="9900" xr:uid="{00000000-0005-0000-0000-000005810000}"/>
    <cellStyle name="Normal 8 3 5 2 2 2 2" xfId="16093" xr:uid="{00000000-0005-0000-0000-000006810000}"/>
    <cellStyle name="Normal 8 3 5 2 2 2 2 2" xfId="36013" xr:uid="{00000000-0005-0000-0000-000007810000}"/>
    <cellStyle name="Normal 8 3 5 2 2 2 3" xfId="22245" xr:uid="{00000000-0005-0000-0000-000008810000}"/>
    <cellStyle name="Normal 8 3 5 2 2 2 3 2" xfId="42165" xr:uid="{00000000-0005-0000-0000-000009810000}"/>
    <cellStyle name="Normal 8 3 5 2 2 2 4" xfId="29860" xr:uid="{00000000-0005-0000-0000-00000A810000}"/>
    <cellStyle name="Normal 8 3 5 2 2 3" xfId="13027" xr:uid="{00000000-0005-0000-0000-00000B810000}"/>
    <cellStyle name="Normal 8 3 5 2 2 3 2" xfId="32947" xr:uid="{00000000-0005-0000-0000-00000C810000}"/>
    <cellStyle name="Normal 8 3 5 2 2 4" xfId="19179" xr:uid="{00000000-0005-0000-0000-00000D810000}"/>
    <cellStyle name="Normal 8 3 5 2 2 4 2" xfId="39099" xr:uid="{00000000-0005-0000-0000-00000E810000}"/>
    <cellStyle name="Normal 8 3 5 2 2 5" xfId="26794" xr:uid="{00000000-0005-0000-0000-00000F810000}"/>
    <cellStyle name="Normal 8 3 5 2 3" xfId="8365" xr:uid="{00000000-0005-0000-0000-000010810000}"/>
    <cellStyle name="Normal 8 3 5 2 3 2" xfId="14559" xr:uid="{00000000-0005-0000-0000-000011810000}"/>
    <cellStyle name="Normal 8 3 5 2 3 2 2" xfId="34479" xr:uid="{00000000-0005-0000-0000-000012810000}"/>
    <cellStyle name="Normal 8 3 5 2 3 3" xfId="20711" xr:uid="{00000000-0005-0000-0000-000013810000}"/>
    <cellStyle name="Normal 8 3 5 2 3 3 2" xfId="40631" xr:uid="{00000000-0005-0000-0000-000014810000}"/>
    <cellStyle name="Normal 8 3 5 2 3 4" xfId="28326" xr:uid="{00000000-0005-0000-0000-000015810000}"/>
    <cellStyle name="Normal 8 3 5 2 4" xfId="11493" xr:uid="{00000000-0005-0000-0000-000016810000}"/>
    <cellStyle name="Normal 8 3 5 2 4 2" xfId="31413" xr:uid="{00000000-0005-0000-0000-000017810000}"/>
    <cellStyle name="Normal 8 3 5 2 5" xfId="17645" xr:uid="{00000000-0005-0000-0000-000018810000}"/>
    <cellStyle name="Normal 8 3 5 2 5 2" xfId="37565" xr:uid="{00000000-0005-0000-0000-000019810000}"/>
    <cellStyle name="Normal 8 3 5 2 6" xfId="25260" xr:uid="{00000000-0005-0000-0000-00001A810000}"/>
    <cellStyle name="Normal 8 3 5 3" xfId="6031" xr:uid="{00000000-0005-0000-0000-00001B810000}"/>
    <cellStyle name="Normal 8 3 5 3 2" xfId="9131" xr:uid="{00000000-0005-0000-0000-00001C810000}"/>
    <cellStyle name="Normal 8 3 5 3 2 2" xfId="15324" xr:uid="{00000000-0005-0000-0000-00001D810000}"/>
    <cellStyle name="Normal 8 3 5 3 2 2 2" xfId="35244" xr:uid="{00000000-0005-0000-0000-00001E810000}"/>
    <cellStyle name="Normal 8 3 5 3 2 3" xfId="21476" xr:uid="{00000000-0005-0000-0000-00001F810000}"/>
    <cellStyle name="Normal 8 3 5 3 2 3 2" xfId="41396" xr:uid="{00000000-0005-0000-0000-000020810000}"/>
    <cellStyle name="Normal 8 3 5 3 2 4" xfId="29091" xr:uid="{00000000-0005-0000-0000-000021810000}"/>
    <cellStyle name="Normal 8 3 5 3 3" xfId="12258" xr:uid="{00000000-0005-0000-0000-000022810000}"/>
    <cellStyle name="Normal 8 3 5 3 3 2" xfId="32178" xr:uid="{00000000-0005-0000-0000-000023810000}"/>
    <cellStyle name="Normal 8 3 5 3 4" xfId="18410" xr:uid="{00000000-0005-0000-0000-000024810000}"/>
    <cellStyle name="Normal 8 3 5 3 4 2" xfId="38330" xr:uid="{00000000-0005-0000-0000-000025810000}"/>
    <cellStyle name="Normal 8 3 5 3 5" xfId="26025" xr:uid="{00000000-0005-0000-0000-000026810000}"/>
    <cellStyle name="Normal 8 3 5 4" xfId="7596" xr:uid="{00000000-0005-0000-0000-000027810000}"/>
    <cellStyle name="Normal 8 3 5 4 2" xfId="13790" xr:uid="{00000000-0005-0000-0000-000028810000}"/>
    <cellStyle name="Normal 8 3 5 4 2 2" xfId="33710" xr:uid="{00000000-0005-0000-0000-000029810000}"/>
    <cellStyle name="Normal 8 3 5 4 3" xfId="19942" xr:uid="{00000000-0005-0000-0000-00002A810000}"/>
    <cellStyle name="Normal 8 3 5 4 3 2" xfId="39862" xr:uid="{00000000-0005-0000-0000-00002B810000}"/>
    <cellStyle name="Normal 8 3 5 4 4" xfId="27557" xr:uid="{00000000-0005-0000-0000-00002C810000}"/>
    <cellStyle name="Normal 8 3 5 5" xfId="10724" xr:uid="{00000000-0005-0000-0000-00002D810000}"/>
    <cellStyle name="Normal 8 3 5 5 2" xfId="30644" xr:uid="{00000000-0005-0000-0000-00002E810000}"/>
    <cellStyle name="Normal 8 3 5 6" xfId="16876" xr:uid="{00000000-0005-0000-0000-00002F810000}"/>
    <cellStyle name="Normal 8 3 5 6 2" xfId="36796" xr:uid="{00000000-0005-0000-0000-000030810000}"/>
    <cellStyle name="Normal 8 3 5 7" xfId="24491" xr:uid="{00000000-0005-0000-0000-000031810000}"/>
    <cellStyle name="Normal 8 3 6" xfId="4010" xr:uid="{00000000-0005-0000-0000-000032810000}"/>
    <cellStyle name="Normal 8 3 6 2" xfId="5185" xr:uid="{00000000-0005-0000-0000-000033810000}"/>
    <cellStyle name="Normal 8 3 6 2 2" xfId="6810" xr:uid="{00000000-0005-0000-0000-000034810000}"/>
    <cellStyle name="Normal 8 3 6 2 2 2" xfId="9896" xr:uid="{00000000-0005-0000-0000-000035810000}"/>
    <cellStyle name="Normal 8 3 6 2 2 2 2" xfId="16089" xr:uid="{00000000-0005-0000-0000-000036810000}"/>
    <cellStyle name="Normal 8 3 6 2 2 2 2 2" xfId="36009" xr:uid="{00000000-0005-0000-0000-000037810000}"/>
    <cellStyle name="Normal 8 3 6 2 2 2 3" xfId="22241" xr:uid="{00000000-0005-0000-0000-000038810000}"/>
    <cellStyle name="Normal 8 3 6 2 2 2 3 2" xfId="42161" xr:uid="{00000000-0005-0000-0000-000039810000}"/>
    <cellStyle name="Normal 8 3 6 2 2 2 4" xfId="29856" xr:uid="{00000000-0005-0000-0000-00003A810000}"/>
    <cellStyle name="Normal 8 3 6 2 2 3" xfId="13023" xr:uid="{00000000-0005-0000-0000-00003B810000}"/>
    <cellStyle name="Normal 8 3 6 2 2 3 2" xfId="32943" xr:uid="{00000000-0005-0000-0000-00003C810000}"/>
    <cellStyle name="Normal 8 3 6 2 2 4" xfId="19175" xr:uid="{00000000-0005-0000-0000-00003D810000}"/>
    <cellStyle name="Normal 8 3 6 2 2 4 2" xfId="39095" xr:uid="{00000000-0005-0000-0000-00003E810000}"/>
    <cellStyle name="Normal 8 3 6 2 2 5" xfId="26790" xr:uid="{00000000-0005-0000-0000-00003F810000}"/>
    <cellStyle name="Normal 8 3 6 2 3" xfId="8361" xr:uid="{00000000-0005-0000-0000-000040810000}"/>
    <cellStyle name="Normal 8 3 6 2 3 2" xfId="14555" xr:uid="{00000000-0005-0000-0000-000041810000}"/>
    <cellStyle name="Normal 8 3 6 2 3 2 2" xfId="34475" xr:uid="{00000000-0005-0000-0000-000042810000}"/>
    <cellStyle name="Normal 8 3 6 2 3 3" xfId="20707" xr:uid="{00000000-0005-0000-0000-000043810000}"/>
    <cellStyle name="Normal 8 3 6 2 3 3 2" xfId="40627" xr:uid="{00000000-0005-0000-0000-000044810000}"/>
    <cellStyle name="Normal 8 3 6 2 3 4" xfId="28322" xr:uid="{00000000-0005-0000-0000-000045810000}"/>
    <cellStyle name="Normal 8 3 6 2 4" xfId="11489" xr:uid="{00000000-0005-0000-0000-000046810000}"/>
    <cellStyle name="Normal 8 3 6 2 4 2" xfId="31409" xr:uid="{00000000-0005-0000-0000-000047810000}"/>
    <cellStyle name="Normal 8 3 6 2 5" xfId="17641" xr:uid="{00000000-0005-0000-0000-000048810000}"/>
    <cellStyle name="Normal 8 3 6 2 5 2" xfId="37561" xr:uid="{00000000-0005-0000-0000-000049810000}"/>
    <cellStyle name="Normal 8 3 6 2 6" xfId="25256" xr:uid="{00000000-0005-0000-0000-00004A810000}"/>
    <cellStyle name="Normal 8 3 6 3" xfId="6027" xr:uid="{00000000-0005-0000-0000-00004B810000}"/>
    <cellStyle name="Normal 8 3 6 3 2" xfId="9127" xr:uid="{00000000-0005-0000-0000-00004C810000}"/>
    <cellStyle name="Normal 8 3 6 3 2 2" xfId="15320" xr:uid="{00000000-0005-0000-0000-00004D810000}"/>
    <cellStyle name="Normal 8 3 6 3 2 2 2" xfId="35240" xr:uid="{00000000-0005-0000-0000-00004E810000}"/>
    <cellStyle name="Normal 8 3 6 3 2 3" xfId="21472" xr:uid="{00000000-0005-0000-0000-00004F810000}"/>
    <cellStyle name="Normal 8 3 6 3 2 3 2" xfId="41392" xr:uid="{00000000-0005-0000-0000-000050810000}"/>
    <cellStyle name="Normal 8 3 6 3 2 4" xfId="29087" xr:uid="{00000000-0005-0000-0000-000051810000}"/>
    <cellStyle name="Normal 8 3 6 3 3" xfId="12254" xr:uid="{00000000-0005-0000-0000-000052810000}"/>
    <cellStyle name="Normal 8 3 6 3 3 2" xfId="32174" xr:uid="{00000000-0005-0000-0000-000053810000}"/>
    <cellStyle name="Normal 8 3 6 3 4" xfId="18406" xr:uid="{00000000-0005-0000-0000-000054810000}"/>
    <cellStyle name="Normal 8 3 6 3 4 2" xfId="38326" xr:uid="{00000000-0005-0000-0000-000055810000}"/>
    <cellStyle name="Normal 8 3 6 3 5" xfId="26021" xr:uid="{00000000-0005-0000-0000-000056810000}"/>
    <cellStyle name="Normal 8 3 6 4" xfId="7592" xr:uid="{00000000-0005-0000-0000-000057810000}"/>
    <cellStyle name="Normal 8 3 6 4 2" xfId="13786" xr:uid="{00000000-0005-0000-0000-000058810000}"/>
    <cellStyle name="Normal 8 3 6 4 2 2" xfId="33706" xr:uid="{00000000-0005-0000-0000-000059810000}"/>
    <cellStyle name="Normal 8 3 6 4 3" xfId="19938" xr:uid="{00000000-0005-0000-0000-00005A810000}"/>
    <cellStyle name="Normal 8 3 6 4 3 2" xfId="39858" xr:uid="{00000000-0005-0000-0000-00005B810000}"/>
    <cellStyle name="Normal 8 3 6 4 4" xfId="27553" xr:uid="{00000000-0005-0000-0000-00005C810000}"/>
    <cellStyle name="Normal 8 3 6 5" xfId="10720" xr:uid="{00000000-0005-0000-0000-00005D810000}"/>
    <cellStyle name="Normal 8 3 6 5 2" xfId="30640" xr:uid="{00000000-0005-0000-0000-00005E810000}"/>
    <cellStyle name="Normal 8 3 6 6" xfId="16872" xr:uid="{00000000-0005-0000-0000-00005F810000}"/>
    <cellStyle name="Normal 8 3 6 6 2" xfId="36792" xr:uid="{00000000-0005-0000-0000-000060810000}"/>
    <cellStyle name="Normal 8 3 6 7" xfId="24487" xr:uid="{00000000-0005-0000-0000-000061810000}"/>
    <cellStyle name="Normal 8 3 7" xfId="4635" xr:uid="{00000000-0005-0000-0000-000062810000}"/>
    <cellStyle name="Normal 8 3 7 2" xfId="6260" xr:uid="{00000000-0005-0000-0000-000063810000}"/>
    <cellStyle name="Normal 8 3 7 2 2" xfId="9346" xr:uid="{00000000-0005-0000-0000-000064810000}"/>
    <cellStyle name="Normal 8 3 7 2 2 2" xfId="15539" xr:uid="{00000000-0005-0000-0000-000065810000}"/>
    <cellStyle name="Normal 8 3 7 2 2 2 2" xfId="35459" xr:uid="{00000000-0005-0000-0000-000066810000}"/>
    <cellStyle name="Normal 8 3 7 2 2 3" xfId="21691" xr:uid="{00000000-0005-0000-0000-000067810000}"/>
    <cellStyle name="Normal 8 3 7 2 2 3 2" xfId="41611" xr:uid="{00000000-0005-0000-0000-000068810000}"/>
    <cellStyle name="Normal 8 3 7 2 2 4" xfId="29306" xr:uid="{00000000-0005-0000-0000-000069810000}"/>
    <cellStyle name="Normal 8 3 7 2 3" xfId="12473" xr:uid="{00000000-0005-0000-0000-00006A810000}"/>
    <cellStyle name="Normal 8 3 7 2 3 2" xfId="32393" xr:uid="{00000000-0005-0000-0000-00006B810000}"/>
    <cellStyle name="Normal 8 3 7 2 4" xfId="18625" xr:uid="{00000000-0005-0000-0000-00006C810000}"/>
    <cellStyle name="Normal 8 3 7 2 4 2" xfId="38545" xr:uid="{00000000-0005-0000-0000-00006D810000}"/>
    <cellStyle name="Normal 8 3 7 2 5" xfId="26240" xr:uid="{00000000-0005-0000-0000-00006E810000}"/>
    <cellStyle name="Normal 8 3 7 3" xfId="7811" xr:uid="{00000000-0005-0000-0000-00006F810000}"/>
    <cellStyle name="Normal 8 3 7 3 2" xfId="14005" xr:uid="{00000000-0005-0000-0000-000070810000}"/>
    <cellStyle name="Normal 8 3 7 3 2 2" xfId="33925" xr:uid="{00000000-0005-0000-0000-000071810000}"/>
    <cellStyle name="Normal 8 3 7 3 3" xfId="20157" xr:uid="{00000000-0005-0000-0000-000072810000}"/>
    <cellStyle name="Normal 8 3 7 3 3 2" xfId="40077" xr:uid="{00000000-0005-0000-0000-000073810000}"/>
    <cellStyle name="Normal 8 3 7 3 4" xfId="27772" xr:uid="{00000000-0005-0000-0000-000074810000}"/>
    <cellStyle name="Normal 8 3 7 4" xfId="10939" xr:uid="{00000000-0005-0000-0000-000075810000}"/>
    <cellStyle name="Normal 8 3 7 4 2" xfId="30859" xr:uid="{00000000-0005-0000-0000-000076810000}"/>
    <cellStyle name="Normal 8 3 7 5" xfId="17091" xr:uid="{00000000-0005-0000-0000-000077810000}"/>
    <cellStyle name="Normal 8 3 7 5 2" xfId="37011" xr:uid="{00000000-0005-0000-0000-000078810000}"/>
    <cellStyle name="Normal 8 3 7 6" xfId="24706" xr:uid="{00000000-0005-0000-0000-000079810000}"/>
    <cellStyle name="Normal 8 3 8" xfId="5474" xr:uid="{00000000-0005-0000-0000-00007A810000}"/>
    <cellStyle name="Normal 8 3 8 2" xfId="8577" xr:uid="{00000000-0005-0000-0000-00007B810000}"/>
    <cellStyle name="Normal 8 3 8 2 2" xfId="14770" xr:uid="{00000000-0005-0000-0000-00007C810000}"/>
    <cellStyle name="Normal 8 3 8 2 2 2" xfId="34690" xr:uid="{00000000-0005-0000-0000-00007D810000}"/>
    <cellStyle name="Normal 8 3 8 2 3" xfId="20922" xr:uid="{00000000-0005-0000-0000-00007E810000}"/>
    <cellStyle name="Normal 8 3 8 2 3 2" xfId="40842" xr:uid="{00000000-0005-0000-0000-00007F810000}"/>
    <cellStyle name="Normal 8 3 8 2 4" xfId="28537" xr:uid="{00000000-0005-0000-0000-000080810000}"/>
    <cellStyle name="Normal 8 3 8 3" xfId="11704" xr:uid="{00000000-0005-0000-0000-000081810000}"/>
    <cellStyle name="Normal 8 3 8 3 2" xfId="31624" xr:uid="{00000000-0005-0000-0000-000082810000}"/>
    <cellStyle name="Normal 8 3 8 4" xfId="17856" xr:uid="{00000000-0005-0000-0000-000083810000}"/>
    <cellStyle name="Normal 8 3 8 4 2" xfId="37776" xr:uid="{00000000-0005-0000-0000-000084810000}"/>
    <cellStyle name="Normal 8 3 8 5" xfId="25471" xr:uid="{00000000-0005-0000-0000-000085810000}"/>
    <cellStyle name="Normal 8 3 9" xfId="7042" xr:uid="{00000000-0005-0000-0000-000086810000}"/>
    <cellStyle name="Normal 8 3 9 2" xfId="13236" xr:uid="{00000000-0005-0000-0000-000087810000}"/>
    <cellStyle name="Normal 8 3 9 2 2" xfId="33156" xr:uid="{00000000-0005-0000-0000-000088810000}"/>
    <cellStyle name="Normal 8 3 9 3" xfId="19388" xr:uid="{00000000-0005-0000-0000-000089810000}"/>
    <cellStyle name="Normal 8 3 9 3 2" xfId="39308" xr:uid="{00000000-0005-0000-0000-00008A810000}"/>
    <cellStyle name="Normal 8 3 9 4" xfId="27003" xr:uid="{00000000-0005-0000-0000-00008B810000}"/>
    <cellStyle name="Normal 8 30" xfId="16311" xr:uid="{00000000-0005-0000-0000-00008C810000}"/>
    <cellStyle name="Normal 8 30 2" xfId="36231" xr:uid="{00000000-0005-0000-0000-00008D810000}"/>
    <cellStyle name="Normal 8 31" xfId="1159" xr:uid="{00000000-0005-0000-0000-00008E810000}"/>
    <cellStyle name="Normal 8 31 2" xfId="23926" xr:uid="{00000000-0005-0000-0000-00008F810000}"/>
    <cellStyle name="Normal 8 4" xfId="4015" xr:uid="{00000000-0005-0000-0000-000090810000}"/>
    <cellStyle name="Normal 8 4 2" xfId="5190" xr:uid="{00000000-0005-0000-0000-000091810000}"/>
    <cellStyle name="Normal 8 4 2 2" xfId="6815" xr:uid="{00000000-0005-0000-0000-000092810000}"/>
    <cellStyle name="Normal 8 4 2 2 2" xfId="9901" xr:uid="{00000000-0005-0000-0000-000093810000}"/>
    <cellStyle name="Normal 8 4 2 2 2 2" xfId="16094" xr:uid="{00000000-0005-0000-0000-000094810000}"/>
    <cellStyle name="Normal 8 4 2 2 2 2 2" xfId="36014" xr:uid="{00000000-0005-0000-0000-000095810000}"/>
    <cellStyle name="Normal 8 4 2 2 2 3" xfId="22246" xr:uid="{00000000-0005-0000-0000-000096810000}"/>
    <cellStyle name="Normal 8 4 2 2 2 3 2" xfId="42166" xr:uid="{00000000-0005-0000-0000-000097810000}"/>
    <cellStyle name="Normal 8 4 2 2 2 4" xfId="29861" xr:uid="{00000000-0005-0000-0000-000098810000}"/>
    <cellStyle name="Normal 8 4 2 2 3" xfId="13028" xr:uid="{00000000-0005-0000-0000-000099810000}"/>
    <cellStyle name="Normal 8 4 2 2 3 2" xfId="32948" xr:uid="{00000000-0005-0000-0000-00009A810000}"/>
    <cellStyle name="Normal 8 4 2 2 4" xfId="19180" xr:uid="{00000000-0005-0000-0000-00009B810000}"/>
    <cellStyle name="Normal 8 4 2 2 4 2" xfId="39100" xr:uid="{00000000-0005-0000-0000-00009C810000}"/>
    <cellStyle name="Normal 8 4 2 2 5" xfId="26795" xr:uid="{00000000-0005-0000-0000-00009D810000}"/>
    <cellStyle name="Normal 8 4 2 3" xfId="8366" xr:uid="{00000000-0005-0000-0000-00009E810000}"/>
    <cellStyle name="Normal 8 4 2 3 2" xfId="14560" xr:uid="{00000000-0005-0000-0000-00009F810000}"/>
    <cellStyle name="Normal 8 4 2 3 2 2" xfId="34480" xr:uid="{00000000-0005-0000-0000-0000A0810000}"/>
    <cellStyle name="Normal 8 4 2 3 3" xfId="20712" xr:uid="{00000000-0005-0000-0000-0000A1810000}"/>
    <cellStyle name="Normal 8 4 2 3 3 2" xfId="40632" xr:uid="{00000000-0005-0000-0000-0000A2810000}"/>
    <cellStyle name="Normal 8 4 2 3 4" xfId="28327" xr:uid="{00000000-0005-0000-0000-0000A3810000}"/>
    <cellStyle name="Normal 8 4 2 4" xfId="11494" xr:uid="{00000000-0005-0000-0000-0000A4810000}"/>
    <cellStyle name="Normal 8 4 2 4 2" xfId="31414" xr:uid="{00000000-0005-0000-0000-0000A5810000}"/>
    <cellStyle name="Normal 8 4 2 5" xfId="17646" xr:uid="{00000000-0005-0000-0000-0000A6810000}"/>
    <cellStyle name="Normal 8 4 2 5 2" xfId="37566" xr:uid="{00000000-0005-0000-0000-0000A7810000}"/>
    <cellStyle name="Normal 8 4 2 6" xfId="25261" xr:uid="{00000000-0005-0000-0000-0000A8810000}"/>
    <cellStyle name="Normal 8 4 3" xfId="6032" xr:uid="{00000000-0005-0000-0000-0000A9810000}"/>
    <cellStyle name="Normal 8 4 3 2" xfId="9132" xr:uid="{00000000-0005-0000-0000-0000AA810000}"/>
    <cellStyle name="Normal 8 4 3 2 2" xfId="15325" xr:uid="{00000000-0005-0000-0000-0000AB810000}"/>
    <cellStyle name="Normal 8 4 3 2 2 2" xfId="35245" xr:uid="{00000000-0005-0000-0000-0000AC810000}"/>
    <cellStyle name="Normal 8 4 3 2 3" xfId="21477" xr:uid="{00000000-0005-0000-0000-0000AD810000}"/>
    <cellStyle name="Normal 8 4 3 2 3 2" xfId="41397" xr:uid="{00000000-0005-0000-0000-0000AE810000}"/>
    <cellStyle name="Normal 8 4 3 2 4" xfId="29092" xr:uid="{00000000-0005-0000-0000-0000AF810000}"/>
    <cellStyle name="Normal 8 4 3 3" xfId="12259" xr:uid="{00000000-0005-0000-0000-0000B0810000}"/>
    <cellStyle name="Normal 8 4 3 3 2" xfId="32179" xr:uid="{00000000-0005-0000-0000-0000B1810000}"/>
    <cellStyle name="Normal 8 4 3 4" xfId="18411" xr:uid="{00000000-0005-0000-0000-0000B2810000}"/>
    <cellStyle name="Normal 8 4 3 4 2" xfId="38331" xr:uid="{00000000-0005-0000-0000-0000B3810000}"/>
    <cellStyle name="Normal 8 4 3 5" xfId="26026" xr:uid="{00000000-0005-0000-0000-0000B4810000}"/>
    <cellStyle name="Normal 8 4 4" xfId="7597" xr:uid="{00000000-0005-0000-0000-0000B5810000}"/>
    <cellStyle name="Normal 8 4 4 2" xfId="13791" xr:uid="{00000000-0005-0000-0000-0000B6810000}"/>
    <cellStyle name="Normal 8 4 4 2 2" xfId="33711" xr:uid="{00000000-0005-0000-0000-0000B7810000}"/>
    <cellStyle name="Normal 8 4 4 3" xfId="19943" xr:uid="{00000000-0005-0000-0000-0000B8810000}"/>
    <cellStyle name="Normal 8 4 4 3 2" xfId="39863" xr:uid="{00000000-0005-0000-0000-0000B9810000}"/>
    <cellStyle name="Normal 8 4 4 4" xfId="27558" xr:uid="{00000000-0005-0000-0000-0000BA810000}"/>
    <cellStyle name="Normal 8 4 5" xfId="10725" xr:uid="{00000000-0005-0000-0000-0000BB810000}"/>
    <cellStyle name="Normal 8 4 5 2" xfId="30645" xr:uid="{00000000-0005-0000-0000-0000BC810000}"/>
    <cellStyle name="Normal 8 4 6" xfId="16877" xr:uid="{00000000-0005-0000-0000-0000BD810000}"/>
    <cellStyle name="Normal 8 4 6 2" xfId="36797" xr:uid="{00000000-0005-0000-0000-0000BE810000}"/>
    <cellStyle name="Normal 8 4 7" xfId="24492" xr:uid="{00000000-0005-0000-0000-0000BF810000}"/>
    <cellStyle name="Normal 8 5" xfId="4016" xr:uid="{00000000-0005-0000-0000-0000C0810000}"/>
    <cellStyle name="Normal 8 5 2" xfId="5191" xr:uid="{00000000-0005-0000-0000-0000C1810000}"/>
    <cellStyle name="Normal 8 5 2 2" xfId="6816" xr:uid="{00000000-0005-0000-0000-0000C2810000}"/>
    <cellStyle name="Normal 8 5 2 2 2" xfId="9902" xr:uid="{00000000-0005-0000-0000-0000C3810000}"/>
    <cellStyle name="Normal 8 5 2 2 2 2" xfId="16095" xr:uid="{00000000-0005-0000-0000-0000C4810000}"/>
    <cellStyle name="Normal 8 5 2 2 2 2 2" xfId="36015" xr:uid="{00000000-0005-0000-0000-0000C5810000}"/>
    <cellStyle name="Normal 8 5 2 2 2 3" xfId="22247" xr:uid="{00000000-0005-0000-0000-0000C6810000}"/>
    <cellStyle name="Normal 8 5 2 2 2 3 2" xfId="42167" xr:uid="{00000000-0005-0000-0000-0000C7810000}"/>
    <cellStyle name="Normal 8 5 2 2 2 4" xfId="29862" xr:uid="{00000000-0005-0000-0000-0000C8810000}"/>
    <cellStyle name="Normal 8 5 2 2 3" xfId="13029" xr:uid="{00000000-0005-0000-0000-0000C9810000}"/>
    <cellStyle name="Normal 8 5 2 2 3 2" xfId="32949" xr:uid="{00000000-0005-0000-0000-0000CA810000}"/>
    <cellStyle name="Normal 8 5 2 2 4" xfId="19181" xr:uid="{00000000-0005-0000-0000-0000CB810000}"/>
    <cellStyle name="Normal 8 5 2 2 4 2" xfId="39101" xr:uid="{00000000-0005-0000-0000-0000CC810000}"/>
    <cellStyle name="Normal 8 5 2 2 5" xfId="26796" xr:uid="{00000000-0005-0000-0000-0000CD810000}"/>
    <cellStyle name="Normal 8 5 2 3" xfId="8367" xr:uid="{00000000-0005-0000-0000-0000CE810000}"/>
    <cellStyle name="Normal 8 5 2 3 2" xfId="14561" xr:uid="{00000000-0005-0000-0000-0000CF810000}"/>
    <cellStyle name="Normal 8 5 2 3 2 2" xfId="34481" xr:uid="{00000000-0005-0000-0000-0000D0810000}"/>
    <cellStyle name="Normal 8 5 2 3 3" xfId="20713" xr:uid="{00000000-0005-0000-0000-0000D1810000}"/>
    <cellStyle name="Normal 8 5 2 3 3 2" xfId="40633" xr:uid="{00000000-0005-0000-0000-0000D2810000}"/>
    <cellStyle name="Normal 8 5 2 3 4" xfId="28328" xr:uid="{00000000-0005-0000-0000-0000D3810000}"/>
    <cellStyle name="Normal 8 5 2 4" xfId="11495" xr:uid="{00000000-0005-0000-0000-0000D4810000}"/>
    <cellStyle name="Normal 8 5 2 4 2" xfId="31415" xr:uid="{00000000-0005-0000-0000-0000D5810000}"/>
    <cellStyle name="Normal 8 5 2 5" xfId="17647" xr:uid="{00000000-0005-0000-0000-0000D6810000}"/>
    <cellStyle name="Normal 8 5 2 5 2" xfId="37567" xr:uid="{00000000-0005-0000-0000-0000D7810000}"/>
    <cellStyle name="Normal 8 5 2 6" xfId="25262" xr:uid="{00000000-0005-0000-0000-0000D8810000}"/>
    <cellStyle name="Normal 8 5 3" xfId="6033" xr:uid="{00000000-0005-0000-0000-0000D9810000}"/>
    <cellStyle name="Normal 8 5 3 2" xfId="9133" xr:uid="{00000000-0005-0000-0000-0000DA810000}"/>
    <cellStyle name="Normal 8 5 3 2 2" xfId="15326" xr:uid="{00000000-0005-0000-0000-0000DB810000}"/>
    <cellStyle name="Normal 8 5 3 2 2 2" xfId="35246" xr:uid="{00000000-0005-0000-0000-0000DC810000}"/>
    <cellStyle name="Normal 8 5 3 2 3" xfId="21478" xr:uid="{00000000-0005-0000-0000-0000DD810000}"/>
    <cellStyle name="Normal 8 5 3 2 3 2" xfId="41398" xr:uid="{00000000-0005-0000-0000-0000DE810000}"/>
    <cellStyle name="Normal 8 5 3 2 4" xfId="29093" xr:uid="{00000000-0005-0000-0000-0000DF810000}"/>
    <cellStyle name="Normal 8 5 3 3" xfId="12260" xr:uid="{00000000-0005-0000-0000-0000E0810000}"/>
    <cellStyle name="Normal 8 5 3 3 2" xfId="32180" xr:uid="{00000000-0005-0000-0000-0000E1810000}"/>
    <cellStyle name="Normal 8 5 3 4" xfId="18412" xr:uid="{00000000-0005-0000-0000-0000E2810000}"/>
    <cellStyle name="Normal 8 5 3 4 2" xfId="38332" xr:uid="{00000000-0005-0000-0000-0000E3810000}"/>
    <cellStyle name="Normal 8 5 3 5" xfId="26027" xr:uid="{00000000-0005-0000-0000-0000E4810000}"/>
    <cellStyle name="Normal 8 5 4" xfId="7598" xr:uid="{00000000-0005-0000-0000-0000E5810000}"/>
    <cellStyle name="Normal 8 5 4 2" xfId="13792" xr:uid="{00000000-0005-0000-0000-0000E6810000}"/>
    <cellStyle name="Normal 8 5 4 2 2" xfId="33712" xr:uid="{00000000-0005-0000-0000-0000E7810000}"/>
    <cellStyle name="Normal 8 5 4 3" xfId="19944" xr:uid="{00000000-0005-0000-0000-0000E8810000}"/>
    <cellStyle name="Normal 8 5 4 3 2" xfId="39864" xr:uid="{00000000-0005-0000-0000-0000E9810000}"/>
    <cellStyle name="Normal 8 5 4 4" xfId="27559" xr:uid="{00000000-0005-0000-0000-0000EA810000}"/>
    <cellStyle name="Normal 8 5 5" xfId="10726" xr:uid="{00000000-0005-0000-0000-0000EB810000}"/>
    <cellStyle name="Normal 8 5 5 2" xfId="30646" xr:uid="{00000000-0005-0000-0000-0000EC810000}"/>
    <cellStyle name="Normal 8 5 6" xfId="16878" xr:uid="{00000000-0005-0000-0000-0000ED810000}"/>
    <cellStyle name="Normal 8 5 6 2" xfId="36798" xr:uid="{00000000-0005-0000-0000-0000EE810000}"/>
    <cellStyle name="Normal 8 5 7" xfId="24493" xr:uid="{00000000-0005-0000-0000-0000EF810000}"/>
    <cellStyle name="Normal 8 6" xfId="4017" xr:uid="{00000000-0005-0000-0000-0000F0810000}"/>
    <cellStyle name="Normal 8 6 2" xfId="5192" xr:uid="{00000000-0005-0000-0000-0000F1810000}"/>
    <cellStyle name="Normal 8 6 2 2" xfId="6817" xr:uid="{00000000-0005-0000-0000-0000F2810000}"/>
    <cellStyle name="Normal 8 6 2 2 2" xfId="9903" xr:uid="{00000000-0005-0000-0000-0000F3810000}"/>
    <cellStyle name="Normal 8 6 2 2 2 2" xfId="16096" xr:uid="{00000000-0005-0000-0000-0000F4810000}"/>
    <cellStyle name="Normal 8 6 2 2 2 2 2" xfId="36016" xr:uid="{00000000-0005-0000-0000-0000F5810000}"/>
    <cellStyle name="Normal 8 6 2 2 2 3" xfId="22248" xr:uid="{00000000-0005-0000-0000-0000F6810000}"/>
    <cellStyle name="Normal 8 6 2 2 2 3 2" xfId="42168" xr:uid="{00000000-0005-0000-0000-0000F7810000}"/>
    <cellStyle name="Normal 8 6 2 2 2 4" xfId="29863" xr:uid="{00000000-0005-0000-0000-0000F8810000}"/>
    <cellStyle name="Normal 8 6 2 2 3" xfId="13030" xr:uid="{00000000-0005-0000-0000-0000F9810000}"/>
    <cellStyle name="Normal 8 6 2 2 3 2" xfId="32950" xr:uid="{00000000-0005-0000-0000-0000FA810000}"/>
    <cellStyle name="Normal 8 6 2 2 4" xfId="19182" xr:uid="{00000000-0005-0000-0000-0000FB810000}"/>
    <cellStyle name="Normal 8 6 2 2 4 2" xfId="39102" xr:uid="{00000000-0005-0000-0000-0000FC810000}"/>
    <cellStyle name="Normal 8 6 2 2 5" xfId="26797" xr:uid="{00000000-0005-0000-0000-0000FD810000}"/>
    <cellStyle name="Normal 8 6 2 3" xfId="8368" xr:uid="{00000000-0005-0000-0000-0000FE810000}"/>
    <cellStyle name="Normal 8 6 2 3 2" xfId="14562" xr:uid="{00000000-0005-0000-0000-0000FF810000}"/>
    <cellStyle name="Normal 8 6 2 3 2 2" xfId="34482" xr:uid="{00000000-0005-0000-0000-000000820000}"/>
    <cellStyle name="Normal 8 6 2 3 3" xfId="20714" xr:uid="{00000000-0005-0000-0000-000001820000}"/>
    <cellStyle name="Normal 8 6 2 3 3 2" xfId="40634" xr:uid="{00000000-0005-0000-0000-000002820000}"/>
    <cellStyle name="Normal 8 6 2 3 4" xfId="28329" xr:uid="{00000000-0005-0000-0000-000003820000}"/>
    <cellStyle name="Normal 8 6 2 4" xfId="11496" xr:uid="{00000000-0005-0000-0000-000004820000}"/>
    <cellStyle name="Normal 8 6 2 4 2" xfId="31416" xr:uid="{00000000-0005-0000-0000-000005820000}"/>
    <cellStyle name="Normal 8 6 2 5" xfId="17648" xr:uid="{00000000-0005-0000-0000-000006820000}"/>
    <cellStyle name="Normal 8 6 2 5 2" xfId="37568" xr:uid="{00000000-0005-0000-0000-000007820000}"/>
    <cellStyle name="Normal 8 6 2 6" xfId="25263" xr:uid="{00000000-0005-0000-0000-000008820000}"/>
    <cellStyle name="Normal 8 6 3" xfId="6034" xr:uid="{00000000-0005-0000-0000-000009820000}"/>
    <cellStyle name="Normal 8 6 3 2" xfId="9134" xr:uid="{00000000-0005-0000-0000-00000A820000}"/>
    <cellStyle name="Normal 8 6 3 2 2" xfId="15327" xr:uid="{00000000-0005-0000-0000-00000B820000}"/>
    <cellStyle name="Normal 8 6 3 2 2 2" xfId="35247" xr:uid="{00000000-0005-0000-0000-00000C820000}"/>
    <cellStyle name="Normal 8 6 3 2 3" xfId="21479" xr:uid="{00000000-0005-0000-0000-00000D820000}"/>
    <cellStyle name="Normal 8 6 3 2 3 2" xfId="41399" xr:uid="{00000000-0005-0000-0000-00000E820000}"/>
    <cellStyle name="Normal 8 6 3 2 4" xfId="29094" xr:uid="{00000000-0005-0000-0000-00000F820000}"/>
    <cellStyle name="Normal 8 6 3 3" xfId="12261" xr:uid="{00000000-0005-0000-0000-000010820000}"/>
    <cellStyle name="Normal 8 6 3 3 2" xfId="32181" xr:uid="{00000000-0005-0000-0000-000011820000}"/>
    <cellStyle name="Normal 8 6 3 4" xfId="18413" xr:uid="{00000000-0005-0000-0000-000012820000}"/>
    <cellStyle name="Normal 8 6 3 4 2" xfId="38333" xr:uid="{00000000-0005-0000-0000-000013820000}"/>
    <cellStyle name="Normal 8 6 3 5" xfId="26028" xr:uid="{00000000-0005-0000-0000-000014820000}"/>
    <cellStyle name="Normal 8 6 4" xfId="7599" xr:uid="{00000000-0005-0000-0000-000015820000}"/>
    <cellStyle name="Normal 8 6 4 2" xfId="13793" xr:uid="{00000000-0005-0000-0000-000016820000}"/>
    <cellStyle name="Normal 8 6 4 2 2" xfId="33713" xr:uid="{00000000-0005-0000-0000-000017820000}"/>
    <cellStyle name="Normal 8 6 4 3" xfId="19945" xr:uid="{00000000-0005-0000-0000-000018820000}"/>
    <cellStyle name="Normal 8 6 4 3 2" xfId="39865" xr:uid="{00000000-0005-0000-0000-000019820000}"/>
    <cellStyle name="Normal 8 6 4 4" xfId="27560" xr:uid="{00000000-0005-0000-0000-00001A820000}"/>
    <cellStyle name="Normal 8 6 5" xfId="10727" xr:uid="{00000000-0005-0000-0000-00001B820000}"/>
    <cellStyle name="Normal 8 6 5 2" xfId="30647" xr:uid="{00000000-0005-0000-0000-00001C820000}"/>
    <cellStyle name="Normal 8 6 6" xfId="16879" xr:uid="{00000000-0005-0000-0000-00001D820000}"/>
    <cellStyle name="Normal 8 6 6 2" xfId="36799" xr:uid="{00000000-0005-0000-0000-00001E820000}"/>
    <cellStyle name="Normal 8 6 7" xfId="24494" xr:uid="{00000000-0005-0000-0000-00001F820000}"/>
    <cellStyle name="Normal 8 7" xfId="4018" xr:uid="{00000000-0005-0000-0000-000020820000}"/>
    <cellStyle name="Normal 8 7 2" xfId="5193" xr:uid="{00000000-0005-0000-0000-000021820000}"/>
    <cellStyle name="Normal 8 7 2 2" xfId="6818" xr:uid="{00000000-0005-0000-0000-000022820000}"/>
    <cellStyle name="Normal 8 7 2 2 2" xfId="9904" xr:uid="{00000000-0005-0000-0000-000023820000}"/>
    <cellStyle name="Normal 8 7 2 2 2 2" xfId="16097" xr:uid="{00000000-0005-0000-0000-000024820000}"/>
    <cellStyle name="Normal 8 7 2 2 2 2 2" xfId="36017" xr:uid="{00000000-0005-0000-0000-000025820000}"/>
    <cellStyle name="Normal 8 7 2 2 2 3" xfId="22249" xr:uid="{00000000-0005-0000-0000-000026820000}"/>
    <cellStyle name="Normal 8 7 2 2 2 3 2" xfId="42169" xr:uid="{00000000-0005-0000-0000-000027820000}"/>
    <cellStyle name="Normal 8 7 2 2 2 4" xfId="29864" xr:uid="{00000000-0005-0000-0000-000028820000}"/>
    <cellStyle name="Normal 8 7 2 2 3" xfId="13031" xr:uid="{00000000-0005-0000-0000-000029820000}"/>
    <cellStyle name="Normal 8 7 2 2 3 2" xfId="32951" xr:uid="{00000000-0005-0000-0000-00002A820000}"/>
    <cellStyle name="Normal 8 7 2 2 4" xfId="19183" xr:uid="{00000000-0005-0000-0000-00002B820000}"/>
    <cellStyle name="Normal 8 7 2 2 4 2" xfId="39103" xr:uid="{00000000-0005-0000-0000-00002C820000}"/>
    <cellStyle name="Normal 8 7 2 2 5" xfId="26798" xr:uid="{00000000-0005-0000-0000-00002D820000}"/>
    <cellStyle name="Normal 8 7 2 3" xfId="8369" xr:uid="{00000000-0005-0000-0000-00002E820000}"/>
    <cellStyle name="Normal 8 7 2 3 2" xfId="14563" xr:uid="{00000000-0005-0000-0000-00002F820000}"/>
    <cellStyle name="Normal 8 7 2 3 2 2" xfId="34483" xr:uid="{00000000-0005-0000-0000-000030820000}"/>
    <cellStyle name="Normal 8 7 2 3 3" xfId="20715" xr:uid="{00000000-0005-0000-0000-000031820000}"/>
    <cellStyle name="Normal 8 7 2 3 3 2" xfId="40635" xr:uid="{00000000-0005-0000-0000-000032820000}"/>
    <cellStyle name="Normal 8 7 2 3 4" xfId="28330" xr:uid="{00000000-0005-0000-0000-000033820000}"/>
    <cellStyle name="Normal 8 7 2 4" xfId="11497" xr:uid="{00000000-0005-0000-0000-000034820000}"/>
    <cellStyle name="Normal 8 7 2 4 2" xfId="31417" xr:uid="{00000000-0005-0000-0000-000035820000}"/>
    <cellStyle name="Normal 8 7 2 5" xfId="17649" xr:uid="{00000000-0005-0000-0000-000036820000}"/>
    <cellStyle name="Normal 8 7 2 5 2" xfId="37569" xr:uid="{00000000-0005-0000-0000-000037820000}"/>
    <cellStyle name="Normal 8 7 2 6" xfId="25264" xr:uid="{00000000-0005-0000-0000-000038820000}"/>
    <cellStyle name="Normal 8 7 3" xfId="6035" xr:uid="{00000000-0005-0000-0000-000039820000}"/>
    <cellStyle name="Normal 8 7 3 2" xfId="9135" xr:uid="{00000000-0005-0000-0000-00003A820000}"/>
    <cellStyle name="Normal 8 7 3 2 2" xfId="15328" xr:uid="{00000000-0005-0000-0000-00003B820000}"/>
    <cellStyle name="Normal 8 7 3 2 2 2" xfId="35248" xr:uid="{00000000-0005-0000-0000-00003C820000}"/>
    <cellStyle name="Normal 8 7 3 2 3" xfId="21480" xr:uid="{00000000-0005-0000-0000-00003D820000}"/>
    <cellStyle name="Normal 8 7 3 2 3 2" xfId="41400" xr:uid="{00000000-0005-0000-0000-00003E820000}"/>
    <cellStyle name="Normal 8 7 3 2 4" xfId="29095" xr:uid="{00000000-0005-0000-0000-00003F820000}"/>
    <cellStyle name="Normal 8 7 3 3" xfId="12262" xr:uid="{00000000-0005-0000-0000-000040820000}"/>
    <cellStyle name="Normal 8 7 3 3 2" xfId="32182" xr:uid="{00000000-0005-0000-0000-000041820000}"/>
    <cellStyle name="Normal 8 7 3 4" xfId="18414" xr:uid="{00000000-0005-0000-0000-000042820000}"/>
    <cellStyle name="Normal 8 7 3 4 2" xfId="38334" xr:uid="{00000000-0005-0000-0000-000043820000}"/>
    <cellStyle name="Normal 8 7 3 5" xfId="26029" xr:uid="{00000000-0005-0000-0000-000044820000}"/>
    <cellStyle name="Normal 8 7 4" xfId="7600" xr:uid="{00000000-0005-0000-0000-000045820000}"/>
    <cellStyle name="Normal 8 7 4 2" xfId="13794" xr:uid="{00000000-0005-0000-0000-000046820000}"/>
    <cellStyle name="Normal 8 7 4 2 2" xfId="33714" xr:uid="{00000000-0005-0000-0000-000047820000}"/>
    <cellStyle name="Normal 8 7 4 3" xfId="19946" xr:uid="{00000000-0005-0000-0000-000048820000}"/>
    <cellStyle name="Normal 8 7 4 3 2" xfId="39866" xr:uid="{00000000-0005-0000-0000-000049820000}"/>
    <cellStyle name="Normal 8 7 4 4" xfId="27561" xr:uid="{00000000-0005-0000-0000-00004A820000}"/>
    <cellStyle name="Normal 8 7 5" xfId="10728" xr:uid="{00000000-0005-0000-0000-00004B820000}"/>
    <cellStyle name="Normal 8 7 5 2" xfId="30648" xr:uid="{00000000-0005-0000-0000-00004C820000}"/>
    <cellStyle name="Normal 8 7 6" xfId="16880" xr:uid="{00000000-0005-0000-0000-00004D820000}"/>
    <cellStyle name="Normal 8 7 6 2" xfId="36800" xr:uid="{00000000-0005-0000-0000-00004E820000}"/>
    <cellStyle name="Normal 8 7 7" xfId="24495" xr:uid="{00000000-0005-0000-0000-00004F820000}"/>
    <cellStyle name="Normal 8 8" xfId="4019" xr:uid="{00000000-0005-0000-0000-000050820000}"/>
    <cellStyle name="Normal 8 8 2" xfId="5194" xr:uid="{00000000-0005-0000-0000-000051820000}"/>
    <cellStyle name="Normal 8 8 2 2" xfId="6819" xr:uid="{00000000-0005-0000-0000-000052820000}"/>
    <cellStyle name="Normal 8 8 2 2 2" xfId="9905" xr:uid="{00000000-0005-0000-0000-000053820000}"/>
    <cellStyle name="Normal 8 8 2 2 2 2" xfId="16098" xr:uid="{00000000-0005-0000-0000-000054820000}"/>
    <cellStyle name="Normal 8 8 2 2 2 2 2" xfId="36018" xr:uid="{00000000-0005-0000-0000-000055820000}"/>
    <cellStyle name="Normal 8 8 2 2 2 3" xfId="22250" xr:uid="{00000000-0005-0000-0000-000056820000}"/>
    <cellStyle name="Normal 8 8 2 2 2 3 2" xfId="42170" xr:uid="{00000000-0005-0000-0000-000057820000}"/>
    <cellStyle name="Normal 8 8 2 2 2 4" xfId="29865" xr:uid="{00000000-0005-0000-0000-000058820000}"/>
    <cellStyle name="Normal 8 8 2 2 3" xfId="13032" xr:uid="{00000000-0005-0000-0000-000059820000}"/>
    <cellStyle name="Normal 8 8 2 2 3 2" xfId="32952" xr:uid="{00000000-0005-0000-0000-00005A820000}"/>
    <cellStyle name="Normal 8 8 2 2 4" xfId="19184" xr:uid="{00000000-0005-0000-0000-00005B820000}"/>
    <cellStyle name="Normal 8 8 2 2 4 2" xfId="39104" xr:uid="{00000000-0005-0000-0000-00005C820000}"/>
    <cellStyle name="Normal 8 8 2 2 5" xfId="26799" xr:uid="{00000000-0005-0000-0000-00005D820000}"/>
    <cellStyle name="Normal 8 8 2 3" xfId="8370" xr:uid="{00000000-0005-0000-0000-00005E820000}"/>
    <cellStyle name="Normal 8 8 2 3 2" xfId="14564" xr:uid="{00000000-0005-0000-0000-00005F820000}"/>
    <cellStyle name="Normal 8 8 2 3 2 2" xfId="34484" xr:uid="{00000000-0005-0000-0000-000060820000}"/>
    <cellStyle name="Normal 8 8 2 3 3" xfId="20716" xr:uid="{00000000-0005-0000-0000-000061820000}"/>
    <cellStyle name="Normal 8 8 2 3 3 2" xfId="40636" xr:uid="{00000000-0005-0000-0000-000062820000}"/>
    <cellStyle name="Normal 8 8 2 3 4" xfId="28331" xr:uid="{00000000-0005-0000-0000-000063820000}"/>
    <cellStyle name="Normal 8 8 2 4" xfId="11498" xr:uid="{00000000-0005-0000-0000-000064820000}"/>
    <cellStyle name="Normal 8 8 2 4 2" xfId="31418" xr:uid="{00000000-0005-0000-0000-000065820000}"/>
    <cellStyle name="Normal 8 8 2 5" xfId="17650" xr:uid="{00000000-0005-0000-0000-000066820000}"/>
    <cellStyle name="Normal 8 8 2 5 2" xfId="37570" xr:uid="{00000000-0005-0000-0000-000067820000}"/>
    <cellStyle name="Normal 8 8 2 6" xfId="25265" xr:uid="{00000000-0005-0000-0000-000068820000}"/>
    <cellStyle name="Normal 8 8 3" xfId="6036" xr:uid="{00000000-0005-0000-0000-000069820000}"/>
    <cellStyle name="Normal 8 8 3 2" xfId="9136" xr:uid="{00000000-0005-0000-0000-00006A820000}"/>
    <cellStyle name="Normal 8 8 3 2 2" xfId="15329" xr:uid="{00000000-0005-0000-0000-00006B820000}"/>
    <cellStyle name="Normal 8 8 3 2 2 2" xfId="35249" xr:uid="{00000000-0005-0000-0000-00006C820000}"/>
    <cellStyle name="Normal 8 8 3 2 3" xfId="21481" xr:uid="{00000000-0005-0000-0000-00006D820000}"/>
    <cellStyle name="Normal 8 8 3 2 3 2" xfId="41401" xr:uid="{00000000-0005-0000-0000-00006E820000}"/>
    <cellStyle name="Normal 8 8 3 2 4" xfId="29096" xr:uid="{00000000-0005-0000-0000-00006F820000}"/>
    <cellStyle name="Normal 8 8 3 3" xfId="12263" xr:uid="{00000000-0005-0000-0000-000070820000}"/>
    <cellStyle name="Normal 8 8 3 3 2" xfId="32183" xr:uid="{00000000-0005-0000-0000-000071820000}"/>
    <cellStyle name="Normal 8 8 3 4" xfId="18415" xr:uid="{00000000-0005-0000-0000-000072820000}"/>
    <cellStyle name="Normal 8 8 3 4 2" xfId="38335" xr:uid="{00000000-0005-0000-0000-000073820000}"/>
    <cellStyle name="Normal 8 8 3 5" xfId="26030" xr:uid="{00000000-0005-0000-0000-000074820000}"/>
    <cellStyle name="Normal 8 8 4" xfId="7601" xr:uid="{00000000-0005-0000-0000-000075820000}"/>
    <cellStyle name="Normal 8 8 4 2" xfId="13795" xr:uid="{00000000-0005-0000-0000-000076820000}"/>
    <cellStyle name="Normal 8 8 4 2 2" xfId="33715" xr:uid="{00000000-0005-0000-0000-000077820000}"/>
    <cellStyle name="Normal 8 8 4 3" xfId="19947" xr:uid="{00000000-0005-0000-0000-000078820000}"/>
    <cellStyle name="Normal 8 8 4 3 2" xfId="39867" xr:uid="{00000000-0005-0000-0000-000079820000}"/>
    <cellStyle name="Normal 8 8 4 4" xfId="27562" xr:uid="{00000000-0005-0000-0000-00007A820000}"/>
    <cellStyle name="Normal 8 8 5" xfId="10729" xr:uid="{00000000-0005-0000-0000-00007B820000}"/>
    <cellStyle name="Normal 8 8 5 2" xfId="30649" xr:uid="{00000000-0005-0000-0000-00007C820000}"/>
    <cellStyle name="Normal 8 8 6" xfId="16881" xr:uid="{00000000-0005-0000-0000-00007D820000}"/>
    <cellStyle name="Normal 8 8 6 2" xfId="36801" xr:uid="{00000000-0005-0000-0000-00007E820000}"/>
    <cellStyle name="Normal 8 8 7" xfId="24496" xr:uid="{00000000-0005-0000-0000-00007F820000}"/>
    <cellStyle name="Normal 8 9" xfId="4020" xr:uid="{00000000-0005-0000-0000-000080820000}"/>
    <cellStyle name="Normal 8 9 2" xfId="5195" xr:uid="{00000000-0005-0000-0000-000081820000}"/>
    <cellStyle name="Normal 8 9 2 2" xfId="6820" xr:uid="{00000000-0005-0000-0000-000082820000}"/>
    <cellStyle name="Normal 8 9 2 2 2" xfId="9906" xr:uid="{00000000-0005-0000-0000-000083820000}"/>
    <cellStyle name="Normal 8 9 2 2 2 2" xfId="16099" xr:uid="{00000000-0005-0000-0000-000084820000}"/>
    <cellStyle name="Normal 8 9 2 2 2 2 2" xfId="36019" xr:uid="{00000000-0005-0000-0000-000085820000}"/>
    <cellStyle name="Normal 8 9 2 2 2 3" xfId="22251" xr:uid="{00000000-0005-0000-0000-000086820000}"/>
    <cellStyle name="Normal 8 9 2 2 2 3 2" xfId="42171" xr:uid="{00000000-0005-0000-0000-000087820000}"/>
    <cellStyle name="Normal 8 9 2 2 2 4" xfId="29866" xr:uid="{00000000-0005-0000-0000-000088820000}"/>
    <cellStyle name="Normal 8 9 2 2 3" xfId="13033" xr:uid="{00000000-0005-0000-0000-000089820000}"/>
    <cellStyle name="Normal 8 9 2 2 3 2" xfId="32953" xr:uid="{00000000-0005-0000-0000-00008A820000}"/>
    <cellStyle name="Normal 8 9 2 2 4" xfId="19185" xr:uid="{00000000-0005-0000-0000-00008B820000}"/>
    <cellStyle name="Normal 8 9 2 2 4 2" xfId="39105" xr:uid="{00000000-0005-0000-0000-00008C820000}"/>
    <cellStyle name="Normal 8 9 2 2 5" xfId="26800" xr:uid="{00000000-0005-0000-0000-00008D820000}"/>
    <cellStyle name="Normal 8 9 2 3" xfId="8371" xr:uid="{00000000-0005-0000-0000-00008E820000}"/>
    <cellStyle name="Normal 8 9 2 3 2" xfId="14565" xr:uid="{00000000-0005-0000-0000-00008F820000}"/>
    <cellStyle name="Normal 8 9 2 3 2 2" xfId="34485" xr:uid="{00000000-0005-0000-0000-000090820000}"/>
    <cellStyle name="Normal 8 9 2 3 3" xfId="20717" xr:uid="{00000000-0005-0000-0000-000091820000}"/>
    <cellStyle name="Normal 8 9 2 3 3 2" xfId="40637" xr:uid="{00000000-0005-0000-0000-000092820000}"/>
    <cellStyle name="Normal 8 9 2 3 4" xfId="28332" xr:uid="{00000000-0005-0000-0000-000093820000}"/>
    <cellStyle name="Normal 8 9 2 4" xfId="11499" xr:uid="{00000000-0005-0000-0000-000094820000}"/>
    <cellStyle name="Normal 8 9 2 4 2" xfId="31419" xr:uid="{00000000-0005-0000-0000-000095820000}"/>
    <cellStyle name="Normal 8 9 2 5" xfId="17651" xr:uid="{00000000-0005-0000-0000-000096820000}"/>
    <cellStyle name="Normal 8 9 2 5 2" xfId="37571" xr:uid="{00000000-0005-0000-0000-000097820000}"/>
    <cellStyle name="Normal 8 9 2 6" xfId="25266" xr:uid="{00000000-0005-0000-0000-000098820000}"/>
    <cellStyle name="Normal 8 9 3" xfId="6037" xr:uid="{00000000-0005-0000-0000-000099820000}"/>
    <cellStyle name="Normal 8 9 3 2" xfId="9137" xr:uid="{00000000-0005-0000-0000-00009A820000}"/>
    <cellStyle name="Normal 8 9 3 2 2" xfId="15330" xr:uid="{00000000-0005-0000-0000-00009B820000}"/>
    <cellStyle name="Normal 8 9 3 2 2 2" xfId="35250" xr:uid="{00000000-0005-0000-0000-00009C820000}"/>
    <cellStyle name="Normal 8 9 3 2 3" xfId="21482" xr:uid="{00000000-0005-0000-0000-00009D820000}"/>
    <cellStyle name="Normal 8 9 3 2 3 2" xfId="41402" xr:uid="{00000000-0005-0000-0000-00009E820000}"/>
    <cellStyle name="Normal 8 9 3 2 4" xfId="29097" xr:uid="{00000000-0005-0000-0000-00009F820000}"/>
    <cellStyle name="Normal 8 9 3 3" xfId="12264" xr:uid="{00000000-0005-0000-0000-0000A0820000}"/>
    <cellStyle name="Normal 8 9 3 3 2" xfId="32184" xr:uid="{00000000-0005-0000-0000-0000A1820000}"/>
    <cellStyle name="Normal 8 9 3 4" xfId="18416" xr:uid="{00000000-0005-0000-0000-0000A2820000}"/>
    <cellStyle name="Normal 8 9 3 4 2" xfId="38336" xr:uid="{00000000-0005-0000-0000-0000A3820000}"/>
    <cellStyle name="Normal 8 9 3 5" xfId="26031" xr:uid="{00000000-0005-0000-0000-0000A4820000}"/>
    <cellStyle name="Normal 8 9 4" xfId="7602" xr:uid="{00000000-0005-0000-0000-0000A5820000}"/>
    <cellStyle name="Normal 8 9 4 2" xfId="13796" xr:uid="{00000000-0005-0000-0000-0000A6820000}"/>
    <cellStyle name="Normal 8 9 4 2 2" xfId="33716" xr:uid="{00000000-0005-0000-0000-0000A7820000}"/>
    <cellStyle name="Normal 8 9 4 3" xfId="19948" xr:uid="{00000000-0005-0000-0000-0000A8820000}"/>
    <cellStyle name="Normal 8 9 4 3 2" xfId="39868" xr:uid="{00000000-0005-0000-0000-0000A9820000}"/>
    <cellStyle name="Normal 8 9 4 4" xfId="27563" xr:uid="{00000000-0005-0000-0000-0000AA820000}"/>
    <cellStyle name="Normal 8 9 5" xfId="10730" xr:uid="{00000000-0005-0000-0000-0000AB820000}"/>
    <cellStyle name="Normal 8 9 5 2" xfId="30650" xr:uid="{00000000-0005-0000-0000-0000AC820000}"/>
    <cellStyle name="Normal 8 9 6" xfId="16882" xr:uid="{00000000-0005-0000-0000-0000AD820000}"/>
    <cellStyle name="Normal 8 9 6 2" xfId="36802" xr:uid="{00000000-0005-0000-0000-0000AE820000}"/>
    <cellStyle name="Normal 8 9 7" xfId="24497" xr:uid="{00000000-0005-0000-0000-0000AF820000}"/>
    <cellStyle name="Normal 9" xfId="31" xr:uid="{00000000-0005-0000-0000-0000B0820000}"/>
    <cellStyle name="Normal 9 10" xfId="4022" xr:uid="{00000000-0005-0000-0000-0000B1820000}"/>
    <cellStyle name="Normal 9 10 2" xfId="5197" xr:uid="{00000000-0005-0000-0000-0000B2820000}"/>
    <cellStyle name="Normal 9 10 2 2" xfId="6822" xr:uid="{00000000-0005-0000-0000-0000B3820000}"/>
    <cellStyle name="Normal 9 10 2 2 2" xfId="9908" xr:uid="{00000000-0005-0000-0000-0000B4820000}"/>
    <cellStyle name="Normal 9 10 2 2 2 2" xfId="16101" xr:uid="{00000000-0005-0000-0000-0000B5820000}"/>
    <cellStyle name="Normal 9 10 2 2 2 2 2" xfId="36021" xr:uid="{00000000-0005-0000-0000-0000B6820000}"/>
    <cellStyle name="Normal 9 10 2 2 2 3" xfId="22253" xr:uid="{00000000-0005-0000-0000-0000B7820000}"/>
    <cellStyle name="Normal 9 10 2 2 2 3 2" xfId="42173" xr:uid="{00000000-0005-0000-0000-0000B8820000}"/>
    <cellStyle name="Normal 9 10 2 2 2 4" xfId="29868" xr:uid="{00000000-0005-0000-0000-0000B9820000}"/>
    <cellStyle name="Normal 9 10 2 2 3" xfId="13035" xr:uid="{00000000-0005-0000-0000-0000BA820000}"/>
    <cellStyle name="Normal 9 10 2 2 3 2" xfId="32955" xr:uid="{00000000-0005-0000-0000-0000BB820000}"/>
    <cellStyle name="Normal 9 10 2 2 4" xfId="19187" xr:uid="{00000000-0005-0000-0000-0000BC820000}"/>
    <cellStyle name="Normal 9 10 2 2 4 2" xfId="39107" xr:uid="{00000000-0005-0000-0000-0000BD820000}"/>
    <cellStyle name="Normal 9 10 2 2 5" xfId="26802" xr:uid="{00000000-0005-0000-0000-0000BE820000}"/>
    <cellStyle name="Normal 9 10 2 3" xfId="8373" xr:uid="{00000000-0005-0000-0000-0000BF820000}"/>
    <cellStyle name="Normal 9 10 2 3 2" xfId="14567" xr:uid="{00000000-0005-0000-0000-0000C0820000}"/>
    <cellStyle name="Normal 9 10 2 3 2 2" xfId="34487" xr:uid="{00000000-0005-0000-0000-0000C1820000}"/>
    <cellStyle name="Normal 9 10 2 3 3" xfId="20719" xr:uid="{00000000-0005-0000-0000-0000C2820000}"/>
    <cellStyle name="Normal 9 10 2 3 3 2" xfId="40639" xr:uid="{00000000-0005-0000-0000-0000C3820000}"/>
    <cellStyle name="Normal 9 10 2 3 4" xfId="28334" xr:uid="{00000000-0005-0000-0000-0000C4820000}"/>
    <cellStyle name="Normal 9 10 2 4" xfId="11501" xr:uid="{00000000-0005-0000-0000-0000C5820000}"/>
    <cellStyle name="Normal 9 10 2 4 2" xfId="31421" xr:uid="{00000000-0005-0000-0000-0000C6820000}"/>
    <cellStyle name="Normal 9 10 2 5" xfId="17653" xr:uid="{00000000-0005-0000-0000-0000C7820000}"/>
    <cellStyle name="Normal 9 10 2 5 2" xfId="37573" xr:uid="{00000000-0005-0000-0000-0000C8820000}"/>
    <cellStyle name="Normal 9 10 2 6" xfId="25268" xr:uid="{00000000-0005-0000-0000-0000C9820000}"/>
    <cellStyle name="Normal 9 10 3" xfId="6039" xr:uid="{00000000-0005-0000-0000-0000CA820000}"/>
    <cellStyle name="Normal 9 10 3 2" xfId="9139" xr:uid="{00000000-0005-0000-0000-0000CB820000}"/>
    <cellStyle name="Normal 9 10 3 2 2" xfId="15332" xr:uid="{00000000-0005-0000-0000-0000CC820000}"/>
    <cellStyle name="Normal 9 10 3 2 2 2" xfId="35252" xr:uid="{00000000-0005-0000-0000-0000CD820000}"/>
    <cellStyle name="Normal 9 10 3 2 3" xfId="21484" xr:uid="{00000000-0005-0000-0000-0000CE820000}"/>
    <cellStyle name="Normal 9 10 3 2 3 2" xfId="41404" xr:uid="{00000000-0005-0000-0000-0000CF820000}"/>
    <cellStyle name="Normal 9 10 3 2 4" xfId="29099" xr:uid="{00000000-0005-0000-0000-0000D0820000}"/>
    <cellStyle name="Normal 9 10 3 3" xfId="12266" xr:uid="{00000000-0005-0000-0000-0000D1820000}"/>
    <cellStyle name="Normal 9 10 3 3 2" xfId="32186" xr:uid="{00000000-0005-0000-0000-0000D2820000}"/>
    <cellStyle name="Normal 9 10 3 4" xfId="18418" xr:uid="{00000000-0005-0000-0000-0000D3820000}"/>
    <cellStyle name="Normal 9 10 3 4 2" xfId="38338" xr:uid="{00000000-0005-0000-0000-0000D4820000}"/>
    <cellStyle name="Normal 9 10 3 5" xfId="26033" xr:uid="{00000000-0005-0000-0000-0000D5820000}"/>
    <cellStyle name="Normal 9 10 4" xfId="7604" xr:uid="{00000000-0005-0000-0000-0000D6820000}"/>
    <cellStyle name="Normal 9 10 4 2" xfId="13798" xr:uid="{00000000-0005-0000-0000-0000D7820000}"/>
    <cellStyle name="Normal 9 10 4 2 2" xfId="33718" xr:uid="{00000000-0005-0000-0000-0000D8820000}"/>
    <cellStyle name="Normal 9 10 4 3" xfId="19950" xr:uid="{00000000-0005-0000-0000-0000D9820000}"/>
    <cellStyle name="Normal 9 10 4 3 2" xfId="39870" xr:uid="{00000000-0005-0000-0000-0000DA820000}"/>
    <cellStyle name="Normal 9 10 4 4" xfId="27565" xr:uid="{00000000-0005-0000-0000-0000DB820000}"/>
    <cellStyle name="Normal 9 10 5" xfId="10732" xr:uid="{00000000-0005-0000-0000-0000DC820000}"/>
    <cellStyle name="Normal 9 10 5 2" xfId="30652" xr:uid="{00000000-0005-0000-0000-0000DD820000}"/>
    <cellStyle name="Normal 9 10 6" xfId="16884" xr:uid="{00000000-0005-0000-0000-0000DE820000}"/>
    <cellStyle name="Normal 9 10 6 2" xfId="36804" xr:uid="{00000000-0005-0000-0000-0000DF820000}"/>
    <cellStyle name="Normal 9 10 7" xfId="24499" xr:uid="{00000000-0005-0000-0000-0000E0820000}"/>
    <cellStyle name="Normal 9 11" xfId="4023" xr:uid="{00000000-0005-0000-0000-0000E1820000}"/>
    <cellStyle name="Normal 9 11 2" xfId="5198" xr:uid="{00000000-0005-0000-0000-0000E2820000}"/>
    <cellStyle name="Normal 9 11 2 2" xfId="6823" xr:uid="{00000000-0005-0000-0000-0000E3820000}"/>
    <cellStyle name="Normal 9 11 2 2 2" xfId="9909" xr:uid="{00000000-0005-0000-0000-0000E4820000}"/>
    <cellStyle name="Normal 9 11 2 2 2 2" xfId="16102" xr:uid="{00000000-0005-0000-0000-0000E5820000}"/>
    <cellStyle name="Normal 9 11 2 2 2 2 2" xfId="36022" xr:uid="{00000000-0005-0000-0000-0000E6820000}"/>
    <cellStyle name="Normal 9 11 2 2 2 3" xfId="22254" xr:uid="{00000000-0005-0000-0000-0000E7820000}"/>
    <cellStyle name="Normal 9 11 2 2 2 3 2" xfId="42174" xr:uid="{00000000-0005-0000-0000-0000E8820000}"/>
    <cellStyle name="Normal 9 11 2 2 2 4" xfId="29869" xr:uid="{00000000-0005-0000-0000-0000E9820000}"/>
    <cellStyle name="Normal 9 11 2 2 3" xfId="13036" xr:uid="{00000000-0005-0000-0000-0000EA820000}"/>
    <cellStyle name="Normal 9 11 2 2 3 2" xfId="32956" xr:uid="{00000000-0005-0000-0000-0000EB820000}"/>
    <cellStyle name="Normal 9 11 2 2 4" xfId="19188" xr:uid="{00000000-0005-0000-0000-0000EC820000}"/>
    <cellStyle name="Normal 9 11 2 2 4 2" xfId="39108" xr:uid="{00000000-0005-0000-0000-0000ED820000}"/>
    <cellStyle name="Normal 9 11 2 2 5" xfId="26803" xr:uid="{00000000-0005-0000-0000-0000EE820000}"/>
    <cellStyle name="Normal 9 11 2 3" xfId="8374" xr:uid="{00000000-0005-0000-0000-0000EF820000}"/>
    <cellStyle name="Normal 9 11 2 3 2" xfId="14568" xr:uid="{00000000-0005-0000-0000-0000F0820000}"/>
    <cellStyle name="Normal 9 11 2 3 2 2" xfId="34488" xr:uid="{00000000-0005-0000-0000-0000F1820000}"/>
    <cellStyle name="Normal 9 11 2 3 3" xfId="20720" xr:uid="{00000000-0005-0000-0000-0000F2820000}"/>
    <cellStyle name="Normal 9 11 2 3 3 2" xfId="40640" xr:uid="{00000000-0005-0000-0000-0000F3820000}"/>
    <cellStyle name="Normal 9 11 2 3 4" xfId="28335" xr:uid="{00000000-0005-0000-0000-0000F4820000}"/>
    <cellStyle name="Normal 9 11 2 4" xfId="11502" xr:uid="{00000000-0005-0000-0000-0000F5820000}"/>
    <cellStyle name="Normal 9 11 2 4 2" xfId="31422" xr:uid="{00000000-0005-0000-0000-0000F6820000}"/>
    <cellStyle name="Normal 9 11 2 5" xfId="17654" xr:uid="{00000000-0005-0000-0000-0000F7820000}"/>
    <cellStyle name="Normal 9 11 2 5 2" xfId="37574" xr:uid="{00000000-0005-0000-0000-0000F8820000}"/>
    <cellStyle name="Normal 9 11 2 6" xfId="25269" xr:uid="{00000000-0005-0000-0000-0000F9820000}"/>
    <cellStyle name="Normal 9 11 3" xfId="6040" xr:uid="{00000000-0005-0000-0000-0000FA820000}"/>
    <cellStyle name="Normal 9 11 3 2" xfId="9140" xr:uid="{00000000-0005-0000-0000-0000FB820000}"/>
    <cellStyle name="Normal 9 11 3 2 2" xfId="15333" xr:uid="{00000000-0005-0000-0000-0000FC820000}"/>
    <cellStyle name="Normal 9 11 3 2 2 2" xfId="35253" xr:uid="{00000000-0005-0000-0000-0000FD820000}"/>
    <cellStyle name="Normal 9 11 3 2 3" xfId="21485" xr:uid="{00000000-0005-0000-0000-0000FE820000}"/>
    <cellStyle name="Normal 9 11 3 2 3 2" xfId="41405" xr:uid="{00000000-0005-0000-0000-0000FF820000}"/>
    <cellStyle name="Normal 9 11 3 2 4" xfId="29100" xr:uid="{00000000-0005-0000-0000-000000830000}"/>
    <cellStyle name="Normal 9 11 3 3" xfId="12267" xr:uid="{00000000-0005-0000-0000-000001830000}"/>
    <cellStyle name="Normal 9 11 3 3 2" xfId="32187" xr:uid="{00000000-0005-0000-0000-000002830000}"/>
    <cellStyle name="Normal 9 11 3 4" xfId="18419" xr:uid="{00000000-0005-0000-0000-000003830000}"/>
    <cellStyle name="Normal 9 11 3 4 2" xfId="38339" xr:uid="{00000000-0005-0000-0000-000004830000}"/>
    <cellStyle name="Normal 9 11 3 5" xfId="26034" xr:uid="{00000000-0005-0000-0000-000005830000}"/>
    <cellStyle name="Normal 9 11 4" xfId="7605" xr:uid="{00000000-0005-0000-0000-000006830000}"/>
    <cellStyle name="Normal 9 11 4 2" xfId="13799" xr:uid="{00000000-0005-0000-0000-000007830000}"/>
    <cellStyle name="Normal 9 11 4 2 2" xfId="33719" xr:uid="{00000000-0005-0000-0000-000008830000}"/>
    <cellStyle name="Normal 9 11 4 3" xfId="19951" xr:uid="{00000000-0005-0000-0000-000009830000}"/>
    <cellStyle name="Normal 9 11 4 3 2" xfId="39871" xr:uid="{00000000-0005-0000-0000-00000A830000}"/>
    <cellStyle name="Normal 9 11 4 4" xfId="27566" xr:uid="{00000000-0005-0000-0000-00000B830000}"/>
    <cellStyle name="Normal 9 11 5" xfId="10733" xr:uid="{00000000-0005-0000-0000-00000C830000}"/>
    <cellStyle name="Normal 9 11 5 2" xfId="30653" xr:uid="{00000000-0005-0000-0000-00000D830000}"/>
    <cellStyle name="Normal 9 11 6" xfId="16885" xr:uid="{00000000-0005-0000-0000-00000E830000}"/>
    <cellStyle name="Normal 9 11 6 2" xfId="36805" xr:uid="{00000000-0005-0000-0000-00000F830000}"/>
    <cellStyle name="Normal 9 11 7" xfId="24500" xr:uid="{00000000-0005-0000-0000-000010830000}"/>
    <cellStyle name="Normal 9 12" xfId="4024" xr:uid="{00000000-0005-0000-0000-000011830000}"/>
    <cellStyle name="Normal 9 12 2" xfId="5199" xr:uid="{00000000-0005-0000-0000-000012830000}"/>
    <cellStyle name="Normal 9 12 2 2" xfId="6824" xr:uid="{00000000-0005-0000-0000-000013830000}"/>
    <cellStyle name="Normal 9 12 2 2 2" xfId="9910" xr:uid="{00000000-0005-0000-0000-000014830000}"/>
    <cellStyle name="Normal 9 12 2 2 2 2" xfId="16103" xr:uid="{00000000-0005-0000-0000-000015830000}"/>
    <cellStyle name="Normal 9 12 2 2 2 2 2" xfId="36023" xr:uid="{00000000-0005-0000-0000-000016830000}"/>
    <cellStyle name="Normal 9 12 2 2 2 3" xfId="22255" xr:uid="{00000000-0005-0000-0000-000017830000}"/>
    <cellStyle name="Normal 9 12 2 2 2 3 2" xfId="42175" xr:uid="{00000000-0005-0000-0000-000018830000}"/>
    <cellStyle name="Normal 9 12 2 2 2 4" xfId="29870" xr:uid="{00000000-0005-0000-0000-000019830000}"/>
    <cellStyle name="Normal 9 12 2 2 3" xfId="13037" xr:uid="{00000000-0005-0000-0000-00001A830000}"/>
    <cellStyle name="Normal 9 12 2 2 3 2" xfId="32957" xr:uid="{00000000-0005-0000-0000-00001B830000}"/>
    <cellStyle name="Normal 9 12 2 2 4" xfId="19189" xr:uid="{00000000-0005-0000-0000-00001C830000}"/>
    <cellStyle name="Normal 9 12 2 2 4 2" xfId="39109" xr:uid="{00000000-0005-0000-0000-00001D830000}"/>
    <cellStyle name="Normal 9 12 2 2 5" xfId="26804" xr:uid="{00000000-0005-0000-0000-00001E830000}"/>
    <cellStyle name="Normal 9 12 2 3" xfId="8375" xr:uid="{00000000-0005-0000-0000-00001F830000}"/>
    <cellStyle name="Normal 9 12 2 3 2" xfId="14569" xr:uid="{00000000-0005-0000-0000-000020830000}"/>
    <cellStyle name="Normal 9 12 2 3 2 2" xfId="34489" xr:uid="{00000000-0005-0000-0000-000021830000}"/>
    <cellStyle name="Normal 9 12 2 3 3" xfId="20721" xr:uid="{00000000-0005-0000-0000-000022830000}"/>
    <cellStyle name="Normal 9 12 2 3 3 2" xfId="40641" xr:uid="{00000000-0005-0000-0000-000023830000}"/>
    <cellStyle name="Normal 9 12 2 3 4" xfId="28336" xr:uid="{00000000-0005-0000-0000-000024830000}"/>
    <cellStyle name="Normal 9 12 2 4" xfId="11503" xr:uid="{00000000-0005-0000-0000-000025830000}"/>
    <cellStyle name="Normal 9 12 2 4 2" xfId="31423" xr:uid="{00000000-0005-0000-0000-000026830000}"/>
    <cellStyle name="Normal 9 12 2 5" xfId="17655" xr:uid="{00000000-0005-0000-0000-000027830000}"/>
    <cellStyle name="Normal 9 12 2 5 2" xfId="37575" xr:uid="{00000000-0005-0000-0000-000028830000}"/>
    <cellStyle name="Normal 9 12 2 6" xfId="25270" xr:uid="{00000000-0005-0000-0000-000029830000}"/>
    <cellStyle name="Normal 9 12 3" xfId="6041" xr:uid="{00000000-0005-0000-0000-00002A830000}"/>
    <cellStyle name="Normal 9 12 3 2" xfId="9141" xr:uid="{00000000-0005-0000-0000-00002B830000}"/>
    <cellStyle name="Normal 9 12 3 2 2" xfId="15334" xr:uid="{00000000-0005-0000-0000-00002C830000}"/>
    <cellStyle name="Normal 9 12 3 2 2 2" xfId="35254" xr:uid="{00000000-0005-0000-0000-00002D830000}"/>
    <cellStyle name="Normal 9 12 3 2 3" xfId="21486" xr:uid="{00000000-0005-0000-0000-00002E830000}"/>
    <cellStyle name="Normal 9 12 3 2 3 2" xfId="41406" xr:uid="{00000000-0005-0000-0000-00002F830000}"/>
    <cellStyle name="Normal 9 12 3 2 4" xfId="29101" xr:uid="{00000000-0005-0000-0000-000030830000}"/>
    <cellStyle name="Normal 9 12 3 3" xfId="12268" xr:uid="{00000000-0005-0000-0000-000031830000}"/>
    <cellStyle name="Normal 9 12 3 3 2" xfId="32188" xr:uid="{00000000-0005-0000-0000-000032830000}"/>
    <cellStyle name="Normal 9 12 3 4" xfId="18420" xr:uid="{00000000-0005-0000-0000-000033830000}"/>
    <cellStyle name="Normal 9 12 3 4 2" xfId="38340" xr:uid="{00000000-0005-0000-0000-000034830000}"/>
    <cellStyle name="Normal 9 12 3 5" xfId="26035" xr:uid="{00000000-0005-0000-0000-000035830000}"/>
    <cellStyle name="Normal 9 12 4" xfId="7606" xr:uid="{00000000-0005-0000-0000-000036830000}"/>
    <cellStyle name="Normal 9 12 4 2" xfId="13800" xr:uid="{00000000-0005-0000-0000-000037830000}"/>
    <cellStyle name="Normal 9 12 4 2 2" xfId="33720" xr:uid="{00000000-0005-0000-0000-000038830000}"/>
    <cellStyle name="Normal 9 12 4 3" xfId="19952" xr:uid="{00000000-0005-0000-0000-000039830000}"/>
    <cellStyle name="Normal 9 12 4 3 2" xfId="39872" xr:uid="{00000000-0005-0000-0000-00003A830000}"/>
    <cellStyle name="Normal 9 12 4 4" xfId="27567" xr:uid="{00000000-0005-0000-0000-00003B830000}"/>
    <cellStyle name="Normal 9 12 5" xfId="10734" xr:uid="{00000000-0005-0000-0000-00003C830000}"/>
    <cellStyle name="Normal 9 12 5 2" xfId="30654" xr:uid="{00000000-0005-0000-0000-00003D830000}"/>
    <cellStyle name="Normal 9 12 6" xfId="16886" xr:uid="{00000000-0005-0000-0000-00003E830000}"/>
    <cellStyle name="Normal 9 12 6 2" xfId="36806" xr:uid="{00000000-0005-0000-0000-00003F830000}"/>
    <cellStyle name="Normal 9 12 7" xfId="24501" xr:uid="{00000000-0005-0000-0000-000040830000}"/>
    <cellStyle name="Normal 9 13" xfId="4025" xr:uid="{00000000-0005-0000-0000-000041830000}"/>
    <cellStyle name="Normal 9 13 2" xfId="5200" xr:uid="{00000000-0005-0000-0000-000042830000}"/>
    <cellStyle name="Normal 9 13 2 2" xfId="6825" xr:uid="{00000000-0005-0000-0000-000043830000}"/>
    <cellStyle name="Normal 9 13 2 2 2" xfId="9911" xr:uid="{00000000-0005-0000-0000-000044830000}"/>
    <cellStyle name="Normal 9 13 2 2 2 2" xfId="16104" xr:uid="{00000000-0005-0000-0000-000045830000}"/>
    <cellStyle name="Normal 9 13 2 2 2 2 2" xfId="36024" xr:uid="{00000000-0005-0000-0000-000046830000}"/>
    <cellStyle name="Normal 9 13 2 2 2 3" xfId="22256" xr:uid="{00000000-0005-0000-0000-000047830000}"/>
    <cellStyle name="Normal 9 13 2 2 2 3 2" xfId="42176" xr:uid="{00000000-0005-0000-0000-000048830000}"/>
    <cellStyle name="Normal 9 13 2 2 2 4" xfId="29871" xr:uid="{00000000-0005-0000-0000-000049830000}"/>
    <cellStyle name="Normal 9 13 2 2 3" xfId="13038" xr:uid="{00000000-0005-0000-0000-00004A830000}"/>
    <cellStyle name="Normal 9 13 2 2 3 2" xfId="32958" xr:uid="{00000000-0005-0000-0000-00004B830000}"/>
    <cellStyle name="Normal 9 13 2 2 4" xfId="19190" xr:uid="{00000000-0005-0000-0000-00004C830000}"/>
    <cellStyle name="Normal 9 13 2 2 4 2" xfId="39110" xr:uid="{00000000-0005-0000-0000-00004D830000}"/>
    <cellStyle name="Normal 9 13 2 2 5" xfId="26805" xr:uid="{00000000-0005-0000-0000-00004E830000}"/>
    <cellStyle name="Normal 9 13 2 3" xfId="8376" xr:uid="{00000000-0005-0000-0000-00004F830000}"/>
    <cellStyle name="Normal 9 13 2 3 2" xfId="14570" xr:uid="{00000000-0005-0000-0000-000050830000}"/>
    <cellStyle name="Normal 9 13 2 3 2 2" xfId="34490" xr:uid="{00000000-0005-0000-0000-000051830000}"/>
    <cellStyle name="Normal 9 13 2 3 3" xfId="20722" xr:uid="{00000000-0005-0000-0000-000052830000}"/>
    <cellStyle name="Normal 9 13 2 3 3 2" xfId="40642" xr:uid="{00000000-0005-0000-0000-000053830000}"/>
    <cellStyle name="Normal 9 13 2 3 4" xfId="28337" xr:uid="{00000000-0005-0000-0000-000054830000}"/>
    <cellStyle name="Normal 9 13 2 4" xfId="11504" xr:uid="{00000000-0005-0000-0000-000055830000}"/>
    <cellStyle name="Normal 9 13 2 4 2" xfId="31424" xr:uid="{00000000-0005-0000-0000-000056830000}"/>
    <cellStyle name="Normal 9 13 2 5" xfId="17656" xr:uid="{00000000-0005-0000-0000-000057830000}"/>
    <cellStyle name="Normal 9 13 2 5 2" xfId="37576" xr:uid="{00000000-0005-0000-0000-000058830000}"/>
    <cellStyle name="Normal 9 13 2 6" xfId="25271" xr:uid="{00000000-0005-0000-0000-000059830000}"/>
    <cellStyle name="Normal 9 13 3" xfId="6042" xr:uid="{00000000-0005-0000-0000-00005A830000}"/>
    <cellStyle name="Normal 9 13 3 2" xfId="9142" xr:uid="{00000000-0005-0000-0000-00005B830000}"/>
    <cellStyle name="Normal 9 13 3 2 2" xfId="15335" xr:uid="{00000000-0005-0000-0000-00005C830000}"/>
    <cellStyle name="Normal 9 13 3 2 2 2" xfId="35255" xr:uid="{00000000-0005-0000-0000-00005D830000}"/>
    <cellStyle name="Normal 9 13 3 2 3" xfId="21487" xr:uid="{00000000-0005-0000-0000-00005E830000}"/>
    <cellStyle name="Normal 9 13 3 2 3 2" xfId="41407" xr:uid="{00000000-0005-0000-0000-00005F830000}"/>
    <cellStyle name="Normal 9 13 3 2 4" xfId="29102" xr:uid="{00000000-0005-0000-0000-000060830000}"/>
    <cellStyle name="Normal 9 13 3 3" xfId="12269" xr:uid="{00000000-0005-0000-0000-000061830000}"/>
    <cellStyle name="Normal 9 13 3 3 2" xfId="32189" xr:uid="{00000000-0005-0000-0000-000062830000}"/>
    <cellStyle name="Normal 9 13 3 4" xfId="18421" xr:uid="{00000000-0005-0000-0000-000063830000}"/>
    <cellStyle name="Normal 9 13 3 4 2" xfId="38341" xr:uid="{00000000-0005-0000-0000-000064830000}"/>
    <cellStyle name="Normal 9 13 3 5" xfId="26036" xr:uid="{00000000-0005-0000-0000-000065830000}"/>
    <cellStyle name="Normal 9 13 4" xfId="7607" xr:uid="{00000000-0005-0000-0000-000066830000}"/>
    <cellStyle name="Normal 9 13 4 2" xfId="13801" xr:uid="{00000000-0005-0000-0000-000067830000}"/>
    <cellStyle name="Normal 9 13 4 2 2" xfId="33721" xr:uid="{00000000-0005-0000-0000-000068830000}"/>
    <cellStyle name="Normal 9 13 4 3" xfId="19953" xr:uid="{00000000-0005-0000-0000-000069830000}"/>
    <cellStyle name="Normal 9 13 4 3 2" xfId="39873" xr:uid="{00000000-0005-0000-0000-00006A830000}"/>
    <cellStyle name="Normal 9 13 4 4" xfId="27568" xr:uid="{00000000-0005-0000-0000-00006B830000}"/>
    <cellStyle name="Normal 9 13 5" xfId="10735" xr:uid="{00000000-0005-0000-0000-00006C830000}"/>
    <cellStyle name="Normal 9 13 5 2" xfId="30655" xr:uid="{00000000-0005-0000-0000-00006D830000}"/>
    <cellStyle name="Normal 9 13 6" xfId="16887" xr:uid="{00000000-0005-0000-0000-00006E830000}"/>
    <cellStyle name="Normal 9 13 6 2" xfId="36807" xr:uid="{00000000-0005-0000-0000-00006F830000}"/>
    <cellStyle name="Normal 9 13 7" xfId="24502" xr:uid="{00000000-0005-0000-0000-000070830000}"/>
    <cellStyle name="Normal 9 14" xfId="4026" xr:uid="{00000000-0005-0000-0000-000071830000}"/>
    <cellStyle name="Normal 9 14 2" xfId="5201" xr:uid="{00000000-0005-0000-0000-000072830000}"/>
    <cellStyle name="Normal 9 14 2 2" xfId="6826" xr:uid="{00000000-0005-0000-0000-000073830000}"/>
    <cellStyle name="Normal 9 14 2 2 2" xfId="9912" xr:uid="{00000000-0005-0000-0000-000074830000}"/>
    <cellStyle name="Normal 9 14 2 2 2 2" xfId="16105" xr:uid="{00000000-0005-0000-0000-000075830000}"/>
    <cellStyle name="Normal 9 14 2 2 2 2 2" xfId="36025" xr:uid="{00000000-0005-0000-0000-000076830000}"/>
    <cellStyle name="Normal 9 14 2 2 2 3" xfId="22257" xr:uid="{00000000-0005-0000-0000-000077830000}"/>
    <cellStyle name="Normal 9 14 2 2 2 3 2" xfId="42177" xr:uid="{00000000-0005-0000-0000-000078830000}"/>
    <cellStyle name="Normal 9 14 2 2 2 4" xfId="29872" xr:uid="{00000000-0005-0000-0000-000079830000}"/>
    <cellStyle name="Normal 9 14 2 2 3" xfId="13039" xr:uid="{00000000-0005-0000-0000-00007A830000}"/>
    <cellStyle name="Normal 9 14 2 2 3 2" xfId="32959" xr:uid="{00000000-0005-0000-0000-00007B830000}"/>
    <cellStyle name="Normal 9 14 2 2 4" xfId="19191" xr:uid="{00000000-0005-0000-0000-00007C830000}"/>
    <cellStyle name="Normal 9 14 2 2 4 2" xfId="39111" xr:uid="{00000000-0005-0000-0000-00007D830000}"/>
    <cellStyle name="Normal 9 14 2 2 5" xfId="26806" xr:uid="{00000000-0005-0000-0000-00007E830000}"/>
    <cellStyle name="Normal 9 14 2 3" xfId="8377" xr:uid="{00000000-0005-0000-0000-00007F830000}"/>
    <cellStyle name="Normal 9 14 2 3 2" xfId="14571" xr:uid="{00000000-0005-0000-0000-000080830000}"/>
    <cellStyle name="Normal 9 14 2 3 2 2" xfId="34491" xr:uid="{00000000-0005-0000-0000-000081830000}"/>
    <cellStyle name="Normal 9 14 2 3 3" xfId="20723" xr:uid="{00000000-0005-0000-0000-000082830000}"/>
    <cellStyle name="Normal 9 14 2 3 3 2" xfId="40643" xr:uid="{00000000-0005-0000-0000-000083830000}"/>
    <cellStyle name="Normal 9 14 2 3 4" xfId="28338" xr:uid="{00000000-0005-0000-0000-000084830000}"/>
    <cellStyle name="Normal 9 14 2 4" xfId="11505" xr:uid="{00000000-0005-0000-0000-000085830000}"/>
    <cellStyle name="Normal 9 14 2 4 2" xfId="31425" xr:uid="{00000000-0005-0000-0000-000086830000}"/>
    <cellStyle name="Normal 9 14 2 5" xfId="17657" xr:uid="{00000000-0005-0000-0000-000087830000}"/>
    <cellStyle name="Normal 9 14 2 5 2" xfId="37577" xr:uid="{00000000-0005-0000-0000-000088830000}"/>
    <cellStyle name="Normal 9 14 2 6" xfId="25272" xr:uid="{00000000-0005-0000-0000-000089830000}"/>
    <cellStyle name="Normal 9 14 3" xfId="6043" xr:uid="{00000000-0005-0000-0000-00008A830000}"/>
    <cellStyle name="Normal 9 14 3 2" xfId="9143" xr:uid="{00000000-0005-0000-0000-00008B830000}"/>
    <cellStyle name="Normal 9 14 3 2 2" xfId="15336" xr:uid="{00000000-0005-0000-0000-00008C830000}"/>
    <cellStyle name="Normal 9 14 3 2 2 2" xfId="35256" xr:uid="{00000000-0005-0000-0000-00008D830000}"/>
    <cellStyle name="Normal 9 14 3 2 3" xfId="21488" xr:uid="{00000000-0005-0000-0000-00008E830000}"/>
    <cellStyle name="Normal 9 14 3 2 3 2" xfId="41408" xr:uid="{00000000-0005-0000-0000-00008F830000}"/>
    <cellStyle name="Normal 9 14 3 2 4" xfId="29103" xr:uid="{00000000-0005-0000-0000-000090830000}"/>
    <cellStyle name="Normal 9 14 3 3" xfId="12270" xr:uid="{00000000-0005-0000-0000-000091830000}"/>
    <cellStyle name="Normal 9 14 3 3 2" xfId="32190" xr:uid="{00000000-0005-0000-0000-000092830000}"/>
    <cellStyle name="Normal 9 14 3 4" xfId="18422" xr:uid="{00000000-0005-0000-0000-000093830000}"/>
    <cellStyle name="Normal 9 14 3 4 2" xfId="38342" xr:uid="{00000000-0005-0000-0000-000094830000}"/>
    <cellStyle name="Normal 9 14 3 5" xfId="26037" xr:uid="{00000000-0005-0000-0000-000095830000}"/>
    <cellStyle name="Normal 9 14 4" xfId="7608" xr:uid="{00000000-0005-0000-0000-000096830000}"/>
    <cellStyle name="Normal 9 14 4 2" xfId="13802" xr:uid="{00000000-0005-0000-0000-000097830000}"/>
    <cellStyle name="Normal 9 14 4 2 2" xfId="33722" xr:uid="{00000000-0005-0000-0000-000098830000}"/>
    <cellStyle name="Normal 9 14 4 3" xfId="19954" xr:uid="{00000000-0005-0000-0000-000099830000}"/>
    <cellStyle name="Normal 9 14 4 3 2" xfId="39874" xr:uid="{00000000-0005-0000-0000-00009A830000}"/>
    <cellStyle name="Normal 9 14 4 4" xfId="27569" xr:uid="{00000000-0005-0000-0000-00009B830000}"/>
    <cellStyle name="Normal 9 14 5" xfId="10736" xr:uid="{00000000-0005-0000-0000-00009C830000}"/>
    <cellStyle name="Normal 9 14 5 2" xfId="30656" xr:uid="{00000000-0005-0000-0000-00009D830000}"/>
    <cellStyle name="Normal 9 14 6" xfId="16888" xr:uid="{00000000-0005-0000-0000-00009E830000}"/>
    <cellStyle name="Normal 9 14 6 2" xfId="36808" xr:uid="{00000000-0005-0000-0000-00009F830000}"/>
    <cellStyle name="Normal 9 14 7" xfId="24503" xr:uid="{00000000-0005-0000-0000-0000A0830000}"/>
    <cellStyle name="Normal 9 15" xfId="4027" xr:uid="{00000000-0005-0000-0000-0000A1830000}"/>
    <cellStyle name="Normal 9 15 2" xfId="5202" xr:uid="{00000000-0005-0000-0000-0000A2830000}"/>
    <cellStyle name="Normal 9 15 2 2" xfId="6827" xr:uid="{00000000-0005-0000-0000-0000A3830000}"/>
    <cellStyle name="Normal 9 15 2 2 2" xfId="9913" xr:uid="{00000000-0005-0000-0000-0000A4830000}"/>
    <cellStyle name="Normal 9 15 2 2 2 2" xfId="16106" xr:uid="{00000000-0005-0000-0000-0000A5830000}"/>
    <cellStyle name="Normal 9 15 2 2 2 2 2" xfId="36026" xr:uid="{00000000-0005-0000-0000-0000A6830000}"/>
    <cellStyle name="Normal 9 15 2 2 2 3" xfId="22258" xr:uid="{00000000-0005-0000-0000-0000A7830000}"/>
    <cellStyle name="Normal 9 15 2 2 2 3 2" xfId="42178" xr:uid="{00000000-0005-0000-0000-0000A8830000}"/>
    <cellStyle name="Normal 9 15 2 2 2 4" xfId="29873" xr:uid="{00000000-0005-0000-0000-0000A9830000}"/>
    <cellStyle name="Normal 9 15 2 2 3" xfId="13040" xr:uid="{00000000-0005-0000-0000-0000AA830000}"/>
    <cellStyle name="Normal 9 15 2 2 3 2" xfId="32960" xr:uid="{00000000-0005-0000-0000-0000AB830000}"/>
    <cellStyle name="Normal 9 15 2 2 4" xfId="19192" xr:uid="{00000000-0005-0000-0000-0000AC830000}"/>
    <cellStyle name="Normal 9 15 2 2 4 2" xfId="39112" xr:uid="{00000000-0005-0000-0000-0000AD830000}"/>
    <cellStyle name="Normal 9 15 2 2 5" xfId="26807" xr:uid="{00000000-0005-0000-0000-0000AE830000}"/>
    <cellStyle name="Normal 9 15 2 3" xfId="8378" xr:uid="{00000000-0005-0000-0000-0000AF830000}"/>
    <cellStyle name="Normal 9 15 2 3 2" xfId="14572" xr:uid="{00000000-0005-0000-0000-0000B0830000}"/>
    <cellStyle name="Normal 9 15 2 3 2 2" xfId="34492" xr:uid="{00000000-0005-0000-0000-0000B1830000}"/>
    <cellStyle name="Normal 9 15 2 3 3" xfId="20724" xr:uid="{00000000-0005-0000-0000-0000B2830000}"/>
    <cellStyle name="Normal 9 15 2 3 3 2" xfId="40644" xr:uid="{00000000-0005-0000-0000-0000B3830000}"/>
    <cellStyle name="Normal 9 15 2 3 4" xfId="28339" xr:uid="{00000000-0005-0000-0000-0000B4830000}"/>
    <cellStyle name="Normal 9 15 2 4" xfId="11506" xr:uid="{00000000-0005-0000-0000-0000B5830000}"/>
    <cellStyle name="Normal 9 15 2 4 2" xfId="31426" xr:uid="{00000000-0005-0000-0000-0000B6830000}"/>
    <cellStyle name="Normal 9 15 2 5" xfId="17658" xr:uid="{00000000-0005-0000-0000-0000B7830000}"/>
    <cellStyle name="Normal 9 15 2 5 2" xfId="37578" xr:uid="{00000000-0005-0000-0000-0000B8830000}"/>
    <cellStyle name="Normal 9 15 2 6" xfId="25273" xr:uid="{00000000-0005-0000-0000-0000B9830000}"/>
    <cellStyle name="Normal 9 15 3" xfId="6044" xr:uid="{00000000-0005-0000-0000-0000BA830000}"/>
    <cellStyle name="Normal 9 15 3 2" xfId="9144" xr:uid="{00000000-0005-0000-0000-0000BB830000}"/>
    <cellStyle name="Normal 9 15 3 2 2" xfId="15337" xr:uid="{00000000-0005-0000-0000-0000BC830000}"/>
    <cellStyle name="Normal 9 15 3 2 2 2" xfId="35257" xr:uid="{00000000-0005-0000-0000-0000BD830000}"/>
    <cellStyle name="Normal 9 15 3 2 3" xfId="21489" xr:uid="{00000000-0005-0000-0000-0000BE830000}"/>
    <cellStyle name="Normal 9 15 3 2 3 2" xfId="41409" xr:uid="{00000000-0005-0000-0000-0000BF830000}"/>
    <cellStyle name="Normal 9 15 3 2 4" xfId="29104" xr:uid="{00000000-0005-0000-0000-0000C0830000}"/>
    <cellStyle name="Normal 9 15 3 3" xfId="12271" xr:uid="{00000000-0005-0000-0000-0000C1830000}"/>
    <cellStyle name="Normal 9 15 3 3 2" xfId="32191" xr:uid="{00000000-0005-0000-0000-0000C2830000}"/>
    <cellStyle name="Normal 9 15 3 4" xfId="18423" xr:uid="{00000000-0005-0000-0000-0000C3830000}"/>
    <cellStyle name="Normal 9 15 3 4 2" xfId="38343" xr:uid="{00000000-0005-0000-0000-0000C4830000}"/>
    <cellStyle name="Normal 9 15 3 5" xfId="26038" xr:uid="{00000000-0005-0000-0000-0000C5830000}"/>
    <cellStyle name="Normal 9 15 4" xfId="7609" xr:uid="{00000000-0005-0000-0000-0000C6830000}"/>
    <cellStyle name="Normal 9 15 4 2" xfId="13803" xr:uid="{00000000-0005-0000-0000-0000C7830000}"/>
    <cellStyle name="Normal 9 15 4 2 2" xfId="33723" xr:uid="{00000000-0005-0000-0000-0000C8830000}"/>
    <cellStyle name="Normal 9 15 4 3" xfId="19955" xr:uid="{00000000-0005-0000-0000-0000C9830000}"/>
    <cellStyle name="Normal 9 15 4 3 2" xfId="39875" xr:uid="{00000000-0005-0000-0000-0000CA830000}"/>
    <cellStyle name="Normal 9 15 4 4" xfId="27570" xr:uid="{00000000-0005-0000-0000-0000CB830000}"/>
    <cellStyle name="Normal 9 15 5" xfId="10737" xr:uid="{00000000-0005-0000-0000-0000CC830000}"/>
    <cellStyle name="Normal 9 15 5 2" xfId="30657" xr:uid="{00000000-0005-0000-0000-0000CD830000}"/>
    <cellStyle name="Normal 9 15 6" xfId="16889" xr:uid="{00000000-0005-0000-0000-0000CE830000}"/>
    <cellStyle name="Normal 9 15 6 2" xfId="36809" xr:uid="{00000000-0005-0000-0000-0000CF830000}"/>
    <cellStyle name="Normal 9 15 7" xfId="24504" xr:uid="{00000000-0005-0000-0000-0000D0830000}"/>
    <cellStyle name="Normal 9 16" xfId="4028" xr:uid="{00000000-0005-0000-0000-0000D1830000}"/>
    <cellStyle name="Normal 9 16 2" xfId="5203" xr:uid="{00000000-0005-0000-0000-0000D2830000}"/>
    <cellStyle name="Normal 9 16 2 2" xfId="6828" xr:uid="{00000000-0005-0000-0000-0000D3830000}"/>
    <cellStyle name="Normal 9 16 2 2 2" xfId="9914" xr:uid="{00000000-0005-0000-0000-0000D4830000}"/>
    <cellStyle name="Normal 9 16 2 2 2 2" xfId="16107" xr:uid="{00000000-0005-0000-0000-0000D5830000}"/>
    <cellStyle name="Normal 9 16 2 2 2 2 2" xfId="36027" xr:uid="{00000000-0005-0000-0000-0000D6830000}"/>
    <cellStyle name="Normal 9 16 2 2 2 3" xfId="22259" xr:uid="{00000000-0005-0000-0000-0000D7830000}"/>
    <cellStyle name="Normal 9 16 2 2 2 3 2" xfId="42179" xr:uid="{00000000-0005-0000-0000-0000D8830000}"/>
    <cellStyle name="Normal 9 16 2 2 2 4" xfId="29874" xr:uid="{00000000-0005-0000-0000-0000D9830000}"/>
    <cellStyle name="Normal 9 16 2 2 3" xfId="13041" xr:uid="{00000000-0005-0000-0000-0000DA830000}"/>
    <cellStyle name="Normal 9 16 2 2 3 2" xfId="32961" xr:uid="{00000000-0005-0000-0000-0000DB830000}"/>
    <cellStyle name="Normal 9 16 2 2 4" xfId="19193" xr:uid="{00000000-0005-0000-0000-0000DC830000}"/>
    <cellStyle name="Normal 9 16 2 2 4 2" xfId="39113" xr:uid="{00000000-0005-0000-0000-0000DD830000}"/>
    <cellStyle name="Normal 9 16 2 2 5" xfId="26808" xr:uid="{00000000-0005-0000-0000-0000DE830000}"/>
    <cellStyle name="Normal 9 16 2 3" xfId="8379" xr:uid="{00000000-0005-0000-0000-0000DF830000}"/>
    <cellStyle name="Normal 9 16 2 3 2" xfId="14573" xr:uid="{00000000-0005-0000-0000-0000E0830000}"/>
    <cellStyle name="Normal 9 16 2 3 2 2" xfId="34493" xr:uid="{00000000-0005-0000-0000-0000E1830000}"/>
    <cellStyle name="Normal 9 16 2 3 3" xfId="20725" xr:uid="{00000000-0005-0000-0000-0000E2830000}"/>
    <cellStyle name="Normal 9 16 2 3 3 2" xfId="40645" xr:uid="{00000000-0005-0000-0000-0000E3830000}"/>
    <cellStyle name="Normal 9 16 2 3 4" xfId="28340" xr:uid="{00000000-0005-0000-0000-0000E4830000}"/>
    <cellStyle name="Normal 9 16 2 4" xfId="11507" xr:uid="{00000000-0005-0000-0000-0000E5830000}"/>
    <cellStyle name="Normal 9 16 2 4 2" xfId="31427" xr:uid="{00000000-0005-0000-0000-0000E6830000}"/>
    <cellStyle name="Normal 9 16 2 5" xfId="17659" xr:uid="{00000000-0005-0000-0000-0000E7830000}"/>
    <cellStyle name="Normal 9 16 2 5 2" xfId="37579" xr:uid="{00000000-0005-0000-0000-0000E8830000}"/>
    <cellStyle name="Normal 9 16 2 6" xfId="25274" xr:uid="{00000000-0005-0000-0000-0000E9830000}"/>
    <cellStyle name="Normal 9 16 3" xfId="6045" xr:uid="{00000000-0005-0000-0000-0000EA830000}"/>
    <cellStyle name="Normal 9 16 3 2" xfId="9145" xr:uid="{00000000-0005-0000-0000-0000EB830000}"/>
    <cellStyle name="Normal 9 16 3 2 2" xfId="15338" xr:uid="{00000000-0005-0000-0000-0000EC830000}"/>
    <cellStyle name="Normal 9 16 3 2 2 2" xfId="35258" xr:uid="{00000000-0005-0000-0000-0000ED830000}"/>
    <cellStyle name="Normal 9 16 3 2 3" xfId="21490" xr:uid="{00000000-0005-0000-0000-0000EE830000}"/>
    <cellStyle name="Normal 9 16 3 2 3 2" xfId="41410" xr:uid="{00000000-0005-0000-0000-0000EF830000}"/>
    <cellStyle name="Normal 9 16 3 2 4" xfId="29105" xr:uid="{00000000-0005-0000-0000-0000F0830000}"/>
    <cellStyle name="Normal 9 16 3 3" xfId="12272" xr:uid="{00000000-0005-0000-0000-0000F1830000}"/>
    <cellStyle name="Normal 9 16 3 3 2" xfId="32192" xr:uid="{00000000-0005-0000-0000-0000F2830000}"/>
    <cellStyle name="Normal 9 16 3 4" xfId="18424" xr:uid="{00000000-0005-0000-0000-0000F3830000}"/>
    <cellStyle name="Normal 9 16 3 4 2" xfId="38344" xr:uid="{00000000-0005-0000-0000-0000F4830000}"/>
    <cellStyle name="Normal 9 16 3 5" xfId="26039" xr:uid="{00000000-0005-0000-0000-0000F5830000}"/>
    <cellStyle name="Normal 9 16 4" xfId="7610" xr:uid="{00000000-0005-0000-0000-0000F6830000}"/>
    <cellStyle name="Normal 9 16 4 2" xfId="13804" xr:uid="{00000000-0005-0000-0000-0000F7830000}"/>
    <cellStyle name="Normal 9 16 4 2 2" xfId="33724" xr:uid="{00000000-0005-0000-0000-0000F8830000}"/>
    <cellStyle name="Normal 9 16 4 3" xfId="19956" xr:uid="{00000000-0005-0000-0000-0000F9830000}"/>
    <cellStyle name="Normal 9 16 4 3 2" xfId="39876" xr:uid="{00000000-0005-0000-0000-0000FA830000}"/>
    <cellStyle name="Normal 9 16 4 4" xfId="27571" xr:uid="{00000000-0005-0000-0000-0000FB830000}"/>
    <cellStyle name="Normal 9 16 5" xfId="10738" xr:uid="{00000000-0005-0000-0000-0000FC830000}"/>
    <cellStyle name="Normal 9 16 5 2" xfId="30658" xr:uid="{00000000-0005-0000-0000-0000FD830000}"/>
    <cellStyle name="Normal 9 16 6" xfId="16890" xr:uid="{00000000-0005-0000-0000-0000FE830000}"/>
    <cellStyle name="Normal 9 16 6 2" xfId="36810" xr:uid="{00000000-0005-0000-0000-0000FF830000}"/>
    <cellStyle name="Normal 9 16 7" xfId="24505" xr:uid="{00000000-0005-0000-0000-000000840000}"/>
    <cellStyle name="Normal 9 17" xfId="4029" xr:uid="{00000000-0005-0000-0000-000001840000}"/>
    <cellStyle name="Normal 9 17 2" xfId="5204" xr:uid="{00000000-0005-0000-0000-000002840000}"/>
    <cellStyle name="Normal 9 17 2 2" xfId="6829" xr:uid="{00000000-0005-0000-0000-000003840000}"/>
    <cellStyle name="Normal 9 17 2 2 2" xfId="9915" xr:uid="{00000000-0005-0000-0000-000004840000}"/>
    <cellStyle name="Normal 9 17 2 2 2 2" xfId="16108" xr:uid="{00000000-0005-0000-0000-000005840000}"/>
    <cellStyle name="Normal 9 17 2 2 2 2 2" xfId="36028" xr:uid="{00000000-0005-0000-0000-000006840000}"/>
    <cellStyle name="Normal 9 17 2 2 2 3" xfId="22260" xr:uid="{00000000-0005-0000-0000-000007840000}"/>
    <cellStyle name="Normal 9 17 2 2 2 3 2" xfId="42180" xr:uid="{00000000-0005-0000-0000-000008840000}"/>
    <cellStyle name="Normal 9 17 2 2 2 4" xfId="29875" xr:uid="{00000000-0005-0000-0000-000009840000}"/>
    <cellStyle name="Normal 9 17 2 2 3" xfId="13042" xr:uid="{00000000-0005-0000-0000-00000A840000}"/>
    <cellStyle name="Normal 9 17 2 2 3 2" xfId="32962" xr:uid="{00000000-0005-0000-0000-00000B840000}"/>
    <cellStyle name="Normal 9 17 2 2 4" xfId="19194" xr:uid="{00000000-0005-0000-0000-00000C840000}"/>
    <cellStyle name="Normal 9 17 2 2 4 2" xfId="39114" xr:uid="{00000000-0005-0000-0000-00000D840000}"/>
    <cellStyle name="Normal 9 17 2 2 5" xfId="26809" xr:uid="{00000000-0005-0000-0000-00000E840000}"/>
    <cellStyle name="Normal 9 17 2 3" xfId="8380" xr:uid="{00000000-0005-0000-0000-00000F840000}"/>
    <cellStyle name="Normal 9 17 2 3 2" xfId="14574" xr:uid="{00000000-0005-0000-0000-000010840000}"/>
    <cellStyle name="Normal 9 17 2 3 2 2" xfId="34494" xr:uid="{00000000-0005-0000-0000-000011840000}"/>
    <cellStyle name="Normal 9 17 2 3 3" xfId="20726" xr:uid="{00000000-0005-0000-0000-000012840000}"/>
    <cellStyle name="Normal 9 17 2 3 3 2" xfId="40646" xr:uid="{00000000-0005-0000-0000-000013840000}"/>
    <cellStyle name="Normal 9 17 2 3 4" xfId="28341" xr:uid="{00000000-0005-0000-0000-000014840000}"/>
    <cellStyle name="Normal 9 17 2 4" xfId="11508" xr:uid="{00000000-0005-0000-0000-000015840000}"/>
    <cellStyle name="Normal 9 17 2 4 2" xfId="31428" xr:uid="{00000000-0005-0000-0000-000016840000}"/>
    <cellStyle name="Normal 9 17 2 5" xfId="17660" xr:uid="{00000000-0005-0000-0000-000017840000}"/>
    <cellStyle name="Normal 9 17 2 5 2" xfId="37580" xr:uid="{00000000-0005-0000-0000-000018840000}"/>
    <cellStyle name="Normal 9 17 2 6" xfId="25275" xr:uid="{00000000-0005-0000-0000-000019840000}"/>
    <cellStyle name="Normal 9 17 3" xfId="6046" xr:uid="{00000000-0005-0000-0000-00001A840000}"/>
    <cellStyle name="Normal 9 17 3 2" xfId="9146" xr:uid="{00000000-0005-0000-0000-00001B840000}"/>
    <cellStyle name="Normal 9 17 3 2 2" xfId="15339" xr:uid="{00000000-0005-0000-0000-00001C840000}"/>
    <cellStyle name="Normal 9 17 3 2 2 2" xfId="35259" xr:uid="{00000000-0005-0000-0000-00001D840000}"/>
    <cellStyle name="Normal 9 17 3 2 3" xfId="21491" xr:uid="{00000000-0005-0000-0000-00001E840000}"/>
    <cellStyle name="Normal 9 17 3 2 3 2" xfId="41411" xr:uid="{00000000-0005-0000-0000-00001F840000}"/>
    <cellStyle name="Normal 9 17 3 2 4" xfId="29106" xr:uid="{00000000-0005-0000-0000-000020840000}"/>
    <cellStyle name="Normal 9 17 3 3" xfId="12273" xr:uid="{00000000-0005-0000-0000-000021840000}"/>
    <cellStyle name="Normal 9 17 3 3 2" xfId="32193" xr:uid="{00000000-0005-0000-0000-000022840000}"/>
    <cellStyle name="Normal 9 17 3 4" xfId="18425" xr:uid="{00000000-0005-0000-0000-000023840000}"/>
    <cellStyle name="Normal 9 17 3 4 2" xfId="38345" xr:uid="{00000000-0005-0000-0000-000024840000}"/>
    <cellStyle name="Normal 9 17 3 5" xfId="26040" xr:uid="{00000000-0005-0000-0000-000025840000}"/>
    <cellStyle name="Normal 9 17 4" xfId="7611" xr:uid="{00000000-0005-0000-0000-000026840000}"/>
    <cellStyle name="Normal 9 17 4 2" xfId="13805" xr:uid="{00000000-0005-0000-0000-000027840000}"/>
    <cellStyle name="Normal 9 17 4 2 2" xfId="33725" xr:uid="{00000000-0005-0000-0000-000028840000}"/>
    <cellStyle name="Normal 9 17 4 3" xfId="19957" xr:uid="{00000000-0005-0000-0000-000029840000}"/>
    <cellStyle name="Normal 9 17 4 3 2" xfId="39877" xr:uid="{00000000-0005-0000-0000-00002A840000}"/>
    <cellStyle name="Normal 9 17 4 4" xfId="27572" xr:uid="{00000000-0005-0000-0000-00002B840000}"/>
    <cellStyle name="Normal 9 17 5" xfId="10739" xr:uid="{00000000-0005-0000-0000-00002C840000}"/>
    <cellStyle name="Normal 9 17 5 2" xfId="30659" xr:uid="{00000000-0005-0000-0000-00002D840000}"/>
    <cellStyle name="Normal 9 17 6" xfId="16891" xr:uid="{00000000-0005-0000-0000-00002E840000}"/>
    <cellStyle name="Normal 9 17 6 2" xfId="36811" xr:uid="{00000000-0005-0000-0000-00002F840000}"/>
    <cellStyle name="Normal 9 17 7" xfId="24506" xr:uid="{00000000-0005-0000-0000-000030840000}"/>
    <cellStyle name="Normal 9 18" xfId="4030" xr:uid="{00000000-0005-0000-0000-000031840000}"/>
    <cellStyle name="Normal 9 18 2" xfId="5205" xr:uid="{00000000-0005-0000-0000-000032840000}"/>
    <cellStyle name="Normal 9 18 2 2" xfId="6830" xr:uid="{00000000-0005-0000-0000-000033840000}"/>
    <cellStyle name="Normal 9 18 2 2 2" xfId="9916" xr:uid="{00000000-0005-0000-0000-000034840000}"/>
    <cellStyle name="Normal 9 18 2 2 2 2" xfId="16109" xr:uid="{00000000-0005-0000-0000-000035840000}"/>
    <cellStyle name="Normal 9 18 2 2 2 2 2" xfId="36029" xr:uid="{00000000-0005-0000-0000-000036840000}"/>
    <cellStyle name="Normal 9 18 2 2 2 3" xfId="22261" xr:uid="{00000000-0005-0000-0000-000037840000}"/>
    <cellStyle name="Normal 9 18 2 2 2 3 2" xfId="42181" xr:uid="{00000000-0005-0000-0000-000038840000}"/>
    <cellStyle name="Normal 9 18 2 2 2 4" xfId="29876" xr:uid="{00000000-0005-0000-0000-000039840000}"/>
    <cellStyle name="Normal 9 18 2 2 3" xfId="13043" xr:uid="{00000000-0005-0000-0000-00003A840000}"/>
    <cellStyle name="Normal 9 18 2 2 3 2" xfId="32963" xr:uid="{00000000-0005-0000-0000-00003B840000}"/>
    <cellStyle name="Normal 9 18 2 2 4" xfId="19195" xr:uid="{00000000-0005-0000-0000-00003C840000}"/>
    <cellStyle name="Normal 9 18 2 2 4 2" xfId="39115" xr:uid="{00000000-0005-0000-0000-00003D840000}"/>
    <cellStyle name="Normal 9 18 2 2 5" xfId="26810" xr:uid="{00000000-0005-0000-0000-00003E840000}"/>
    <cellStyle name="Normal 9 18 2 3" xfId="8381" xr:uid="{00000000-0005-0000-0000-00003F840000}"/>
    <cellStyle name="Normal 9 18 2 3 2" xfId="14575" xr:uid="{00000000-0005-0000-0000-000040840000}"/>
    <cellStyle name="Normal 9 18 2 3 2 2" xfId="34495" xr:uid="{00000000-0005-0000-0000-000041840000}"/>
    <cellStyle name="Normal 9 18 2 3 3" xfId="20727" xr:uid="{00000000-0005-0000-0000-000042840000}"/>
    <cellStyle name="Normal 9 18 2 3 3 2" xfId="40647" xr:uid="{00000000-0005-0000-0000-000043840000}"/>
    <cellStyle name="Normal 9 18 2 3 4" xfId="28342" xr:uid="{00000000-0005-0000-0000-000044840000}"/>
    <cellStyle name="Normal 9 18 2 4" xfId="11509" xr:uid="{00000000-0005-0000-0000-000045840000}"/>
    <cellStyle name="Normal 9 18 2 4 2" xfId="31429" xr:uid="{00000000-0005-0000-0000-000046840000}"/>
    <cellStyle name="Normal 9 18 2 5" xfId="17661" xr:uid="{00000000-0005-0000-0000-000047840000}"/>
    <cellStyle name="Normal 9 18 2 5 2" xfId="37581" xr:uid="{00000000-0005-0000-0000-000048840000}"/>
    <cellStyle name="Normal 9 18 2 6" xfId="25276" xr:uid="{00000000-0005-0000-0000-000049840000}"/>
    <cellStyle name="Normal 9 18 3" xfId="6047" xr:uid="{00000000-0005-0000-0000-00004A840000}"/>
    <cellStyle name="Normal 9 18 3 2" xfId="9147" xr:uid="{00000000-0005-0000-0000-00004B840000}"/>
    <cellStyle name="Normal 9 18 3 2 2" xfId="15340" xr:uid="{00000000-0005-0000-0000-00004C840000}"/>
    <cellStyle name="Normal 9 18 3 2 2 2" xfId="35260" xr:uid="{00000000-0005-0000-0000-00004D840000}"/>
    <cellStyle name="Normal 9 18 3 2 3" xfId="21492" xr:uid="{00000000-0005-0000-0000-00004E840000}"/>
    <cellStyle name="Normal 9 18 3 2 3 2" xfId="41412" xr:uid="{00000000-0005-0000-0000-00004F840000}"/>
    <cellStyle name="Normal 9 18 3 2 4" xfId="29107" xr:uid="{00000000-0005-0000-0000-000050840000}"/>
    <cellStyle name="Normal 9 18 3 3" xfId="12274" xr:uid="{00000000-0005-0000-0000-000051840000}"/>
    <cellStyle name="Normal 9 18 3 3 2" xfId="32194" xr:uid="{00000000-0005-0000-0000-000052840000}"/>
    <cellStyle name="Normal 9 18 3 4" xfId="18426" xr:uid="{00000000-0005-0000-0000-000053840000}"/>
    <cellStyle name="Normal 9 18 3 4 2" xfId="38346" xr:uid="{00000000-0005-0000-0000-000054840000}"/>
    <cellStyle name="Normal 9 18 3 5" xfId="26041" xr:uid="{00000000-0005-0000-0000-000055840000}"/>
    <cellStyle name="Normal 9 18 4" xfId="7612" xr:uid="{00000000-0005-0000-0000-000056840000}"/>
    <cellStyle name="Normal 9 18 4 2" xfId="13806" xr:uid="{00000000-0005-0000-0000-000057840000}"/>
    <cellStyle name="Normal 9 18 4 2 2" xfId="33726" xr:uid="{00000000-0005-0000-0000-000058840000}"/>
    <cellStyle name="Normal 9 18 4 3" xfId="19958" xr:uid="{00000000-0005-0000-0000-000059840000}"/>
    <cellStyle name="Normal 9 18 4 3 2" xfId="39878" xr:uid="{00000000-0005-0000-0000-00005A840000}"/>
    <cellStyle name="Normal 9 18 4 4" xfId="27573" xr:uid="{00000000-0005-0000-0000-00005B840000}"/>
    <cellStyle name="Normal 9 18 5" xfId="10740" xr:uid="{00000000-0005-0000-0000-00005C840000}"/>
    <cellStyle name="Normal 9 18 5 2" xfId="30660" xr:uid="{00000000-0005-0000-0000-00005D840000}"/>
    <cellStyle name="Normal 9 18 6" xfId="16892" xr:uid="{00000000-0005-0000-0000-00005E840000}"/>
    <cellStyle name="Normal 9 18 6 2" xfId="36812" xr:uid="{00000000-0005-0000-0000-00005F840000}"/>
    <cellStyle name="Normal 9 18 7" xfId="24507" xr:uid="{00000000-0005-0000-0000-000060840000}"/>
    <cellStyle name="Normal 9 19" xfId="4031" xr:uid="{00000000-0005-0000-0000-000061840000}"/>
    <cellStyle name="Normal 9 19 2" xfId="5206" xr:uid="{00000000-0005-0000-0000-000062840000}"/>
    <cellStyle name="Normal 9 19 2 2" xfId="6831" xr:uid="{00000000-0005-0000-0000-000063840000}"/>
    <cellStyle name="Normal 9 19 2 2 2" xfId="9917" xr:uid="{00000000-0005-0000-0000-000064840000}"/>
    <cellStyle name="Normal 9 19 2 2 2 2" xfId="16110" xr:uid="{00000000-0005-0000-0000-000065840000}"/>
    <cellStyle name="Normal 9 19 2 2 2 2 2" xfId="36030" xr:uid="{00000000-0005-0000-0000-000066840000}"/>
    <cellStyle name="Normal 9 19 2 2 2 3" xfId="22262" xr:uid="{00000000-0005-0000-0000-000067840000}"/>
    <cellStyle name="Normal 9 19 2 2 2 3 2" xfId="42182" xr:uid="{00000000-0005-0000-0000-000068840000}"/>
    <cellStyle name="Normal 9 19 2 2 2 4" xfId="29877" xr:uid="{00000000-0005-0000-0000-000069840000}"/>
    <cellStyle name="Normal 9 19 2 2 3" xfId="13044" xr:uid="{00000000-0005-0000-0000-00006A840000}"/>
    <cellStyle name="Normal 9 19 2 2 3 2" xfId="32964" xr:uid="{00000000-0005-0000-0000-00006B840000}"/>
    <cellStyle name="Normal 9 19 2 2 4" xfId="19196" xr:uid="{00000000-0005-0000-0000-00006C840000}"/>
    <cellStyle name="Normal 9 19 2 2 4 2" xfId="39116" xr:uid="{00000000-0005-0000-0000-00006D840000}"/>
    <cellStyle name="Normal 9 19 2 2 5" xfId="26811" xr:uid="{00000000-0005-0000-0000-00006E840000}"/>
    <cellStyle name="Normal 9 19 2 3" xfId="8382" xr:uid="{00000000-0005-0000-0000-00006F840000}"/>
    <cellStyle name="Normal 9 19 2 3 2" xfId="14576" xr:uid="{00000000-0005-0000-0000-000070840000}"/>
    <cellStyle name="Normal 9 19 2 3 2 2" xfId="34496" xr:uid="{00000000-0005-0000-0000-000071840000}"/>
    <cellStyle name="Normal 9 19 2 3 3" xfId="20728" xr:uid="{00000000-0005-0000-0000-000072840000}"/>
    <cellStyle name="Normal 9 19 2 3 3 2" xfId="40648" xr:uid="{00000000-0005-0000-0000-000073840000}"/>
    <cellStyle name="Normal 9 19 2 3 4" xfId="28343" xr:uid="{00000000-0005-0000-0000-000074840000}"/>
    <cellStyle name="Normal 9 19 2 4" xfId="11510" xr:uid="{00000000-0005-0000-0000-000075840000}"/>
    <cellStyle name="Normal 9 19 2 4 2" xfId="31430" xr:uid="{00000000-0005-0000-0000-000076840000}"/>
    <cellStyle name="Normal 9 19 2 5" xfId="17662" xr:uid="{00000000-0005-0000-0000-000077840000}"/>
    <cellStyle name="Normal 9 19 2 5 2" xfId="37582" xr:uid="{00000000-0005-0000-0000-000078840000}"/>
    <cellStyle name="Normal 9 19 2 6" xfId="25277" xr:uid="{00000000-0005-0000-0000-000079840000}"/>
    <cellStyle name="Normal 9 19 3" xfId="6048" xr:uid="{00000000-0005-0000-0000-00007A840000}"/>
    <cellStyle name="Normal 9 19 3 2" xfId="9148" xr:uid="{00000000-0005-0000-0000-00007B840000}"/>
    <cellStyle name="Normal 9 19 3 2 2" xfId="15341" xr:uid="{00000000-0005-0000-0000-00007C840000}"/>
    <cellStyle name="Normal 9 19 3 2 2 2" xfId="35261" xr:uid="{00000000-0005-0000-0000-00007D840000}"/>
    <cellStyle name="Normal 9 19 3 2 3" xfId="21493" xr:uid="{00000000-0005-0000-0000-00007E840000}"/>
    <cellStyle name="Normal 9 19 3 2 3 2" xfId="41413" xr:uid="{00000000-0005-0000-0000-00007F840000}"/>
    <cellStyle name="Normal 9 19 3 2 4" xfId="29108" xr:uid="{00000000-0005-0000-0000-000080840000}"/>
    <cellStyle name="Normal 9 19 3 3" xfId="12275" xr:uid="{00000000-0005-0000-0000-000081840000}"/>
    <cellStyle name="Normal 9 19 3 3 2" xfId="32195" xr:uid="{00000000-0005-0000-0000-000082840000}"/>
    <cellStyle name="Normal 9 19 3 4" xfId="18427" xr:uid="{00000000-0005-0000-0000-000083840000}"/>
    <cellStyle name="Normal 9 19 3 4 2" xfId="38347" xr:uid="{00000000-0005-0000-0000-000084840000}"/>
    <cellStyle name="Normal 9 19 3 5" xfId="26042" xr:uid="{00000000-0005-0000-0000-000085840000}"/>
    <cellStyle name="Normal 9 19 4" xfId="7613" xr:uid="{00000000-0005-0000-0000-000086840000}"/>
    <cellStyle name="Normal 9 19 4 2" xfId="13807" xr:uid="{00000000-0005-0000-0000-000087840000}"/>
    <cellStyle name="Normal 9 19 4 2 2" xfId="33727" xr:uid="{00000000-0005-0000-0000-000088840000}"/>
    <cellStyle name="Normal 9 19 4 3" xfId="19959" xr:uid="{00000000-0005-0000-0000-000089840000}"/>
    <cellStyle name="Normal 9 19 4 3 2" xfId="39879" xr:uid="{00000000-0005-0000-0000-00008A840000}"/>
    <cellStyle name="Normal 9 19 4 4" xfId="27574" xr:uid="{00000000-0005-0000-0000-00008B840000}"/>
    <cellStyle name="Normal 9 19 5" xfId="10741" xr:uid="{00000000-0005-0000-0000-00008C840000}"/>
    <cellStyle name="Normal 9 19 5 2" xfId="30661" xr:uid="{00000000-0005-0000-0000-00008D840000}"/>
    <cellStyle name="Normal 9 19 6" xfId="16893" xr:uid="{00000000-0005-0000-0000-00008E840000}"/>
    <cellStyle name="Normal 9 19 6 2" xfId="36813" xr:uid="{00000000-0005-0000-0000-00008F840000}"/>
    <cellStyle name="Normal 9 19 7" xfId="24508" xr:uid="{00000000-0005-0000-0000-000090840000}"/>
    <cellStyle name="Normal 9 2" xfId="4032" xr:uid="{00000000-0005-0000-0000-000091840000}"/>
    <cellStyle name="Normal 9 2 10" xfId="10742" xr:uid="{00000000-0005-0000-0000-000092840000}"/>
    <cellStyle name="Normal 9 2 10 2" xfId="30662" xr:uid="{00000000-0005-0000-0000-000093840000}"/>
    <cellStyle name="Normal 9 2 11" xfId="16894" xr:uid="{00000000-0005-0000-0000-000094840000}"/>
    <cellStyle name="Normal 9 2 11 2" xfId="36814" xr:uid="{00000000-0005-0000-0000-000095840000}"/>
    <cellStyle name="Normal 9 2 12" xfId="24509" xr:uid="{00000000-0005-0000-0000-000096840000}"/>
    <cellStyle name="Normal 9 2 2" xfId="4033" xr:uid="{00000000-0005-0000-0000-000097840000}"/>
    <cellStyle name="Normal 9 2 2 2" xfId="5208" xr:uid="{00000000-0005-0000-0000-000098840000}"/>
    <cellStyle name="Normal 9 2 2 2 2" xfId="6833" xr:uid="{00000000-0005-0000-0000-000099840000}"/>
    <cellStyle name="Normal 9 2 2 2 2 2" xfId="9919" xr:uid="{00000000-0005-0000-0000-00009A840000}"/>
    <cellStyle name="Normal 9 2 2 2 2 2 2" xfId="16112" xr:uid="{00000000-0005-0000-0000-00009B840000}"/>
    <cellStyle name="Normal 9 2 2 2 2 2 2 2" xfId="36032" xr:uid="{00000000-0005-0000-0000-00009C840000}"/>
    <cellStyle name="Normal 9 2 2 2 2 2 3" xfId="22264" xr:uid="{00000000-0005-0000-0000-00009D840000}"/>
    <cellStyle name="Normal 9 2 2 2 2 2 3 2" xfId="42184" xr:uid="{00000000-0005-0000-0000-00009E840000}"/>
    <cellStyle name="Normal 9 2 2 2 2 2 4" xfId="29879" xr:uid="{00000000-0005-0000-0000-00009F840000}"/>
    <cellStyle name="Normal 9 2 2 2 2 3" xfId="13046" xr:uid="{00000000-0005-0000-0000-0000A0840000}"/>
    <cellStyle name="Normal 9 2 2 2 2 3 2" xfId="32966" xr:uid="{00000000-0005-0000-0000-0000A1840000}"/>
    <cellStyle name="Normal 9 2 2 2 2 4" xfId="19198" xr:uid="{00000000-0005-0000-0000-0000A2840000}"/>
    <cellStyle name="Normal 9 2 2 2 2 4 2" xfId="39118" xr:uid="{00000000-0005-0000-0000-0000A3840000}"/>
    <cellStyle name="Normal 9 2 2 2 2 5" xfId="26813" xr:uid="{00000000-0005-0000-0000-0000A4840000}"/>
    <cellStyle name="Normal 9 2 2 2 3" xfId="8384" xr:uid="{00000000-0005-0000-0000-0000A5840000}"/>
    <cellStyle name="Normal 9 2 2 2 3 2" xfId="14578" xr:uid="{00000000-0005-0000-0000-0000A6840000}"/>
    <cellStyle name="Normal 9 2 2 2 3 2 2" xfId="34498" xr:uid="{00000000-0005-0000-0000-0000A7840000}"/>
    <cellStyle name="Normal 9 2 2 2 3 3" xfId="20730" xr:uid="{00000000-0005-0000-0000-0000A8840000}"/>
    <cellStyle name="Normal 9 2 2 2 3 3 2" xfId="40650" xr:uid="{00000000-0005-0000-0000-0000A9840000}"/>
    <cellStyle name="Normal 9 2 2 2 3 4" xfId="28345" xr:uid="{00000000-0005-0000-0000-0000AA840000}"/>
    <cellStyle name="Normal 9 2 2 2 4" xfId="11512" xr:uid="{00000000-0005-0000-0000-0000AB840000}"/>
    <cellStyle name="Normal 9 2 2 2 4 2" xfId="31432" xr:uid="{00000000-0005-0000-0000-0000AC840000}"/>
    <cellStyle name="Normal 9 2 2 2 5" xfId="17664" xr:uid="{00000000-0005-0000-0000-0000AD840000}"/>
    <cellStyle name="Normal 9 2 2 2 5 2" xfId="37584" xr:uid="{00000000-0005-0000-0000-0000AE840000}"/>
    <cellStyle name="Normal 9 2 2 2 6" xfId="25279" xr:uid="{00000000-0005-0000-0000-0000AF840000}"/>
    <cellStyle name="Normal 9 2 2 3" xfId="6050" xr:uid="{00000000-0005-0000-0000-0000B0840000}"/>
    <cellStyle name="Normal 9 2 2 3 2" xfId="9150" xr:uid="{00000000-0005-0000-0000-0000B1840000}"/>
    <cellStyle name="Normal 9 2 2 3 2 2" xfId="15343" xr:uid="{00000000-0005-0000-0000-0000B2840000}"/>
    <cellStyle name="Normal 9 2 2 3 2 2 2" xfId="35263" xr:uid="{00000000-0005-0000-0000-0000B3840000}"/>
    <cellStyle name="Normal 9 2 2 3 2 3" xfId="21495" xr:uid="{00000000-0005-0000-0000-0000B4840000}"/>
    <cellStyle name="Normal 9 2 2 3 2 3 2" xfId="41415" xr:uid="{00000000-0005-0000-0000-0000B5840000}"/>
    <cellStyle name="Normal 9 2 2 3 2 4" xfId="29110" xr:uid="{00000000-0005-0000-0000-0000B6840000}"/>
    <cellStyle name="Normal 9 2 2 3 3" xfId="12277" xr:uid="{00000000-0005-0000-0000-0000B7840000}"/>
    <cellStyle name="Normal 9 2 2 3 3 2" xfId="32197" xr:uid="{00000000-0005-0000-0000-0000B8840000}"/>
    <cellStyle name="Normal 9 2 2 3 4" xfId="18429" xr:uid="{00000000-0005-0000-0000-0000B9840000}"/>
    <cellStyle name="Normal 9 2 2 3 4 2" xfId="38349" xr:uid="{00000000-0005-0000-0000-0000BA840000}"/>
    <cellStyle name="Normal 9 2 2 3 5" xfId="26044" xr:uid="{00000000-0005-0000-0000-0000BB840000}"/>
    <cellStyle name="Normal 9 2 2 4" xfId="7615" xr:uid="{00000000-0005-0000-0000-0000BC840000}"/>
    <cellStyle name="Normal 9 2 2 4 2" xfId="13809" xr:uid="{00000000-0005-0000-0000-0000BD840000}"/>
    <cellStyle name="Normal 9 2 2 4 2 2" xfId="33729" xr:uid="{00000000-0005-0000-0000-0000BE840000}"/>
    <cellStyle name="Normal 9 2 2 4 3" xfId="19961" xr:uid="{00000000-0005-0000-0000-0000BF840000}"/>
    <cellStyle name="Normal 9 2 2 4 3 2" xfId="39881" xr:uid="{00000000-0005-0000-0000-0000C0840000}"/>
    <cellStyle name="Normal 9 2 2 4 4" xfId="27576" xr:uid="{00000000-0005-0000-0000-0000C1840000}"/>
    <cellStyle name="Normal 9 2 2 5" xfId="10743" xr:uid="{00000000-0005-0000-0000-0000C2840000}"/>
    <cellStyle name="Normal 9 2 2 5 2" xfId="30663" xr:uid="{00000000-0005-0000-0000-0000C3840000}"/>
    <cellStyle name="Normal 9 2 2 6" xfId="16895" xr:uid="{00000000-0005-0000-0000-0000C4840000}"/>
    <cellStyle name="Normal 9 2 2 6 2" xfId="36815" xr:uid="{00000000-0005-0000-0000-0000C5840000}"/>
    <cellStyle name="Normal 9 2 2 7" xfId="24510" xr:uid="{00000000-0005-0000-0000-0000C6840000}"/>
    <cellStyle name="Normal 9 2 3" xfId="4034" xr:uid="{00000000-0005-0000-0000-0000C7840000}"/>
    <cellStyle name="Normal 9 2 3 2" xfId="5209" xr:uid="{00000000-0005-0000-0000-0000C8840000}"/>
    <cellStyle name="Normal 9 2 3 2 2" xfId="6834" xr:uid="{00000000-0005-0000-0000-0000C9840000}"/>
    <cellStyle name="Normal 9 2 3 2 2 2" xfId="9920" xr:uid="{00000000-0005-0000-0000-0000CA840000}"/>
    <cellStyle name="Normal 9 2 3 2 2 2 2" xfId="16113" xr:uid="{00000000-0005-0000-0000-0000CB840000}"/>
    <cellStyle name="Normal 9 2 3 2 2 2 2 2" xfId="36033" xr:uid="{00000000-0005-0000-0000-0000CC840000}"/>
    <cellStyle name="Normal 9 2 3 2 2 2 3" xfId="22265" xr:uid="{00000000-0005-0000-0000-0000CD840000}"/>
    <cellStyle name="Normal 9 2 3 2 2 2 3 2" xfId="42185" xr:uid="{00000000-0005-0000-0000-0000CE840000}"/>
    <cellStyle name="Normal 9 2 3 2 2 2 4" xfId="29880" xr:uid="{00000000-0005-0000-0000-0000CF840000}"/>
    <cellStyle name="Normal 9 2 3 2 2 3" xfId="13047" xr:uid="{00000000-0005-0000-0000-0000D0840000}"/>
    <cellStyle name="Normal 9 2 3 2 2 3 2" xfId="32967" xr:uid="{00000000-0005-0000-0000-0000D1840000}"/>
    <cellStyle name="Normal 9 2 3 2 2 4" xfId="19199" xr:uid="{00000000-0005-0000-0000-0000D2840000}"/>
    <cellStyle name="Normal 9 2 3 2 2 4 2" xfId="39119" xr:uid="{00000000-0005-0000-0000-0000D3840000}"/>
    <cellStyle name="Normal 9 2 3 2 2 5" xfId="26814" xr:uid="{00000000-0005-0000-0000-0000D4840000}"/>
    <cellStyle name="Normal 9 2 3 2 3" xfId="8385" xr:uid="{00000000-0005-0000-0000-0000D5840000}"/>
    <cellStyle name="Normal 9 2 3 2 3 2" xfId="14579" xr:uid="{00000000-0005-0000-0000-0000D6840000}"/>
    <cellStyle name="Normal 9 2 3 2 3 2 2" xfId="34499" xr:uid="{00000000-0005-0000-0000-0000D7840000}"/>
    <cellStyle name="Normal 9 2 3 2 3 3" xfId="20731" xr:uid="{00000000-0005-0000-0000-0000D8840000}"/>
    <cellStyle name="Normal 9 2 3 2 3 3 2" xfId="40651" xr:uid="{00000000-0005-0000-0000-0000D9840000}"/>
    <cellStyle name="Normal 9 2 3 2 3 4" xfId="28346" xr:uid="{00000000-0005-0000-0000-0000DA840000}"/>
    <cellStyle name="Normal 9 2 3 2 4" xfId="11513" xr:uid="{00000000-0005-0000-0000-0000DB840000}"/>
    <cellStyle name="Normal 9 2 3 2 4 2" xfId="31433" xr:uid="{00000000-0005-0000-0000-0000DC840000}"/>
    <cellStyle name="Normal 9 2 3 2 5" xfId="17665" xr:uid="{00000000-0005-0000-0000-0000DD840000}"/>
    <cellStyle name="Normal 9 2 3 2 5 2" xfId="37585" xr:uid="{00000000-0005-0000-0000-0000DE840000}"/>
    <cellStyle name="Normal 9 2 3 2 6" xfId="25280" xr:uid="{00000000-0005-0000-0000-0000DF840000}"/>
    <cellStyle name="Normal 9 2 3 3" xfId="6051" xr:uid="{00000000-0005-0000-0000-0000E0840000}"/>
    <cellStyle name="Normal 9 2 3 3 2" xfId="9151" xr:uid="{00000000-0005-0000-0000-0000E1840000}"/>
    <cellStyle name="Normal 9 2 3 3 2 2" xfId="15344" xr:uid="{00000000-0005-0000-0000-0000E2840000}"/>
    <cellStyle name="Normal 9 2 3 3 2 2 2" xfId="35264" xr:uid="{00000000-0005-0000-0000-0000E3840000}"/>
    <cellStyle name="Normal 9 2 3 3 2 3" xfId="21496" xr:uid="{00000000-0005-0000-0000-0000E4840000}"/>
    <cellStyle name="Normal 9 2 3 3 2 3 2" xfId="41416" xr:uid="{00000000-0005-0000-0000-0000E5840000}"/>
    <cellStyle name="Normal 9 2 3 3 2 4" xfId="29111" xr:uid="{00000000-0005-0000-0000-0000E6840000}"/>
    <cellStyle name="Normal 9 2 3 3 3" xfId="12278" xr:uid="{00000000-0005-0000-0000-0000E7840000}"/>
    <cellStyle name="Normal 9 2 3 3 3 2" xfId="32198" xr:uid="{00000000-0005-0000-0000-0000E8840000}"/>
    <cellStyle name="Normal 9 2 3 3 4" xfId="18430" xr:uid="{00000000-0005-0000-0000-0000E9840000}"/>
    <cellStyle name="Normal 9 2 3 3 4 2" xfId="38350" xr:uid="{00000000-0005-0000-0000-0000EA840000}"/>
    <cellStyle name="Normal 9 2 3 3 5" xfId="26045" xr:uid="{00000000-0005-0000-0000-0000EB840000}"/>
    <cellStyle name="Normal 9 2 3 4" xfId="7616" xr:uid="{00000000-0005-0000-0000-0000EC840000}"/>
    <cellStyle name="Normal 9 2 3 4 2" xfId="13810" xr:uid="{00000000-0005-0000-0000-0000ED840000}"/>
    <cellStyle name="Normal 9 2 3 4 2 2" xfId="33730" xr:uid="{00000000-0005-0000-0000-0000EE840000}"/>
    <cellStyle name="Normal 9 2 3 4 3" xfId="19962" xr:uid="{00000000-0005-0000-0000-0000EF840000}"/>
    <cellStyle name="Normal 9 2 3 4 3 2" xfId="39882" xr:uid="{00000000-0005-0000-0000-0000F0840000}"/>
    <cellStyle name="Normal 9 2 3 4 4" xfId="27577" xr:uid="{00000000-0005-0000-0000-0000F1840000}"/>
    <cellStyle name="Normal 9 2 3 5" xfId="10744" xr:uid="{00000000-0005-0000-0000-0000F2840000}"/>
    <cellStyle name="Normal 9 2 3 5 2" xfId="30664" xr:uid="{00000000-0005-0000-0000-0000F3840000}"/>
    <cellStyle name="Normal 9 2 3 6" xfId="16896" xr:uid="{00000000-0005-0000-0000-0000F4840000}"/>
    <cellStyle name="Normal 9 2 3 6 2" xfId="36816" xr:uid="{00000000-0005-0000-0000-0000F5840000}"/>
    <cellStyle name="Normal 9 2 3 7" xfId="24511" xr:uid="{00000000-0005-0000-0000-0000F6840000}"/>
    <cellStyle name="Normal 9 2 4" xfId="4035" xr:uid="{00000000-0005-0000-0000-0000F7840000}"/>
    <cellStyle name="Normal 9 2 4 2" xfId="5210" xr:uid="{00000000-0005-0000-0000-0000F8840000}"/>
    <cellStyle name="Normal 9 2 4 2 2" xfId="6835" xr:uid="{00000000-0005-0000-0000-0000F9840000}"/>
    <cellStyle name="Normal 9 2 4 2 2 2" xfId="9921" xr:uid="{00000000-0005-0000-0000-0000FA840000}"/>
    <cellStyle name="Normal 9 2 4 2 2 2 2" xfId="16114" xr:uid="{00000000-0005-0000-0000-0000FB840000}"/>
    <cellStyle name="Normal 9 2 4 2 2 2 2 2" xfId="36034" xr:uid="{00000000-0005-0000-0000-0000FC840000}"/>
    <cellStyle name="Normal 9 2 4 2 2 2 3" xfId="22266" xr:uid="{00000000-0005-0000-0000-0000FD840000}"/>
    <cellStyle name="Normal 9 2 4 2 2 2 3 2" xfId="42186" xr:uid="{00000000-0005-0000-0000-0000FE840000}"/>
    <cellStyle name="Normal 9 2 4 2 2 2 4" xfId="29881" xr:uid="{00000000-0005-0000-0000-0000FF840000}"/>
    <cellStyle name="Normal 9 2 4 2 2 3" xfId="13048" xr:uid="{00000000-0005-0000-0000-000000850000}"/>
    <cellStyle name="Normal 9 2 4 2 2 3 2" xfId="32968" xr:uid="{00000000-0005-0000-0000-000001850000}"/>
    <cellStyle name="Normal 9 2 4 2 2 4" xfId="19200" xr:uid="{00000000-0005-0000-0000-000002850000}"/>
    <cellStyle name="Normal 9 2 4 2 2 4 2" xfId="39120" xr:uid="{00000000-0005-0000-0000-000003850000}"/>
    <cellStyle name="Normal 9 2 4 2 2 5" xfId="26815" xr:uid="{00000000-0005-0000-0000-000004850000}"/>
    <cellStyle name="Normal 9 2 4 2 3" xfId="8386" xr:uid="{00000000-0005-0000-0000-000005850000}"/>
    <cellStyle name="Normal 9 2 4 2 3 2" xfId="14580" xr:uid="{00000000-0005-0000-0000-000006850000}"/>
    <cellStyle name="Normal 9 2 4 2 3 2 2" xfId="34500" xr:uid="{00000000-0005-0000-0000-000007850000}"/>
    <cellStyle name="Normal 9 2 4 2 3 3" xfId="20732" xr:uid="{00000000-0005-0000-0000-000008850000}"/>
    <cellStyle name="Normal 9 2 4 2 3 3 2" xfId="40652" xr:uid="{00000000-0005-0000-0000-000009850000}"/>
    <cellStyle name="Normal 9 2 4 2 3 4" xfId="28347" xr:uid="{00000000-0005-0000-0000-00000A850000}"/>
    <cellStyle name="Normal 9 2 4 2 4" xfId="11514" xr:uid="{00000000-0005-0000-0000-00000B850000}"/>
    <cellStyle name="Normal 9 2 4 2 4 2" xfId="31434" xr:uid="{00000000-0005-0000-0000-00000C850000}"/>
    <cellStyle name="Normal 9 2 4 2 5" xfId="17666" xr:uid="{00000000-0005-0000-0000-00000D850000}"/>
    <cellStyle name="Normal 9 2 4 2 5 2" xfId="37586" xr:uid="{00000000-0005-0000-0000-00000E850000}"/>
    <cellStyle name="Normal 9 2 4 2 6" xfId="25281" xr:uid="{00000000-0005-0000-0000-00000F850000}"/>
    <cellStyle name="Normal 9 2 4 3" xfId="6052" xr:uid="{00000000-0005-0000-0000-000010850000}"/>
    <cellStyle name="Normal 9 2 4 3 2" xfId="9152" xr:uid="{00000000-0005-0000-0000-000011850000}"/>
    <cellStyle name="Normal 9 2 4 3 2 2" xfId="15345" xr:uid="{00000000-0005-0000-0000-000012850000}"/>
    <cellStyle name="Normal 9 2 4 3 2 2 2" xfId="35265" xr:uid="{00000000-0005-0000-0000-000013850000}"/>
    <cellStyle name="Normal 9 2 4 3 2 3" xfId="21497" xr:uid="{00000000-0005-0000-0000-000014850000}"/>
    <cellStyle name="Normal 9 2 4 3 2 3 2" xfId="41417" xr:uid="{00000000-0005-0000-0000-000015850000}"/>
    <cellStyle name="Normal 9 2 4 3 2 4" xfId="29112" xr:uid="{00000000-0005-0000-0000-000016850000}"/>
    <cellStyle name="Normal 9 2 4 3 3" xfId="12279" xr:uid="{00000000-0005-0000-0000-000017850000}"/>
    <cellStyle name="Normal 9 2 4 3 3 2" xfId="32199" xr:uid="{00000000-0005-0000-0000-000018850000}"/>
    <cellStyle name="Normal 9 2 4 3 4" xfId="18431" xr:uid="{00000000-0005-0000-0000-000019850000}"/>
    <cellStyle name="Normal 9 2 4 3 4 2" xfId="38351" xr:uid="{00000000-0005-0000-0000-00001A850000}"/>
    <cellStyle name="Normal 9 2 4 3 5" xfId="26046" xr:uid="{00000000-0005-0000-0000-00001B850000}"/>
    <cellStyle name="Normal 9 2 4 4" xfId="7617" xr:uid="{00000000-0005-0000-0000-00001C850000}"/>
    <cellStyle name="Normal 9 2 4 4 2" xfId="13811" xr:uid="{00000000-0005-0000-0000-00001D850000}"/>
    <cellStyle name="Normal 9 2 4 4 2 2" xfId="33731" xr:uid="{00000000-0005-0000-0000-00001E850000}"/>
    <cellStyle name="Normal 9 2 4 4 3" xfId="19963" xr:uid="{00000000-0005-0000-0000-00001F850000}"/>
    <cellStyle name="Normal 9 2 4 4 3 2" xfId="39883" xr:uid="{00000000-0005-0000-0000-000020850000}"/>
    <cellStyle name="Normal 9 2 4 4 4" xfId="27578" xr:uid="{00000000-0005-0000-0000-000021850000}"/>
    <cellStyle name="Normal 9 2 4 5" xfId="10745" xr:uid="{00000000-0005-0000-0000-000022850000}"/>
    <cellStyle name="Normal 9 2 4 5 2" xfId="30665" xr:uid="{00000000-0005-0000-0000-000023850000}"/>
    <cellStyle name="Normal 9 2 4 6" xfId="16897" xr:uid="{00000000-0005-0000-0000-000024850000}"/>
    <cellStyle name="Normal 9 2 4 6 2" xfId="36817" xr:uid="{00000000-0005-0000-0000-000025850000}"/>
    <cellStyle name="Normal 9 2 4 7" xfId="24512" xr:uid="{00000000-0005-0000-0000-000026850000}"/>
    <cellStyle name="Normal 9 2 5" xfId="4036" xr:uid="{00000000-0005-0000-0000-000027850000}"/>
    <cellStyle name="Normal 9 2 5 2" xfId="5211" xr:uid="{00000000-0005-0000-0000-000028850000}"/>
    <cellStyle name="Normal 9 2 5 2 2" xfId="6836" xr:uid="{00000000-0005-0000-0000-000029850000}"/>
    <cellStyle name="Normal 9 2 5 2 2 2" xfId="9922" xr:uid="{00000000-0005-0000-0000-00002A850000}"/>
    <cellStyle name="Normal 9 2 5 2 2 2 2" xfId="16115" xr:uid="{00000000-0005-0000-0000-00002B850000}"/>
    <cellStyle name="Normal 9 2 5 2 2 2 2 2" xfId="36035" xr:uid="{00000000-0005-0000-0000-00002C850000}"/>
    <cellStyle name="Normal 9 2 5 2 2 2 3" xfId="22267" xr:uid="{00000000-0005-0000-0000-00002D850000}"/>
    <cellStyle name="Normal 9 2 5 2 2 2 3 2" xfId="42187" xr:uid="{00000000-0005-0000-0000-00002E850000}"/>
    <cellStyle name="Normal 9 2 5 2 2 2 4" xfId="29882" xr:uid="{00000000-0005-0000-0000-00002F850000}"/>
    <cellStyle name="Normal 9 2 5 2 2 3" xfId="13049" xr:uid="{00000000-0005-0000-0000-000030850000}"/>
    <cellStyle name="Normal 9 2 5 2 2 3 2" xfId="32969" xr:uid="{00000000-0005-0000-0000-000031850000}"/>
    <cellStyle name="Normal 9 2 5 2 2 4" xfId="19201" xr:uid="{00000000-0005-0000-0000-000032850000}"/>
    <cellStyle name="Normal 9 2 5 2 2 4 2" xfId="39121" xr:uid="{00000000-0005-0000-0000-000033850000}"/>
    <cellStyle name="Normal 9 2 5 2 2 5" xfId="26816" xr:uid="{00000000-0005-0000-0000-000034850000}"/>
    <cellStyle name="Normal 9 2 5 2 3" xfId="8387" xr:uid="{00000000-0005-0000-0000-000035850000}"/>
    <cellStyle name="Normal 9 2 5 2 3 2" xfId="14581" xr:uid="{00000000-0005-0000-0000-000036850000}"/>
    <cellStyle name="Normal 9 2 5 2 3 2 2" xfId="34501" xr:uid="{00000000-0005-0000-0000-000037850000}"/>
    <cellStyle name="Normal 9 2 5 2 3 3" xfId="20733" xr:uid="{00000000-0005-0000-0000-000038850000}"/>
    <cellStyle name="Normal 9 2 5 2 3 3 2" xfId="40653" xr:uid="{00000000-0005-0000-0000-000039850000}"/>
    <cellStyle name="Normal 9 2 5 2 3 4" xfId="28348" xr:uid="{00000000-0005-0000-0000-00003A850000}"/>
    <cellStyle name="Normal 9 2 5 2 4" xfId="11515" xr:uid="{00000000-0005-0000-0000-00003B850000}"/>
    <cellStyle name="Normal 9 2 5 2 4 2" xfId="31435" xr:uid="{00000000-0005-0000-0000-00003C850000}"/>
    <cellStyle name="Normal 9 2 5 2 5" xfId="17667" xr:uid="{00000000-0005-0000-0000-00003D850000}"/>
    <cellStyle name="Normal 9 2 5 2 5 2" xfId="37587" xr:uid="{00000000-0005-0000-0000-00003E850000}"/>
    <cellStyle name="Normal 9 2 5 2 6" xfId="25282" xr:uid="{00000000-0005-0000-0000-00003F850000}"/>
    <cellStyle name="Normal 9 2 5 3" xfId="6053" xr:uid="{00000000-0005-0000-0000-000040850000}"/>
    <cellStyle name="Normal 9 2 5 3 2" xfId="9153" xr:uid="{00000000-0005-0000-0000-000041850000}"/>
    <cellStyle name="Normal 9 2 5 3 2 2" xfId="15346" xr:uid="{00000000-0005-0000-0000-000042850000}"/>
    <cellStyle name="Normal 9 2 5 3 2 2 2" xfId="35266" xr:uid="{00000000-0005-0000-0000-000043850000}"/>
    <cellStyle name="Normal 9 2 5 3 2 3" xfId="21498" xr:uid="{00000000-0005-0000-0000-000044850000}"/>
    <cellStyle name="Normal 9 2 5 3 2 3 2" xfId="41418" xr:uid="{00000000-0005-0000-0000-000045850000}"/>
    <cellStyle name="Normal 9 2 5 3 2 4" xfId="29113" xr:uid="{00000000-0005-0000-0000-000046850000}"/>
    <cellStyle name="Normal 9 2 5 3 3" xfId="12280" xr:uid="{00000000-0005-0000-0000-000047850000}"/>
    <cellStyle name="Normal 9 2 5 3 3 2" xfId="32200" xr:uid="{00000000-0005-0000-0000-000048850000}"/>
    <cellStyle name="Normal 9 2 5 3 4" xfId="18432" xr:uid="{00000000-0005-0000-0000-000049850000}"/>
    <cellStyle name="Normal 9 2 5 3 4 2" xfId="38352" xr:uid="{00000000-0005-0000-0000-00004A850000}"/>
    <cellStyle name="Normal 9 2 5 3 5" xfId="26047" xr:uid="{00000000-0005-0000-0000-00004B850000}"/>
    <cellStyle name="Normal 9 2 5 4" xfId="7618" xr:uid="{00000000-0005-0000-0000-00004C850000}"/>
    <cellStyle name="Normal 9 2 5 4 2" xfId="13812" xr:uid="{00000000-0005-0000-0000-00004D850000}"/>
    <cellStyle name="Normal 9 2 5 4 2 2" xfId="33732" xr:uid="{00000000-0005-0000-0000-00004E850000}"/>
    <cellStyle name="Normal 9 2 5 4 3" xfId="19964" xr:uid="{00000000-0005-0000-0000-00004F850000}"/>
    <cellStyle name="Normal 9 2 5 4 3 2" xfId="39884" xr:uid="{00000000-0005-0000-0000-000050850000}"/>
    <cellStyle name="Normal 9 2 5 4 4" xfId="27579" xr:uid="{00000000-0005-0000-0000-000051850000}"/>
    <cellStyle name="Normal 9 2 5 5" xfId="10746" xr:uid="{00000000-0005-0000-0000-000052850000}"/>
    <cellStyle name="Normal 9 2 5 5 2" xfId="30666" xr:uid="{00000000-0005-0000-0000-000053850000}"/>
    <cellStyle name="Normal 9 2 5 6" xfId="16898" xr:uid="{00000000-0005-0000-0000-000054850000}"/>
    <cellStyle name="Normal 9 2 5 6 2" xfId="36818" xr:uid="{00000000-0005-0000-0000-000055850000}"/>
    <cellStyle name="Normal 9 2 5 7" xfId="24513" xr:uid="{00000000-0005-0000-0000-000056850000}"/>
    <cellStyle name="Normal 9 2 6" xfId="5207" xr:uid="{00000000-0005-0000-0000-000057850000}"/>
    <cellStyle name="Normal 9 2 6 2" xfId="6832" xr:uid="{00000000-0005-0000-0000-000058850000}"/>
    <cellStyle name="Normal 9 2 6 2 2" xfId="9918" xr:uid="{00000000-0005-0000-0000-000059850000}"/>
    <cellStyle name="Normal 9 2 6 2 2 2" xfId="16111" xr:uid="{00000000-0005-0000-0000-00005A850000}"/>
    <cellStyle name="Normal 9 2 6 2 2 2 2" xfId="36031" xr:uid="{00000000-0005-0000-0000-00005B850000}"/>
    <cellStyle name="Normal 9 2 6 2 2 3" xfId="22263" xr:uid="{00000000-0005-0000-0000-00005C850000}"/>
    <cellStyle name="Normal 9 2 6 2 2 3 2" xfId="42183" xr:uid="{00000000-0005-0000-0000-00005D850000}"/>
    <cellStyle name="Normal 9 2 6 2 2 4" xfId="29878" xr:uid="{00000000-0005-0000-0000-00005E850000}"/>
    <cellStyle name="Normal 9 2 6 2 3" xfId="13045" xr:uid="{00000000-0005-0000-0000-00005F850000}"/>
    <cellStyle name="Normal 9 2 6 2 3 2" xfId="32965" xr:uid="{00000000-0005-0000-0000-000060850000}"/>
    <cellStyle name="Normal 9 2 6 2 4" xfId="19197" xr:uid="{00000000-0005-0000-0000-000061850000}"/>
    <cellStyle name="Normal 9 2 6 2 4 2" xfId="39117" xr:uid="{00000000-0005-0000-0000-000062850000}"/>
    <cellStyle name="Normal 9 2 6 2 5" xfId="26812" xr:uid="{00000000-0005-0000-0000-000063850000}"/>
    <cellStyle name="Normal 9 2 6 3" xfId="8383" xr:uid="{00000000-0005-0000-0000-000064850000}"/>
    <cellStyle name="Normal 9 2 6 3 2" xfId="14577" xr:uid="{00000000-0005-0000-0000-000065850000}"/>
    <cellStyle name="Normal 9 2 6 3 2 2" xfId="34497" xr:uid="{00000000-0005-0000-0000-000066850000}"/>
    <cellStyle name="Normal 9 2 6 3 3" xfId="20729" xr:uid="{00000000-0005-0000-0000-000067850000}"/>
    <cellStyle name="Normal 9 2 6 3 3 2" xfId="40649" xr:uid="{00000000-0005-0000-0000-000068850000}"/>
    <cellStyle name="Normal 9 2 6 3 4" xfId="28344" xr:uid="{00000000-0005-0000-0000-000069850000}"/>
    <cellStyle name="Normal 9 2 6 4" xfId="11511" xr:uid="{00000000-0005-0000-0000-00006A850000}"/>
    <cellStyle name="Normal 9 2 6 4 2" xfId="31431" xr:uid="{00000000-0005-0000-0000-00006B850000}"/>
    <cellStyle name="Normal 9 2 6 5" xfId="17663" xr:uid="{00000000-0005-0000-0000-00006C850000}"/>
    <cellStyle name="Normal 9 2 6 5 2" xfId="37583" xr:uid="{00000000-0005-0000-0000-00006D850000}"/>
    <cellStyle name="Normal 9 2 6 6" xfId="25278" xr:uid="{00000000-0005-0000-0000-00006E850000}"/>
    <cellStyle name="Normal 9 2 7" xfId="6049" xr:uid="{00000000-0005-0000-0000-00006F850000}"/>
    <cellStyle name="Normal 9 2 7 2" xfId="9149" xr:uid="{00000000-0005-0000-0000-000070850000}"/>
    <cellStyle name="Normal 9 2 7 2 2" xfId="15342" xr:uid="{00000000-0005-0000-0000-000071850000}"/>
    <cellStyle name="Normal 9 2 7 2 2 2" xfId="35262" xr:uid="{00000000-0005-0000-0000-000072850000}"/>
    <cellStyle name="Normal 9 2 7 2 3" xfId="21494" xr:uid="{00000000-0005-0000-0000-000073850000}"/>
    <cellStyle name="Normal 9 2 7 2 3 2" xfId="41414" xr:uid="{00000000-0005-0000-0000-000074850000}"/>
    <cellStyle name="Normal 9 2 7 2 4" xfId="29109" xr:uid="{00000000-0005-0000-0000-000075850000}"/>
    <cellStyle name="Normal 9 2 7 3" xfId="12276" xr:uid="{00000000-0005-0000-0000-000076850000}"/>
    <cellStyle name="Normal 9 2 7 3 2" xfId="32196" xr:uid="{00000000-0005-0000-0000-000077850000}"/>
    <cellStyle name="Normal 9 2 7 4" xfId="18428" xr:uid="{00000000-0005-0000-0000-000078850000}"/>
    <cellStyle name="Normal 9 2 7 4 2" xfId="38348" xr:uid="{00000000-0005-0000-0000-000079850000}"/>
    <cellStyle name="Normal 9 2 7 5" xfId="26043" xr:uid="{00000000-0005-0000-0000-00007A850000}"/>
    <cellStyle name="Normal 9 2 8" xfId="7614" xr:uid="{00000000-0005-0000-0000-00007B850000}"/>
    <cellStyle name="Normal 9 2 8 2" xfId="13808" xr:uid="{00000000-0005-0000-0000-00007C850000}"/>
    <cellStyle name="Normal 9 2 8 2 2" xfId="33728" xr:uid="{00000000-0005-0000-0000-00007D850000}"/>
    <cellStyle name="Normal 9 2 8 3" xfId="19960" xr:uid="{00000000-0005-0000-0000-00007E850000}"/>
    <cellStyle name="Normal 9 2 8 3 2" xfId="39880" xr:uid="{00000000-0005-0000-0000-00007F850000}"/>
    <cellStyle name="Normal 9 2 8 4" xfId="27575" xr:uid="{00000000-0005-0000-0000-000080850000}"/>
    <cellStyle name="Normal 9 2 9" xfId="10135" xr:uid="{00000000-0005-0000-0000-000081850000}"/>
    <cellStyle name="Normal 9 20" xfId="4037" xr:uid="{00000000-0005-0000-0000-000082850000}"/>
    <cellStyle name="Normal 9 20 2" xfId="5212" xr:uid="{00000000-0005-0000-0000-000083850000}"/>
    <cellStyle name="Normal 9 20 2 2" xfId="6837" xr:uid="{00000000-0005-0000-0000-000084850000}"/>
    <cellStyle name="Normal 9 20 2 2 2" xfId="9923" xr:uid="{00000000-0005-0000-0000-000085850000}"/>
    <cellStyle name="Normal 9 20 2 2 2 2" xfId="16116" xr:uid="{00000000-0005-0000-0000-000086850000}"/>
    <cellStyle name="Normal 9 20 2 2 2 2 2" xfId="36036" xr:uid="{00000000-0005-0000-0000-000087850000}"/>
    <cellStyle name="Normal 9 20 2 2 2 3" xfId="22268" xr:uid="{00000000-0005-0000-0000-000088850000}"/>
    <cellStyle name="Normal 9 20 2 2 2 3 2" xfId="42188" xr:uid="{00000000-0005-0000-0000-000089850000}"/>
    <cellStyle name="Normal 9 20 2 2 2 4" xfId="29883" xr:uid="{00000000-0005-0000-0000-00008A850000}"/>
    <cellStyle name="Normal 9 20 2 2 3" xfId="13050" xr:uid="{00000000-0005-0000-0000-00008B850000}"/>
    <cellStyle name="Normal 9 20 2 2 3 2" xfId="32970" xr:uid="{00000000-0005-0000-0000-00008C850000}"/>
    <cellStyle name="Normal 9 20 2 2 4" xfId="19202" xr:uid="{00000000-0005-0000-0000-00008D850000}"/>
    <cellStyle name="Normal 9 20 2 2 4 2" xfId="39122" xr:uid="{00000000-0005-0000-0000-00008E850000}"/>
    <cellStyle name="Normal 9 20 2 2 5" xfId="26817" xr:uid="{00000000-0005-0000-0000-00008F850000}"/>
    <cellStyle name="Normal 9 20 2 3" xfId="8388" xr:uid="{00000000-0005-0000-0000-000090850000}"/>
    <cellStyle name="Normal 9 20 2 3 2" xfId="14582" xr:uid="{00000000-0005-0000-0000-000091850000}"/>
    <cellStyle name="Normal 9 20 2 3 2 2" xfId="34502" xr:uid="{00000000-0005-0000-0000-000092850000}"/>
    <cellStyle name="Normal 9 20 2 3 3" xfId="20734" xr:uid="{00000000-0005-0000-0000-000093850000}"/>
    <cellStyle name="Normal 9 20 2 3 3 2" xfId="40654" xr:uid="{00000000-0005-0000-0000-000094850000}"/>
    <cellStyle name="Normal 9 20 2 3 4" xfId="28349" xr:uid="{00000000-0005-0000-0000-000095850000}"/>
    <cellStyle name="Normal 9 20 2 4" xfId="11516" xr:uid="{00000000-0005-0000-0000-000096850000}"/>
    <cellStyle name="Normal 9 20 2 4 2" xfId="31436" xr:uid="{00000000-0005-0000-0000-000097850000}"/>
    <cellStyle name="Normal 9 20 2 5" xfId="17668" xr:uid="{00000000-0005-0000-0000-000098850000}"/>
    <cellStyle name="Normal 9 20 2 5 2" xfId="37588" xr:uid="{00000000-0005-0000-0000-000099850000}"/>
    <cellStyle name="Normal 9 20 2 6" xfId="25283" xr:uid="{00000000-0005-0000-0000-00009A850000}"/>
    <cellStyle name="Normal 9 20 3" xfId="6054" xr:uid="{00000000-0005-0000-0000-00009B850000}"/>
    <cellStyle name="Normal 9 20 3 2" xfId="9154" xr:uid="{00000000-0005-0000-0000-00009C850000}"/>
    <cellStyle name="Normal 9 20 3 2 2" xfId="15347" xr:uid="{00000000-0005-0000-0000-00009D850000}"/>
    <cellStyle name="Normal 9 20 3 2 2 2" xfId="35267" xr:uid="{00000000-0005-0000-0000-00009E850000}"/>
    <cellStyle name="Normal 9 20 3 2 3" xfId="21499" xr:uid="{00000000-0005-0000-0000-00009F850000}"/>
    <cellStyle name="Normal 9 20 3 2 3 2" xfId="41419" xr:uid="{00000000-0005-0000-0000-0000A0850000}"/>
    <cellStyle name="Normal 9 20 3 2 4" xfId="29114" xr:uid="{00000000-0005-0000-0000-0000A1850000}"/>
    <cellStyle name="Normal 9 20 3 3" xfId="12281" xr:uid="{00000000-0005-0000-0000-0000A2850000}"/>
    <cellStyle name="Normal 9 20 3 3 2" xfId="32201" xr:uid="{00000000-0005-0000-0000-0000A3850000}"/>
    <cellStyle name="Normal 9 20 3 4" xfId="18433" xr:uid="{00000000-0005-0000-0000-0000A4850000}"/>
    <cellStyle name="Normal 9 20 3 4 2" xfId="38353" xr:uid="{00000000-0005-0000-0000-0000A5850000}"/>
    <cellStyle name="Normal 9 20 3 5" xfId="26048" xr:uid="{00000000-0005-0000-0000-0000A6850000}"/>
    <cellStyle name="Normal 9 20 4" xfId="7619" xr:uid="{00000000-0005-0000-0000-0000A7850000}"/>
    <cellStyle name="Normal 9 20 4 2" xfId="13813" xr:uid="{00000000-0005-0000-0000-0000A8850000}"/>
    <cellStyle name="Normal 9 20 4 2 2" xfId="33733" xr:uid="{00000000-0005-0000-0000-0000A9850000}"/>
    <cellStyle name="Normal 9 20 4 3" xfId="19965" xr:uid="{00000000-0005-0000-0000-0000AA850000}"/>
    <cellStyle name="Normal 9 20 4 3 2" xfId="39885" xr:uid="{00000000-0005-0000-0000-0000AB850000}"/>
    <cellStyle name="Normal 9 20 4 4" xfId="27580" xr:uid="{00000000-0005-0000-0000-0000AC850000}"/>
    <cellStyle name="Normal 9 20 5" xfId="10747" xr:uid="{00000000-0005-0000-0000-0000AD850000}"/>
    <cellStyle name="Normal 9 20 5 2" xfId="30667" xr:uid="{00000000-0005-0000-0000-0000AE850000}"/>
    <cellStyle name="Normal 9 20 6" xfId="16899" xr:uid="{00000000-0005-0000-0000-0000AF850000}"/>
    <cellStyle name="Normal 9 20 6 2" xfId="36819" xr:uid="{00000000-0005-0000-0000-0000B0850000}"/>
    <cellStyle name="Normal 9 20 7" xfId="24514" xr:uid="{00000000-0005-0000-0000-0000B1850000}"/>
    <cellStyle name="Normal 9 21" xfId="4038" xr:uid="{00000000-0005-0000-0000-0000B2850000}"/>
    <cellStyle name="Normal 9 22" xfId="4039" xr:uid="{00000000-0005-0000-0000-0000B3850000}"/>
    <cellStyle name="Normal 9 22 2" xfId="5213" xr:uid="{00000000-0005-0000-0000-0000B4850000}"/>
    <cellStyle name="Normal 9 22 2 2" xfId="6838" xr:uid="{00000000-0005-0000-0000-0000B5850000}"/>
    <cellStyle name="Normal 9 22 2 2 2" xfId="9924" xr:uid="{00000000-0005-0000-0000-0000B6850000}"/>
    <cellStyle name="Normal 9 22 2 2 2 2" xfId="16117" xr:uid="{00000000-0005-0000-0000-0000B7850000}"/>
    <cellStyle name="Normal 9 22 2 2 2 2 2" xfId="36037" xr:uid="{00000000-0005-0000-0000-0000B8850000}"/>
    <cellStyle name="Normal 9 22 2 2 2 3" xfId="22269" xr:uid="{00000000-0005-0000-0000-0000B9850000}"/>
    <cellStyle name="Normal 9 22 2 2 2 3 2" xfId="42189" xr:uid="{00000000-0005-0000-0000-0000BA850000}"/>
    <cellStyle name="Normal 9 22 2 2 2 4" xfId="29884" xr:uid="{00000000-0005-0000-0000-0000BB850000}"/>
    <cellStyle name="Normal 9 22 2 2 3" xfId="13051" xr:uid="{00000000-0005-0000-0000-0000BC850000}"/>
    <cellStyle name="Normal 9 22 2 2 3 2" xfId="32971" xr:uid="{00000000-0005-0000-0000-0000BD850000}"/>
    <cellStyle name="Normal 9 22 2 2 4" xfId="19203" xr:uid="{00000000-0005-0000-0000-0000BE850000}"/>
    <cellStyle name="Normal 9 22 2 2 4 2" xfId="39123" xr:uid="{00000000-0005-0000-0000-0000BF850000}"/>
    <cellStyle name="Normal 9 22 2 2 5" xfId="26818" xr:uid="{00000000-0005-0000-0000-0000C0850000}"/>
    <cellStyle name="Normal 9 22 2 3" xfId="8389" xr:uid="{00000000-0005-0000-0000-0000C1850000}"/>
    <cellStyle name="Normal 9 22 2 3 2" xfId="14583" xr:uid="{00000000-0005-0000-0000-0000C2850000}"/>
    <cellStyle name="Normal 9 22 2 3 2 2" xfId="34503" xr:uid="{00000000-0005-0000-0000-0000C3850000}"/>
    <cellStyle name="Normal 9 22 2 3 3" xfId="20735" xr:uid="{00000000-0005-0000-0000-0000C4850000}"/>
    <cellStyle name="Normal 9 22 2 3 3 2" xfId="40655" xr:uid="{00000000-0005-0000-0000-0000C5850000}"/>
    <cellStyle name="Normal 9 22 2 3 4" xfId="28350" xr:uid="{00000000-0005-0000-0000-0000C6850000}"/>
    <cellStyle name="Normal 9 22 2 4" xfId="11517" xr:uid="{00000000-0005-0000-0000-0000C7850000}"/>
    <cellStyle name="Normal 9 22 2 4 2" xfId="31437" xr:uid="{00000000-0005-0000-0000-0000C8850000}"/>
    <cellStyle name="Normal 9 22 2 5" xfId="17669" xr:uid="{00000000-0005-0000-0000-0000C9850000}"/>
    <cellStyle name="Normal 9 22 2 5 2" xfId="37589" xr:uid="{00000000-0005-0000-0000-0000CA850000}"/>
    <cellStyle name="Normal 9 22 2 6" xfId="25284" xr:uid="{00000000-0005-0000-0000-0000CB850000}"/>
    <cellStyle name="Normal 9 22 3" xfId="6055" xr:uid="{00000000-0005-0000-0000-0000CC850000}"/>
    <cellStyle name="Normal 9 22 3 2" xfId="9155" xr:uid="{00000000-0005-0000-0000-0000CD850000}"/>
    <cellStyle name="Normal 9 22 3 2 2" xfId="15348" xr:uid="{00000000-0005-0000-0000-0000CE850000}"/>
    <cellStyle name="Normal 9 22 3 2 2 2" xfId="35268" xr:uid="{00000000-0005-0000-0000-0000CF850000}"/>
    <cellStyle name="Normal 9 22 3 2 3" xfId="21500" xr:uid="{00000000-0005-0000-0000-0000D0850000}"/>
    <cellStyle name="Normal 9 22 3 2 3 2" xfId="41420" xr:uid="{00000000-0005-0000-0000-0000D1850000}"/>
    <cellStyle name="Normal 9 22 3 2 4" xfId="29115" xr:uid="{00000000-0005-0000-0000-0000D2850000}"/>
    <cellStyle name="Normal 9 22 3 3" xfId="12282" xr:uid="{00000000-0005-0000-0000-0000D3850000}"/>
    <cellStyle name="Normal 9 22 3 3 2" xfId="32202" xr:uid="{00000000-0005-0000-0000-0000D4850000}"/>
    <cellStyle name="Normal 9 22 3 4" xfId="18434" xr:uid="{00000000-0005-0000-0000-0000D5850000}"/>
    <cellStyle name="Normal 9 22 3 4 2" xfId="38354" xr:uid="{00000000-0005-0000-0000-0000D6850000}"/>
    <cellStyle name="Normal 9 22 3 5" xfId="26049" xr:uid="{00000000-0005-0000-0000-0000D7850000}"/>
    <cellStyle name="Normal 9 22 4" xfId="7620" xr:uid="{00000000-0005-0000-0000-0000D8850000}"/>
    <cellStyle name="Normal 9 22 4 2" xfId="13814" xr:uid="{00000000-0005-0000-0000-0000D9850000}"/>
    <cellStyle name="Normal 9 22 4 2 2" xfId="33734" xr:uid="{00000000-0005-0000-0000-0000DA850000}"/>
    <cellStyle name="Normal 9 22 4 3" xfId="19966" xr:uid="{00000000-0005-0000-0000-0000DB850000}"/>
    <cellStyle name="Normal 9 22 4 3 2" xfId="39886" xr:uid="{00000000-0005-0000-0000-0000DC850000}"/>
    <cellStyle name="Normal 9 22 4 4" xfId="27581" xr:uid="{00000000-0005-0000-0000-0000DD850000}"/>
    <cellStyle name="Normal 9 22 5" xfId="10748" xr:uid="{00000000-0005-0000-0000-0000DE850000}"/>
    <cellStyle name="Normal 9 22 5 2" xfId="30668" xr:uid="{00000000-0005-0000-0000-0000DF850000}"/>
    <cellStyle name="Normal 9 22 6" xfId="16900" xr:uid="{00000000-0005-0000-0000-0000E0850000}"/>
    <cellStyle name="Normal 9 22 6 2" xfId="36820" xr:uid="{00000000-0005-0000-0000-0000E1850000}"/>
    <cellStyle name="Normal 9 22 7" xfId="24515" xr:uid="{00000000-0005-0000-0000-0000E2850000}"/>
    <cellStyle name="Normal 9 23" xfId="4040" xr:uid="{00000000-0005-0000-0000-0000E3850000}"/>
    <cellStyle name="Normal 9 23 2" xfId="4041" xr:uid="{00000000-0005-0000-0000-0000E4850000}"/>
    <cellStyle name="Normal 9 24" xfId="4042" xr:uid="{00000000-0005-0000-0000-0000E5850000}"/>
    <cellStyle name="Normal 9 24 2" xfId="4043" xr:uid="{00000000-0005-0000-0000-0000E6850000}"/>
    <cellStyle name="Normal 9 25" xfId="4021" xr:uid="{00000000-0005-0000-0000-0000E7850000}"/>
    <cellStyle name="Normal 9 25 2" xfId="5196" xr:uid="{00000000-0005-0000-0000-0000E8850000}"/>
    <cellStyle name="Normal 9 25 2 2" xfId="6821" xr:uid="{00000000-0005-0000-0000-0000E9850000}"/>
    <cellStyle name="Normal 9 25 2 2 2" xfId="9907" xr:uid="{00000000-0005-0000-0000-0000EA850000}"/>
    <cellStyle name="Normal 9 25 2 2 2 2" xfId="16100" xr:uid="{00000000-0005-0000-0000-0000EB850000}"/>
    <cellStyle name="Normal 9 25 2 2 2 2 2" xfId="36020" xr:uid="{00000000-0005-0000-0000-0000EC850000}"/>
    <cellStyle name="Normal 9 25 2 2 2 3" xfId="22252" xr:uid="{00000000-0005-0000-0000-0000ED850000}"/>
    <cellStyle name="Normal 9 25 2 2 2 3 2" xfId="42172" xr:uid="{00000000-0005-0000-0000-0000EE850000}"/>
    <cellStyle name="Normal 9 25 2 2 2 4" xfId="29867" xr:uid="{00000000-0005-0000-0000-0000EF850000}"/>
    <cellStyle name="Normal 9 25 2 2 3" xfId="13034" xr:uid="{00000000-0005-0000-0000-0000F0850000}"/>
    <cellStyle name="Normal 9 25 2 2 3 2" xfId="32954" xr:uid="{00000000-0005-0000-0000-0000F1850000}"/>
    <cellStyle name="Normal 9 25 2 2 4" xfId="19186" xr:uid="{00000000-0005-0000-0000-0000F2850000}"/>
    <cellStyle name="Normal 9 25 2 2 4 2" xfId="39106" xr:uid="{00000000-0005-0000-0000-0000F3850000}"/>
    <cellStyle name="Normal 9 25 2 2 5" xfId="26801" xr:uid="{00000000-0005-0000-0000-0000F4850000}"/>
    <cellStyle name="Normal 9 25 2 3" xfId="8372" xr:uid="{00000000-0005-0000-0000-0000F5850000}"/>
    <cellStyle name="Normal 9 25 2 3 2" xfId="14566" xr:uid="{00000000-0005-0000-0000-0000F6850000}"/>
    <cellStyle name="Normal 9 25 2 3 2 2" xfId="34486" xr:uid="{00000000-0005-0000-0000-0000F7850000}"/>
    <cellStyle name="Normal 9 25 2 3 3" xfId="20718" xr:uid="{00000000-0005-0000-0000-0000F8850000}"/>
    <cellStyle name="Normal 9 25 2 3 3 2" xfId="40638" xr:uid="{00000000-0005-0000-0000-0000F9850000}"/>
    <cellStyle name="Normal 9 25 2 3 4" xfId="28333" xr:uid="{00000000-0005-0000-0000-0000FA850000}"/>
    <cellStyle name="Normal 9 25 2 4" xfId="11500" xr:uid="{00000000-0005-0000-0000-0000FB850000}"/>
    <cellStyle name="Normal 9 25 2 4 2" xfId="31420" xr:uid="{00000000-0005-0000-0000-0000FC850000}"/>
    <cellStyle name="Normal 9 25 2 5" xfId="17652" xr:uid="{00000000-0005-0000-0000-0000FD850000}"/>
    <cellStyle name="Normal 9 25 2 5 2" xfId="37572" xr:uid="{00000000-0005-0000-0000-0000FE850000}"/>
    <cellStyle name="Normal 9 25 2 6" xfId="25267" xr:uid="{00000000-0005-0000-0000-0000FF850000}"/>
    <cellStyle name="Normal 9 25 3" xfId="6038" xr:uid="{00000000-0005-0000-0000-000000860000}"/>
    <cellStyle name="Normal 9 25 3 2" xfId="9138" xr:uid="{00000000-0005-0000-0000-000001860000}"/>
    <cellStyle name="Normal 9 25 3 2 2" xfId="15331" xr:uid="{00000000-0005-0000-0000-000002860000}"/>
    <cellStyle name="Normal 9 25 3 2 2 2" xfId="35251" xr:uid="{00000000-0005-0000-0000-000003860000}"/>
    <cellStyle name="Normal 9 25 3 2 3" xfId="21483" xr:uid="{00000000-0005-0000-0000-000004860000}"/>
    <cellStyle name="Normal 9 25 3 2 3 2" xfId="41403" xr:uid="{00000000-0005-0000-0000-000005860000}"/>
    <cellStyle name="Normal 9 25 3 2 4" xfId="29098" xr:uid="{00000000-0005-0000-0000-000006860000}"/>
    <cellStyle name="Normal 9 25 3 3" xfId="12265" xr:uid="{00000000-0005-0000-0000-000007860000}"/>
    <cellStyle name="Normal 9 25 3 3 2" xfId="32185" xr:uid="{00000000-0005-0000-0000-000008860000}"/>
    <cellStyle name="Normal 9 25 3 4" xfId="18417" xr:uid="{00000000-0005-0000-0000-000009860000}"/>
    <cellStyle name="Normal 9 25 3 4 2" xfId="38337" xr:uid="{00000000-0005-0000-0000-00000A860000}"/>
    <cellStyle name="Normal 9 25 3 5" xfId="26032" xr:uid="{00000000-0005-0000-0000-00000B860000}"/>
    <cellStyle name="Normal 9 25 4" xfId="7603" xr:uid="{00000000-0005-0000-0000-00000C860000}"/>
    <cellStyle name="Normal 9 25 4 2" xfId="13797" xr:uid="{00000000-0005-0000-0000-00000D860000}"/>
    <cellStyle name="Normal 9 25 4 2 2" xfId="33717" xr:uid="{00000000-0005-0000-0000-00000E860000}"/>
    <cellStyle name="Normal 9 25 4 3" xfId="19949" xr:uid="{00000000-0005-0000-0000-00000F860000}"/>
    <cellStyle name="Normal 9 25 4 3 2" xfId="39869" xr:uid="{00000000-0005-0000-0000-000010860000}"/>
    <cellStyle name="Normal 9 25 4 4" xfId="27564" xr:uid="{00000000-0005-0000-0000-000011860000}"/>
    <cellStyle name="Normal 9 25 5" xfId="10731" xr:uid="{00000000-0005-0000-0000-000012860000}"/>
    <cellStyle name="Normal 9 25 5 2" xfId="30651" xr:uid="{00000000-0005-0000-0000-000013860000}"/>
    <cellStyle name="Normal 9 25 6" xfId="16883" xr:uid="{00000000-0005-0000-0000-000014860000}"/>
    <cellStyle name="Normal 9 25 6 2" xfId="36803" xr:uid="{00000000-0005-0000-0000-000015860000}"/>
    <cellStyle name="Normal 9 25 7" xfId="24498" xr:uid="{00000000-0005-0000-0000-000016860000}"/>
    <cellStyle name="Normal 9 26" xfId="1166" xr:uid="{00000000-0005-0000-0000-000017860000}"/>
    <cellStyle name="Normal 9 3" xfId="4044" xr:uid="{00000000-0005-0000-0000-000018860000}"/>
    <cellStyle name="Normal 9 3 10" xfId="16901" xr:uid="{00000000-0005-0000-0000-000019860000}"/>
    <cellStyle name="Normal 9 3 10 2" xfId="36821" xr:uid="{00000000-0005-0000-0000-00001A860000}"/>
    <cellStyle name="Normal 9 3 11" xfId="24516" xr:uid="{00000000-0005-0000-0000-00001B860000}"/>
    <cellStyle name="Normal 9 3 2" xfId="4045" xr:uid="{00000000-0005-0000-0000-00001C860000}"/>
    <cellStyle name="Normal 9 3 2 2" xfId="5215" xr:uid="{00000000-0005-0000-0000-00001D860000}"/>
    <cellStyle name="Normal 9 3 2 2 2" xfId="6840" xr:uid="{00000000-0005-0000-0000-00001E860000}"/>
    <cellStyle name="Normal 9 3 2 2 2 2" xfId="9926" xr:uid="{00000000-0005-0000-0000-00001F860000}"/>
    <cellStyle name="Normal 9 3 2 2 2 2 2" xfId="16119" xr:uid="{00000000-0005-0000-0000-000020860000}"/>
    <cellStyle name="Normal 9 3 2 2 2 2 2 2" xfId="36039" xr:uid="{00000000-0005-0000-0000-000021860000}"/>
    <cellStyle name="Normal 9 3 2 2 2 2 3" xfId="22271" xr:uid="{00000000-0005-0000-0000-000022860000}"/>
    <cellStyle name="Normal 9 3 2 2 2 2 3 2" xfId="42191" xr:uid="{00000000-0005-0000-0000-000023860000}"/>
    <cellStyle name="Normal 9 3 2 2 2 2 4" xfId="29886" xr:uid="{00000000-0005-0000-0000-000024860000}"/>
    <cellStyle name="Normal 9 3 2 2 2 3" xfId="13053" xr:uid="{00000000-0005-0000-0000-000025860000}"/>
    <cellStyle name="Normal 9 3 2 2 2 3 2" xfId="32973" xr:uid="{00000000-0005-0000-0000-000026860000}"/>
    <cellStyle name="Normal 9 3 2 2 2 4" xfId="19205" xr:uid="{00000000-0005-0000-0000-000027860000}"/>
    <cellStyle name="Normal 9 3 2 2 2 4 2" xfId="39125" xr:uid="{00000000-0005-0000-0000-000028860000}"/>
    <cellStyle name="Normal 9 3 2 2 2 5" xfId="26820" xr:uid="{00000000-0005-0000-0000-000029860000}"/>
    <cellStyle name="Normal 9 3 2 2 3" xfId="8391" xr:uid="{00000000-0005-0000-0000-00002A860000}"/>
    <cellStyle name="Normal 9 3 2 2 3 2" xfId="14585" xr:uid="{00000000-0005-0000-0000-00002B860000}"/>
    <cellStyle name="Normal 9 3 2 2 3 2 2" xfId="34505" xr:uid="{00000000-0005-0000-0000-00002C860000}"/>
    <cellStyle name="Normal 9 3 2 2 3 3" xfId="20737" xr:uid="{00000000-0005-0000-0000-00002D860000}"/>
    <cellStyle name="Normal 9 3 2 2 3 3 2" xfId="40657" xr:uid="{00000000-0005-0000-0000-00002E860000}"/>
    <cellStyle name="Normal 9 3 2 2 3 4" xfId="28352" xr:uid="{00000000-0005-0000-0000-00002F860000}"/>
    <cellStyle name="Normal 9 3 2 2 4" xfId="11519" xr:uid="{00000000-0005-0000-0000-000030860000}"/>
    <cellStyle name="Normal 9 3 2 2 4 2" xfId="31439" xr:uid="{00000000-0005-0000-0000-000031860000}"/>
    <cellStyle name="Normal 9 3 2 2 5" xfId="17671" xr:uid="{00000000-0005-0000-0000-000032860000}"/>
    <cellStyle name="Normal 9 3 2 2 5 2" xfId="37591" xr:uid="{00000000-0005-0000-0000-000033860000}"/>
    <cellStyle name="Normal 9 3 2 2 6" xfId="25286" xr:uid="{00000000-0005-0000-0000-000034860000}"/>
    <cellStyle name="Normal 9 3 2 3" xfId="6057" xr:uid="{00000000-0005-0000-0000-000035860000}"/>
    <cellStyle name="Normal 9 3 2 3 2" xfId="9157" xr:uid="{00000000-0005-0000-0000-000036860000}"/>
    <cellStyle name="Normal 9 3 2 3 2 2" xfId="15350" xr:uid="{00000000-0005-0000-0000-000037860000}"/>
    <cellStyle name="Normal 9 3 2 3 2 2 2" xfId="35270" xr:uid="{00000000-0005-0000-0000-000038860000}"/>
    <cellStyle name="Normal 9 3 2 3 2 3" xfId="21502" xr:uid="{00000000-0005-0000-0000-000039860000}"/>
    <cellStyle name="Normal 9 3 2 3 2 3 2" xfId="41422" xr:uid="{00000000-0005-0000-0000-00003A860000}"/>
    <cellStyle name="Normal 9 3 2 3 2 4" xfId="29117" xr:uid="{00000000-0005-0000-0000-00003B860000}"/>
    <cellStyle name="Normal 9 3 2 3 3" xfId="12284" xr:uid="{00000000-0005-0000-0000-00003C860000}"/>
    <cellStyle name="Normal 9 3 2 3 3 2" xfId="32204" xr:uid="{00000000-0005-0000-0000-00003D860000}"/>
    <cellStyle name="Normal 9 3 2 3 4" xfId="18436" xr:uid="{00000000-0005-0000-0000-00003E860000}"/>
    <cellStyle name="Normal 9 3 2 3 4 2" xfId="38356" xr:uid="{00000000-0005-0000-0000-00003F860000}"/>
    <cellStyle name="Normal 9 3 2 3 5" xfId="26051" xr:uid="{00000000-0005-0000-0000-000040860000}"/>
    <cellStyle name="Normal 9 3 2 4" xfId="7622" xr:uid="{00000000-0005-0000-0000-000041860000}"/>
    <cellStyle name="Normal 9 3 2 4 2" xfId="13816" xr:uid="{00000000-0005-0000-0000-000042860000}"/>
    <cellStyle name="Normal 9 3 2 4 2 2" xfId="33736" xr:uid="{00000000-0005-0000-0000-000043860000}"/>
    <cellStyle name="Normal 9 3 2 4 3" xfId="19968" xr:uid="{00000000-0005-0000-0000-000044860000}"/>
    <cellStyle name="Normal 9 3 2 4 3 2" xfId="39888" xr:uid="{00000000-0005-0000-0000-000045860000}"/>
    <cellStyle name="Normal 9 3 2 4 4" xfId="27583" xr:uid="{00000000-0005-0000-0000-000046860000}"/>
    <cellStyle name="Normal 9 3 2 5" xfId="10750" xr:uid="{00000000-0005-0000-0000-000047860000}"/>
    <cellStyle name="Normal 9 3 2 5 2" xfId="30670" xr:uid="{00000000-0005-0000-0000-000048860000}"/>
    <cellStyle name="Normal 9 3 2 6" xfId="16902" xr:uid="{00000000-0005-0000-0000-000049860000}"/>
    <cellStyle name="Normal 9 3 2 6 2" xfId="36822" xr:uid="{00000000-0005-0000-0000-00004A860000}"/>
    <cellStyle name="Normal 9 3 2 7" xfId="24517" xr:uid="{00000000-0005-0000-0000-00004B860000}"/>
    <cellStyle name="Normal 9 3 3" xfId="4046" xr:uid="{00000000-0005-0000-0000-00004C860000}"/>
    <cellStyle name="Normal 9 3 3 2" xfId="5216" xr:uid="{00000000-0005-0000-0000-00004D860000}"/>
    <cellStyle name="Normal 9 3 3 2 2" xfId="6841" xr:uid="{00000000-0005-0000-0000-00004E860000}"/>
    <cellStyle name="Normal 9 3 3 2 2 2" xfId="9927" xr:uid="{00000000-0005-0000-0000-00004F860000}"/>
    <cellStyle name="Normal 9 3 3 2 2 2 2" xfId="16120" xr:uid="{00000000-0005-0000-0000-000050860000}"/>
    <cellStyle name="Normal 9 3 3 2 2 2 2 2" xfId="36040" xr:uid="{00000000-0005-0000-0000-000051860000}"/>
    <cellStyle name="Normal 9 3 3 2 2 2 3" xfId="22272" xr:uid="{00000000-0005-0000-0000-000052860000}"/>
    <cellStyle name="Normal 9 3 3 2 2 2 3 2" xfId="42192" xr:uid="{00000000-0005-0000-0000-000053860000}"/>
    <cellStyle name="Normal 9 3 3 2 2 2 4" xfId="29887" xr:uid="{00000000-0005-0000-0000-000054860000}"/>
    <cellStyle name="Normal 9 3 3 2 2 3" xfId="13054" xr:uid="{00000000-0005-0000-0000-000055860000}"/>
    <cellStyle name="Normal 9 3 3 2 2 3 2" xfId="32974" xr:uid="{00000000-0005-0000-0000-000056860000}"/>
    <cellStyle name="Normal 9 3 3 2 2 4" xfId="19206" xr:uid="{00000000-0005-0000-0000-000057860000}"/>
    <cellStyle name="Normal 9 3 3 2 2 4 2" xfId="39126" xr:uid="{00000000-0005-0000-0000-000058860000}"/>
    <cellStyle name="Normal 9 3 3 2 2 5" xfId="26821" xr:uid="{00000000-0005-0000-0000-000059860000}"/>
    <cellStyle name="Normal 9 3 3 2 3" xfId="8392" xr:uid="{00000000-0005-0000-0000-00005A860000}"/>
    <cellStyle name="Normal 9 3 3 2 3 2" xfId="14586" xr:uid="{00000000-0005-0000-0000-00005B860000}"/>
    <cellStyle name="Normal 9 3 3 2 3 2 2" xfId="34506" xr:uid="{00000000-0005-0000-0000-00005C860000}"/>
    <cellStyle name="Normal 9 3 3 2 3 3" xfId="20738" xr:uid="{00000000-0005-0000-0000-00005D860000}"/>
    <cellStyle name="Normal 9 3 3 2 3 3 2" xfId="40658" xr:uid="{00000000-0005-0000-0000-00005E860000}"/>
    <cellStyle name="Normal 9 3 3 2 3 4" xfId="28353" xr:uid="{00000000-0005-0000-0000-00005F860000}"/>
    <cellStyle name="Normal 9 3 3 2 4" xfId="11520" xr:uid="{00000000-0005-0000-0000-000060860000}"/>
    <cellStyle name="Normal 9 3 3 2 4 2" xfId="31440" xr:uid="{00000000-0005-0000-0000-000061860000}"/>
    <cellStyle name="Normal 9 3 3 2 5" xfId="17672" xr:uid="{00000000-0005-0000-0000-000062860000}"/>
    <cellStyle name="Normal 9 3 3 2 5 2" xfId="37592" xr:uid="{00000000-0005-0000-0000-000063860000}"/>
    <cellStyle name="Normal 9 3 3 2 6" xfId="25287" xr:uid="{00000000-0005-0000-0000-000064860000}"/>
    <cellStyle name="Normal 9 3 3 3" xfId="6058" xr:uid="{00000000-0005-0000-0000-000065860000}"/>
    <cellStyle name="Normal 9 3 3 3 2" xfId="9158" xr:uid="{00000000-0005-0000-0000-000066860000}"/>
    <cellStyle name="Normal 9 3 3 3 2 2" xfId="15351" xr:uid="{00000000-0005-0000-0000-000067860000}"/>
    <cellStyle name="Normal 9 3 3 3 2 2 2" xfId="35271" xr:uid="{00000000-0005-0000-0000-000068860000}"/>
    <cellStyle name="Normal 9 3 3 3 2 3" xfId="21503" xr:uid="{00000000-0005-0000-0000-000069860000}"/>
    <cellStyle name="Normal 9 3 3 3 2 3 2" xfId="41423" xr:uid="{00000000-0005-0000-0000-00006A860000}"/>
    <cellStyle name="Normal 9 3 3 3 2 4" xfId="29118" xr:uid="{00000000-0005-0000-0000-00006B860000}"/>
    <cellStyle name="Normal 9 3 3 3 3" xfId="12285" xr:uid="{00000000-0005-0000-0000-00006C860000}"/>
    <cellStyle name="Normal 9 3 3 3 3 2" xfId="32205" xr:uid="{00000000-0005-0000-0000-00006D860000}"/>
    <cellStyle name="Normal 9 3 3 3 4" xfId="18437" xr:uid="{00000000-0005-0000-0000-00006E860000}"/>
    <cellStyle name="Normal 9 3 3 3 4 2" xfId="38357" xr:uid="{00000000-0005-0000-0000-00006F860000}"/>
    <cellStyle name="Normal 9 3 3 3 5" xfId="26052" xr:uid="{00000000-0005-0000-0000-000070860000}"/>
    <cellStyle name="Normal 9 3 3 4" xfId="7623" xr:uid="{00000000-0005-0000-0000-000071860000}"/>
    <cellStyle name="Normal 9 3 3 4 2" xfId="13817" xr:uid="{00000000-0005-0000-0000-000072860000}"/>
    <cellStyle name="Normal 9 3 3 4 2 2" xfId="33737" xr:uid="{00000000-0005-0000-0000-000073860000}"/>
    <cellStyle name="Normal 9 3 3 4 3" xfId="19969" xr:uid="{00000000-0005-0000-0000-000074860000}"/>
    <cellStyle name="Normal 9 3 3 4 3 2" xfId="39889" xr:uid="{00000000-0005-0000-0000-000075860000}"/>
    <cellStyle name="Normal 9 3 3 4 4" xfId="27584" xr:uid="{00000000-0005-0000-0000-000076860000}"/>
    <cellStyle name="Normal 9 3 3 5" xfId="10751" xr:uid="{00000000-0005-0000-0000-000077860000}"/>
    <cellStyle name="Normal 9 3 3 5 2" xfId="30671" xr:uid="{00000000-0005-0000-0000-000078860000}"/>
    <cellStyle name="Normal 9 3 3 6" xfId="16903" xr:uid="{00000000-0005-0000-0000-000079860000}"/>
    <cellStyle name="Normal 9 3 3 6 2" xfId="36823" xr:uid="{00000000-0005-0000-0000-00007A860000}"/>
    <cellStyle name="Normal 9 3 3 7" xfId="24518" xr:uid="{00000000-0005-0000-0000-00007B860000}"/>
    <cellStyle name="Normal 9 3 4" xfId="4047" xr:uid="{00000000-0005-0000-0000-00007C860000}"/>
    <cellStyle name="Normal 9 3 4 2" xfId="5217" xr:uid="{00000000-0005-0000-0000-00007D860000}"/>
    <cellStyle name="Normal 9 3 4 2 2" xfId="6842" xr:uid="{00000000-0005-0000-0000-00007E860000}"/>
    <cellStyle name="Normal 9 3 4 2 2 2" xfId="9928" xr:uid="{00000000-0005-0000-0000-00007F860000}"/>
    <cellStyle name="Normal 9 3 4 2 2 2 2" xfId="16121" xr:uid="{00000000-0005-0000-0000-000080860000}"/>
    <cellStyle name="Normal 9 3 4 2 2 2 2 2" xfId="36041" xr:uid="{00000000-0005-0000-0000-000081860000}"/>
    <cellStyle name="Normal 9 3 4 2 2 2 3" xfId="22273" xr:uid="{00000000-0005-0000-0000-000082860000}"/>
    <cellStyle name="Normal 9 3 4 2 2 2 3 2" xfId="42193" xr:uid="{00000000-0005-0000-0000-000083860000}"/>
    <cellStyle name="Normal 9 3 4 2 2 2 4" xfId="29888" xr:uid="{00000000-0005-0000-0000-000084860000}"/>
    <cellStyle name="Normal 9 3 4 2 2 3" xfId="13055" xr:uid="{00000000-0005-0000-0000-000085860000}"/>
    <cellStyle name="Normal 9 3 4 2 2 3 2" xfId="32975" xr:uid="{00000000-0005-0000-0000-000086860000}"/>
    <cellStyle name="Normal 9 3 4 2 2 4" xfId="19207" xr:uid="{00000000-0005-0000-0000-000087860000}"/>
    <cellStyle name="Normal 9 3 4 2 2 4 2" xfId="39127" xr:uid="{00000000-0005-0000-0000-000088860000}"/>
    <cellStyle name="Normal 9 3 4 2 2 5" xfId="26822" xr:uid="{00000000-0005-0000-0000-000089860000}"/>
    <cellStyle name="Normal 9 3 4 2 3" xfId="8393" xr:uid="{00000000-0005-0000-0000-00008A860000}"/>
    <cellStyle name="Normal 9 3 4 2 3 2" xfId="14587" xr:uid="{00000000-0005-0000-0000-00008B860000}"/>
    <cellStyle name="Normal 9 3 4 2 3 2 2" xfId="34507" xr:uid="{00000000-0005-0000-0000-00008C860000}"/>
    <cellStyle name="Normal 9 3 4 2 3 3" xfId="20739" xr:uid="{00000000-0005-0000-0000-00008D860000}"/>
    <cellStyle name="Normal 9 3 4 2 3 3 2" xfId="40659" xr:uid="{00000000-0005-0000-0000-00008E860000}"/>
    <cellStyle name="Normal 9 3 4 2 3 4" xfId="28354" xr:uid="{00000000-0005-0000-0000-00008F860000}"/>
    <cellStyle name="Normal 9 3 4 2 4" xfId="11521" xr:uid="{00000000-0005-0000-0000-000090860000}"/>
    <cellStyle name="Normal 9 3 4 2 4 2" xfId="31441" xr:uid="{00000000-0005-0000-0000-000091860000}"/>
    <cellStyle name="Normal 9 3 4 2 5" xfId="17673" xr:uid="{00000000-0005-0000-0000-000092860000}"/>
    <cellStyle name="Normal 9 3 4 2 5 2" xfId="37593" xr:uid="{00000000-0005-0000-0000-000093860000}"/>
    <cellStyle name="Normal 9 3 4 2 6" xfId="25288" xr:uid="{00000000-0005-0000-0000-000094860000}"/>
    <cellStyle name="Normal 9 3 4 3" xfId="6059" xr:uid="{00000000-0005-0000-0000-000095860000}"/>
    <cellStyle name="Normal 9 3 4 3 2" xfId="9159" xr:uid="{00000000-0005-0000-0000-000096860000}"/>
    <cellStyle name="Normal 9 3 4 3 2 2" xfId="15352" xr:uid="{00000000-0005-0000-0000-000097860000}"/>
    <cellStyle name="Normal 9 3 4 3 2 2 2" xfId="35272" xr:uid="{00000000-0005-0000-0000-000098860000}"/>
    <cellStyle name="Normal 9 3 4 3 2 3" xfId="21504" xr:uid="{00000000-0005-0000-0000-000099860000}"/>
    <cellStyle name="Normal 9 3 4 3 2 3 2" xfId="41424" xr:uid="{00000000-0005-0000-0000-00009A860000}"/>
    <cellStyle name="Normal 9 3 4 3 2 4" xfId="29119" xr:uid="{00000000-0005-0000-0000-00009B860000}"/>
    <cellStyle name="Normal 9 3 4 3 3" xfId="12286" xr:uid="{00000000-0005-0000-0000-00009C860000}"/>
    <cellStyle name="Normal 9 3 4 3 3 2" xfId="32206" xr:uid="{00000000-0005-0000-0000-00009D860000}"/>
    <cellStyle name="Normal 9 3 4 3 4" xfId="18438" xr:uid="{00000000-0005-0000-0000-00009E860000}"/>
    <cellStyle name="Normal 9 3 4 3 4 2" xfId="38358" xr:uid="{00000000-0005-0000-0000-00009F860000}"/>
    <cellStyle name="Normal 9 3 4 3 5" xfId="26053" xr:uid="{00000000-0005-0000-0000-0000A0860000}"/>
    <cellStyle name="Normal 9 3 4 4" xfId="7624" xr:uid="{00000000-0005-0000-0000-0000A1860000}"/>
    <cellStyle name="Normal 9 3 4 4 2" xfId="13818" xr:uid="{00000000-0005-0000-0000-0000A2860000}"/>
    <cellStyle name="Normal 9 3 4 4 2 2" xfId="33738" xr:uid="{00000000-0005-0000-0000-0000A3860000}"/>
    <cellStyle name="Normal 9 3 4 4 3" xfId="19970" xr:uid="{00000000-0005-0000-0000-0000A4860000}"/>
    <cellStyle name="Normal 9 3 4 4 3 2" xfId="39890" xr:uid="{00000000-0005-0000-0000-0000A5860000}"/>
    <cellStyle name="Normal 9 3 4 4 4" xfId="27585" xr:uid="{00000000-0005-0000-0000-0000A6860000}"/>
    <cellStyle name="Normal 9 3 4 5" xfId="10752" xr:uid="{00000000-0005-0000-0000-0000A7860000}"/>
    <cellStyle name="Normal 9 3 4 5 2" xfId="30672" xr:uid="{00000000-0005-0000-0000-0000A8860000}"/>
    <cellStyle name="Normal 9 3 4 6" xfId="16904" xr:uid="{00000000-0005-0000-0000-0000A9860000}"/>
    <cellStyle name="Normal 9 3 4 6 2" xfId="36824" xr:uid="{00000000-0005-0000-0000-0000AA860000}"/>
    <cellStyle name="Normal 9 3 4 7" xfId="24519" xr:uid="{00000000-0005-0000-0000-0000AB860000}"/>
    <cellStyle name="Normal 9 3 5" xfId="4048" xr:uid="{00000000-0005-0000-0000-0000AC860000}"/>
    <cellStyle name="Normal 9 3 5 2" xfId="5218" xr:uid="{00000000-0005-0000-0000-0000AD860000}"/>
    <cellStyle name="Normal 9 3 5 2 2" xfId="6843" xr:uid="{00000000-0005-0000-0000-0000AE860000}"/>
    <cellStyle name="Normal 9 3 5 2 2 2" xfId="9929" xr:uid="{00000000-0005-0000-0000-0000AF860000}"/>
    <cellStyle name="Normal 9 3 5 2 2 2 2" xfId="16122" xr:uid="{00000000-0005-0000-0000-0000B0860000}"/>
    <cellStyle name="Normal 9 3 5 2 2 2 2 2" xfId="36042" xr:uid="{00000000-0005-0000-0000-0000B1860000}"/>
    <cellStyle name="Normal 9 3 5 2 2 2 3" xfId="22274" xr:uid="{00000000-0005-0000-0000-0000B2860000}"/>
    <cellStyle name="Normal 9 3 5 2 2 2 3 2" xfId="42194" xr:uid="{00000000-0005-0000-0000-0000B3860000}"/>
    <cellStyle name="Normal 9 3 5 2 2 2 4" xfId="29889" xr:uid="{00000000-0005-0000-0000-0000B4860000}"/>
    <cellStyle name="Normal 9 3 5 2 2 3" xfId="13056" xr:uid="{00000000-0005-0000-0000-0000B5860000}"/>
    <cellStyle name="Normal 9 3 5 2 2 3 2" xfId="32976" xr:uid="{00000000-0005-0000-0000-0000B6860000}"/>
    <cellStyle name="Normal 9 3 5 2 2 4" xfId="19208" xr:uid="{00000000-0005-0000-0000-0000B7860000}"/>
    <cellStyle name="Normal 9 3 5 2 2 4 2" xfId="39128" xr:uid="{00000000-0005-0000-0000-0000B8860000}"/>
    <cellStyle name="Normal 9 3 5 2 2 5" xfId="26823" xr:uid="{00000000-0005-0000-0000-0000B9860000}"/>
    <cellStyle name="Normal 9 3 5 2 3" xfId="8394" xr:uid="{00000000-0005-0000-0000-0000BA860000}"/>
    <cellStyle name="Normal 9 3 5 2 3 2" xfId="14588" xr:uid="{00000000-0005-0000-0000-0000BB860000}"/>
    <cellStyle name="Normal 9 3 5 2 3 2 2" xfId="34508" xr:uid="{00000000-0005-0000-0000-0000BC860000}"/>
    <cellStyle name="Normal 9 3 5 2 3 3" xfId="20740" xr:uid="{00000000-0005-0000-0000-0000BD860000}"/>
    <cellStyle name="Normal 9 3 5 2 3 3 2" xfId="40660" xr:uid="{00000000-0005-0000-0000-0000BE860000}"/>
    <cellStyle name="Normal 9 3 5 2 3 4" xfId="28355" xr:uid="{00000000-0005-0000-0000-0000BF860000}"/>
    <cellStyle name="Normal 9 3 5 2 4" xfId="11522" xr:uid="{00000000-0005-0000-0000-0000C0860000}"/>
    <cellStyle name="Normal 9 3 5 2 4 2" xfId="31442" xr:uid="{00000000-0005-0000-0000-0000C1860000}"/>
    <cellStyle name="Normal 9 3 5 2 5" xfId="17674" xr:uid="{00000000-0005-0000-0000-0000C2860000}"/>
    <cellStyle name="Normal 9 3 5 2 5 2" xfId="37594" xr:uid="{00000000-0005-0000-0000-0000C3860000}"/>
    <cellStyle name="Normal 9 3 5 2 6" xfId="25289" xr:uid="{00000000-0005-0000-0000-0000C4860000}"/>
    <cellStyle name="Normal 9 3 5 3" xfId="6060" xr:uid="{00000000-0005-0000-0000-0000C5860000}"/>
    <cellStyle name="Normal 9 3 5 3 2" xfId="9160" xr:uid="{00000000-0005-0000-0000-0000C6860000}"/>
    <cellStyle name="Normal 9 3 5 3 2 2" xfId="15353" xr:uid="{00000000-0005-0000-0000-0000C7860000}"/>
    <cellStyle name="Normal 9 3 5 3 2 2 2" xfId="35273" xr:uid="{00000000-0005-0000-0000-0000C8860000}"/>
    <cellStyle name="Normal 9 3 5 3 2 3" xfId="21505" xr:uid="{00000000-0005-0000-0000-0000C9860000}"/>
    <cellStyle name="Normal 9 3 5 3 2 3 2" xfId="41425" xr:uid="{00000000-0005-0000-0000-0000CA860000}"/>
    <cellStyle name="Normal 9 3 5 3 2 4" xfId="29120" xr:uid="{00000000-0005-0000-0000-0000CB860000}"/>
    <cellStyle name="Normal 9 3 5 3 3" xfId="12287" xr:uid="{00000000-0005-0000-0000-0000CC860000}"/>
    <cellStyle name="Normal 9 3 5 3 3 2" xfId="32207" xr:uid="{00000000-0005-0000-0000-0000CD860000}"/>
    <cellStyle name="Normal 9 3 5 3 4" xfId="18439" xr:uid="{00000000-0005-0000-0000-0000CE860000}"/>
    <cellStyle name="Normal 9 3 5 3 4 2" xfId="38359" xr:uid="{00000000-0005-0000-0000-0000CF860000}"/>
    <cellStyle name="Normal 9 3 5 3 5" xfId="26054" xr:uid="{00000000-0005-0000-0000-0000D0860000}"/>
    <cellStyle name="Normal 9 3 5 4" xfId="7625" xr:uid="{00000000-0005-0000-0000-0000D1860000}"/>
    <cellStyle name="Normal 9 3 5 4 2" xfId="13819" xr:uid="{00000000-0005-0000-0000-0000D2860000}"/>
    <cellStyle name="Normal 9 3 5 4 2 2" xfId="33739" xr:uid="{00000000-0005-0000-0000-0000D3860000}"/>
    <cellStyle name="Normal 9 3 5 4 3" xfId="19971" xr:uid="{00000000-0005-0000-0000-0000D4860000}"/>
    <cellStyle name="Normal 9 3 5 4 3 2" xfId="39891" xr:uid="{00000000-0005-0000-0000-0000D5860000}"/>
    <cellStyle name="Normal 9 3 5 4 4" xfId="27586" xr:uid="{00000000-0005-0000-0000-0000D6860000}"/>
    <cellStyle name="Normal 9 3 5 5" xfId="10753" xr:uid="{00000000-0005-0000-0000-0000D7860000}"/>
    <cellStyle name="Normal 9 3 5 5 2" xfId="30673" xr:uid="{00000000-0005-0000-0000-0000D8860000}"/>
    <cellStyle name="Normal 9 3 5 6" xfId="16905" xr:uid="{00000000-0005-0000-0000-0000D9860000}"/>
    <cellStyle name="Normal 9 3 5 6 2" xfId="36825" xr:uid="{00000000-0005-0000-0000-0000DA860000}"/>
    <cellStyle name="Normal 9 3 5 7" xfId="24520" xr:uid="{00000000-0005-0000-0000-0000DB860000}"/>
    <cellStyle name="Normal 9 3 6" xfId="5214" xr:uid="{00000000-0005-0000-0000-0000DC860000}"/>
    <cellStyle name="Normal 9 3 6 2" xfId="6839" xr:uid="{00000000-0005-0000-0000-0000DD860000}"/>
    <cellStyle name="Normal 9 3 6 2 2" xfId="9925" xr:uid="{00000000-0005-0000-0000-0000DE860000}"/>
    <cellStyle name="Normal 9 3 6 2 2 2" xfId="16118" xr:uid="{00000000-0005-0000-0000-0000DF860000}"/>
    <cellStyle name="Normal 9 3 6 2 2 2 2" xfId="36038" xr:uid="{00000000-0005-0000-0000-0000E0860000}"/>
    <cellStyle name="Normal 9 3 6 2 2 3" xfId="22270" xr:uid="{00000000-0005-0000-0000-0000E1860000}"/>
    <cellStyle name="Normal 9 3 6 2 2 3 2" xfId="42190" xr:uid="{00000000-0005-0000-0000-0000E2860000}"/>
    <cellStyle name="Normal 9 3 6 2 2 4" xfId="29885" xr:uid="{00000000-0005-0000-0000-0000E3860000}"/>
    <cellStyle name="Normal 9 3 6 2 3" xfId="13052" xr:uid="{00000000-0005-0000-0000-0000E4860000}"/>
    <cellStyle name="Normal 9 3 6 2 3 2" xfId="32972" xr:uid="{00000000-0005-0000-0000-0000E5860000}"/>
    <cellStyle name="Normal 9 3 6 2 4" xfId="19204" xr:uid="{00000000-0005-0000-0000-0000E6860000}"/>
    <cellStyle name="Normal 9 3 6 2 4 2" xfId="39124" xr:uid="{00000000-0005-0000-0000-0000E7860000}"/>
    <cellStyle name="Normal 9 3 6 2 5" xfId="26819" xr:uid="{00000000-0005-0000-0000-0000E8860000}"/>
    <cellStyle name="Normal 9 3 6 3" xfId="8390" xr:uid="{00000000-0005-0000-0000-0000E9860000}"/>
    <cellStyle name="Normal 9 3 6 3 2" xfId="14584" xr:uid="{00000000-0005-0000-0000-0000EA860000}"/>
    <cellStyle name="Normal 9 3 6 3 2 2" xfId="34504" xr:uid="{00000000-0005-0000-0000-0000EB860000}"/>
    <cellStyle name="Normal 9 3 6 3 3" xfId="20736" xr:uid="{00000000-0005-0000-0000-0000EC860000}"/>
    <cellStyle name="Normal 9 3 6 3 3 2" xfId="40656" xr:uid="{00000000-0005-0000-0000-0000ED860000}"/>
    <cellStyle name="Normal 9 3 6 3 4" xfId="28351" xr:uid="{00000000-0005-0000-0000-0000EE860000}"/>
    <cellStyle name="Normal 9 3 6 4" xfId="11518" xr:uid="{00000000-0005-0000-0000-0000EF860000}"/>
    <cellStyle name="Normal 9 3 6 4 2" xfId="31438" xr:uid="{00000000-0005-0000-0000-0000F0860000}"/>
    <cellStyle name="Normal 9 3 6 5" xfId="17670" xr:uid="{00000000-0005-0000-0000-0000F1860000}"/>
    <cellStyle name="Normal 9 3 6 5 2" xfId="37590" xr:uid="{00000000-0005-0000-0000-0000F2860000}"/>
    <cellStyle name="Normal 9 3 6 6" xfId="25285" xr:uid="{00000000-0005-0000-0000-0000F3860000}"/>
    <cellStyle name="Normal 9 3 7" xfId="6056" xr:uid="{00000000-0005-0000-0000-0000F4860000}"/>
    <cellStyle name="Normal 9 3 7 2" xfId="9156" xr:uid="{00000000-0005-0000-0000-0000F5860000}"/>
    <cellStyle name="Normal 9 3 7 2 2" xfId="15349" xr:uid="{00000000-0005-0000-0000-0000F6860000}"/>
    <cellStyle name="Normal 9 3 7 2 2 2" xfId="35269" xr:uid="{00000000-0005-0000-0000-0000F7860000}"/>
    <cellStyle name="Normal 9 3 7 2 3" xfId="21501" xr:uid="{00000000-0005-0000-0000-0000F8860000}"/>
    <cellStyle name="Normal 9 3 7 2 3 2" xfId="41421" xr:uid="{00000000-0005-0000-0000-0000F9860000}"/>
    <cellStyle name="Normal 9 3 7 2 4" xfId="29116" xr:uid="{00000000-0005-0000-0000-0000FA860000}"/>
    <cellStyle name="Normal 9 3 7 3" xfId="12283" xr:uid="{00000000-0005-0000-0000-0000FB860000}"/>
    <cellStyle name="Normal 9 3 7 3 2" xfId="32203" xr:uid="{00000000-0005-0000-0000-0000FC860000}"/>
    <cellStyle name="Normal 9 3 7 4" xfId="18435" xr:uid="{00000000-0005-0000-0000-0000FD860000}"/>
    <cellStyle name="Normal 9 3 7 4 2" xfId="38355" xr:uid="{00000000-0005-0000-0000-0000FE860000}"/>
    <cellStyle name="Normal 9 3 7 5" xfId="26050" xr:uid="{00000000-0005-0000-0000-0000FF860000}"/>
    <cellStyle name="Normal 9 3 8" xfId="7621" xr:uid="{00000000-0005-0000-0000-000000870000}"/>
    <cellStyle name="Normal 9 3 8 2" xfId="13815" xr:uid="{00000000-0005-0000-0000-000001870000}"/>
    <cellStyle name="Normal 9 3 8 2 2" xfId="33735" xr:uid="{00000000-0005-0000-0000-000002870000}"/>
    <cellStyle name="Normal 9 3 8 3" xfId="19967" xr:uid="{00000000-0005-0000-0000-000003870000}"/>
    <cellStyle name="Normal 9 3 8 3 2" xfId="39887" xr:uid="{00000000-0005-0000-0000-000004870000}"/>
    <cellStyle name="Normal 9 3 8 4" xfId="27582" xr:uid="{00000000-0005-0000-0000-000005870000}"/>
    <cellStyle name="Normal 9 3 9" xfId="10749" xr:uid="{00000000-0005-0000-0000-000006870000}"/>
    <cellStyle name="Normal 9 3 9 2" xfId="30669" xr:uid="{00000000-0005-0000-0000-000007870000}"/>
    <cellStyle name="Normal 9 4" xfId="4049" xr:uid="{00000000-0005-0000-0000-000008870000}"/>
    <cellStyle name="Normal 9 4 2" xfId="5219" xr:uid="{00000000-0005-0000-0000-000009870000}"/>
    <cellStyle name="Normal 9 4 2 2" xfId="6844" xr:uid="{00000000-0005-0000-0000-00000A870000}"/>
    <cellStyle name="Normal 9 4 2 2 2" xfId="9930" xr:uid="{00000000-0005-0000-0000-00000B870000}"/>
    <cellStyle name="Normal 9 4 2 2 2 2" xfId="16123" xr:uid="{00000000-0005-0000-0000-00000C870000}"/>
    <cellStyle name="Normal 9 4 2 2 2 2 2" xfId="36043" xr:uid="{00000000-0005-0000-0000-00000D870000}"/>
    <cellStyle name="Normal 9 4 2 2 2 3" xfId="22275" xr:uid="{00000000-0005-0000-0000-00000E870000}"/>
    <cellStyle name="Normal 9 4 2 2 2 3 2" xfId="42195" xr:uid="{00000000-0005-0000-0000-00000F870000}"/>
    <cellStyle name="Normal 9 4 2 2 2 4" xfId="29890" xr:uid="{00000000-0005-0000-0000-000010870000}"/>
    <cellStyle name="Normal 9 4 2 2 3" xfId="13057" xr:uid="{00000000-0005-0000-0000-000011870000}"/>
    <cellStyle name="Normal 9 4 2 2 3 2" xfId="32977" xr:uid="{00000000-0005-0000-0000-000012870000}"/>
    <cellStyle name="Normal 9 4 2 2 4" xfId="19209" xr:uid="{00000000-0005-0000-0000-000013870000}"/>
    <cellStyle name="Normal 9 4 2 2 4 2" xfId="39129" xr:uid="{00000000-0005-0000-0000-000014870000}"/>
    <cellStyle name="Normal 9 4 2 2 5" xfId="26824" xr:uid="{00000000-0005-0000-0000-000015870000}"/>
    <cellStyle name="Normal 9 4 2 3" xfId="8395" xr:uid="{00000000-0005-0000-0000-000016870000}"/>
    <cellStyle name="Normal 9 4 2 3 2" xfId="14589" xr:uid="{00000000-0005-0000-0000-000017870000}"/>
    <cellStyle name="Normal 9 4 2 3 2 2" xfId="34509" xr:uid="{00000000-0005-0000-0000-000018870000}"/>
    <cellStyle name="Normal 9 4 2 3 3" xfId="20741" xr:uid="{00000000-0005-0000-0000-000019870000}"/>
    <cellStyle name="Normal 9 4 2 3 3 2" xfId="40661" xr:uid="{00000000-0005-0000-0000-00001A870000}"/>
    <cellStyle name="Normal 9 4 2 3 4" xfId="28356" xr:uid="{00000000-0005-0000-0000-00001B870000}"/>
    <cellStyle name="Normal 9 4 2 4" xfId="11523" xr:uid="{00000000-0005-0000-0000-00001C870000}"/>
    <cellStyle name="Normal 9 4 2 4 2" xfId="31443" xr:uid="{00000000-0005-0000-0000-00001D870000}"/>
    <cellStyle name="Normal 9 4 2 5" xfId="17675" xr:uid="{00000000-0005-0000-0000-00001E870000}"/>
    <cellStyle name="Normal 9 4 2 5 2" xfId="37595" xr:uid="{00000000-0005-0000-0000-00001F870000}"/>
    <cellStyle name="Normal 9 4 2 6" xfId="25290" xr:uid="{00000000-0005-0000-0000-000020870000}"/>
    <cellStyle name="Normal 9 4 3" xfId="6061" xr:uid="{00000000-0005-0000-0000-000021870000}"/>
    <cellStyle name="Normal 9 4 3 2" xfId="9161" xr:uid="{00000000-0005-0000-0000-000022870000}"/>
    <cellStyle name="Normal 9 4 3 2 2" xfId="15354" xr:uid="{00000000-0005-0000-0000-000023870000}"/>
    <cellStyle name="Normal 9 4 3 2 2 2" xfId="35274" xr:uid="{00000000-0005-0000-0000-000024870000}"/>
    <cellStyle name="Normal 9 4 3 2 3" xfId="21506" xr:uid="{00000000-0005-0000-0000-000025870000}"/>
    <cellStyle name="Normal 9 4 3 2 3 2" xfId="41426" xr:uid="{00000000-0005-0000-0000-000026870000}"/>
    <cellStyle name="Normal 9 4 3 2 4" xfId="29121" xr:uid="{00000000-0005-0000-0000-000027870000}"/>
    <cellStyle name="Normal 9 4 3 3" xfId="12288" xr:uid="{00000000-0005-0000-0000-000028870000}"/>
    <cellStyle name="Normal 9 4 3 3 2" xfId="32208" xr:uid="{00000000-0005-0000-0000-000029870000}"/>
    <cellStyle name="Normal 9 4 3 4" xfId="18440" xr:uid="{00000000-0005-0000-0000-00002A870000}"/>
    <cellStyle name="Normal 9 4 3 4 2" xfId="38360" xr:uid="{00000000-0005-0000-0000-00002B870000}"/>
    <cellStyle name="Normal 9 4 3 5" xfId="26055" xr:uid="{00000000-0005-0000-0000-00002C870000}"/>
    <cellStyle name="Normal 9 4 4" xfId="7626" xr:uid="{00000000-0005-0000-0000-00002D870000}"/>
    <cellStyle name="Normal 9 4 4 2" xfId="13820" xr:uid="{00000000-0005-0000-0000-00002E870000}"/>
    <cellStyle name="Normal 9 4 4 2 2" xfId="33740" xr:uid="{00000000-0005-0000-0000-00002F870000}"/>
    <cellStyle name="Normal 9 4 4 3" xfId="19972" xr:uid="{00000000-0005-0000-0000-000030870000}"/>
    <cellStyle name="Normal 9 4 4 3 2" xfId="39892" xr:uid="{00000000-0005-0000-0000-000031870000}"/>
    <cellStyle name="Normal 9 4 4 4" xfId="27587" xr:uid="{00000000-0005-0000-0000-000032870000}"/>
    <cellStyle name="Normal 9 4 5" xfId="10754" xr:uid="{00000000-0005-0000-0000-000033870000}"/>
    <cellStyle name="Normal 9 4 5 2" xfId="30674" xr:uid="{00000000-0005-0000-0000-000034870000}"/>
    <cellStyle name="Normal 9 4 6" xfId="16906" xr:uid="{00000000-0005-0000-0000-000035870000}"/>
    <cellStyle name="Normal 9 4 6 2" xfId="36826" xr:uid="{00000000-0005-0000-0000-000036870000}"/>
    <cellStyle name="Normal 9 4 7" xfId="24521" xr:uid="{00000000-0005-0000-0000-000037870000}"/>
    <cellStyle name="Normal 9 5" xfId="4050" xr:uid="{00000000-0005-0000-0000-000038870000}"/>
    <cellStyle name="Normal 9 5 2" xfId="5220" xr:uid="{00000000-0005-0000-0000-000039870000}"/>
    <cellStyle name="Normal 9 5 2 2" xfId="6845" xr:uid="{00000000-0005-0000-0000-00003A870000}"/>
    <cellStyle name="Normal 9 5 2 2 2" xfId="9931" xr:uid="{00000000-0005-0000-0000-00003B870000}"/>
    <cellStyle name="Normal 9 5 2 2 2 2" xfId="16124" xr:uid="{00000000-0005-0000-0000-00003C870000}"/>
    <cellStyle name="Normal 9 5 2 2 2 2 2" xfId="36044" xr:uid="{00000000-0005-0000-0000-00003D870000}"/>
    <cellStyle name="Normal 9 5 2 2 2 3" xfId="22276" xr:uid="{00000000-0005-0000-0000-00003E870000}"/>
    <cellStyle name="Normal 9 5 2 2 2 3 2" xfId="42196" xr:uid="{00000000-0005-0000-0000-00003F870000}"/>
    <cellStyle name="Normal 9 5 2 2 2 4" xfId="29891" xr:uid="{00000000-0005-0000-0000-000040870000}"/>
    <cellStyle name="Normal 9 5 2 2 3" xfId="13058" xr:uid="{00000000-0005-0000-0000-000041870000}"/>
    <cellStyle name="Normal 9 5 2 2 3 2" xfId="32978" xr:uid="{00000000-0005-0000-0000-000042870000}"/>
    <cellStyle name="Normal 9 5 2 2 4" xfId="19210" xr:uid="{00000000-0005-0000-0000-000043870000}"/>
    <cellStyle name="Normal 9 5 2 2 4 2" xfId="39130" xr:uid="{00000000-0005-0000-0000-000044870000}"/>
    <cellStyle name="Normal 9 5 2 2 5" xfId="26825" xr:uid="{00000000-0005-0000-0000-000045870000}"/>
    <cellStyle name="Normal 9 5 2 3" xfId="8396" xr:uid="{00000000-0005-0000-0000-000046870000}"/>
    <cellStyle name="Normal 9 5 2 3 2" xfId="14590" xr:uid="{00000000-0005-0000-0000-000047870000}"/>
    <cellStyle name="Normal 9 5 2 3 2 2" xfId="34510" xr:uid="{00000000-0005-0000-0000-000048870000}"/>
    <cellStyle name="Normal 9 5 2 3 3" xfId="20742" xr:uid="{00000000-0005-0000-0000-000049870000}"/>
    <cellStyle name="Normal 9 5 2 3 3 2" xfId="40662" xr:uid="{00000000-0005-0000-0000-00004A870000}"/>
    <cellStyle name="Normal 9 5 2 3 4" xfId="28357" xr:uid="{00000000-0005-0000-0000-00004B870000}"/>
    <cellStyle name="Normal 9 5 2 4" xfId="11524" xr:uid="{00000000-0005-0000-0000-00004C870000}"/>
    <cellStyle name="Normal 9 5 2 4 2" xfId="31444" xr:uid="{00000000-0005-0000-0000-00004D870000}"/>
    <cellStyle name="Normal 9 5 2 5" xfId="17676" xr:uid="{00000000-0005-0000-0000-00004E870000}"/>
    <cellStyle name="Normal 9 5 2 5 2" xfId="37596" xr:uid="{00000000-0005-0000-0000-00004F870000}"/>
    <cellStyle name="Normal 9 5 2 6" xfId="25291" xr:uid="{00000000-0005-0000-0000-000050870000}"/>
    <cellStyle name="Normal 9 5 3" xfId="6062" xr:uid="{00000000-0005-0000-0000-000051870000}"/>
    <cellStyle name="Normal 9 5 3 2" xfId="9162" xr:uid="{00000000-0005-0000-0000-000052870000}"/>
    <cellStyle name="Normal 9 5 3 2 2" xfId="15355" xr:uid="{00000000-0005-0000-0000-000053870000}"/>
    <cellStyle name="Normal 9 5 3 2 2 2" xfId="35275" xr:uid="{00000000-0005-0000-0000-000054870000}"/>
    <cellStyle name="Normal 9 5 3 2 3" xfId="21507" xr:uid="{00000000-0005-0000-0000-000055870000}"/>
    <cellStyle name="Normal 9 5 3 2 3 2" xfId="41427" xr:uid="{00000000-0005-0000-0000-000056870000}"/>
    <cellStyle name="Normal 9 5 3 2 4" xfId="29122" xr:uid="{00000000-0005-0000-0000-000057870000}"/>
    <cellStyle name="Normal 9 5 3 3" xfId="12289" xr:uid="{00000000-0005-0000-0000-000058870000}"/>
    <cellStyle name="Normal 9 5 3 3 2" xfId="32209" xr:uid="{00000000-0005-0000-0000-000059870000}"/>
    <cellStyle name="Normal 9 5 3 4" xfId="18441" xr:uid="{00000000-0005-0000-0000-00005A870000}"/>
    <cellStyle name="Normal 9 5 3 4 2" xfId="38361" xr:uid="{00000000-0005-0000-0000-00005B870000}"/>
    <cellStyle name="Normal 9 5 3 5" xfId="26056" xr:uid="{00000000-0005-0000-0000-00005C870000}"/>
    <cellStyle name="Normal 9 5 4" xfId="7627" xr:uid="{00000000-0005-0000-0000-00005D870000}"/>
    <cellStyle name="Normal 9 5 4 2" xfId="13821" xr:uid="{00000000-0005-0000-0000-00005E870000}"/>
    <cellStyle name="Normal 9 5 4 2 2" xfId="33741" xr:uid="{00000000-0005-0000-0000-00005F870000}"/>
    <cellStyle name="Normal 9 5 4 3" xfId="19973" xr:uid="{00000000-0005-0000-0000-000060870000}"/>
    <cellStyle name="Normal 9 5 4 3 2" xfId="39893" xr:uid="{00000000-0005-0000-0000-000061870000}"/>
    <cellStyle name="Normal 9 5 4 4" xfId="27588" xr:uid="{00000000-0005-0000-0000-000062870000}"/>
    <cellStyle name="Normal 9 5 5" xfId="10755" xr:uid="{00000000-0005-0000-0000-000063870000}"/>
    <cellStyle name="Normal 9 5 5 2" xfId="30675" xr:uid="{00000000-0005-0000-0000-000064870000}"/>
    <cellStyle name="Normal 9 5 6" xfId="16907" xr:uid="{00000000-0005-0000-0000-000065870000}"/>
    <cellStyle name="Normal 9 5 6 2" xfId="36827" xr:uid="{00000000-0005-0000-0000-000066870000}"/>
    <cellStyle name="Normal 9 5 7" xfId="24522" xr:uid="{00000000-0005-0000-0000-000067870000}"/>
    <cellStyle name="Normal 9 6" xfId="4051" xr:uid="{00000000-0005-0000-0000-000068870000}"/>
    <cellStyle name="Normal 9 6 2" xfId="5221" xr:uid="{00000000-0005-0000-0000-000069870000}"/>
    <cellStyle name="Normal 9 6 2 2" xfId="6846" xr:uid="{00000000-0005-0000-0000-00006A870000}"/>
    <cellStyle name="Normal 9 6 2 2 2" xfId="9932" xr:uid="{00000000-0005-0000-0000-00006B870000}"/>
    <cellStyle name="Normal 9 6 2 2 2 2" xfId="16125" xr:uid="{00000000-0005-0000-0000-00006C870000}"/>
    <cellStyle name="Normal 9 6 2 2 2 2 2" xfId="36045" xr:uid="{00000000-0005-0000-0000-00006D870000}"/>
    <cellStyle name="Normal 9 6 2 2 2 3" xfId="22277" xr:uid="{00000000-0005-0000-0000-00006E870000}"/>
    <cellStyle name="Normal 9 6 2 2 2 3 2" xfId="42197" xr:uid="{00000000-0005-0000-0000-00006F870000}"/>
    <cellStyle name="Normal 9 6 2 2 2 4" xfId="29892" xr:uid="{00000000-0005-0000-0000-000070870000}"/>
    <cellStyle name="Normal 9 6 2 2 3" xfId="13059" xr:uid="{00000000-0005-0000-0000-000071870000}"/>
    <cellStyle name="Normal 9 6 2 2 3 2" xfId="32979" xr:uid="{00000000-0005-0000-0000-000072870000}"/>
    <cellStyle name="Normal 9 6 2 2 4" xfId="19211" xr:uid="{00000000-0005-0000-0000-000073870000}"/>
    <cellStyle name="Normal 9 6 2 2 4 2" xfId="39131" xr:uid="{00000000-0005-0000-0000-000074870000}"/>
    <cellStyle name="Normal 9 6 2 2 5" xfId="26826" xr:uid="{00000000-0005-0000-0000-000075870000}"/>
    <cellStyle name="Normal 9 6 2 3" xfId="8397" xr:uid="{00000000-0005-0000-0000-000076870000}"/>
    <cellStyle name="Normal 9 6 2 3 2" xfId="14591" xr:uid="{00000000-0005-0000-0000-000077870000}"/>
    <cellStyle name="Normal 9 6 2 3 2 2" xfId="34511" xr:uid="{00000000-0005-0000-0000-000078870000}"/>
    <cellStyle name="Normal 9 6 2 3 3" xfId="20743" xr:uid="{00000000-0005-0000-0000-000079870000}"/>
    <cellStyle name="Normal 9 6 2 3 3 2" xfId="40663" xr:uid="{00000000-0005-0000-0000-00007A870000}"/>
    <cellStyle name="Normal 9 6 2 3 4" xfId="28358" xr:uid="{00000000-0005-0000-0000-00007B870000}"/>
    <cellStyle name="Normal 9 6 2 4" xfId="11525" xr:uid="{00000000-0005-0000-0000-00007C870000}"/>
    <cellStyle name="Normal 9 6 2 4 2" xfId="31445" xr:uid="{00000000-0005-0000-0000-00007D870000}"/>
    <cellStyle name="Normal 9 6 2 5" xfId="17677" xr:uid="{00000000-0005-0000-0000-00007E870000}"/>
    <cellStyle name="Normal 9 6 2 5 2" xfId="37597" xr:uid="{00000000-0005-0000-0000-00007F870000}"/>
    <cellStyle name="Normal 9 6 2 6" xfId="25292" xr:uid="{00000000-0005-0000-0000-000080870000}"/>
    <cellStyle name="Normal 9 6 3" xfId="6063" xr:uid="{00000000-0005-0000-0000-000081870000}"/>
    <cellStyle name="Normal 9 6 3 2" xfId="9163" xr:uid="{00000000-0005-0000-0000-000082870000}"/>
    <cellStyle name="Normal 9 6 3 2 2" xfId="15356" xr:uid="{00000000-0005-0000-0000-000083870000}"/>
    <cellStyle name="Normal 9 6 3 2 2 2" xfId="35276" xr:uid="{00000000-0005-0000-0000-000084870000}"/>
    <cellStyle name="Normal 9 6 3 2 3" xfId="21508" xr:uid="{00000000-0005-0000-0000-000085870000}"/>
    <cellStyle name="Normal 9 6 3 2 3 2" xfId="41428" xr:uid="{00000000-0005-0000-0000-000086870000}"/>
    <cellStyle name="Normal 9 6 3 2 4" xfId="29123" xr:uid="{00000000-0005-0000-0000-000087870000}"/>
    <cellStyle name="Normal 9 6 3 3" xfId="12290" xr:uid="{00000000-0005-0000-0000-000088870000}"/>
    <cellStyle name="Normal 9 6 3 3 2" xfId="32210" xr:uid="{00000000-0005-0000-0000-000089870000}"/>
    <cellStyle name="Normal 9 6 3 4" xfId="18442" xr:uid="{00000000-0005-0000-0000-00008A870000}"/>
    <cellStyle name="Normal 9 6 3 4 2" xfId="38362" xr:uid="{00000000-0005-0000-0000-00008B870000}"/>
    <cellStyle name="Normal 9 6 3 5" xfId="26057" xr:uid="{00000000-0005-0000-0000-00008C870000}"/>
    <cellStyle name="Normal 9 6 4" xfId="7628" xr:uid="{00000000-0005-0000-0000-00008D870000}"/>
    <cellStyle name="Normal 9 6 4 2" xfId="13822" xr:uid="{00000000-0005-0000-0000-00008E870000}"/>
    <cellStyle name="Normal 9 6 4 2 2" xfId="33742" xr:uid="{00000000-0005-0000-0000-00008F870000}"/>
    <cellStyle name="Normal 9 6 4 3" xfId="19974" xr:uid="{00000000-0005-0000-0000-000090870000}"/>
    <cellStyle name="Normal 9 6 4 3 2" xfId="39894" xr:uid="{00000000-0005-0000-0000-000091870000}"/>
    <cellStyle name="Normal 9 6 4 4" xfId="27589" xr:uid="{00000000-0005-0000-0000-000092870000}"/>
    <cellStyle name="Normal 9 6 5" xfId="10756" xr:uid="{00000000-0005-0000-0000-000093870000}"/>
    <cellStyle name="Normal 9 6 5 2" xfId="30676" xr:uid="{00000000-0005-0000-0000-000094870000}"/>
    <cellStyle name="Normal 9 6 6" xfId="16908" xr:uid="{00000000-0005-0000-0000-000095870000}"/>
    <cellStyle name="Normal 9 6 6 2" xfId="36828" xr:uid="{00000000-0005-0000-0000-000096870000}"/>
    <cellStyle name="Normal 9 6 7" xfId="24523" xr:uid="{00000000-0005-0000-0000-000097870000}"/>
    <cellStyle name="Normal 9 7" xfId="4052" xr:uid="{00000000-0005-0000-0000-000098870000}"/>
    <cellStyle name="Normal 9 7 2" xfId="5222" xr:uid="{00000000-0005-0000-0000-000099870000}"/>
    <cellStyle name="Normal 9 7 2 2" xfId="6847" xr:uid="{00000000-0005-0000-0000-00009A870000}"/>
    <cellStyle name="Normal 9 7 2 2 2" xfId="9933" xr:uid="{00000000-0005-0000-0000-00009B870000}"/>
    <cellStyle name="Normal 9 7 2 2 2 2" xfId="16126" xr:uid="{00000000-0005-0000-0000-00009C870000}"/>
    <cellStyle name="Normal 9 7 2 2 2 2 2" xfId="36046" xr:uid="{00000000-0005-0000-0000-00009D870000}"/>
    <cellStyle name="Normal 9 7 2 2 2 3" xfId="22278" xr:uid="{00000000-0005-0000-0000-00009E870000}"/>
    <cellStyle name="Normal 9 7 2 2 2 3 2" xfId="42198" xr:uid="{00000000-0005-0000-0000-00009F870000}"/>
    <cellStyle name="Normal 9 7 2 2 2 4" xfId="29893" xr:uid="{00000000-0005-0000-0000-0000A0870000}"/>
    <cellStyle name="Normal 9 7 2 2 3" xfId="13060" xr:uid="{00000000-0005-0000-0000-0000A1870000}"/>
    <cellStyle name="Normal 9 7 2 2 3 2" xfId="32980" xr:uid="{00000000-0005-0000-0000-0000A2870000}"/>
    <cellStyle name="Normal 9 7 2 2 4" xfId="19212" xr:uid="{00000000-0005-0000-0000-0000A3870000}"/>
    <cellStyle name="Normal 9 7 2 2 4 2" xfId="39132" xr:uid="{00000000-0005-0000-0000-0000A4870000}"/>
    <cellStyle name="Normal 9 7 2 2 5" xfId="26827" xr:uid="{00000000-0005-0000-0000-0000A5870000}"/>
    <cellStyle name="Normal 9 7 2 3" xfId="8398" xr:uid="{00000000-0005-0000-0000-0000A6870000}"/>
    <cellStyle name="Normal 9 7 2 3 2" xfId="14592" xr:uid="{00000000-0005-0000-0000-0000A7870000}"/>
    <cellStyle name="Normal 9 7 2 3 2 2" xfId="34512" xr:uid="{00000000-0005-0000-0000-0000A8870000}"/>
    <cellStyle name="Normal 9 7 2 3 3" xfId="20744" xr:uid="{00000000-0005-0000-0000-0000A9870000}"/>
    <cellStyle name="Normal 9 7 2 3 3 2" xfId="40664" xr:uid="{00000000-0005-0000-0000-0000AA870000}"/>
    <cellStyle name="Normal 9 7 2 3 4" xfId="28359" xr:uid="{00000000-0005-0000-0000-0000AB870000}"/>
    <cellStyle name="Normal 9 7 2 4" xfId="11526" xr:uid="{00000000-0005-0000-0000-0000AC870000}"/>
    <cellStyle name="Normal 9 7 2 4 2" xfId="31446" xr:uid="{00000000-0005-0000-0000-0000AD870000}"/>
    <cellStyle name="Normal 9 7 2 5" xfId="17678" xr:uid="{00000000-0005-0000-0000-0000AE870000}"/>
    <cellStyle name="Normal 9 7 2 5 2" xfId="37598" xr:uid="{00000000-0005-0000-0000-0000AF870000}"/>
    <cellStyle name="Normal 9 7 2 6" xfId="25293" xr:uid="{00000000-0005-0000-0000-0000B0870000}"/>
    <cellStyle name="Normal 9 7 3" xfId="6064" xr:uid="{00000000-0005-0000-0000-0000B1870000}"/>
    <cellStyle name="Normal 9 7 3 2" xfId="9164" xr:uid="{00000000-0005-0000-0000-0000B2870000}"/>
    <cellStyle name="Normal 9 7 3 2 2" xfId="15357" xr:uid="{00000000-0005-0000-0000-0000B3870000}"/>
    <cellStyle name="Normal 9 7 3 2 2 2" xfId="35277" xr:uid="{00000000-0005-0000-0000-0000B4870000}"/>
    <cellStyle name="Normal 9 7 3 2 3" xfId="21509" xr:uid="{00000000-0005-0000-0000-0000B5870000}"/>
    <cellStyle name="Normal 9 7 3 2 3 2" xfId="41429" xr:uid="{00000000-0005-0000-0000-0000B6870000}"/>
    <cellStyle name="Normal 9 7 3 2 4" xfId="29124" xr:uid="{00000000-0005-0000-0000-0000B7870000}"/>
    <cellStyle name="Normal 9 7 3 3" xfId="12291" xr:uid="{00000000-0005-0000-0000-0000B8870000}"/>
    <cellStyle name="Normal 9 7 3 3 2" xfId="32211" xr:uid="{00000000-0005-0000-0000-0000B9870000}"/>
    <cellStyle name="Normal 9 7 3 4" xfId="18443" xr:uid="{00000000-0005-0000-0000-0000BA870000}"/>
    <cellStyle name="Normal 9 7 3 4 2" xfId="38363" xr:uid="{00000000-0005-0000-0000-0000BB870000}"/>
    <cellStyle name="Normal 9 7 3 5" xfId="26058" xr:uid="{00000000-0005-0000-0000-0000BC870000}"/>
    <cellStyle name="Normal 9 7 4" xfId="7629" xr:uid="{00000000-0005-0000-0000-0000BD870000}"/>
    <cellStyle name="Normal 9 7 4 2" xfId="13823" xr:uid="{00000000-0005-0000-0000-0000BE870000}"/>
    <cellStyle name="Normal 9 7 4 2 2" xfId="33743" xr:uid="{00000000-0005-0000-0000-0000BF870000}"/>
    <cellStyle name="Normal 9 7 4 3" xfId="19975" xr:uid="{00000000-0005-0000-0000-0000C0870000}"/>
    <cellStyle name="Normal 9 7 4 3 2" xfId="39895" xr:uid="{00000000-0005-0000-0000-0000C1870000}"/>
    <cellStyle name="Normal 9 7 4 4" xfId="27590" xr:uid="{00000000-0005-0000-0000-0000C2870000}"/>
    <cellStyle name="Normal 9 7 5" xfId="10757" xr:uid="{00000000-0005-0000-0000-0000C3870000}"/>
    <cellStyle name="Normal 9 7 5 2" xfId="30677" xr:uid="{00000000-0005-0000-0000-0000C4870000}"/>
    <cellStyle name="Normal 9 7 6" xfId="16909" xr:uid="{00000000-0005-0000-0000-0000C5870000}"/>
    <cellStyle name="Normal 9 7 6 2" xfId="36829" xr:uid="{00000000-0005-0000-0000-0000C6870000}"/>
    <cellStyle name="Normal 9 7 7" xfId="24524" xr:uid="{00000000-0005-0000-0000-0000C7870000}"/>
    <cellStyle name="Normal 9 8" xfId="4053" xr:uid="{00000000-0005-0000-0000-0000C8870000}"/>
    <cellStyle name="Normal 9 8 2" xfId="5223" xr:uid="{00000000-0005-0000-0000-0000C9870000}"/>
    <cellStyle name="Normal 9 8 2 2" xfId="6848" xr:uid="{00000000-0005-0000-0000-0000CA870000}"/>
    <cellStyle name="Normal 9 8 2 2 2" xfId="9934" xr:uid="{00000000-0005-0000-0000-0000CB870000}"/>
    <cellStyle name="Normal 9 8 2 2 2 2" xfId="16127" xr:uid="{00000000-0005-0000-0000-0000CC870000}"/>
    <cellStyle name="Normal 9 8 2 2 2 2 2" xfId="36047" xr:uid="{00000000-0005-0000-0000-0000CD870000}"/>
    <cellStyle name="Normal 9 8 2 2 2 3" xfId="22279" xr:uid="{00000000-0005-0000-0000-0000CE870000}"/>
    <cellStyle name="Normal 9 8 2 2 2 3 2" xfId="42199" xr:uid="{00000000-0005-0000-0000-0000CF870000}"/>
    <cellStyle name="Normal 9 8 2 2 2 4" xfId="29894" xr:uid="{00000000-0005-0000-0000-0000D0870000}"/>
    <cellStyle name="Normal 9 8 2 2 3" xfId="13061" xr:uid="{00000000-0005-0000-0000-0000D1870000}"/>
    <cellStyle name="Normal 9 8 2 2 3 2" xfId="32981" xr:uid="{00000000-0005-0000-0000-0000D2870000}"/>
    <cellStyle name="Normal 9 8 2 2 4" xfId="19213" xr:uid="{00000000-0005-0000-0000-0000D3870000}"/>
    <cellStyle name="Normal 9 8 2 2 4 2" xfId="39133" xr:uid="{00000000-0005-0000-0000-0000D4870000}"/>
    <cellStyle name="Normal 9 8 2 2 5" xfId="26828" xr:uid="{00000000-0005-0000-0000-0000D5870000}"/>
    <cellStyle name="Normal 9 8 2 3" xfId="8399" xr:uid="{00000000-0005-0000-0000-0000D6870000}"/>
    <cellStyle name="Normal 9 8 2 3 2" xfId="14593" xr:uid="{00000000-0005-0000-0000-0000D7870000}"/>
    <cellStyle name="Normal 9 8 2 3 2 2" xfId="34513" xr:uid="{00000000-0005-0000-0000-0000D8870000}"/>
    <cellStyle name="Normal 9 8 2 3 3" xfId="20745" xr:uid="{00000000-0005-0000-0000-0000D9870000}"/>
    <cellStyle name="Normal 9 8 2 3 3 2" xfId="40665" xr:uid="{00000000-0005-0000-0000-0000DA870000}"/>
    <cellStyle name="Normal 9 8 2 3 4" xfId="28360" xr:uid="{00000000-0005-0000-0000-0000DB870000}"/>
    <cellStyle name="Normal 9 8 2 4" xfId="11527" xr:uid="{00000000-0005-0000-0000-0000DC870000}"/>
    <cellStyle name="Normal 9 8 2 4 2" xfId="31447" xr:uid="{00000000-0005-0000-0000-0000DD870000}"/>
    <cellStyle name="Normal 9 8 2 5" xfId="17679" xr:uid="{00000000-0005-0000-0000-0000DE870000}"/>
    <cellStyle name="Normal 9 8 2 5 2" xfId="37599" xr:uid="{00000000-0005-0000-0000-0000DF870000}"/>
    <cellStyle name="Normal 9 8 2 6" xfId="25294" xr:uid="{00000000-0005-0000-0000-0000E0870000}"/>
    <cellStyle name="Normal 9 8 3" xfId="6065" xr:uid="{00000000-0005-0000-0000-0000E1870000}"/>
    <cellStyle name="Normal 9 8 3 2" xfId="9165" xr:uid="{00000000-0005-0000-0000-0000E2870000}"/>
    <cellStyle name="Normal 9 8 3 2 2" xfId="15358" xr:uid="{00000000-0005-0000-0000-0000E3870000}"/>
    <cellStyle name="Normal 9 8 3 2 2 2" xfId="35278" xr:uid="{00000000-0005-0000-0000-0000E4870000}"/>
    <cellStyle name="Normal 9 8 3 2 3" xfId="21510" xr:uid="{00000000-0005-0000-0000-0000E5870000}"/>
    <cellStyle name="Normal 9 8 3 2 3 2" xfId="41430" xr:uid="{00000000-0005-0000-0000-0000E6870000}"/>
    <cellStyle name="Normal 9 8 3 2 4" xfId="29125" xr:uid="{00000000-0005-0000-0000-0000E7870000}"/>
    <cellStyle name="Normal 9 8 3 3" xfId="12292" xr:uid="{00000000-0005-0000-0000-0000E8870000}"/>
    <cellStyle name="Normal 9 8 3 3 2" xfId="32212" xr:uid="{00000000-0005-0000-0000-0000E9870000}"/>
    <cellStyle name="Normal 9 8 3 4" xfId="18444" xr:uid="{00000000-0005-0000-0000-0000EA870000}"/>
    <cellStyle name="Normal 9 8 3 4 2" xfId="38364" xr:uid="{00000000-0005-0000-0000-0000EB870000}"/>
    <cellStyle name="Normal 9 8 3 5" xfId="26059" xr:uid="{00000000-0005-0000-0000-0000EC870000}"/>
    <cellStyle name="Normal 9 8 4" xfId="7630" xr:uid="{00000000-0005-0000-0000-0000ED870000}"/>
    <cellStyle name="Normal 9 8 4 2" xfId="13824" xr:uid="{00000000-0005-0000-0000-0000EE870000}"/>
    <cellStyle name="Normal 9 8 4 2 2" xfId="33744" xr:uid="{00000000-0005-0000-0000-0000EF870000}"/>
    <cellStyle name="Normal 9 8 4 3" xfId="19976" xr:uid="{00000000-0005-0000-0000-0000F0870000}"/>
    <cellStyle name="Normal 9 8 4 3 2" xfId="39896" xr:uid="{00000000-0005-0000-0000-0000F1870000}"/>
    <cellStyle name="Normal 9 8 4 4" xfId="27591" xr:uid="{00000000-0005-0000-0000-0000F2870000}"/>
    <cellStyle name="Normal 9 8 5" xfId="10758" xr:uid="{00000000-0005-0000-0000-0000F3870000}"/>
    <cellStyle name="Normal 9 8 5 2" xfId="30678" xr:uid="{00000000-0005-0000-0000-0000F4870000}"/>
    <cellStyle name="Normal 9 8 6" xfId="16910" xr:uid="{00000000-0005-0000-0000-0000F5870000}"/>
    <cellStyle name="Normal 9 8 6 2" xfId="36830" xr:uid="{00000000-0005-0000-0000-0000F6870000}"/>
    <cellStyle name="Normal 9 8 7" xfId="24525" xr:uid="{00000000-0005-0000-0000-0000F7870000}"/>
    <cellStyle name="Normal 9 9" xfId="4054" xr:uid="{00000000-0005-0000-0000-0000F8870000}"/>
    <cellStyle name="Normal 9 9 2" xfId="5224" xr:uid="{00000000-0005-0000-0000-0000F9870000}"/>
    <cellStyle name="Normal 9 9 2 2" xfId="6849" xr:uid="{00000000-0005-0000-0000-0000FA870000}"/>
    <cellStyle name="Normal 9 9 2 2 2" xfId="9935" xr:uid="{00000000-0005-0000-0000-0000FB870000}"/>
    <cellStyle name="Normal 9 9 2 2 2 2" xfId="16128" xr:uid="{00000000-0005-0000-0000-0000FC870000}"/>
    <cellStyle name="Normal 9 9 2 2 2 2 2" xfId="36048" xr:uid="{00000000-0005-0000-0000-0000FD870000}"/>
    <cellStyle name="Normal 9 9 2 2 2 3" xfId="22280" xr:uid="{00000000-0005-0000-0000-0000FE870000}"/>
    <cellStyle name="Normal 9 9 2 2 2 3 2" xfId="42200" xr:uid="{00000000-0005-0000-0000-0000FF870000}"/>
    <cellStyle name="Normal 9 9 2 2 2 4" xfId="29895" xr:uid="{00000000-0005-0000-0000-000000880000}"/>
    <cellStyle name="Normal 9 9 2 2 3" xfId="13062" xr:uid="{00000000-0005-0000-0000-000001880000}"/>
    <cellStyle name="Normal 9 9 2 2 3 2" xfId="32982" xr:uid="{00000000-0005-0000-0000-000002880000}"/>
    <cellStyle name="Normal 9 9 2 2 4" xfId="19214" xr:uid="{00000000-0005-0000-0000-000003880000}"/>
    <cellStyle name="Normal 9 9 2 2 4 2" xfId="39134" xr:uid="{00000000-0005-0000-0000-000004880000}"/>
    <cellStyle name="Normal 9 9 2 2 5" xfId="26829" xr:uid="{00000000-0005-0000-0000-000005880000}"/>
    <cellStyle name="Normal 9 9 2 3" xfId="8400" xr:uid="{00000000-0005-0000-0000-000006880000}"/>
    <cellStyle name="Normal 9 9 2 3 2" xfId="14594" xr:uid="{00000000-0005-0000-0000-000007880000}"/>
    <cellStyle name="Normal 9 9 2 3 2 2" xfId="34514" xr:uid="{00000000-0005-0000-0000-000008880000}"/>
    <cellStyle name="Normal 9 9 2 3 3" xfId="20746" xr:uid="{00000000-0005-0000-0000-000009880000}"/>
    <cellStyle name="Normal 9 9 2 3 3 2" xfId="40666" xr:uid="{00000000-0005-0000-0000-00000A880000}"/>
    <cellStyle name="Normal 9 9 2 3 4" xfId="28361" xr:uid="{00000000-0005-0000-0000-00000B880000}"/>
    <cellStyle name="Normal 9 9 2 4" xfId="11528" xr:uid="{00000000-0005-0000-0000-00000C880000}"/>
    <cellStyle name="Normal 9 9 2 4 2" xfId="31448" xr:uid="{00000000-0005-0000-0000-00000D880000}"/>
    <cellStyle name="Normal 9 9 2 5" xfId="17680" xr:uid="{00000000-0005-0000-0000-00000E880000}"/>
    <cellStyle name="Normal 9 9 2 5 2" xfId="37600" xr:uid="{00000000-0005-0000-0000-00000F880000}"/>
    <cellStyle name="Normal 9 9 2 6" xfId="25295" xr:uid="{00000000-0005-0000-0000-000010880000}"/>
    <cellStyle name="Normal 9 9 3" xfId="6066" xr:uid="{00000000-0005-0000-0000-000011880000}"/>
    <cellStyle name="Normal 9 9 3 2" xfId="9166" xr:uid="{00000000-0005-0000-0000-000012880000}"/>
    <cellStyle name="Normal 9 9 3 2 2" xfId="15359" xr:uid="{00000000-0005-0000-0000-000013880000}"/>
    <cellStyle name="Normal 9 9 3 2 2 2" xfId="35279" xr:uid="{00000000-0005-0000-0000-000014880000}"/>
    <cellStyle name="Normal 9 9 3 2 3" xfId="21511" xr:uid="{00000000-0005-0000-0000-000015880000}"/>
    <cellStyle name="Normal 9 9 3 2 3 2" xfId="41431" xr:uid="{00000000-0005-0000-0000-000016880000}"/>
    <cellStyle name="Normal 9 9 3 2 4" xfId="29126" xr:uid="{00000000-0005-0000-0000-000017880000}"/>
    <cellStyle name="Normal 9 9 3 3" xfId="12293" xr:uid="{00000000-0005-0000-0000-000018880000}"/>
    <cellStyle name="Normal 9 9 3 3 2" xfId="32213" xr:uid="{00000000-0005-0000-0000-000019880000}"/>
    <cellStyle name="Normal 9 9 3 4" xfId="18445" xr:uid="{00000000-0005-0000-0000-00001A880000}"/>
    <cellStyle name="Normal 9 9 3 4 2" xfId="38365" xr:uid="{00000000-0005-0000-0000-00001B880000}"/>
    <cellStyle name="Normal 9 9 3 5" xfId="26060" xr:uid="{00000000-0005-0000-0000-00001C880000}"/>
    <cellStyle name="Normal 9 9 4" xfId="7631" xr:uid="{00000000-0005-0000-0000-00001D880000}"/>
    <cellStyle name="Normal 9 9 4 2" xfId="13825" xr:uid="{00000000-0005-0000-0000-00001E880000}"/>
    <cellStyle name="Normal 9 9 4 2 2" xfId="33745" xr:uid="{00000000-0005-0000-0000-00001F880000}"/>
    <cellStyle name="Normal 9 9 4 3" xfId="19977" xr:uid="{00000000-0005-0000-0000-000020880000}"/>
    <cellStyle name="Normal 9 9 4 3 2" xfId="39897" xr:uid="{00000000-0005-0000-0000-000021880000}"/>
    <cellStyle name="Normal 9 9 4 4" xfId="27592" xr:uid="{00000000-0005-0000-0000-000022880000}"/>
    <cellStyle name="Normal 9 9 5" xfId="10759" xr:uid="{00000000-0005-0000-0000-000023880000}"/>
    <cellStyle name="Normal 9 9 5 2" xfId="30679" xr:uid="{00000000-0005-0000-0000-000024880000}"/>
    <cellStyle name="Normal 9 9 6" xfId="16911" xr:uid="{00000000-0005-0000-0000-000025880000}"/>
    <cellStyle name="Normal 9 9 6 2" xfId="36831" xr:uid="{00000000-0005-0000-0000-000026880000}"/>
    <cellStyle name="Normal 9 9 7" xfId="24526" xr:uid="{00000000-0005-0000-0000-000027880000}"/>
    <cellStyle name="Normal_2006 Sch 25 Data" xfId="43228" xr:uid="{0F6236D4-519A-4728-A576-BE052B6001A2}"/>
    <cellStyle name="Note 2" xfId="176" xr:uid="{00000000-0005-0000-0000-000028880000}"/>
    <cellStyle name="Note 2 10" xfId="617" xr:uid="{00000000-0005-0000-0000-000029880000}"/>
    <cellStyle name="Note 2 10 2" xfId="952" xr:uid="{00000000-0005-0000-0000-00002A880000}"/>
    <cellStyle name="Note 2 10 2 2" xfId="23834" xr:uid="{00000000-0005-0000-0000-00002B880000}"/>
    <cellStyle name="Note 2 10 3" xfId="22592" xr:uid="{00000000-0005-0000-0000-00002C880000}"/>
    <cellStyle name="Note 2 10 3 2" xfId="42503" xr:uid="{00000000-0005-0000-0000-00002D880000}"/>
    <cellStyle name="Note 2 10 4" xfId="22917" xr:uid="{00000000-0005-0000-0000-00002E880000}"/>
    <cellStyle name="Note 2 10 4 2" xfId="42828" xr:uid="{00000000-0005-0000-0000-00002F880000}"/>
    <cellStyle name="Note 2 10 5" xfId="23220" xr:uid="{00000000-0005-0000-0000-000030880000}"/>
    <cellStyle name="Note 2 10 5 2" xfId="43131" xr:uid="{00000000-0005-0000-0000-000031880000}"/>
    <cellStyle name="Note 2 10 6" xfId="23531" xr:uid="{00000000-0005-0000-0000-000032880000}"/>
    <cellStyle name="Note 2 11" xfId="643" xr:uid="{00000000-0005-0000-0000-000033880000}"/>
    <cellStyle name="Note 2 11 2" xfId="968" xr:uid="{00000000-0005-0000-0000-000034880000}"/>
    <cellStyle name="Note 2 11 2 2" xfId="23850" xr:uid="{00000000-0005-0000-0000-000035880000}"/>
    <cellStyle name="Note 2 11 3" xfId="22609" xr:uid="{00000000-0005-0000-0000-000036880000}"/>
    <cellStyle name="Note 2 11 3 2" xfId="42520" xr:uid="{00000000-0005-0000-0000-000037880000}"/>
    <cellStyle name="Note 2 11 4" xfId="22933" xr:uid="{00000000-0005-0000-0000-000038880000}"/>
    <cellStyle name="Note 2 11 4 2" xfId="42844" xr:uid="{00000000-0005-0000-0000-000039880000}"/>
    <cellStyle name="Note 2 11 5" xfId="23236" xr:uid="{00000000-0005-0000-0000-00003A880000}"/>
    <cellStyle name="Note 2 11 5 2" xfId="43147" xr:uid="{00000000-0005-0000-0000-00003B880000}"/>
    <cellStyle name="Note 2 11 6" xfId="23547" xr:uid="{00000000-0005-0000-0000-00003C880000}"/>
    <cellStyle name="Note 2 12" xfId="668" xr:uid="{00000000-0005-0000-0000-00003D880000}"/>
    <cellStyle name="Note 2 12 2" xfId="984" xr:uid="{00000000-0005-0000-0000-00003E880000}"/>
    <cellStyle name="Note 2 12 2 2" xfId="23866" xr:uid="{00000000-0005-0000-0000-00003F880000}"/>
    <cellStyle name="Note 2 12 3" xfId="22517" xr:uid="{00000000-0005-0000-0000-000040880000}"/>
    <cellStyle name="Note 2 12 3 2" xfId="42428" xr:uid="{00000000-0005-0000-0000-000041880000}"/>
    <cellStyle name="Note 2 12 4" xfId="22949" xr:uid="{00000000-0005-0000-0000-000042880000}"/>
    <cellStyle name="Note 2 12 4 2" xfId="42860" xr:uid="{00000000-0005-0000-0000-000043880000}"/>
    <cellStyle name="Note 2 12 5" xfId="23252" xr:uid="{00000000-0005-0000-0000-000044880000}"/>
    <cellStyle name="Note 2 12 5 2" xfId="43163" xr:uid="{00000000-0005-0000-0000-000045880000}"/>
    <cellStyle name="Note 2 12 6" xfId="23563" xr:uid="{00000000-0005-0000-0000-000046880000}"/>
    <cellStyle name="Note 2 13" xfId="692" xr:uid="{00000000-0005-0000-0000-000047880000}"/>
    <cellStyle name="Note 2 13 2" xfId="1000" xr:uid="{00000000-0005-0000-0000-000048880000}"/>
    <cellStyle name="Note 2 13 2 2" xfId="23882" xr:uid="{00000000-0005-0000-0000-000049880000}"/>
    <cellStyle name="Note 2 13 3" xfId="22575" xr:uid="{00000000-0005-0000-0000-00004A880000}"/>
    <cellStyle name="Note 2 13 3 2" xfId="42486" xr:uid="{00000000-0005-0000-0000-00004B880000}"/>
    <cellStyle name="Note 2 13 4" xfId="22965" xr:uid="{00000000-0005-0000-0000-00004C880000}"/>
    <cellStyle name="Note 2 13 4 2" xfId="42876" xr:uid="{00000000-0005-0000-0000-00004D880000}"/>
    <cellStyle name="Note 2 13 5" xfId="23268" xr:uid="{00000000-0005-0000-0000-00004E880000}"/>
    <cellStyle name="Note 2 13 5 2" xfId="43179" xr:uid="{00000000-0005-0000-0000-00004F880000}"/>
    <cellStyle name="Note 2 13 6" xfId="23579" xr:uid="{00000000-0005-0000-0000-000050880000}"/>
    <cellStyle name="Note 2 14" xfId="708" xr:uid="{00000000-0005-0000-0000-000051880000}"/>
    <cellStyle name="Note 2 14 2" xfId="1016" xr:uid="{00000000-0005-0000-0000-000052880000}"/>
    <cellStyle name="Note 2 14 2 2" xfId="23898" xr:uid="{00000000-0005-0000-0000-000053880000}"/>
    <cellStyle name="Note 2 14 3" xfId="22476" xr:uid="{00000000-0005-0000-0000-000054880000}"/>
    <cellStyle name="Note 2 14 3 2" xfId="42387" xr:uid="{00000000-0005-0000-0000-000055880000}"/>
    <cellStyle name="Note 2 14 4" xfId="22981" xr:uid="{00000000-0005-0000-0000-000056880000}"/>
    <cellStyle name="Note 2 14 4 2" xfId="42892" xr:uid="{00000000-0005-0000-0000-000057880000}"/>
    <cellStyle name="Note 2 14 5" xfId="23284" xr:uid="{00000000-0005-0000-0000-000058880000}"/>
    <cellStyle name="Note 2 14 5 2" xfId="43195" xr:uid="{00000000-0005-0000-0000-000059880000}"/>
    <cellStyle name="Note 2 14 6" xfId="23595" xr:uid="{00000000-0005-0000-0000-00005A880000}"/>
    <cellStyle name="Note 2 15" xfId="724" xr:uid="{00000000-0005-0000-0000-00005B880000}"/>
    <cellStyle name="Note 2 15 2" xfId="1032" xr:uid="{00000000-0005-0000-0000-00005C880000}"/>
    <cellStyle name="Note 2 15 2 2" xfId="23914" xr:uid="{00000000-0005-0000-0000-00005D880000}"/>
    <cellStyle name="Note 2 15 3" xfId="22681" xr:uid="{00000000-0005-0000-0000-00005E880000}"/>
    <cellStyle name="Note 2 15 3 2" xfId="42592" xr:uid="{00000000-0005-0000-0000-00005F880000}"/>
    <cellStyle name="Note 2 15 4" xfId="22997" xr:uid="{00000000-0005-0000-0000-000060880000}"/>
    <cellStyle name="Note 2 15 4 2" xfId="42908" xr:uid="{00000000-0005-0000-0000-000061880000}"/>
    <cellStyle name="Note 2 15 5" xfId="23300" xr:uid="{00000000-0005-0000-0000-000062880000}"/>
    <cellStyle name="Note 2 15 5 2" xfId="43211" xr:uid="{00000000-0005-0000-0000-000063880000}"/>
    <cellStyle name="Note 2 15 6" xfId="23611" xr:uid="{00000000-0005-0000-0000-000064880000}"/>
    <cellStyle name="Note 2 16" xfId="772" xr:uid="{00000000-0005-0000-0000-000065880000}"/>
    <cellStyle name="Note 2 16 2" xfId="23654" xr:uid="{00000000-0005-0000-0000-000066880000}"/>
    <cellStyle name="Note 2 17" xfId="4055" xr:uid="{00000000-0005-0000-0000-000067880000}"/>
    <cellStyle name="Note 2 17 2" xfId="24527" xr:uid="{00000000-0005-0000-0000-000068880000}"/>
    <cellStyle name="Note 2 18" xfId="22737" xr:uid="{00000000-0005-0000-0000-000069880000}"/>
    <cellStyle name="Note 2 18 2" xfId="42648" xr:uid="{00000000-0005-0000-0000-00006A880000}"/>
    <cellStyle name="Note 2 19" xfId="23040" xr:uid="{00000000-0005-0000-0000-00006B880000}"/>
    <cellStyle name="Note 2 19 2" xfId="42951" xr:uid="{00000000-0005-0000-0000-00006C880000}"/>
    <cellStyle name="Note 2 2" xfId="390" xr:uid="{00000000-0005-0000-0000-00006D880000}"/>
    <cellStyle name="Note 2 2 2" xfId="824" xr:uid="{00000000-0005-0000-0000-00006E880000}"/>
    <cellStyle name="Note 2 2 2 2" xfId="9936" xr:uid="{00000000-0005-0000-0000-00006F880000}"/>
    <cellStyle name="Note 2 2 2 2 2" xfId="16129" xr:uid="{00000000-0005-0000-0000-000070880000}"/>
    <cellStyle name="Note 2 2 2 2 2 2" xfId="36049" xr:uid="{00000000-0005-0000-0000-000071880000}"/>
    <cellStyle name="Note 2 2 2 2 3" xfId="22281" xr:uid="{00000000-0005-0000-0000-000072880000}"/>
    <cellStyle name="Note 2 2 2 2 3 2" xfId="42201" xr:uid="{00000000-0005-0000-0000-000073880000}"/>
    <cellStyle name="Note 2 2 2 2 4" xfId="29896" xr:uid="{00000000-0005-0000-0000-000074880000}"/>
    <cellStyle name="Note 2 2 2 3" xfId="13063" xr:uid="{00000000-0005-0000-0000-000075880000}"/>
    <cellStyle name="Note 2 2 2 3 2" xfId="32983" xr:uid="{00000000-0005-0000-0000-000076880000}"/>
    <cellStyle name="Note 2 2 2 4" xfId="19215" xr:uid="{00000000-0005-0000-0000-000077880000}"/>
    <cellStyle name="Note 2 2 2 4 2" xfId="39135" xr:uid="{00000000-0005-0000-0000-000078880000}"/>
    <cellStyle name="Note 2 2 2 5" xfId="6850" xr:uid="{00000000-0005-0000-0000-000079880000}"/>
    <cellStyle name="Note 2 2 2 5 2" xfId="26830" xr:uid="{00000000-0005-0000-0000-00007A880000}"/>
    <cellStyle name="Note 2 2 2 6" xfId="23706" xr:uid="{00000000-0005-0000-0000-00007B880000}"/>
    <cellStyle name="Note 2 2 3" xfId="8401" xr:uid="{00000000-0005-0000-0000-00007C880000}"/>
    <cellStyle name="Note 2 2 3 2" xfId="14595" xr:uid="{00000000-0005-0000-0000-00007D880000}"/>
    <cellStyle name="Note 2 2 3 2 2" xfId="34515" xr:uid="{00000000-0005-0000-0000-00007E880000}"/>
    <cellStyle name="Note 2 2 3 3" xfId="20747" xr:uid="{00000000-0005-0000-0000-00007F880000}"/>
    <cellStyle name="Note 2 2 3 3 2" xfId="40667" xr:uid="{00000000-0005-0000-0000-000080880000}"/>
    <cellStyle name="Note 2 2 3 4" xfId="28362" xr:uid="{00000000-0005-0000-0000-000081880000}"/>
    <cellStyle name="Note 2 2 4" xfId="11529" xr:uid="{00000000-0005-0000-0000-000082880000}"/>
    <cellStyle name="Note 2 2 4 2" xfId="31449" xr:uid="{00000000-0005-0000-0000-000083880000}"/>
    <cellStyle name="Note 2 2 5" xfId="17681" xr:uid="{00000000-0005-0000-0000-000084880000}"/>
    <cellStyle name="Note 2 2 5 2" xfId="37601" xr:uid="{00000000-0005-0000-0000-000085880000}"/>
    <cellStyle name="Note 2 2 6" xfId="5225" xr:uid="{00000000-0005-0000-0000-000086880000}"/>
    <cellStyle name="Note 2 2 6 2" xfId="25296" xr:uid="{00000000-0005-0000-0000-000087880000}"/>
    <cellStyle name="Note 2 2 7" xfId="22789" xr:uid="{00000000-0005-0000-0000-000088880000}"/>
    <cellStyle name="Note 2 2 7 2" xfId="42700" xr:uid="{00000000-0005-0000-0000-000089880000}"/>
    <cellStyle name="Note 2 2 8" xfId="23092" xr:uid="{00000000-0005-0000-0000-00008A880000}"/>
    <cellStyle name="Note 2 2 8 2" xfId="43003" xr:uid="{00000000-0005-0000-0000-00008B880000}"/>
    <cellStyle name="Note 2 2 9" xfId="23403" xr:uid="{00000000-0005-0000-0000-00008C880000}"/>
    <cellStyle name="Note 2 20" xfId="23351" xr:uid="{00000000-0005-0000-0000-00008D880000}"/>
    <cellStyle name="Note 2 3" xfId="420" xr:uid="{00000000-0005-0000-0000-00008E880000}"/>
    <cellStyle name="Note 2 3 2" xfId="840" xr:uid="{00000000-0005-0000-0000-00008F880000}"/>
    <cellStyle name="Note 2 3 2 2" xfId="15360" xr:uid="{00000000-0005-0000-0000-000090880000}"/>
    <cellStyle name="Note 2 3 2 2 2" xfId="35280" xr:uid="{00000000-0005-0000-0000-000091880000}"/>
    <cellStyle name="Note 2 3 2 3" xfId="21512" xr:uid="{00000000-0005-0000-0000-000092880000}"/>
    <cellStyle name="Note 2 3 2 3 2" xfId="41432" xr:uid="{00000000-0005-0000-0000-000093880000}"/>
    <cellStyle name="Note 2 3 2 4" xfId="9167" xr:uid="{00000000-0005-0000-0000-000094880000}"/>
    <cellStyle name="Note 2 3 2 4 2" xfId="29127" xr:uid="{00000000-0005-0000-0000-000095880000}"/>
    <cellStyle name="Note 2 3 2 5" xfId="23722" xr:uid="{00000000-0005-0000-0000-000096880000}"/>
    <cellStyle name="Note 2 3 3" xfId="12294" xr:uid="{00000000-0005-0000-0000-000097880000}"/>
    <cellStyle name="Note 2 3 3 2" xfId="32214" xr:uid="{00000000-0005-0000-0000-000098880000}"/>
    <cellStyle name="Note 2 3 4" xfId="18446" xr:uid="{00000000-0005-0000-0000-000099880000}"/>
    <cellStyle name="Note 2 3 4 2" xfId="38366" xr:uid="{00000000-0005-0000-0000-00009A880000}"/>
    <cellStyle name="Note 2 3 5" xfId="6067" xr:uid="{00000000-0005-0000-0000-00009B880000}"/>
    <cellStyle name="Note 2 3 5 2" xfId="26061" xr:uid="{00000000-0005-0000-0000-00009C880000}"/>
    <cellStyle name="Note 2 3 6" xfId="22805" xr:uid="{00000000-0005-0000-0000-00009D880000}"/>
    <cellStyle name="Note 2 3 6 2" xfId="42716" xr:uid="{00000000-0005-0000-0000-00009E880000}"/>
    <cellStyle name="Note 2 3 7" xfId="23108" xr:uid="{00000000-0005-0000-0000-00009F880000}"/>
    <cellStyle name="Note 2 3 7 2" xfId="43019" xr:uid="{00000000-0005-0000-0000-0000A0880000}"/>
    <cellStyle name="Note 2 3 8" xfId="23419" xr:uid="{00000000-0005-0000-0000-0000A1880000}"/>
    <cellStyle name="Note 2 4" xfId="447" xr:uid="{00000000-0005-0000-0000-0000A2880000}"/>
    <cellStyle name="Note 2 4 2" xfId="856" xr:uid="{00000000-0005-0000-0000-0000A3880000}"/>
    <cellStyle name="Note 2 4 2 2" xfId="13826" xr:uid="{00000000-0005-0000-0000-0000A4880000}"/>
    <cellStyle name="Note 2 4 2 2 2" xfId="33746" xr:uid="{00000000-0005-0000-0000-0000A5880000}"/>
    <cellStyle name="Note 2 4 2 3" xfId="23738" xr:uid="{00000000-0005-0000-0000-0000A6880000}"/>
    <cellStyle name="Note 2 4 3" xfId="19978" xr:uid="{00000000-0005-0000-0000-0000A7880000}"/>
    <cellStyle name="Note 2 4 3 2" xfId="39898" xr:uid="{00000000-0005-0000-0000-0000A8880000}"/>
    <cellStyle name="Note 2 4 4" xfId="7632" xr:uid="{00000000-0005-0000-0000-0000A9880000}"/>
    <cellStyle name="Note 2 4 4 2" xfId="27593" xr:uid="{00000000-0005-0000-0000-0000AA880000}"/>
    <cellStyle name="Note 2 4 5" xfId="22821" xr:uid="{00000000-0005-0000-0000-0000AB880000}"/>
    <cellStyle name="Note 2 4 5 2" xfId="42732" xr:uid="{00000000-0005-0000-0000-0000AC880000}"/>
    <cellStyle name="Note 2 4 6" xfId="23124" xr:uid="{00000000-0005-0000-0000-0000AD880000}"/>
    <cellStyle name="Note 2 4 6 2" xfId="43035" xr:uid="{00000000-0005-0000-0000-0000AE880000}"/>
    <cellStyle name="Note 2 4 7" xfId="23435" xr:uid="{00000000-0005-0000-0000-0000AF880000}"/>
    <cellStyle name="Note 2 5" xfId="473" xr:uid="{00000000-0005-0000-0000-0000B0880000}"/>
    <cellStyle name="Note 2 5 2" xfId="872" xr:uid="{00000000-0005-0000-0000-0000B1880000}"/>
    <cellStyle name="Note 2 5 2 2" xfId="23754" xr:uid="{00000000-0005-0000-0000-0000B2880000}"/>
    <cellStyle name="Note 2 5 3" xfId="10760" xr:uid="{00000000-0005-0000-0000-0000B3880000}"/>
    <cellStyle name="Note 2 5 3 2" xfId="30680" xr:uid="{00000000-0005-0000-0000-0000B4880000}"/>
    <cellStyle name="Note 2 5 4" xfId="22837" xr:uid="{00000000-0005-0000-0000-0000B5880000}"/>
    <cellStyle name="Note 2 5 4 2" xfId="42748" xr:uid="{00000000-0005-0000-0000-0000B6880000}"/>
    <cellStyle name="Note 2 5 5" xfId="23140" xr:uid="{00000000-0005-0000-0000-0000B7880000}"/>
    <cellStyle name="Note 2 5 5 2" xfId="43051" xr:uid="{00000000-0005-0000-0000-0000B8880000}"/>
    <cellStyle name="Note 2 5 6" xfId="23451" xr:uid="{00000000-0005-0000-0000-0000B9880000}"/>
    <cellStyle name="Note 2 6" xfId="499" xr:uid="{00000000-0005-0000-0000-0000BA880000}"/>
    <cellStyle name="Note 2 6 2" xfId="888" xr:uid="{00000000-0005-0000-0000-0000BB880000}"/>
    <cellStyle name="Note 2 6 2 2" xfId="23770" xr:uid="{00000000-0005-0000-0000-0000BC880000}"/>
    <cellStyle name="Note 2 6 3" xfId="16912" xr:uid="{00000000-0005-0000-0000-0000BD880000}"/>
    <cellStyle name="Note 2 6 3 2" xfId="36832" xr:uid="{00000000-0005-0000-0000-0000BE880000}"/>
    <cellStyle name="Note 2 6 4" xfId="22853" xr:uid="{00000000-0005-0000-0000-0000BF880000}"/>
    <cellStyle name="Note 2 6 4 2" xfId="42764" xr:uid="{00000000-0005-0000-0000-0000C0880000}"/>
    <cellStyle name="Note 2 6 5" xfId="23156" xr:uid="{00000000-0005-0000-0000-0000C1880000}"/>
    <cellStyle name="Note 2 6 5 2" xfId="43067" xr:uid="{00000000-0005-0000-0000-0000C2880000}"/>
    <cellStyle name="Note 2 6 6" xfId="23467" xr:uid="{00000000-0005-0000-0000-0000C3880000}"/>
    <cellStyle name="Note 2 7" xfId="523" xr:uid="{00000000-0005-0000-0000-0000C4880000}"/>
    <cellStyle name="Note 2 7 2" xfId="904" xr:uid="{00000000-0005-0000-0000-0000C5880000}"/>
    <cellStyle name="Note 2 7 2 2" xfId="23786" xr:uid="{00000000-0005-0000-0000-0000C6880000}"/>
    <cellStyle name="Note 2 7 3" xfId="22494" xr:uid="{00000000-0005-0000-0000-0000C7880000}"/>
    <cellStyle name="Note 2 7 3 2" xfId="42405" xr:uid="{00000000-0005-0000-0000-0000C8880000}"/>
    <cellStyle name="Note 2 7 4" xfId="22869" xr:uid="{00000000-0005-0000-0000-0000C9880000}"/>
    <cellStyle name="Note 2 7 4 2" xfId="42780" xr:uid="{00000000-0005-0000-0000-0000CA880000}"/>
    <cellStyle name="Note 2 7 5" xfId="23172" xr:uid="{00000000-0005-0000-0000-0000CB880000}"/>
    <cellStyle name="Note 2 7 5 2" xfId="43083" xr:uid="{00000000-0005-0000-0000-0000CC880000}"/>
    <cellStyle name="Note 2 7 6" xfId="23483" xr:uid="{00000000-0005-0000-0000-0000CD880000}"/>
    <cellStyle name="Note 2 8" xfId="549" xr:uid="{00000000-0005-0000-0000-0000CE880000}"/>
    <cellStyle name="Note 2 8 2" xfId="920" xr:uid="{00000000-0005-0000-0000-0000CF880000}"/>
    <cellStyle name="Note 2 8 2 2" xfId="23802" xr:uid="{00000000-0005-0000-0000-0000D0880000}"/>
    <cellStyle name="Note 2 8 3" xfId="22616" xr:uid="{00000000-0005-0000-0000-0000D1880000}"/>
    <cellStyle name="Note 2 8 3 2" xfId="42527" xr:uid="{00000000-0005-0000-0000-0000D2880000}"/>
    <cellStyle name="Note 2 8 4" xfId="22885" xr:uid="{00000000-0005-0000-0000-0000D3880000}"/>
    <cellStyle name="Note 2 8 4 2" xfId="42796" xr:uid="{00000000-0005-0000-0000-0000D4880000}"/>
    <cellStyle name="Note 2 8 5" xfId="23188" xr:uid="{00000000-0005-0000-0000-0000D5880000}"/>
    <cellStyle name="Note 2 8 5 2" xfId="43099" xr:uid="{00000000-0005-0000-0000-0000D6880000}"/>
    <cellStyle name="Note 2 8 6" xfId="23499" xr:uid="{00000000-0005-0000-0000-0000D7880000}"/>
    <cellStyle name="Note 2 9" xfId="589" xr:uid="{00000000-0005-0000-0000-0000D8880000}"/>
    <cellStyle name="Note 2 9 2" xfId="936" xr:uid="{00000000-0005-0000-0000-0000D9880000}"/>
    <cellStyle name="Note 2 9 2 2" xfId="23818" xr:uid="{00000000-0005-0000-0000-0000DA880000}"/>
    <cellStyle name="Note 2 9 3" xfId="22519" xr:uid="{00000000-0005-0000-0000-0000DB880000}"/>
    <cellStyle name="Note 2 9 3 2" xfId="42430" xr:uid="{00000000-0005-0000-0000-0000DC880000}"/>
    <cellStyle name="Note 2 9 4" xfId="22901" xr:uid="{00000000-0005-0000-0000-0000DD880000}"/>
    <cellStyle name="Note 2 9 4 2" xfId="42812" xr:uid="{00000000-0005-0000-0000-0000DE880000}"/>
    <cellStyle name="Note 2 9 5" xfId="23204" xr:uid="{00000000-0005-0000-0000-0000DF880000}"/>
    <cellStyle name="Note 2 9 5 2" xfId="43115" xr:uid="{00000000-0005-0000-0000-0000E0880000}"/>
    <cellStyle name="Note 2 9 6" xfId="23515" xr:uid="{00000000-0005-0000-0000-0000E1880000}"/>
    <cellStyle name="Note 3" xfId="4056" xr:uid="{00000000-0005-0000-0000-0000E2880000}"/>
    <cellStyle name="Note 3 2" xfId="5226" xr:uid="{00000000-0005-0000-0000-0000E3880000}"/>
    <cellStyle name="Note 3 2 2" xfId="6851" xr:uid="{00000000-0005-0000-0000-0000E4880000}"/>
    <cellStyle name="Note 3 2 2 2" xfId="9937" xr:uid="{00000000-0005-0000-0000-0000E5880000}"/>
    <cellStyle name="Note 3 2 2 2 2" xfId="16130" xr:uid="{00000000-0005-0000-0000-0000E6880000}"/>
    <cellStyle name="Note 3 2 2 2 2 2" xfId="36050" xr:uid="{00000000-0005-0000-0000-0000E7880000}"/>
    <cellStyle name="Note 3 2 2 2 3" xfId="22282" xr:uid="{00000000-0005-0000-0000-0000E8880000}"/>
    <cellStyle name="Note 3 2 2 2 3 2" xfId="42202" xr:uid="{00000000-0005-0000-0000-0000E9880000}"/>
    <cellStyle name="Note 3 2 2 2 4" xfId="29897" xr:uid="{00000000-0005-0000-0000-0000EA880000}"/>
    <cellStyle name="Note 3 2 2 3" xfId="13064" xr:uid="{00000000-0005-0000-0000-0000EB880000}"/>
    <cellStyle name="Note 3 2 2 3 2" xfId="32984" xr:uid="{00000000-0005-0000-0000-0000EC880000}"/>
    <cellStyle name="Note 3 2 2 4" xfId="19216" xr:uid="{00000000-0005-0000-0000-0000ED880000}"/>
    <cellStyle name="Note 3 2 2 4 2" xfId="39136" xr:uid="{00000000-0005-0000-0000-0000EE880000}"/>
    <cellStyle name="Note 3 2 2 5" xfId="26831" xr:uid="{00000000-0005-0000-0000-0000EF880000}"/>
    <cellStyle name="Note 3 2 3" xfId="8402" xr:uid="{00000000-0005-0000-0000-0000F0880000}"/>
    <cellStyle name="Note 3 2 3 2" xfId="14596" xr:uid="{00000000-0005-0000-0000-0000F1880000}"/>
    <cellStyle name="Note 3 2 3 2 2" xfId="34516" xr:uid="{00000000-0005-0000-0000-0000F2880000}"/>
    <cellStyle name="Note 3 2 3 3" xfId="20748" xr:uid="{00000000-0005-0000-0000-0000F3880000}"/>
    <cellStyle name="Note 3 2 3 3 2" xfId="40668" xr:uid="{00000000-0005-0000-0000-0000F4880000}"/>
    <cellStyle name="Note 3 2 3 4" xfId="28363" xr:uid="{00000000-0005-0000-0000-0000F5880000}"/>
    <cellStyle name="Note 3 2 4" xfId="11530" xr:uid="{00000000-0005-0000-0000-0000F6880000}"/>
    <cellStyle name="Note 3 2 4 2" xfId="31450" xr:uid="{00000000-0005-0000-0000-0000F7880000}"/>
    <cellStyle name="Note 3 2 5" xfId="17682" xr:uid="{00000000-0005-0000-0000-0000F8880000}"/>
    <cellStyle name="Note 3 2 5 2" xfId="37602" xr:uid="{00000000-0005-0000-0000-0000F9880000}"/>
    <cellStyle name="Note 3 2 6" xfId="25297" xr:uid="{00000000-0005-0000-0000-0000FA880000}"/>
    <cellStyle name="Note 3 3" xfId="6068" xr:uid="{00000000-0005-0000-0000-0000FB880000}"/>
    <cellStyle name="Note 3 3 2" xfId="9168" xr:uid="{00000000-0005-0000-0000-0000FC880000}"/>
    <cellStyle name="Note 3 3 2 2" xfId="15361" xr:uid="{00000000-0005-0000-0000-0000FD880000}"/>
    <cellStyle name="Note 3 3 2 2 2" xfId="35281" xr:uid="{00000000-0005-0000-0000-0000FE880000}"/>
    <cellStyle name="Note 3 3 2 3" xfId="21513" xr:uid="{00000000-0005-0000-0000-0000FF880000}"/>
    <cellStyle name="Note 3 3 2 3 2" xfId="41433" xr:uid="{00000000-0005-0000-0000-000000890000}"/>
    <cellStyle name="Note 3 3 2 4" xfId="29128" xr:uid="{00000000-0005-0000-0000-000001890000}"/>
    <cellStyle name="Note 3 3 3" xfId="12295" xr:uid="{00000000-0005-0000-0000-000002890000}"/>
    <cellStyle name="Note 3 3 3 2" xfId="32215" xr:uid="{00000000-0005-0000-0000-000003890000}"/>
    <cellStyle name="Note 3 3 4" xfId="18447" xr:uid="{00000000-0005-0000-0000-000004890000}"/>
    <cellStyle name="Note 3 3 4 2" xfId="38367" xr:uid="{00000000-0005-0000-0000-000005890000}"/>
    <cellStyle name="Note 3 3 5" xfId="26062" xr:uid="{00000000-0005-0000-0000-000006890000}"/>
    <cellStyle name="Note 3 4" xfId="7633" xr:uid="{00000000-0005-0000-0000-000007890000}"/>
    <cellStyle name="Note 3 4 2" xfId="13827" xr:uid="{00000000-0005-0000-0000-000008890000}"/>
    <cellStyle name="Note 3 4 2 2" xfId="33747" xr:uid="{00000000-0005-0000-0000-000009890000}"/>
    <cellStyle name="Note 3 4 3" xfId="19979" xr:uid="{00000000-0005-0000-0000-00000A890000}"/>
    <cellStyle name="Note 3 4 3 2" xfId="39899" xr:uid="{00000000-0005-0000-0000-00000B890000}"/>
    <cellStyle name="Note 3 4 4" xfId="27594" xr:uid="{00000000-0005-0000-0000-00000C890000}"/>
    <cellStyle name="Note 3 5" xfId="10761" xr:uid="{00000000-0005-0000-0000-00000D890000}"/>
    <cellStyle name="Note 3 5 2" xfId="30681" xr:uid="{00000000-0005-0000-0000-00000E890000}"/>
    <cellStyle name="Note 3 6" xfId="16913" xr:uid="{00000000-0005-0000-0000-00000F890000}"/>
    <cellStyle name="Note 3 6 2" xfId="36833" xr:uid="{00000000-0005-0000-0000-000010890000}"/>
    <cellStyle name="Note 3 7" xfId="24528" xr:uid="{00000000-0005-0000-0000-000011890000}"/>
    <cellStyle name="Note 4" xfId="4057" xr:uid="{00000000-0005-0000-0000-000012890000}"/>
    <cellStyle name="Note 4 2" xfId="5227" xr:uid="{00000000-0005-0000-0000-000013890000}"/>
    <cellStyle name="Note 4 2 2" xfId="6852" xr:uid="{00000000-0005-0000-0000-000014890000}"/>
    <cellStyle name="Note 4 2 2 2" xfId="9938" xr:uid="{00000000-0005-0000-0000-000015890000}"/>
    <cellStyle name="Note 4 2 2 2 2" xfId="16131" xr:uid="{00000000-0005-0000-0000-000016890000}"/>
    <cellStyle name="Note 4 2 2 2 2 2" xfId="36051" xr:uid="{00000000-0005-0000-0000-000017890000}"/>
    <cellStyle name="Note 4 2 2 2 3" xfId="22283" xr:uid="{00000000-0005-0000-0000-000018890000}"/>
    <cellStyle name="Note 4 2 2 2 3 2" xfId="42203" xr:uid="{00000000-0005-0000-0000-000019890000}"/>
    <cellStyle name="Note 4 2 2 2 4" xfId="29898" xr:uid="{00000000-0005-0000-0000-00001A890000}"/>
    <cellStyle name="Note 4 2 2 3" xfId="13065" xr:uid="{00000000-0005-0000-0000-00001B890000}"/>
    <cellStyle name="Note 4 2 2 3 2" xfId="32985" xr:uid="{00000000-0005-0000-0000-00001C890000}"/>
    <cellStyle name="Note 4 2 2 4" xfId="19217" xr:uid="{00000000-0005-0000-0000-00001D890000}"/>
    <cellStyle name="Note 4 2 2 4 2" xfId="39137" xr:uid="{00000000-0005-0000-0000-00001E890000}"/>
    <cellStyle name="Note 4 2 2 5" xfId="26832" xr:uid="{00000000-0005-0000-0000-00001F890000}"/>
    <cellStyle name="Note 4 2 3" xfId="8403" xr:uid="{00000000-0005-0000-0000-000020890000}"/>
    <cellStyle name="Note 4 2 3 2" xfId="14597" xr:uid="{00000000-0005-0000-0000-000021890000}"/>
    <cellStyle name="Note 4 2 3 2 2" xfId="34517" xr:uid="{00000000-0005-0000-0000-000022890000}"/>
    <cellStyle name="Note 4 2 3 3" xfId="20749" xr:uid="{00000000-0005-0000-0000-000023890000}"/>
    <cellStyle name="Note 4 2 3 3 2" xfId="40669" xr:uid="{00000000-0005-0000-0000-000024890000}"/>
    <cellStyle name="Note 4 2 3 4" xfId="28364" xr:uid="{00000000-0005-0000-0000-000025890000}"/>
    <cellStyle name="Note 4 2 4" xfId="11531" xr:uid="{00000000-0005-0000-0000-000026890000}"/>
    <cellStyle name="Note 4 2 4 2" xfId="31451" xr:uid="{00000000-0005-0000-0000-000027890000}"/>
    <cellStyle name="Note 4 2 5" xfId="17683" xr:uid="{00000000-0005-0000-0000-000028890000}"/>
    <cellStyle name="Note 4 2 5 2" xfId="37603" xr:uid="{00000000-0005-0000-0000-000029890000}"/>
    <cellStyle name="Note 4 2 6" xfId="25298" xr:uid="{00000000-0005-0000-0000-00002A890000}"/>
    <cellStyle name="Note 4 3" xfId="6069" xr:uid="{00000000-0005-0000-0000-00002B890000}"/>
    <cellStyle name="Note 4 3 2" xfId="9169" xr:uid="{00000000-0005-0000-0000-00002C890000}"/>
    <cellStyle name="Note 4 3 2 2" xfId="15362" xr:uid="{00000000-0005-0000-0000-00002D890000}"/>
    <cellStyle name="Note 4 3 2 2 2" xfId="35282" xr:uid="{00000000-0005-0000-0000-00002E890000}"/>
    <cellStyle name="Note 4 3 2 3" xfId="21514" xr:uid="{00000000-0005-0000-0000-00002F890000}"/>
    <cellStyle name="Note 4 3 2 3 2" xfId="41434" xr:uid="{00000000-0005-0000-0000-000030890000}"/>
    <cellStyle name="Note 4 3 2 4" xfId="29129" xr:uid="{00000000-0005-0000-0000-000031890000}"/>
    <cellStyle name="Note 4 3 3" xfId="12296" xr:uid="{00000000-0005-0000-0000-000032890000}"/>
    <cellStyle name="Note 4 3 3 2" xfId="32216" xr:uid="{00000000-0005-0000-0000-000033890000}"/>
    <cellStyle name="Note 4 3 4" xfId="18448" xr:uid="{00000000-0005-0000-0000-000034890000}"/>
    <cellStyle name="Note 4 3 4 2" xfId="38368" xr:uid="{00000000-0005-0000-0000-000035890000}"/>
    <cellStyle name="Note 4 3 5" xfId="26063" xr:uid="{00000000-0005-0000-0000-000036890000}"/>
    <cellStyle name="Note 4 4" xfId="7634" xr:uid="{00000000-0005-0000-0000-000037890000}"/>
    <cellStyle name="Note 4 4 2" xfId="13828" xr:uid="{00000000-0005-0000-0000-000038890000}"/>
    <cellStyle name="Note 4 4 2 2" xfId="33748" xr:uid="{00000000-0005-0000-0000-000039890000}"/>
    <cellStyle name="Note 4 4 3" xfId="19980" xr:uid="{00000000-0005-0000-0000-00003A890000}"/>
    <cellStyle name="Note 4 4 3 2" xfId="39900" xr:uid="{00000000-0005-0000-0000-00003B890000}"/>
    <cellStyle name="Note 4 4 4" xfId="27595" xr:uid="{00000000-0005-0000-0000-00003C890000}"/>
    <cellStyle name="Note 4 5" xfId="10762" xr:uid="{00000000-0005-0000-0000-00003D890000}"/>
    <cellStyle name="Note 4 5 2" xfId="30682" xr:uid="{00000000-0005-0000-0000-00003E890000}"/>
    <cellStyle name="Note 4 6" xfId="16914" xr:uid="{00000000-0005-0000-0000-00003F890000}"/>
    <cellStyle name="Note 4 6 2" xfId="36834" xr:uid="{00000000-0005-0000-0000-000040890000}"/>
    <cellStyle name="Note 4 7" xfId="24529" xr:uid="{00000000-0005-0000-0000-000041890000}"/>
    <cellStyle name="Note 5" xfId="4058" xr:uid="{00000000-0005-0000-0000-000042890000}"/>
    <cellStyle name="Note 6" xfId="4059" xr:uid="{00000000-0005-0000-0000-000043890000}"/>
    <cellStyle name="Note 6 2" xfId="5436" xr:uid="{00000000-0005-0000-0000-000044890000}"/>
    <cellStyle name="Note 6 2 2" xfId="6149" xr:uid="{00000000-0005-0000-0000-000045890000}"/>
    <cellStyle name="Note 6 3" xfId="5425" xr:uid="{00000000-0005-0000-0000-000046890000}"/>
    <cellStyle name="Note 6 3 2" xfId="6115" xr:uid="{00000000-0005-0000-0000-000047890000}"/>
    <cellStyle name="Note 6 4" xfId="5420" xr:uid="{00000000-0005-0000-0000-000048890000}"/>
    <cellStyle name="Note 6 4 2" xfId="6105" xr:uid="{00000000-0005-0000-0000-000049890000}"/>
    <cellStyle name="Note 6 5" xfId="5398" xr:uid="{00000000-0005-0000-0000-00004A890000}"/>
    <cellStyle name="Note 6 5 2" xfId="6224" xr:uid="{00000000-0005-0000-0000-00004B890000}"/>
    <cellStyle name="Note 6 6" xfId="5604" xr:uid="{00000000-0005-0000-0000-00004C890000}"/>
    <cellStyle name="Note 7" xfId="4060" xr:uid="{00000000-0005-0000-0000-00004D890000}"/>
    <cellStyle name="Note 7 2" xfId="5228" xr:uid="{00000000-0005-0000-0000-00004E890000}"/>
    <cellStyle name="Note 7 2 2" xfId="6853" xr:uid="{00000000-0005-0000-0000-00004F890000}"/>
    <cellStyle name="Note 7 2 2 2" xfId="9939" xr:uid="{00000000-0005-0000-0000-000050890000}"/>
    <cellStyle name="Note 7 2 2 2 2" xfId="16132" xr:uid="{00000000-0005-0000-0000-000051890000}"/>
    <cellStyle name="Note 7 2 2 2 2 2" xfId="36052" xr:uid="{00000000-0005-0000-0000-000052890000}"/>
    <cellStyle name="Note 7 2 2 2 3" xfId="22284" xr:uid="{00000000-0005-0000-0000-000053890000}"/>
    <cellStyle name="Note 7 2 2 2 3 2" xfId="42204" xr:uid="{00000000-0005-0000-0000-000054890000}"/>
    <cellStyle name="Note 7 2 2 2 4" xfId="29899" xr:uid="{00000000-0005-0000-0000-000055890000}"/>
    <cellStyle name="Note 7 2 2 3" xfId="13066" xr:uid="{00000000-0005-0000-0000-000056890000}"/>
    <cellStyle name="Note 7 2 2 3 2" xfId="32986" xr:uid="{00000000-0005-0000-0000-000057890000}"/>
    <cellStyle name="Note 7 2 2 4" xfId="19218" xr:uid="{00000000-0005-0000-0000-000058890000}"/>
    <cellStyle name="Note 7 2 2 4 2" xfId="39138" xr:uid="{00000000-0005-0000-0000-000059890000}"/>
    <cellStyle name="Note 7 2 2 5" xfId="26833" xr:uid="{00000000-0005-0000-0000-00005A890000}"/>
    <cellStyle name="Note 7 2 3" xfId="8404" xr:uid="{00000000-0005-0000-0000-00005B890000}"/>
    <cellStyle name="Note 7 2 3 2" xfId="14598" xr:uid="{00000000-0005-0000-0000-00005C890000}"/>
    <cellStyle name="Note 7 2 3 2 2" xfId="34518" xr:uid="{00000000-0005-0000-0000-00005D890000}"/>
    <cellStyle name="Note 7 2 3 3" xfId="20750" xr:uid="{00000000-0005-0000-0000-00005E890000}"/>
    <cellStyle name="Note 7 2 3 3 2" xfId="40670" xr:uid="{00000000-0005-0000-0000-00005F890000}"/>
    <cellStyle name="Note 7 2 3 4" xfId="28365" xr:uid="{00000000-0005-0000-0000-000060890000}"/>
    <cellStyle name="Note 7 2 4" xfId="11532" xr:uid="{00000000-0005-0000-0000-000061890000}"/>
    <cellStyle name="Note 7 2 4 2" xfId="31452" xr:uid="{00000000-0005-0000-0000-000062890000}"/>
    <cellStyle name="Note 7 2 5" xfId="17684" xr:uid="{00000000-0005-0000-0000-000063890000}"/>
    <cellStyle name="Note 7 2 5 2" xfId="37604" xr:uid="{00000000-0005-0000-0000-000064890000}"/>
    <cellStyle name="Note 7 2 6" xfId="25299" xr:uid="{00000000-0005-0000-0000-000065890000}"/>
    <cellStyle name="Note 7 3" xfId="6070" xr:uid="{00000000-0005-0000-0000-000066890000}"/>
    <cellStyle name="Note 7 3 2" xfId="9170" xr:uid="{00000000-0005-0000-0000-000067890000}"/>
    <cellStyle name="Note 7 3 2 2" xfId="15363" xr:uid="{00000000-0005-0000-0000-000068890000}"/>
    <cellStyle name="Note 7 3 2 2 2" xfId="35283" xr:uid="{00000000-0005-0000-0000-000069890000}"/>
    <cellStyle name="Note 7 3 2 3" xfId="21515" xr:uid="{00000000-0005-0000-0000-00006A890000}"/>
    <cellStyle name="Note 7 3 2 3 2" xfId="41435" xr:uid="{00000000-0005-0000-0000-00006B890000}"/>
    <cellStyle name="Note 7 3 2 4" xfId="29130" xr:uid="{00000000-0005-0000-0000-00006C890000}"/>
    <cellStyle name="Note 7 3 3" xfId="12297" xr:uid="{00000000-0005-0000-0000-00006D890000}"/>
    <cellStyle name="Note 7 3 3 2" xfId="32217" xr:uid="{00000000-0005-0000-0000-00006E890000}"/>
    <cellStyle name="Note 7 3 4" xfId="18449" xr:uid="{00000000-0005-0000-0000-00006F890000}"/>
    <cellStyle name="Note 7 3 4 2" xfId="38369" xr:uid="{00000000-0005-0000-0000-000070890000}"/>
    <cellStyle name="Note 7 3 5" xfId="26064" xr:uid="{00000000-0005-0000-0000-000071890000}"/>
    <cellStyle name="Note 7 4" xfId="7635" xr:uid="{00000000-0005-0000-0000-000072890000}"/>
    <cellStyle name="Note 7 4 2" xfId="13829" xr:uid="{00000000-0005-0000-0000-000073890000}"/>
    <cellStyle name="Note 7 4 2 2" xfId="33749" xr:uid="{00000000-0005-0000-0000-000074890000}"/>
    <cellStyle name="Note 7 4 3" xfId="19981" xr:uid="{00000000-0005-0000-0000-000075890000}"/>
    <cellStyle name="Note 7 4 3 2" xfId="39901" xr:uid="{00000000-0005-0000-0000-000076890000}"/>
    <cellStyle name="Note 7 4 4" xfId="27596" xr:uid="{00000000-0005-0000-0000-000077890000}"/>
    <cellStyle name="Note 7 5" xfId="10763" xr:uid="{00000000-0005-0000-0000-000078890000}"/>
    <cellStyle name="Note 7 5 2" xfId="30683" xr:uid="{00000000-0005-0000-0000-000079890000}"/>
    <cellStyle name="Note 7 6" xfId="16915" xr:uid="{00000000-0005-0000-0000-00007A890000}"/>
    <cellStyle name="Note 7 6 2" xfId="36835" xr:uid="{00000000-0005-0000-0000-00007B890000}"/>
    <cellStyle name="Note 7 7" xfId="24530" xr:uid="{00000000-0005-0000-0000-00007C890000}"/>
    <cellStyle name="Output" xfId="54" builtinId="21" customBuiltin="1"/>
    <cellStyle name="Output 2" xfId="4061" xr:uid="{00000000-0005-0000-0000-00007E890000}"/>
    <cellStyle name="Output 3" xfId="4062" xr:uid="{00000000-0005-0000-0000-00007F890000}"/>
    <cellStyle name="Output 4" xfId="4063" xr:uid="{00000000-0005-0000-0000-000080890000}"/>
    <cellStyle name="Output 5" xfId="4064" xr:uid="{00000000-0005-0000-0000-000081890000}"/>
    <cellStyle name="Output 6" xfId="4065" xr:uid="{00000000-0005-0000-0000-000082890000}"/>
    <cellStyle name="Output 6 2" xfId="5437" xr:uid="{00000000-0005-0000-0000-000083890000}"/>
    <cellStyle name="Output 6 2 2" xfId="7012" xr:uid="{00000000-0005-0000-0000-000084890000}"/>
    <cellStyle name="Output 6 3" xfId="5426" xr:uid="{00000000-0005-0000-0000-000085890000}"/>
    <cellStyle name="Output 6 3 2" xfId="7015" xr:uid="{00000000-0005-0000-0000-000086890000}"/>
    <cellStyle name="Output 6 4" xfId="5389" xr:uid="{00000000-0005-0000-0000-000087890000}"/>
    <cellStyle name="Output 6 4 2" xfId="7019" xr:uid="{00000000-0005-0000-0000-000088890000}"/>
    <cellStyle name="Output 6 5" xfId="5440" xr:uid="{00000000-0005-0000-0000-000089890000}"/>
    <cellStyle name="Output 6 5 2" xfId="7011" xr:uid="{00000000-0005-0000-0000-00008A890000}"/>
    <cellStyle name="Output 6 6" xfId="5605" xr:uid="{00000000-0005-0000-0000-00008B890000}"/>
    <cellStyle name="Output Amounts" xfId="1124" xr:uid="{00000000-0005-0000-0000-00008C890000}"/>
    <cellStyle name="Output Column Headings" xfId="1068" xr:uid="{00000000-0005-0000-0000-00008D890000}"/>
    <cellStyle name="Output highlight" xfId="4066" xr:uid="{00000000-0005-0000-0000-00008E890000}"/>
    <cellStyle name="Output highlight 2" xfId="4067" xr:uid="{00000000-0005-0000-0000-00008F890000}"/>
    <cellStyle name="Output Line Items" xfId="1069" xr:uid="{00000000-0005-0000-0000-000090890000}"/>
    <cellStyle name="Output Report Heading" xfId="1067" xr:uid="{00000000-0005-0000-0000-000091890000}"/>
    <cellStyle name="Output Report Title" xfId="1066" xr:uid="{00000000-0005-0000-0000-000092890000}"/>
    <cellStyle name="Percent" xfId="3" builtinId="5"/>
    <cellStyle name="Percent %" xfId="4068" xr:uid="{00000000-0005-0000-0000-000094890000}"/>
    <cellStyle name="Percent % Long Underline" xfId="4069" xr:uid="{00000000-0005-0000-0000-000095890000}"/>
    <cellStyle name="Percent 0.0%" xfId="4070" xr:uid="{00000000-0005-0000-0000-000096890000}"/>
    <cellStyle name="Percent 0.0% Long Underline" xfId="4071" xr:uid="{00000000-0005-0000-0000-000097890000}"/>
    <cellStyle name="Percent 0.00%" xfId="4072" xr:uid="{00000000-0005-0000-0000-000098890000}"/>
    <cellStyle name="Percent 0.00% Long Underline" xfId="4073" xr:uid="{00000000-0005-0000-0000-000099890000}"/>
    <cellStyle name="Percent 0.000%" xfId="4074" xr:uid="{00000000-0005-0000-0000-00009A890000}"/>
    <cellStyle name="Percent 0.000% Long Underline" xfId="4075" xr:uid="{00000000-0005-0000-0000-00009B890000}"/>
    <cellStyle name="Percent 0.0000%" xfId="4076" xr:uid="{00000000-0005-0000-0000-00009C890000}"/>
    <cellStyle name="Percent 0.0000% Long Underline" xfId="4077" xr:uid="{00000000-0005-0000-0000-00009D890000}"/>
    <cellStyle name="Percent 10" xfId="4078" xr:uid="{00000000-0005-0000-0000-00009E890000}"/>
    <cellStyle name="Percent 10 2" xfId="4079" xr:uid="{00000000-0005-0000-0000-00009F890000}"/>
    <cellStyle name="Percent 10 2 2" xfId="4080" xr:uid="{00000000-0005-0000-0000-0000A0890000}"/>
    <cellStyle name="Percent 10 2 3" xfId="4081" xr:uid="{00000000-0005-0000-0000-0000A1890000}"/>
    <cellStyle name="Percent 10 3" xfId="10148" xr:uid="{00000000-0005-0000-0000-0000A2890000}"/>
    <cellStyle name="Percent 100" xfId="4082" xr:uid="{00000000-0005-0000-0000-0000A3890000}"/>
    <cellStyle name="Percent 101" xfId="4083" xr:uid="{00000000-0005-0000-0000-0000A4890000}"/>
    <cellStyle name="Percent 102" xfId="4084" xr:uid="{00000000-0005-0000-0000-0000A5890000}"/>
    <cellStyle name="Percent 103" xfId="4085" xr:uid="{00000000-0005-0000-0000-0000A6890000}"/>
    <cellStyle name="Percent 104" xfId="4086" xr:uid="{00000000-0005-0000-0000-0000A7890000}"/>
    <cellStyle name="Percent 105" xfId="4087" xr:uid="{00000000-0005-0000-0000-0000A8890000}"/>
    <cellStyle name="Percent 106" xfId="4088" xr:uid="{00000000-0005-0000-0000-0000A9890000}"/>
    <cellStyle name="Percent 107" xfId="4089" xr:uid="{00000000-0005-0000-0000-0000AA890000}"/>
    <cellStyle name="Percent 108" xfId="4090" xr:uid="{00000000-0005-0000-0000-0000AB890000}"/>
    <cellStyle name="Percent 109" xfId="4091" xr:uid="{00000000-0005-0000-0000-0000AC890000}"/>
    <cellStyle name="Percent 11" xfId="4092" xr:uid="{00000000-0005-0000-0000-0000AD890000}"/>
    <cellStyle name="Percent 11 2" xfId="4093" xr:uid="{00000000-0005-0000-0000-0000AE890000}"/>
    <cellStyle name="Percent 11 2 2" xfId="4094" xr:uid="{00000000-0005-0000-0000-0000AF890000}"/>
    <cellStyle name="Percent 11 2 3" xfId="4095" xr:uid="{00000000-0005-0000-0000-0000B0890000}"/>
    <cellStyle name="Percent 110" xfId="4096" xr:uid="{00000000-0005-0000-0000-0000B1890000}"/>
    <cellStyle name="Percent 111" xfId="4097" xr:uid="{00000000-0005-0000-0000-0000B2890000}"/>
    <cellStyle name="Percent 112" xfId="4098" xr:uid="{00000000-0005-0000-0000-0000B3890000}"/>
    <cellStyle name="Percent 113" xfId="4099" xr:uid="{00000000-0005-0000-0000-0000B4890000}"/>
    <cellStyle name="Percent 114" xfId="4100" xr:uid="{00000000-0005-0000-0000-0000B5890000}"/>
    <cellStyle name="Percent 115" xfId="4101" xr:uid="{00000000-0005-0000-0000-0000B6890000}"/>
    <cellStyle name="Percent 116" xfId="4102" xr:uid="{00000000-0005-0000-0000-0000B7890000}"/>
    <cellStyle name="Percent 117" xfId="4103" xr:uid="{00000000-0005-0000-0000-0000B8890000}"/>
    <cellStyle name="Percent 118" xfId="4104" xr:uid="{00000000-0005-0000-0000-0000B9890000}"/>
    <cellStyle name="Percent 119" xfId="4105" xr:uid="{00000000-0005-0000-0000-0000BA890000}"/>
    <cellStyle name="Percent 12" xfId="4106" xr:uid="{00000000-0005-0000-0000-0000BB890000}"/>
    <cellStyle name="Percent 12 2" xfId="4107" xr:uid="{00000000-0005-0000-0000-0000BC890000}"/>
    <cellStyle name="Percent 12 2 2" xfId="4108" xr:uid="{00000000-0005-0000-0000-0000BD890000}"/>
    <cellStyle name="Percent 12 2 3" xfId="4109" xr:uid="{00000000-0005-0000-0000-0000BE890000}"/>
    <cellStyle name="Percent 120" xfId="4110" xr:uid="{00000000-0005-0000-0000-0000BF890000}"/>
    <cellStyle name="Percent 120 2" xfId="5229" xr:uid="{00000000-0005-0000-0000-0000C0890000}"/>
    <cellStyle name="Percent 120 2 2" xfId="6854" xr:uid="{00000000-0005-0000-0000-0000C1890000}"/>
    <cellStyle name="Percent 120 2 2 2" xfId="9940" xr:uid="{00000000-0005-0000-0000-0000C2890000}"/>
    <cellStyle name="Percent 120 2 2 2 2" xfId="16133" xr:uid="{00000000-0005-0000-0000-0000C3890000}"/>
    <cellStyle name="Percent 120 2 2 2 2 2" xfId="36053" xr:uid="{00000000-0005-0000-0000-0000C4890000}"/>
    <cellStyle name="Percent 120 2 2 2 3" xfId="22285" xr:uid="{00000000-0005-0000-0000-0000C5890000}"/>
    <cellStyle name="Percent 120 2 2 2 3 2" xfId="42205" xr:uid="{00000000-0005-0000-0000-0000C6890000}"/>
    <cellStyle name="Percent 120 2 2 2 4" xfId="29900" xr:uid="{00000000-0005-0000-0000-0000C7890000}"/>
    <cellStyle name="Percent 120 2 2 3" xfId="13067" xr:uid="{00000000-0005-0000-0000-0000C8890000}"/>
    <cellStyle name="Percent 120 2 2 3 2" xfId="32987" xr:uid="{00000000-0005-0000-0000-0000C9890000}"/>
    <cellStyle name="Percent 120 2 2 4" xfId="19219" xr:uid="{00000000-0005-0000-0000-0000CA890000}"/>
    <cellStyle name="Percent 120 2 2 4 2" xfId="39139" xr:uid="{00000000-0005-0000-0000-0000CB890000}"/>
    <cellStyle name="Percent 120 2 2 5" xfId="26834" xr:uid="{00000000-0005-0000-0000-0000CC890000}"/>
    <cellStyle name="Percent 120 2 3" xfId="8405" xr:uid="{00000000-0005-0000-0000-0000CD890000}"/>
    <cellStyle name="Percent 120 2 3 2" xfId="14599" xr:uid="{00000000-0005-0000-0000-0000CE890000}"/>
    <cellStyle name="Percent 120 2 3 2 2" xfId="34519" xr:uid="{00000000-0005-0000-0000-0000CF890000}"/>
    <cellStyle name="Percent 120 2 3 3" xfId="20751" xr:uid="{00000000-0005-0000-0000-0000D0890000}"/>
    <cellStyle name="Percent 120 2 3 3 2" xfId="40671" xr:uid="{00000000-0005-0000-0000-0000D1890000}"/>
    <cellStyle name="Percent 120 2 3 4" xfId="28366" xr:uid="{00000000-0005-0000-0000-0000D2890000}"/>
    <cellStyle name="Percent 120 2 4" xfId="11533" xr:uid="{00000000-0005-0000-0000-0000D3890000}"/>
    <cellStyle name="Percent 120 2 4 2" xfId="31453" xr:uid="{00000000-0005-0000-0000-0000D4890000}"/>
    <cellStyle name="Percent 120 2 5" xfId="17685" xr:uid="{00000000-0005-0000-0000-0000D5890000}"/>
    <cellStyle name="Percent 120 2 5 2" xfId="37605" xr:uid="{00000000-0005-0000-0000-0000D6890000}"/>
    <cellStyle name="Percent 120 2 6" xfId="25300" xr:uid="{00000000-0005-0000-0000-0000D7890000}"/>
    <cellStyle name="Percent 120 3" xfId="6071" xr:uid="{00000000-0005-0000-0000-0000D8890000}"/>
    <cellStyle name="Percent 120 3 2" xfId="9171" xr:uid="{00000000-0005-0000-0000-0000D9890000}"/>
    <cellStyle name="Percent 120 3 2 2" xfId="15364" xr:uid="{00000000-0005-0000-0000-0000DA890000}"/>
    <cellStyle name="Percent 120 3 2 2 2" xfId="35284" xr:uid="{00000000-0005-0000-0000-0000DB890000}"/>
    <cellStyle name="Percent 120 3 2 3" xfId="21516" xr:uid="{00000000-0005-0000-0000-0000DC890000}"/>
    <cellStyle name="Percent 120 3 2 3 2" xfId="41436" xr:uid="{00000000-0005-0000-0000-0000DD890000}"/>
    <cellStyle name="Percent 120 3 2 4" xfId="29131" xr:uid="{00000000-0005-0000-0000-0000DE890000}"/>
    <cellStyle name="Percent 120 3 3" xfId="12298" xr:uid="{00000000-0005-0000-0000-0000DF890000}"/>
    <cellStyle name="Percent 120 3 3 2" xfId="32218" xr:uid="{00000000-0005-0000-0000-0000E0890000}"/>
    <cellStyle name="Percent 120 3 4" xfId="18450" xr:uid="{00000000-0005-0000-0000-0000E1890000}"/>
    <cellStyle name="Percent 120 3 4 2" xfId="38370" xr:uid="{00000000-0005-0000-0000-0000E2890000}"/>
    <cellStyle name="Percent 120 3 5" xfId="26065" xr:uid="{00000000-0005-0000-0000-0000E3890000}"/>
    <cellStyle name="Percent 120 4" xfId="7636" xr:uid="{00000000-0005-0000-0000-0000E4890000}"/>
    <cellStyle name="Percent 120 4 2" xfId="13830" xr:uid="{00000000-0005-0000-0000-0000E5890000}"/>
    <cellStyle name="Percent 120 4 2 2" xfId="33750" xr:uid="{00000000-0005-0000-0000-0000E6890000}"/>
    <cellStyle name="Percent 120 4 3" xfId="19982" xr:uid="{00000000-0005-0000-0000-0000E7890000}"/>
    <cellStyle name="Percent 120 4 3 2" xfId="39902" xr:uid="{00000000-0005-0000-0000-0000E8890000}"/>
    <cellStyle name="Percent 120 4 4" xfId="27597" xr:uid="{00000000-0005-0000-0000-0000E9890000}"/>
    <cellStyle name="Percent 120 5" xfId="10764" xr:uid="{00000000-0005-0000-0000-0000EA890000}"/>
    <cellStyle name="Percent 120 5 2" xfId="30684" xr:uid="{00000000-0005-0000-0000-0000EB890000}"/>
    <cellStyle name="Percent 120 6" xfId="16916" xr:uid="{00000000-0005-0000-0000-0000EC890000}"/>
    <cellStyle name="Percent 120 6 2" xfId="36836" xr:uid="{00000000-0005-0000-0000-0000ED890000}"/>
    <cellStyle name="Percent 120 7" xfId="24531" xr:uid="{00000000-0005-0000-0000-0000EE890000}"/>
    <cellStyle name="Percent 121" xfId="4111" xr:uid="{00000000-0005-0000-0000-0000EF890000}"/>
    <cellStyle name="Percent 121 2" xfId="5230" xr:uid="{00000000-0005-0000-0000-0000F0890000}"/>
    <cellStyle name="Percent 121 2 2" xfId="6855" xr:uid="{00000000-0005-0000-0000-0000F1890000}"/>
    <cellStyle name="Percent 121 2 2 2" xfId="9941" xr:uid="{00000000-0005-0000-0000-0000F2890000}"/>
    <cellStyle name="Percent 121 2 2 2 2" xfId="16134" xr:uid="{00000000-0005-0000-0000-0000F3890000}"/>
    <cellStyle name="Percent 121 2 2 2 2 2" xfId="36054" xr:uid="{00000000-0005-0000-0000-0000F4890000}"/>
    <cellStyle name="Percent 121 2 2 2 3" xfId="22286" xr:uid="{00000000-0005-0000-0000-0000F5890000}"/>
    <cellStyle name="Percent 121 2 2 2 3 2" xfId="42206" xr:uid="{00000000-0005-0000-0000-0000F6890000}"/>
    <cellStyle name="Percent 121 2 2 2 4" xfId="29901" xr:uid="{00000000-0005-0000-0000-0000F7890000}"/>
    <cellStyle name="Percent 121 2 2 3" xfId="13068" xr:uid="{00000000-0005-0000-0000-0000F8890000}"/>
    <cellStyle name="Percent 121 2 2 3 2" xfId="32988" xr:uid="{00000000-0005-0000-0000-0000F9890000}"/>
    <cellStyle name="Percent 121 2 2 4" xfId="19220" xr:uid="{00000000-0005-0000-0000-0000FA890000}"/>
    <cellStyle name="Percent 121 2 2 4 2" xfId="39140" xr:uid="{00000000-0005-0000-0000-0000FB890000}"/>
    <cellStyle name="Percent 121 2 2 5" xfId="26835" xr:uid="{00000000-0005-0000-0000-0000FC890000}"/>
    <cellStyle name="Percent 121 2 3" xfId="8406" xr:uid="{00000000-0005-0000-0000-0000FD890000}"/>
    <cellStyle name="Percent 121 2 3 2" xfId="14600" xr:uid="{00000000-0005-0000-0000-0000FE890000}"/>
    <cellStyle name="Percent 121 2 3 2 2" xfId="34520" xr:uid="{00000000-0005-0000-0000-0000FF890000}"/>
    <cellStyle name="Percent 121 2 3 3" xfId="20752" xr:uid="{00000000-0005-0000-0000-0000008A0000}"/>
    <cellStyle name="Percent 121 2 3 3 2" xfId="40672" xr:uid="{00000000-0005-0000-0000-0000018A0000}"/>
    <cellStyle name="Percent 121 2 3 4" xfId="28367" xr:uid="{00000000-0005-0000-0000-0000028A0000}"/>
    <cellStyle name="Percent 121 2 4" xfId="11534" xr:uid="{00000000-0005-0000-0000-0000038A0000}"/>
    <cellStyle name="Percent 121 2 4 2" xfId="31454" xr:uid="{00000000-0005-0000-0000-0000048A0000}"/>
    <cellStyle name="Percent 121 2 5" xfId="17686" xr:uid="{00000000-0005-0000-0000-0000058A0000}"/>
    <cellStyle name="Percent 121 2 5 2" xfId="37606" xr:uid="{00000000-0005-0000-0000-0000068A0000}"/>
    <cellStyle name="Percent 121 2 6" xfId="25301" xr:uid="{00000000-0005-0000-0000-0000078A0000}"/>
    <cellStyle name="Percent 121 3" xfId="6072" xr:uid="{00000000-0005-0000-0000-0000088A0000}"/>
    <cellStyle name="Percent 121 3 2" xfId="9172" xr:uid="{00000000-0005-0000-0000-0000098A0000}"/>
    <cellStyle name="Percent 121 3 2 2" xfId="15365" xr:uid="{00000000-0005-0000-0000-00000A8A0000}"/>
    <cellStyle name="Percent 121 3 2 2 2" xfId="35285" xr:uid="{00000000-0005-0000-0000-00000B8A0000}"/>
    <cellStyle name="Percent 121 3 2 3" xfId="21517" xr:uid="{00000000-0005-0000-0000-00000C8A0000}"/>
    <cellStyle name="Percent 121 3 2 3 2" xfId="41437" xr:uid="{00000000-0005-0000-0000-00000D8A0000}"/>
    <cellStyle name="Percent 121 3 2 4" xfId="29132" xr:uid="{00000000-0005-0000-0000-00000E8A0000}"/>
    <cellStyle name="Percent 121 3 3" xfId="12299" xr:uid="{00000000-0005-0000-0000-00000F8A0000}"/>
    <cellStyle name="Percent 121 3 3 2" xfId="32219" xr:uid="{00000000-0005-0000-0000-0000108A0000}"/>
    <cellStyle name="Percent 121 3 4" xfId="18451" xr:uid="{00000000-0005-0000-0000-0000118A0000}"/>
    <cellStyle name="Percent 121 3 4 2" xfId="38371" xr:uid="{00000000-0005-0000-0000-0000128A0000}"/>
    <cellStyle name="Percent 121 3 5" xfId="26066" xr:uid="{00000000-0005-0000-0000-0000138A0000}"/>
    <cellStyle name="Percent 121 4" xfId="7637" xr:uid="{00000000-0005-0000-0000-0000148A0000}"/>
    <cellStyle name="Percent 121 4 2" xfId="13831" xr:uid="{00000000-0005-0000-0000-0000158A0000}"/>
    <cellStyle name="Percent 121 4 2 2" xfId="33751" xr:uid="{00000000-0005-0000-0000-0000168A0000}"/>
    <cellStyle name="Percent 121 4 3" xfId="19983" xr:uid="{00000000-0005-0000-0000-0000178A0000}"/>
    <cellStyle name="Percent 121 4 3 2" xfId="39903" xr:uid="{00000000-0005-0000-0000-0000188A0000}"/>
    <cellStyle name="Percent 121 4 4" xfId="27598" xr:uid="{00000000-0005-0000-0000-0000198A0000}"/>
    <cellStyle name="Percent 121 5" xfId="10765" xr:uid="{00000000-0005-0000-0000-00001A8A0000}"/>
    <cellStyle name="Percent 121 5 2" xfId="30685" xr:uid="{00000000-0005-0000-0000-00001B8A0000}"/>
    <cellStyle name="Percent 121 6" xfId="16917" xr:uid="{00000000-0005-0000-0000-00001C8A0000}"/>
    <cellStyle name="Percent 121 6 2" xfId="36837" xr:uid="{00000000-0005-0000-0000-00001D8A0000}"/>
    <cellStyle name="Percent 121 7" xfId="24532" xr:uid="{00000000-0005-0000-0000-00001E8A0000}"/>
    <cellStyle name="Percent 122" xfId="4112" xr:uid="{00000000-0005-0000-0000-00001F8A0000}"/>
    <cellStyle name="Percent 122 2" xfId="5231" xr:uid="{00000000-0005-0000-0000-0000208A0000}"/>
    <cellStyle name="Percent 122 2 2" xfId="6856" xr:uid="{00000000-0005-0000-0000-0000218A0000}"/>
    <cellStyle name="Percent 122 2 2 2" xfId="9942" xr:uid="{00000000-0005-0000-0000-0000228A0000}"/>
    <cellStyle name="Percent 122 2 2 2 2" xfId="16135" xr:uid="{00000000-0005-0000-0000-0000238A0000}"/>
    <cellStyle name="Percent 122 2 2 2 2 2" xfId="36055" xr:uid="{00000000-0005-0000-0000-0000248A0000}"/>
    <cellStyle name="Percent 122 2 2 2 3" xfId="22287" xr:uid="{00000000-0005-0000-0000-0000258A0000}"/>
    <cellStyle name="Percent 122 2 2 2 3 2" xfId="42207" xr:uid="{00000000-0005-0000-0000-0000268A0000}"/>
    <cellStyle name="Percent 122 2 2 2 4" xfId="29902" xr:uid="{00000000-0005-0000-0000-0000278A0000}"/>
    <cellStyle name="Percent 122 2 2 3" xfId="13069" xr:uid="{00000000-0005-0000-0000-0000288A0000}"/>
    <cellStyle name="Percent 122 2 2 3 2" xfId="32989" xr:uid="{00000000-0005-0000-0000-0000298A0000}"/>
    <cellStyle name="Percent 122 2 2 4" xfId="19221" xr:uid="{00000000-0005-0000-0000-00002A8A0000}"/>
    <cellStyle name="Percent 122 2 2 4 2" xfId="39141" xr:uid="{00000000-0005-0000-0000-00002B8A0000}"/>
    <cellStyle name="Percent 122 2 2 5" xfId="26836" xr:uid="{00000000-0005-0000-0000-00002C8A0000}"/>
    <cellStyle name="Percent 122 2 3" xfId="8407" xr:uid="{00000000-0005-0000-0000-00002D8A0000}"/>
    <cellStyle name="Percent 122 2 3 2" xfId="14601" xr:uid="{00000000-0005-0000-0000-00002E8A0000}"/>
    <cellStyle name="Percent 122 2 3 2 2" xfId="34521" xr:uid="{00000000-0005-0000-0000-00002F8A0000}"/>
    <cellStyle name="Percent 122 2 3 3" xfId="20753" xr:uid="{00000000-0005-0000-0000-0000308A0000}"/>
    <cellStyle name="Percent 122 2 3 3 2" xfId="40673" xr:uid="{00000000-0005-0000-0000-0000318A0000}"/>
    <cellStyle name="Percent 122 2 3 4" xfId="28368" xr:uid="{00000000-0005-0000-0000-0000328A0000}"/>
    <cellStyle name="Percent 122 2 4" xfId="11535" xr:uid="{00000000-0005-0000-0000-0000338A0000}"/>
    <cellStyle name="Percent 122 2 4 2" xfId="31455" xr:uid="{00000000-0005-0000-0000-0000348A0000}"/>
    <cellStyle name="Percent 122 2 5" xfId="17687" xr:uid="{00000000-0005-0000-0000-0000358A0000}"/>
    <cellStyle name="Percent 122 2 5 2" xfId="37607" xr:uid="{00000000-0005-0000-0000-0000368A0000}"/>
    <cellStyle name="Percent 122 2 6" xfId="25302" xr:uid="{00000000-0005-0000-0000-0000378A0000}"/>
    <cellStyle name="Percent 122 3" xfId="6073" xr:uid="{00000000-0005-0000-0000-0000388A0000}"/>
    <cellStyle name="Percent 122 3 2" xfId="9173" xr:uid="{00000000-0005-0000-0000-0000398A0000}"/>
    <cellStyle name="Percent 122 3 2 2" xfId="15366" xr:uid="{00000000-0005-0000-0000-00003A8A0000}"/>
    <cellStyle name="Percent 122 3 2 2 2" xfId="35286" xr:uid="{00000000-0005-0000-0000-00003B8A0000}"/>
    <cellStyle name="Percent 122 3 2 3" xfId="21518" xr:uid="{00000000-0005-0000-0000-00003C8A0000}"/>
    <cellStyle name="Percent 122 3 2 3 2" xfId="41438" xr:uid="{00000000-0005-0000-0000-00003D8A0000}"/>
    <cellStyle name="Percent 122 3 2 4" xfId="29133" xr:uid="{00000000-0005-0000-0000-00003E8A0000}"/>
    <cellStyle name="Percent 122 3 3" xfId="12300" xr:uid="{00000000-0005-0000-0000-00003F8A0000}"/>
    <cellStyle name="Percent 122 3 3 2" xfId="32220" xr:uid="{00000000-0005-0000-0000-0000408A0000}"/>
    <cellStyle name="Percent 122 3 4" xfId="18452" xr:uid="{00000000-0005-0000-0000-0000418A0000}"/>
    <cellStyle name="Percent 122 3 4 2" xfId="38372" xr:uid="{00000000-0005-0000-0000-0000428A0000}"/>
    <cellStyle name="Percent 122 3 5" xfId="26067" xr:uid="{00000000-0005-0000-0000-0000438A0000}"/>
    <cellStyle name="Percent 122 4" xfId="7638" xr:uid="{00000000-0005-0000-0000-0000448A0000}"/>
    <cellStyle name="Percent 122 4 2" xfId="13832" xr:uid="{00000000-0005-0000-0000-0000458A0000}"/>
    <cellStyle name="Percent 122 4 2 2" xfId="33752" xr:uid="{00000000-0005-0000-0000-0000468A0000}"/>
    <cellStyle name="Percent 122 4 3" xfId="19984" xr:uid="{00000000-0005-0000-0000-0000478A0000}"/>
    <cellStyle name="Percent 122 4 3 2" xfId="39904" xr:uid="{00000000-0005-0000-0000-0000488A0000}"/>
    <cellStyle name="Percent 122 4 4" xfId="27599" xr:uid="{00000000-0005-0000-0000-0000498A0000}"/>
    <cellStyle name="Percent 122 5" xfId="10766" xr:uid="{00000000-0005-0000-0000-00004A8A0000}"/>
    <cellStyle name="Percent 122 5 2" xfId="30686" xr:uid="{00000000-0005-0000-0000-00004B8A0000}"/>
    <cellStyle name="Percent 122 6" xfId="16918" xr:uid="{00000000-0005-0000-0000-00004C8A0000}"/>
    <cellStyle name="Percent 122 6 2" xfId="36838" xr:uid="{00000000-0005-0000-0000-00004D8A0000}"/>
    <cellStyle name="Percent 122 7" xfId="24533" xr:uid="{00000000-0005-0000-0000-00004E8A0000}"/>
    <cellStyle name="Percent 123" xfId="4113" xr:uid="{00000000-0005-0000-0000-00004F8A0000}"/>
    <cellStyle name="Percent 123 2" xfId="5232" xr:uid="{00000000-0005-0000-0000-0000508A0000}"/>
    <cellStyle name="Percent 123 2 2" xfId="6857" xr:uid="{00000000-0005-0000-0000-0000518A0000}"/>
    <cellStyle name="Percent 123 2 2 2" xfId="9943" xr:uid="{00000000-0005-0000-0000-0000528A0000}"/>
    <cellStyle name="Percent 123 2 2 2 2" xfId="16136" xr:uid="{00000000-0005-0000-0000-0000538A0000}"/>
    <cellStyle name="Percent 123 2 2 2 2 2" xfId="36056" xr:uid="{00000000-0005-0000-0000-0000548A0000}"/>
    <cellStyle name="Percent 123 2 2 2 3" xfId="22288" xr:uid="{00000000-0005-0000-0000-0000558A0000}"/>
    <cellStyle name="Percent 123 2 2 2 3 2" xfId="42208" xr:uid="{00000000-0005-0000-0000-0000568A0000}"/>
    <cellStyle name="Percent 123 2 2 2 4" xfId="29903" xr:uid="{00000000-0005-0000-0000-0000578A0000}"/>
    <cellStyle name="Percent 123 2 2 3" xfId="13070" xr:uid="{00000000-0005-0000-0000-0000588A0000}"/>
    <cellStyle name="Percent 123 2 2 3 2" xfId="32990" xr:uid="{00000000-0005-0000-0000-0000598A0000}"/>
    <cellStyle name="Percent 123 2 2 4" xfId="19222" xr:uid="{00000000-0005-0000-0000-00005A8A0000}"/>
    <cellStyle name="Percent 123 2 2 4 2" xfId="39142" xr:uid="{00000000-0005-0000-0000-00005B8A0000}"/>
    <cellStyle name="Percent 123 2 2 5" xfId="26837" xr:uid="{00000000-0005-0000-0000-00005C8A0000}"/>
    <cellStyle name="Percent 123 2 3" xfId="8408" xr:uid="{00000000-0005-0000-0000-00005D8A0000}"/>
    <cellStyle name="Percent 123 2 3 2" xfId="14602" xr:uid="{00000000-0005-0000-0000-00005E8A0000}"/>
    <cellStyle name="Percent 123 2 3 2 2" xfId="34522" xr:uid="{00000000-0005-0000-0000-00005F8A0000}"/>
    <cellStyle name="Percent 123 2 3 3" xfId="20754" xr:uid="{00000000-0005-0000-0000-0000608A0000}"/>
    <cellStyle name="Percent 123 2 3 3 2" xfId="40674" xr:uid="{00000000-0005-0000-0000-0000618A0000}"/>
    <cellStyle name="Percent 123 2 3 4" xfId="28369" xr:uid="{00000000-0005-0000-0000-0000628A0000}"/>
    <cellStyle name="Percent 123 2 4" xfId="11536" xr:uid="{00000000-0005-0000-0000-0000638A0000}"/>
    <cellStyle name="Percent 123 2 4 2" xfId="31456" xr:uid="{00000000-0005-0000-0000-0000648A0000}"/>
    <cellStyle name="Percent 123 2 5" xfId="17688" xr:uid="{00000000-0005-0000-0000-0000658A0000}"/>
    <cellStyle name="Percent 123 2 5 2" xfId="37608" xr:uid="{00000000-0005-0000-0000-0000668A0000}"/>
    <cellStyle name="Percent 123 2 6" xfId="25303" xr:uid="{00000000-0005-0000-0000-0000678A0000}"/>
    <cellStyle name="Percent 123 3" xfId="6074" xr:uid="{00000000-0005-0000-0000-0000688A0000}"/>
    <cellStyle name="Percent 123 3 2" xfId="9174" xr:uid="{00000000-0005-0000-0000-0000698A0000}"/>
    <cellStyle name="Percent 123 3 2 2" xfId="15367" xr:uid="{00000000-0005-0000-0000-00006A8A0000}"/>
    <cellStyle name="Percent 123 3 2 2 2" xfId="35287" xr:uid="{00000000-0005-0000-0000-00006B8A0000}"/>
    <cellStyle name="Percent 123 3 2 3" xfId="21519" xr:uid="{00000000-0005-0000-0000-00006C8A0000}"/>
    <cellStyle name="Percent 123 3 2 3 2" xfId="41439" xr:uid="{00000000-0005-0000-0000-00006D8A0000}"/>
    <cellStyle name="Percent 123 3 2 4" xfId="29134" xr:uid="{00000000-0005-0000-0000-00006E8A0000}"/>
    <cellStyle name="Percent 123 3 3" xfId="12301" xr:uid="{00000000-0005-0000-0000-00006F8A0000}"/>
    <cellStyle name="Percent 123 3 3 2" xfId="32221" xr:uid="{00000000-0005-0000-0000-0000708A0000}"/>
    <cellStyle name="Percent 123 3 4" xfId="18453" xr:uid="{00000000-0005-0000-0000-0000718A0000}"/>
    <cellStyle name="Percent 123 3 4 2" xfId="38373" xr:uid="{00000000-0005-0000-0000-0000728A0000}"/>
    <cellStyle name="Percent 123 3 5" xfId="26068" xr:uid="{00000000-0005-0000-0000-0000738A0000}"/>
    <cellStyle name="Percent 123 4" xfId="7639" xr:uid="{00000000-0005-0000-0000-0000748A0000}"/>
    <cellStyle name="Percent 123 4 2" xfId="13833" xr:uid="{00000000-0005-0000-0000-0000758A0000}"/>
    <cellStyle name="Percent 123 4 2 2" xfId="33753" xr:uid="{00000000-0005-0000-0000-0000768A0000}"/>
    <cellStyle name="Percent 123 4 3" xfId="19985" xr:uid="{00000000-0005-0000-0000-0000778A0000}"/>
    <cellStyle name="Percent 123 4 3 2" xfId="39905" xr:uid="{00000000-0005-0000-0000-0000788A0000}"/>
    <cellStyle name="Percent 123 4 4" xfId="27600" xr:uid="{00000000-0005-0000-0000-0000798A0000}"/>
    <cellStyle name="Percent 123 5" xfId="10767" xr:uid="{00000000-0005-0000-0000-00007A8A0000}"/>
    <cellStyle name="Percent 123 5 2" xfId="30687" xr:uid="{00000000-0005-0000-0000-00007B8A0000}"/>
    <cellStyle name="Percent 123 6" xfId="16919" xr:uid="{00000000-0005-0000-0000-00007C8A0000}"/>
    <cellStyle name="Percent 123 6 2" xfId="36839" xr:uid="{00000000-0005-0000-0000-00007D8A0000}"/>
    <cellStyle name="Percent 123 7" xfId="24534" xr:uid="{00000000-0005-0000-0000-00007E8A0000}"/>
    <cellStyle name="Percent 124" xfId="4114" xr:uid="{00000000-0005-0000-0000-00007F8A0000}"/>
    <cellStyle name="Percent 124 2" xfId="5233" xr:uid="{00000000-0005-0000-0000-0000808A0000}"/>
    <cellStyle name="Percent 124 2 2" xfId="6858" xr:uid="{00000000-0005-0000-0000-0000818A0000}"/>
    <cellStyle name="Percent 124 2 2 2" xfId="9944" xr:uid="{00000000-0005-0000-0000-0000828A0000}"/>
    <cellStyle name="Percent 124 2 2 2 2" xfId="16137" xr:uid="{00000000-0005-0000-0000-0000838A0000}"/>
    <cellStyle name="Percent 124 2 2 2 2 2" xfId="36057" xr:uid="{00000000-0005-0000-0000-0000848A0000}"/>
    <cellStyle name="Percent 124 2 2 2 3" xfId="22289" xr:uid="{00000000-0005-0000-0000-0000858A0000}"/>
    <cellStyle name="Percent 124 2 2 2 3 2" xfId="42209" xr:uid="{00000000-0005-0000-0000-0000868A0000}"/>
    <cellStyle name="Percent 124 2 2 2 4" xfId="29904" xr:uid="{00000000-0005-0000-0000-0000878A0000}"/>
    <cellStyle name="Percent 124 2 2 3" xfId="13071" xr:uid="{00000000-0005-0000-0000-0000888A0000}"/>
    <cellStyle name="Percent 124 2 2 3 2" xfId="32991" xr:uid="{00000000-0005-0000-0000-0000898A0000}"/>
    <cellStyle name="Percent 124 2 2 4" xfId="19223" xr:uid="{00000000-0005-0000-0000-00008A8A0000}"/>
    <cellStyle name="Percent 124 2 2 4 2" xfId="39143" xr:uid="{00000000-0005-0000-0000-00008B8A0000}"/>
    <cellStyle name="Percent 124 2 2 5" xfId="26838" xr:uid="{00000000-0005-0000-0000-00008C8A0000}"/>
    <cellStyle name="Percent 124 2 3" xfId="8409" xr:uid="{00000000-0005-0000-0000-00008D8A0000}"/>
    <cellStyle name="Percent 124 2 3 2" xfId="14603" xr:uid="{00000000-0005-0000-0000-00008E8A0000}"/>
    <cellStyle name="Percent 124 2 3 2 2" xfId="34523" xr:uid="{00000000-0005-0000-0000-00008F8A0000}"/>
    <cellStyle name="Percent 124 2 3 3" xfId="20755" xr:uid="{00000000-0005-0000-0000-0000908A0000}"/>
    <cellStyle name="Percent 124 2 3 3 2" xfId="40675" xr:uid="{00000000-0005-0000-0000-0000918A0000}"/>
    <cellStyle name="Percent 124 2 3 4" xfId="28370" xr:uid="{00000000-0005-0000-0000-0000928A0000}"/>
    <cellStyle name="Percent 124 2 4" xfId="11537" xr:uid="{00000000-0005-0000-0000-0000938A0000}"/>
    <cellStyle name="Percent 124 2 4 2" xfId="31457" xr:uid="{00000000-0005-0000-0000-0000948A0000}"/>
    <cellStyle name="Percent 124 2 5" xfId="17689" xr:uid="{00000000-0005-0000-0000-0000958A0000}"/>
    <cellStyle name="Percent 124 2 5 2" xfId="37609" xr:uid="{00000000-0005-0000-0000-0000968A0000}"/>
    <cellStyle name="Percent 124 2 6" xfId="25304" xr:uid="{00000000-0005-0000-0000-0000978A0000}"/>
    <cellStyle name="Percent 124 3" xfId="6075" xr:uid="{00000000-0005-0000-0000-0000988A0000}"/>
    <cellStyle name="Percent 124 3 2" xfId="9175" xr:uid="{00000000-0005-0000-0000-0000998A0000}"/>
    <cellStyle name="Percent 124 3 2 2" xfId="15368" xr:uid="{00000000-0005-0000-0000-00009A8A0000}"/>
    <cellStyle name="Percent 124 3 2 2 2" xfId="35288" xr:uid="{00000000-0005-0000-0000-00009B8A0000}"/>
    <cellStyle name="Percent 124 3 2 3" xfId="21520" xr:uid="{00000000-0005-0000-0000-00009C8A0000}"/>
    <cellStyle name="Percent 124 3 2 3 2" xfId="41440" xr:uid="{00000000-0005-0000-0000-00009D8A0000}"/>
    <cellStyle name="Percent 124 3 2 4" xfId="29135" xr:uid="{00000000-0005-0000-0000-00009E8A0000}"/>
    <cellStyle name="Percent 124 3 3" xfId="12302" xr:uid="{00000000-0005-0000-0000-00009F8A0000}"/>
    <cellStyle name="Percent 124 3 3 2" xfId="32222" xr:uid="{00000000-0005-0000-0000-0000A08A0000}"/>
    <cellStyle name="Percent 124 3 4" xfId="18454" xr:uid="{00000000-0005-0000-0000-0000A18A0000}"/>
    <cellStyle name="Percent 124 3 4 2" xfId="38374" xr:uid="{00000000-0005-0000-0000-0000A28A0000}"/>
    <cellStyle name="Percent 124 3 5" xfId="26069" xr:uid="{00000000-0005-0000-0000-0000A38A0000}"/>
    <cellStyle name="Percent 124 4" xfId="7640" xr:uid="{00000000-0005-0000-0000-0000A48A0000}"/>
    <cellStyle name="Percent 124 4 2" xfId="13834" xr:uid="{00000000-0005-0000-0000-0000A58A0000}"/>
    <cellStyle name="Percent 124 4 2 2" xfId="33754" xr:uid="{00000000-0005-0000-0000-0000A68A0000}"/>
    <cellStyle name="Percent 124 4 3" xfId="19986" xr:uid="{00000000-0005-0000-0000-0000A78A0000}"/>
    <cellStyle name="Percent 124 4 3 2" xfId="39906" xr:uid="{00000000-0005-0000-0000-0000A88A0000}"/>
    <cellStyle name="Percent 124 4 4" xfId="27601" xr:uid="{00000000-0005-0000-0000-0000A98A0000}"/>
    <cellStyle name="Percent 124 5" xfId="10768" xr:uid="{00000000-0005-0000-0000-0000AA8A0000}"/>
    <cellStyle name="Percent 124 5 2" xfId="30688" xr:uid="{00000000-0005-0000-0000-0000AB8A0000}"/>
    <cellStyle name="Percent 124 6" xfId="16920" xr:uid="{00000000-0005-0000-0000-0000AC8A0000}"/>
    <cellStyle name="Percent 124 6 2" xfId="36840" xr:uid="{00000000-0005-0000-0000-0000AD8A0000}"/>
    <cellStyle name="Percent 124 7" xfId="24535" xr:uid="{00000000-0005-0000-0000-0000AE8A0000}"/>
    <cellStyle name="Percent 125" xfId="4115" xr:uid="{00000000-0005-0000-0000-0000AF8A0000}"/>
    <cellStyle name="Percent 125 2" xfId="5234" xr:uid="{00000000-0005-0000-0000-0000B08A0000}"/>
    <cellStyle name="Percent 125 2 2" xfId="6859" xr:uid="{00000000-0005-0000-0000-0000B18A0000}"/>
    <cellStyle name="Percent 125 2 2 2" xfId="9945" xr:uid="{00000000-0005-0000-0000-0000B28A0000}"/>
    <cellStyle name="Percent 125 2 2 2 2" xfId="16138" xr:uid="{00000000-0005-0000-0000-0000B38A0000}"/>
    <cellStyle name="Percent 125 2 2 2 2 2" xfId="36058" xr:uid="{00000000-0005-0000-0000-0000B48A0000}"/>
    <cellStyle name="Percent 125 2 2 2 3" xfId="22290" xr:uid="{00000000-0005-0000-0000-0000B58A0000}"/>
    <cellStyle name="Percent 125 2 2 2 3 2" xfId="42210" xr:uid="{00000000-0005-0000-0000-0000B68A0000}"/>
    <cellStyle name="Percent 125 2 2 2 4" xfId="29905" xr:uid="{00000000-0005-0000-0000-0000B78A0000}"/>
    <cellStyle name="Percent 125 2 2 3" xfId="13072" xr:uid="{00000000-0005-0000-0000-0000B88A0000}"/>
    <cellStyle name="Percent 125 2 2 3 2" xfId="32992" xr:uid="{00000000-0005-0000-0000-0000B98A0000}"/>
    <cellStyle name="Percent 125 2 2 4" xfId="19224" xr:uid="{00000000-0005-0000-0000-0000BA8A0000}"/>
    <cellStyle name="Percent 125 2 2 4 2" xfId="39144" xr:uid="{00000000-0005-0000-0000-0000BB8A0000}"/>
    <cellStyle name="Percent 125 2 2 5" xfId="26839" xr:uid="{00000000-0005-0000-0000-0000BC8A0000}"/>
    <cellStyle name="Percent 125 2 3" xfId="8410" xr:uid="{00000000-0005-0000-0000-0000BD8A0000}"/>
    <cellStyle name="Percent 125 2 3 2" xfId="14604" xr:uid="{00000000-0005-0000-0000-0000BE8A0000}"/>
    <cellStyle name="Percent 125 2 3 2 2" xfId="34524" xr:uid="{00000000-0005-0000-0000-0000BF8A0000}"/>
    <cellStyle name="Percent 125 2 3 3" xfId="20756" xr:uid="{00000000-0005-0000-0000-0000C08A0000}"/>
    <cellStyle name="Percent 125 2 3 3 2" xfId="40676" xr:uid="{00000000-0005-0000-0000-0000C18A0000}"/>
    <cellStyle name="Percent 125 2 3 4" xfId="28371" xr:uid="{00000000-0005-0000-0000-0000C28A0000}"/>
    <cellStyle name="Percent 125 2 4" xfId="11538" xr:uid="{00000000-0005-0000-0000-0000C38A0000}"/>
    <cellStyle name="Percent 125 2 4 2" xfId="31458" xr:uid="{00000000-0005-0000-0000-0000C48A0000}"/>
    <cellStyle name="Percent 125 2 5" xfId="17690" xr:uid="{00000000-0005-0000-0000-0000C58A0000}"/>
    <cellStyle name="Percent 125 2 5 2" xfId="37610" xr:uid="{00000000-0005-0000-0000-0000C68A0000}"/>
    <cellStyle name="Percent 125 2 6" xfId="25305" xr:uid="{00000000-0005-0000-0000-0000C78A0000}"/>
    <cellStyle name="Percent 125 3" xfId="6076" xr:uid="{00000000-0005-0000-0000-0000C88A0000}"/>
    <cellStyle name="Percent 125 3 2" xfId="9176" xr:uid="{00000000-0005-0000-0000-0000C98A0000}"/>
    <cellStyle name="Percent 125 3 2 2" xfId="15369" xr:uid="{00000000-0005-0000-0000-0000CA8A0000}"/>
    <cellStyle name="Percent 125 3 2 2 2" xfId="35289" xr:uid="{00000000-0005-0000-0000-0000CB8A0000}"/>
    <cellStyle name="Percent 125 3 2 3" xfId="21521" xr:uid="{00000000-0005-0000-0000-0000CC8A0000}"/>
    <cellStyle name="Percent 125 3 2 3 2" xfId="41441" xr:uid="{00000000-0005-0000-0000-0000CD8A0000}"/>
    <cellStyle name="Percent 125 3 2 4" xfId="29136" xr:uid="{00000000-0005-0000-0000-0000CE8A0000}"/>
    <cellStyle name="Percent 125 3 3" xfId="12303" xr:uid="{00000000-0005-0000-0000-0000CF8A0000}"/>
    <cellStyle name="Percent 125 3 3 2" xfId="32223" xr:uid="{00000000-0005-0000-0000-0000D08A0000}"/>
    <cellStyle name="Percent 125 3 4" xfId="18455" xr:uid="{00000000-0005-0000-0000-0000D18A0000}"/>
    <cellStyle name="Percent 125 3 4 2" xfId="38375" xr:uid="{00000000-0005-0000-0000-0000D28A0000}"/>
    <cellStyle name="Percent 125 3 5" xfId="26070" xr:uid="{00000000-0005-0000-0000-0000D38A0000}"/>
    <cellStyle name="Percent 125 4" xfId="7641" xr:uid="{00000000-0005-0000-0000-0000D48A0000}"/>
    <cellStyle name="Percent 125 4 2" xfId="13835" xr:uid="{00000000-0005-0000-0000-0000D58A0000}"/>
    <cellStyle name="Percent 125 4 2 2" xfId="33755" xr:uid="{00000000-0005-0000-0000-0000D68A0000}"/>
    <cellStyle name="Percent 125 4 3" xfId="19987" xr:uid="{00000000-0005-0000-0000-0000D78A0000}"/>
    <cellStyle name="Percent 125 4 3 2" xfId="39907" xr:uid="{00000000-0005-0000-0000-0000D88A0000}"/>
    <cellStyle name="Percent 125 4 4" xfId="27602" xr:uid="{00000000-0005-0000-0000-0000D98A0000}"/>
    <cellStyle name="Percent 125 5" xfId="10769" xr:uid="{00000000-0005-0000-0000-0000DA8A0000}"/>
    <cellStyle name="Percent 125 5 2" xfId="30689" xr:uid="{00000000-0005-0000-0000-0000DB8A0000}"/>
    <cellStyle name="Percent 125 6" xfId="16921" xr:uid="{00000000-0005-0000-0000-0000DC8A0000}"/>
    <cellStyle name="Percent 125 6 2" xfId="36841" xr:uid="{00000000-0005-0000-0000-0000DD8A0000}"/>
    <cellStyle name="Percent 125 7" xfId="24536" xr:uid="{00000000-0005-0000-0000-0000DE8A0000}"/>
    <cellStyle name="Percent 126" xfId="4116" xr:uid="{00000000-0005-0000-0000-0000DF8A0000}"/>
    <cellStyle name="Percent 126 2" xfId="5235" xr:uid="{00000000-0005-0000-0000-0000E08A0000}"/>
    <cellStyle name="Percent 126 2 2" xfId="6860" xr:uid="{00000000-0005-0000-0000-0000E18A0000}"/>
    <cellStyle name="Percent 126 2 2 2" xfId="9946" xr:uid="{00000000-0005-0000-0000-0000E28A0000}"/>
    <cellStyle name="Percent 126 2 2 2 2" xfId="16139" xr:uid="{00000000-0005-0000-0000-0000E38A0000}"/>
    <cellStyle name="Percent 126 2 2 2 2 2" xfId="36059" xr:uid="{00000000-0005-0000-0000-0000E48A0000}"/>
    <cellStyle name="Percent 126 2 2 2 3" xfId="22291" xr:uid="{00000000-0005-0000-0000-0000E58A0000}"/>
    <cellStyle name="Percent 126 2 2 2 3 2" xfId="42211" xr:uid="{00000000-0005-0000-0000-0000E68A0000}"/>
    <cellStyle name="Percent 126 2 2 2 4" xfId="29906" xr:uid="{00000000-0005-0000-0000-0000E78A0000}"/>
    <cellStyle name="Percent 126 2 2 3" xfId="13073" xr:uid="{00000000-0005-0000-0000-0000E88A0000}"/>
    <cellStyle name="Percent 126 2 2 3 2" xfId="32993" xr:uid="{00000000-0005-0000-0000-0000E98A0000}"/>
    <cellStyle name="Percent 126 2 2 4" xfId="19225" xr:uid="{00000000-0005-0000-0000-0000EA8A0000}"/>
    <cellStyle name="Percent 126 2 2 4 2" xfId="39145" xr:uid="{00000000-0005-0000-0000-0000EB8A0000}"/>
    <cellStyle name="Percent 126 2 2 5" xfId="26840" xr:uid="{00000000-0005-0000-0000-0000EC8A0000}"/>
    <cellStyle name="Percent 126 2 3" xfId="8411" xr:uid="{00000000-0005-0000-0000-0000ED8A0000}"/>
    <cellStyle name="Percent 126 2 3 2" xfId="14605" xr:uid="{00000000-0005-0000-0000-0000EE8A0000}"/>
    <cellStyle name="Percent 126 2 3 2 2" xfId="34525" xr:uid="{00000000-0005-0000-0000-0000EF8A0000}"/>
    <cellStyle name="Percent 126 2 3 3" xfId="20757" xr:uid="{00000000-0005-0000-0000-0000F08A0000}"/>
    <cellStyle name="Percent 126 2 3 3 2" xfId="40677" xr:uid="{00000000-0005-0000-0000-0000F18A0000}"/>
    <cellStyle name="Percent 126 2 3 4" xfId="28372" xr:uid="{00000000-0005-0000-0000-0000F28A0000}"/>
    <cellStyle name="Percent 126 2 4" xfId="11539" xr:uid="{00000000-0005-0000-0000-0000F38A0000}"/>
    <cellStyle name="Percent 126 2 4 2" xfId="31459" xr:uid="{00000000-0005-0000-0000-0000F48A0000}"/>
    <cellStyle name="Percent 126 2 5" xfId="17691" xr:uid="{00000000-0005-0000-0000-0000F58A0000}"/>
    <cellStyle name="Percent 126 2 5 2" xfId="37611" xr:uid="{00000000-0005-0000-0000-0000F68A0000}"/>
    <cellStyle name="Percent 126 2 6" xfId="25306" xr:uid="{00000000-0005-0000-0000-0000F78A0000}"/>
    <cellStyle name="Percent 126 3" xfId="6077" xr:uid="{00000000-0005-0000-0000-0000F88A0000}"/>
    <cellStyle name="Percent 126 3 2" xfId="9177" xr:uid="{00000000-0005-0000-0000-0000F98A0000}"/>
    <cellStyle name="Percent 126 3 2 2" xfId="15370" xr:uid="{00000000-0005-0000-0000-0000FA8A0000}"/>
    <cellStyle name="Percent 126 3 2 2 2" xfId="35290" xr:uid="{00000000-0005-0000-0000-0000FB8A0000}"/>
    <cellStyle name="Percent 126 3 2 3" xfId="21522" xr:uid="{00000000-0005-0000-0000-0000FC8A0000}"/>
    <cellStyle name="Percent 126 3 2 3 2" xfId="41442" xr:uid="{00000000-0005-0000-0000-0000FD8A0000}"/>
    <cellStyle name="Percent 126 3 2 4" xfId="29137" xr:uid="{00000000-0005-0000-0000-0000FE8A0000}"/>
    <cellStyle name="Percent 126 3 3" xfId="12304" xr:uid="{00000000-0005-0000-0000-0000FF8A0000}"/>
    <cellStyle name="Percent 126 3 3 2" xfId="32224" xr:uid="{00000000-0005-0000-0000-0000008B0000}"/>
    <cellStyle name="Percent 126 3 4" xfId="18456" xr:uid="{00000000-0005-0000-0000-0000018B0000}"/>
    <cellStyle name="Percent 126 3 4 2" xfId="38376" xr:uid="{00000000-0005-0000-0000-0000028B0000}"/>
    <cellStyle name="Percent 126 3 5" xfId="26071" xr:uid="{00000000-0005-0000-0000-0000038B0000}"/>
    <cellStyle name="Percent 126 4" xfId="7642" xr:uid="{00000000-0005-0000-0000-0000048B0000}"/>
    <cellStyle name="Percent 126 4 2" xfId="13836" xr:uid="{00000000-0005-0000-0000-0000058B0000}"/>
    <cellStyle name="Percent 126 4 2 2" xfId="33756" xr:uid="{00000000-0005-0000-0000-0000068B0000}"/>
    <cellStyle name="Percent 126 4 3" xfId="19988" xr:uid="{00000000-0005-0000-0000-0000078B0000}"/>
    <cellStyle name="Percent 126 4 3 2" xfId="39908" xr:uid="{00000000-0005-0000-0000-0000088B0000}"/>
    <cellStyle name="Percent 126 4 4" xfId="27603" xr:uid="{00000000-0005-0000-0000-0000098B0000}"/>
    <cellStyle name="Percent 126 5" xfId="10770" xr:uid="{00000000-0005-0000-0000-00000A8B0000}"/>
    <cellStyle name="Percent 126 5 2" xfId="30690" xr:uid="{00000000-0005-0000-0000-00000B8B0000}"/>
    <cellStyle name="Percent 126 6" xfId="16922" xr:uid="{00000000-0005-0000-0000-00000C8B0000}"/>
    <cellStyle name="Percent 126 6 2" xfId="36842" xr:uid="{00000000-0005-0000-0000-00000D8B0000}"/>
    <cellStyle name="Percent 126 7" xfId="24537" xr:uid="{00000000-0005-0000-0000-00000E8B0000}"/>
    <cellStyle name="Percent 127" xfId="4117" xr:uid="{00000000-0005-0000-0000-00000F8B0000}"/>
    <cellStyle name="Percent 127 2" xfId="5236" xr:uid="{00000000-0005-0000-0000-0000108B0000}"/>
    <cellStyle name="Percent 127 2 2" xfId="6861" xr:uid="{00000000-0005-0000-0000-0000118B0000}"/>
    <cellStyle name="Percent 127 2 2 2" xfId="9947" xr:uid="{00000000-0005-0000-0000-0000128B0000}"/>
    <cellStyle name="Percent 127 2 2 2 2" xfId="16140" xr:uid="{00000000-0005-0000-0000-0000138B0000}"/>
    <cellStyle name="Percent 127 2 2 2 2 2" xfId="36060" xr:uid="{00000000-0005-0000-0000-0000148B0000}"/>
    <cellStyle name="Percent 127 2 2 2 3" xfId="22292" xr:uid="{00000000-0005-0000-0000-0000158B0000}"/>
    <cellStyle name="Percent 127 2 2 2 3 2" xfId="42212" xr:uid="{00000000-0005-0000-0000-0000168B0000}"/>
    <cellStyle name="Percent 127 2 2 2 4" xfId="29907" xr:uid="{00000000-0005-0000-0000-0000178B0000}"/>
    <cellStyle name="Percent 127 2 2 3" xfId="13074" xr:uid="{00000000-0005-0000-0000-0000188B0000}"/>
    <cellStyle name="Percent 127 2 2 3 2" xfId="32994" xr:uid="{00000000-0005-0000-0000-0000198B0000}"/>
    <cellStyle name="Percent 127 2 2 4" xfId="19226" xr:uid="{00000000-0005-0000-0000-00001A8B0000}"/>
    <cellStyle name="Percent 127 2 2 4 2" xfId="39146" xr:uid="{00000000-0005-0000-0000-00001B8B0000}"/>
    <cellStyle name="Percent 127 2 2 5" xfId="26841" xr:uid="{00000000-0005-0000-0000-00001C8B0000}"/>
    <cellStyle name="Percent 127 2 3" xfId="8412" xr:uid="{00000000-0005-0000-0000-00001D8B0000}"/>
    <cellStyle name="Percent 127 2 3 2" xfId="14606" xr:uid="{00000000-0005-0000-0000-00001E8B0000}"/>
    <cellStyle name="Percent 127 2 3 2 2" xfId="34526" xr:uid="{00000000-0005-0000-0000-00001F8B0000}"/>
    <cellStyle name="Percent 127 2 3 3" xfId="20758" xr:uid="{00000000-0005-0000-0000-0000208B0000}"/>
    <cellStyle name="Percent 127 2 3 3 2" xfId="40678" xr:uid="{00000000-0005-0000-0000-0000218B0000}"/>
    <cellStyle name="Percent 127 2 3 4" xfId="28373" xr:uid="{00000000-0005-0000-0000-0000228B0000}"/>
    <cellStyle name="Percent 127 2 4" xfId="11540" xr:uid="{00000000-0005-0000-0000-0000238B0000}"/>
    <cellStyle name="Percent 127 2 4 2" xfId="31460" xr:uid="{00000000-0005-0000-0000-0000248B0000}"/>
    <cellStyle name="Percent 127 2 5" xfId="17692" xr:uid="{00000000-0005-0000-0000-0000258B0000}"/>
    <cellStyle name="Percent 127 2 5 2" xfId="37612" xr:uid="{00000000-0005-0000-0000-0000268B0000}"/>
    <cellStyle name="Percent 127 2 6" xfId="25307" xr:uid="{00000000-0005-0000-0000-0000278B0000}"/>
    <cellStyle name="Percent 127 3" xfId="6078" xr:uid="{00000000-0005-0000-0000-0000288B0000}"/>
    <cellStyle name="Percent 127 3 2" xfId="9178" xr:uid="{00000000-0005-0000-0000-0000298B0000}"/>
    <cellStyle name="Percent 127 3 2 2" xfId="15371" xr:uid="{00000000-0005-0000-0000-00002A8B0000}"/>
    <cellStyle name="Percent 127 3 2 2 2" xfId="35291" xr:uid="{00000000-0005-0000-0000-00002B8B0000}"/>
    <cellStyle name="Percent 127 3 2 3" xfId="21523" xr:uid="{00000000-0005-0000-0000-00002C8B0000}"/>
    <cellStyle name="Percent 127 3 2 3 2" xfId="41443" xr:uid="{00000000-0005-0000-0000-00002D8B0000}"/>
    <cellStyle name="Percent 127 3 2 4" xfId="29138" xr:uid="{00000000-0005-0000-0000-00002E8B0000}"/>
    <cellStyle name="Percent 127 3 3" xfId="12305" xr:uid="{00000000-0005-0000-0000-00002F8B0000}"/>
    <cellStyle name="Percent 127 3 3 2" xfId="32225" xr:uid="{00000000-0005-0000-0000-0000308B0000}"/>
    <cellStyle name="Percent 127 3 4" xfId="18457" xr:uid="{00000000-0005-0000-0000-0000318B0000}"/>
    <cellStyle name="Percent 127 3 4 2" xfId="38377" xr:uid="{00000000-0005-0000-0000-0000328B0000}"/>
    <cellStyle name="Percent 127 3 5" xfId="26072" xr:uid="{00000000-0005-0000-0000-0000338B0000}"/>
    <cellStyle name="Percent 127 4" xfId="7643" xr:uid="{00000000-0005-0000-0000-0000348B0000}"/>
    <cellStyle name="Percent 127 4 2" xfId="13837" xr:uid="{00000000-0005-0000-0000-0000358B0000}"/>
    <cellStyle name="Percent 127 4 2 2" xfId="33757" xr:uid="{00000000-0005-0000-0000-0000368B0000}"/>
    <cellStyle name="Percent 127 4 3" xfId="19989" xr:uid="{00000000-0005-0000-0000-0000378B0000}"/>
    <cellStyle name="Percent 127 4 3 2" xfId="39909" xr:uid="{00000000-0005-0000-0000-0000388B0000}"/>
    <cellStyle name="Percent 127 4 4" xfId="27604" xr:uid="{00000000-0005-0000-0000-0000398B0000}"/>
    <cellStyle name="Percent 127 5" xfId="10771" xr:uid="{00000000-0005-0000-0000-00003A8B0000}"/>
    <cellStyle name="Percent 127 5 2" xfId="30691" xr:uid="{00000000-0005-0000-0000-00003B8B0000}"/>
    <cellStyle name="Percent 127 6" xfId="16923" xr:uid="{00000000-0005-0000-0000-00003C8B0000}"/>
    <cellStyle name="Percent 127 6 2" xfId="36843" xr:uid="{00000000-0005-0000-0000-00003D8B0000}"/>
    <cellStyle name="Percent 127 7" xfId="24538" xr:uid="{00000000-0005-0000-0000-00003E8B0000}"/>
    <cellStyle name="Percent 128" xfId="4118" xr:uid="{00000000-0005-0000-0000-00003F8B0000}"/>
    <cellStyle name="Percent 128 2" xfId="5237" xr:uid="{00000000-0005-0000-0000-0000408B0000}"/>
    <cellStyle name="Percent 128 2 2" xfId="6862" xr:uid="{00000000-0005-0000-0000-0000418B0000}"/>
    <cellStyle name="Percent 128 2 2 2" xfId="9948" xr:uid="{00000000-0005-0000-0000-0000428B0000}"/>
    <cellStyle name="Percent 128 2 2 2 2" xfId="16141" xr:uid="{00000000-0005-0000-0000-0000438B0000}"/>
    <cellStyle name="Percent 128 2 2 2 2 2" xfId="36061" xr:uid="{00000000-0005-0000-0000-0000448B0000}"/>
    <cellStyle name="Percent 128 2 2 2 3" xfId="22293" xr:uid="{00000000-0005-0000-0000-0000458B0000}"/>
    <cellStyle name="Percent 128 2 2 2 3 2" xfId="42213" xr:uid="{00000000-0005-0000-0000-0000468B0000}"/>
    <cellStyle name="Percent 128 2 2 2 4" xfId="29908" xr:uid="{00000000-0005-0000-0000-0000478B0000}"/>
    <cellStyle name="Percent 128 2 2 3" xfId="13075" xr:uid="{00000000-0005-0000-0000-0000488B0000}"/>
    <cellStyle name="Percent 128 2 2 3 2" xfId="32995" xr:uid="{00000000-0005-0000-0000-0000498B0000}"/>
    <cellStyle name="Percent 128 2 2 4" xfId="19227" xr:uid="{00000000-0005-0000-0000-00004A8B0000}"/>
    <cellStyle name="Percent 128 2 2 4 2" xfId="39147" xr:uid="{00000000-0005-0000-0000-00004B8B0000}"/>
    <cellStyle name="Percent 128 2 2 5" xfId="26842" xr:uid="{00000000-0005-0000-0000-00004C8B0000}"/>
    <cellStyle name="Percent 128 2 3" xfId="8413" xr:uid="{00000000-0005-0000-0000-00004D8B0000}"/>
    <cellStyle name="Percent 128 2 3 2" xfId="14607" xr:uid="{00000000-0005-0000-0000-00004E8B0000}"/>
    <cellStyle name="Percent 128 2 3 2 2" xfId="34527" xr:uid="{00000000-0005-0000-0000-00004F8B0000}"/>
    <cellStyle name="Percent 128 2 3 3" xfId="20759" xr:uid="{00000000-0005-0000-0000-0000508B0000}"/>
    <cellStyle name="Percent 128 2 3 3 2" xfId="40679" xr:uid="{00000000-0005-0000-0000-0000518B0000}"/>
    <cellStyle name="Percent 128 2 3 4" xfId="28374" xr:uid="{00000000-0005-0000-0000-0000528B0000}"/>
    <cellStyle name="Percent 128 2 4" xfId="11541" xr:uid="{00000000-0005-0000-0000-0000538B0000}"/>
    <cellStyle name="Percent 128 2 4 2" xfId="31461" xr:uid="{00000000-0005-0000-0000-0000548B0000}"/>
    <cellStyle name="Percent 128 2 5" xfId="17693" xr:uid="{00000000-0005-0000-0000-0000558B0000}"/>
    <cellStyle name="Percent 128 2 5 2" xfId="37613" xr:uid="{00000000-0005-0000-0000-0000568B0000}"/>
    <cellStyle name="Percent 128 2 6" xfId="25308" xr:uid="{00000000-0005-0000-0000-0000578B0000}"/>
    <cellStyle name="Percent 128 3" xfId="6079" xr:uid="{00000000-0005-0000-0000-0000588B0000}"/>
    <cellStyle name="Percent 128 3 2" xfId="9179" xr:uid="{00000000-0005-0000-0000-0000598B0000}"/>
    <cellStyle name="Percent 128 3 2 2" xfId="15372" xr:uid="{00000000-0005-0000-0000-00005A8B0000}"/>
    <cellStyle name="Percent 128 3 2 2 2" xfId="35292" xr:uid="{00000000-0005-0000-0000-00005B8B0000}"/>
    <cellStyle name="Percent 128 3 2 3" xfId="21524" xr:uid="{00000000-0005-0000-0000-00005C8B0000}"/>
    <cellStyle name="Percent 128 3 2 3 2" xfId="41444" xr:uid="{00000000-0005-0000-0000-00005D8B0000}"/>
    <cellStyle name="Percent 128 3 2 4" xfId="29139" xr:uid="{00000000-0005-0000-0000-00005E8B0000}"/>
    <cellStyle name="Percent 128 3 3" xfId="12306" xr:uid="{00000000-0005-0000-0000-00005F8B0000}"/>
    <cellStyle name="Percent 128 3 3 2" xfId="32226" xr:uid="{00000000-0005-0000-0000-0000608B0000}"/>
    <cellStyle name="Percent 128 3 4" xfId="18458" xr:uid="{00000000-0005-0000-0000-0000618B0000}"/>
    <cellStyle name="Percent 128 3 4 2" xfId="38378" xr:uid="{00000000-0005-0000-0000-0000628B0000}"/>
    <cellStyle name="Percent 128 3 5" xfId="26073" xr:uid="{00000000-0005-0000-0000-0000638B0000}"/>
    <cellStyle name="Percent 128 4" xfId="7644" xr:uid="{00000000-0005-0000-0000-0000648B0000}"/>
    <cellStyle name="Percent 128 4 2" xfId="13838" xr:uid="{00000000-0005-0000-0000-0000658B0000}"/>
    <cellStyle name="Percent 128 4 2 2" xfId="33758" xr:uid="{00000000-0005-0000-0000-0000668B0000}"/>
    <cellStyle name="Percent 128 4 3" xfId="19990" xr:uid="{00000000-0005-0000-0000-0000678B0000}"/>
    <cellStyle name="Percent 128 4 3 2" xfId="39910" xr:uid="{00000000-0005-0000-0000-0000688B0000}"/>
    <cellStyle name="Percent 128 4 4" xfId="27605" xr:uid="{00000000-0005-0000-0000-0000698B0000}"/>
    <cellStyle name="Percent 128 5" xfId="10772" xr:uid="{00000000-0005-0000-0000-00006A8B0000}"/>
    <cellStyle name="Percent 128 5 2" xfId="30692" xr:uid="{00000000-0005-0000-0000-00006B8B0000}"/>
    <cellStyle name="Percent 128 6" xfId="16924" xr:uid="{00000000-0005-0000-0000-00006C8B0000}"/>
    <cellStyle name="Percent 128 6 2" xfId="36844" xr:uid="{00000000-0005-0000-0000-00006D8B0000}"/>
    <cellStyle name="Percent 128 7" xfId="24539" xr:uid="{00000000-0005-0000-0000-00006E8B0000}"/>
    <cellStyle name="Percent 129" xfId="4119" xr:uid="{00000000-0005-0000-0000-00006F8B0000}"/>
    <cellStyle name="Percent 129 2" xfId="5238" xr:uid="{00000000-0005-0000-0000-0000708B0000}"/>
    <cellStyle name="Percent 129 2 2" xfId="6863" xr:uid="{00000000-0005-0000-0000-0000718B0000}"/>
    <cellStyle name="Percent 129 2 2 2" xfId="9949" xr:uid="{00000000-0005-0000-0000-0000728B0000}"/>
    <cellStyle name="Percent 129 2 2 2 2" xfId="16142" xr:uid="{00000000-0005-0000-0000-0000738B0000}"/>
    <cellStyle name="Percent 129 2 2 2 2 2" xfId="36062" xr:uid="{00000000-0005-0000-0000-0000748B0000}"/>
    <cellStyle name="Percent 129 2 2 2 3" xfId="22294" xr:uid="{00000000-0005-0000-0000-0000758B0000}"/>
    <cellStyle name="Percent 129 2 2 2 3 2" xfId="42214" xr:uid="{00000000-0005-0000-0000-0000768B0000}"/>
    <cellStyle name="Percent 129 2 2 2 4" xfId="29909" xr:uid="{00000000-0005-0000-0000-0000778B0000}"/>
    <cellStyle name="Percent 129 2 2 3" xfId="13076" xr:uid="{00000000-0005-0000-0000-0000788B0000}"/>
    <cellStyle name="Percent 129 2 2 3 2" xfId="32996" xr:uid="{00000000-0005-0000-0000-0000798B0000}"/>
    <cellStyle name="Percent 129 2 2 4" xfId="19228" xr:uid="{00000000-0005-0000-0000-00007A8B0000}"/>
    <cellStyle name="Percent 129 2 2 4 2" xfId="39148" xr:uid="{00000000-0005-0000-0000-00007B8B0000}"/>
    <cellStyle name="Percent 129 2 2 5" xfId="26843" xr:uid="{00000000-0005-0000-0000-00007C8B0000}"/>
    <cellStyle name="Percent 129 2 3" xfId="8414" xr:uid="{00000000-0005-0000-0000-00007D8B0000}"/>
    <cellStyle name="Percent 129 2 3 2" xfId="14608" xr:uid="{00000000-0005-0000-0000-00007E8B0000}"/>
    <cellStyle name="Percent 129 2 3 2 2" xfId="34528" xr:uid="{00000000-0005-0000-0000-00007F8B0000}"/>
    <cellStyle name="Percent 129 2 3 3" xfId="20760" xr:uid="{00000000-0005-0000-0000-0000808B0000}"/>
    <cellStyle name="Percent 129 2 3 3 2" xfId="40680" xr:uid="{00000000-0005-0000-0000-0000818B0000}"/>
    <cellStyle name="Percent 129 2 3 4" xfId="28375" xr:uid="{00000000-0005-0000-0000-0000828B0000}"/>
    <cellStyle name="Percent 129 2 4" xfId="11542" xr:uid="{00000000-0005-0000-0000-0000838B0000}"/>
    <cellStyle name="Percent 129 2 4 2" xfId="31462" xr:uid="{00000000-0005-0000-0000-0000848B0000}"/>
    <cellStyle name="Percent 129 2 5" xfId="17694" xr:uid="{00000000-0005-0000-0000-0000858B0000}"/>
    <cellStyle name="Percent 129 2 5 2" xfId="37614" xr:uid="{00000000-0005-0000-0000-0000868B0000}"/>
    <cellStyle name="Percent 129 2 6" xfId="25309" xr:uid="{00000000-0005-0000-0000-0000878B0000}"/>
    <cellStyle name="Percent 129 3" xfId="6080" xr:uid="{00000000-0005-0000-0000-0000888B0000}"/>
    <cellStyle name="Percent 129 3 2" xfId="9180" xr:uid="{00000000-0005-0000-0000-0000898B0000}"/>
    <cellStyle name="Percent 129 3 2 2" xfId="15373" xr:uid="{00000000-0005-0000-0000-00008A8B0000}"/>
    <cellStyle name="Percent 129 3 2 2 2" xfId="35293" xr:uid="{00000000-0005-0000-0000-00008B8B0000}"/>
    <cellStyle name="Percent 129 3 2 3" xfId="21525" xr:uid="{00000000-0005-0000-0000-00008C8B0000}"/>
    <cellStyle name="Percent 129 3 2 3 2" xfId="41445" xr:uid="{00000000-0005-0000-0000-00008D8B0000}"/>
    <cellStyle name="Percent 129 3 2 4" xfId="29140" xr:uid="{00000000-0005-0000-0000-00008E8B0000}"/>
    <cellStyle name="Percent 129 3 3" xfId="12307" xr:uid="{00000000-0005-0000-0000-00008F8B0000}"/>
    <cellStyle name="Percent 129 3 3 2" xfId="32227" xr:uid="{00000000-0005-0000-0000-0000908B0000}"/>
    <cellStyle name="Percent 129 3 4" xfId="18459" xr:uid="{00000000-0005-0000-0000-0000918B0000}"/>
    <cellStyle name="Percent 129 3 4 2" xfId="38379" xr:uid="{00000000-0005-0000-0000-0000928B0000}"/>
    <cellStyle name="Percent 129 3 5" xfId="26074" xr:uid="{00000000-0005-0000-0000-0000938B0000}"/>
    <cellStyle name="Percent 129 4" xfId="7645" xr:uid="{00000000-0005-0000-0000-0000948B0000}"/>
    <cellStyle name="Percent 129 4 2" xfId="13839" xr:uid="{00000000-0005-0000-0000-0000958B0000}"/>
    <cellStyle name="Percent 129 4 2 2" xfId="33759" xr:uid="{00000000-0005-0000-0000-0000968B0000}"/>
    <cellStyle name="Percent 129 4 3" xfId="19991" xr:uid="{00000000-0005-0000-0000-0000978B0000}"/>
    <cellStyle name="Percent 129 4 3 2" xfId="39911" xr:uid="{00000000-0005-0000-0000-0000988B0000}"/>
    <cellStyle name="Percent 129 4 4" xfId="27606" xr:uid="{00000000-0005-0000-0000-0000998B0000}"/>
    <cellStyle name="Percent 129 5" xfId="10773" xr:uid="{00000000-0005-0000-0000-00009A8B0000}"/>
    <cellStyle name="Percent 129 5 2" xfId="30693" xr:uid="{00000000-0005-0000-0000-00009B8B0000}"/>
    <cellStyle name="Percent 129 6" xfId="16925" xr:uid="{00000000-0005-0000-0000-00009C8B0000}"/>
    <cellStyle name="Percent 129 6 2" xfId="36845" xr:uid="{00000000-0005-0000-0000-00009D8B0000}"/>
    <cellStyle name="Percent 129 7" xfId="24540" xr:uid="{00000000-0005-0000-0000-00009E8B0000}"/>
    <cellStyle name="Percent 13" xfId="4120" xr:uid="{00000000-0005-0000-0000-00009F8B0000}"/>
    <cellStyle name="Percent 130" xfId="4121" xr:uid="{00000000-0005-0000-0000-0000A08B0000}"/>
    <cellStyle name="Percent 130 2" xfId="5239" xr:uid="{00000000-0005-0000-0000-0000A18B0000}"/>
    <cellStyle name="Percent 130 2 2" xfId="6864" xr:uid="{00000000-0005-0000-0000-0000A28B0000}"/>
    <cellStyle name="Percent 130 2 2 2" xfId="9950" xr:uid="{00000000-0005-0000-0000-0000A38B0000}"/>
    <cellStyle name="Percent 130 2 2 2 2" xfId="16143" xr:uid="{00000000-0005-0000-0000-0000A48B0000}"/>
    <cellStyle name="Percent 130 2 2 2 2 2" xfId="36063" xr:uid="{00000000-0005-0000-0000-0000A58B0000}"/>
    <cellStyle name="Percent 130 2 2 2 3" xfId="22295" xr:uid="{00000000-0005-0000-0000-0000A68B0000}"/>
    <cellStyle name="Percent 130 2 2 2 3 2" xfId="42215" xr:uid="{00000000-0005-0000-0000-0000A78B0000}"/>
    <cellStyle name="Percent 130 2 2 2 4" xfId="29910" xr:uid="{00000000-0005-0000-0000-0000A88B0000}"/>
    <cellStyle name="Percent 130 2 2 3" xfId="13077" xr:uid="{00000000-0005-0000-0000-0000A98B0000}"/>
    <cellStyle name="Percent 130 2 2 3 2" xfId="32997" xr:uid="{00000000-0005-0000-0000-0000AA8B0000}"/>
    <cellStyle name="Percent 130 2 2 4" xfId="19229" xr:uid="{00000000-0005-0000-0000-0000AB8B0000}"/>
    <cellStyle name="Percent 130 2 2 4 2" xfId="39149" xr:uid="{00000000-0005-0000-0000-0000AC8B0000}"/>
    <cellStyle name="Percent 130 2 2 5" xfId="26844" xr:uid="{00000000-0005-0000-0000-0000AD8B0000}"/>
    <cellStyle name="Percent 130 2 3" xfId="8415" xr:uid="{00000000-0005-0000-0000-0000AE8B0000}"/>
    <cellStyle name="Percent 130 2 3 2" xfId="14609" xr:uid="{00000000-0005-0000-0000-0000AF8B0000}"/>
    <cellStyle name="Percent 130 2 3 2 2" xfId="34529" xr:uid="{00000000-0005-0000-0000-0000B08B0000}"/>
    <cellStyle name="Percent 130 2 3 3" xfId="20761" xr:uid="{00000000-0005-0000-0000-0000B18B0000}"/>
    <cellStyle name="Percent 130 2 3 3 2" xfId="40681" xr:uid="{00000000-0005-0000-0000-0000B28B0000}"/>
    <cellStyle name="Percent 130 2 3 4" xfId="28376" xr:uid="{00000000-0005-0000-0000-0000B38B0000}"/>
    <cellStyle name="Percent 130 2 4" xfId="11543" xr:uid="{00000000-0005-0000-0000-0000B48B0000}"/>
    <cellStyle name="Percent 130 2 4 2" xfId="31463" xr:uid="{00000000-0005-0000-0000-0000B58B0000}"/>
    <cellStyle name="Percent 130 2 5" xfId="17695" xr:uid="{00000000-0005-0000-0000-0000B68B0000}"/>
    <cellStyle name="Percent 130 2 5 2" xfId="37615" xr:uid="{00000000-0005-0000-0000-0000B78B0000}"/>
    <cellStyle name="Percent 130 2 6" xfId="25310" xr:uid="{00000000-0005-0000-0000-0000B88B0000}"/>
    <cellStyle name="Percent 130 3" xfId="6081" xr:uid="{00000000-0005-0000-0000-0000B98B0000}"/>
    <cellStyle name="Percent 130 3 2" xfId="9181" xr:uid="{00000000-0005-0000-0000-0000BA8B0000}"/>
    <cellStyle name="Percent 130 3 2 2" xfId="15374" xr:uid="{00000000-0005-0000-0000-0000BB8B0000}"/>
    <cellStyle name="Percent 130 3 2 2 2" xfId="35294" xr:uid="{00000000-0005-0000-0000-0000BC8B0000}"/>
    <cellStyle name="Percent 130 3 2 3" xfId="21526" xr:uid="{00000000-0005-0000-0000-0000BD8B0000}"/>
    <cellStyle name="Percent 130 3 2 3 2" xfId="41446" xr:uid="{00000000-0005-0000-0000-0000BE8B0000}"/>
    <cellStyle name="Percent 130 3 2 4" xfId="29141" xr:uid="{00000000-0005-0000-0000-0000BF8B0000}"/>
    <cellStyle name="Percent 130 3 3" xfId="12308" xr:uid="{00000000-0005-0000-0000-0000C08B0000}"/>
    <cellStyle name="Percent 130 3 3 2" xfId="32228" xr:uid="{00000000-0005-0000-0000-0000C18B0000}"/>
    <cellStyle name="Percent 130 3 4" xfId="18460" xr:uid="{00000000-0005-0000-0000-0000C28B0000}"/>
    <cellStyle name="Percent 130 3 4 2" xfId="38380" xr:uid="{00000000-0005-0000-0000-0000C38B0000}"/>
    <cellStyle name="Percent 130 3 5" xfId="26075" xr:uid="{00000000-0005-0000-0000-0000C48B0000}"/>
    <cellStyle name="Percent 130 4" xfId="7646" xr:uid="{00000000-0005-0000-0000-0000C58B0000}"/>
    <cellStyle name="Percent 130 4 2" xfId="13840" xr:uid="{00000000-0005-0000-0000-0000C68B0000}"/>
    <cellStyle name="Percent 130 4 2 2" xfId="33760" xr:uid="{00000000-0005-0000-0000-0000C78B0000}"/>
    <cellStyle name="Percent 130 4 3" xfId="19992" xr:uid="{00000000-0005-0000-0000-0000C88B0000}"/>
    <cellStyle name="Percent 130 4 3 2" xfId="39912" xr:uid="{00000000-0005-0000-0000-0000C98B0000}"/>
    <cellStyle name="Percent 130 4 4" xfId="27607" xr:uid="{00000000-0005-0000-0000-0000CA8B0000}"/>
    <cellStyle name="Percent 130 5" xfId="10774" xr:uid="{00000000-0005-0000-0000-0000CB8B0000}"/>
    <cellStyle name="Percent 130 5 2" xfId="30694" xr:uid="{00000000-0005-0000-0000-0000CC8B0000}"/>
    <cellStyle name="Percent 130 6" xfId="16926" xr:uid="{00000000-0005-0000-0000-0000CD8B0000}"/>
    <cellStyle name="Percent 130 6 2" xfId="36846" xr:uid="{00000000-0005-0000-0000-0000CE8B0000}"/>
    <cellStyle name="Percent 130 7" xfId="24541" xr:uid="{00000000-0005-0000-0000-0000CF8B0000}"/>
    <cellStyle name="Percent 131" xfId="4122" xr:uid="{00000000-0005-0000-0000-0000D08B0000}"/>
    <cellStyle name="Percent 132" xfId="4123" xr:uid="{00000000-0005-0000-0000-0000D18B0000}"/>
    <cellStyle name="Percent 133" xfId="4124" xr:uid="{00000000-0005-0000-0000-0000D28B0000}"/>
    <cellStyle name="Percent 134" xfId="4125" xr:uid="{00000000-0005-0000-0000-0000D38B0000}"/>
    <cellStyle name="Percent 135" xfId="4126" xr:uid="{00000000-0005-0000-0000-0000D48B0000}"/>
    <cellStyle name="Percent 136" xfId="4127" xr:uid="{00000000-0005-0000-0000-0000D58B0000}"/>
    <cellStyle name="Percent 137" xfId="4128" xr:uid="{00000000-0005-0000-0000-0000D68B0000}"/>
    <cellStyle name="Percent 138" xfId="4129" xr:uid="{00000000-0005-0000-0000-0000D78B0000}"/>
    <cellStyle name="Percent 139" xfId="4130" xr:uid="{00000000-0005-0000-0000-0000D88B0000}"/>
    <cellStyle name="Percent 14" xfId="4131" xr:uid="{00000000-0005-0000-0000-0000D98B0000}"/>
    <cellStyle name="Percent 140" xfId="4132" xr:uid="{00000000-0005-0000-0000-0000DA8B0000}"/>
    <cellStyle name="Percent 141" xfId="4133" xr:uid="{00000000-0005-0000-0000-0000DB8B0000}"/>
    <cellStyle name="Percent 142" xfId="4134" xr:uid="{00000000-0005-0000-0000-0000DC8B0000}"/>
    <cellStyle name="Percent 143" xfId="4135" xr:uid="{00000000-0005-0000-0000-0000DD8B0000}"/>
    <cellStyle name="Percent 144" xfId="4136" xr:uid="{00000000-0005-0000-0000-0000DE8B0000}"/>
    <cellStyle name="Percent 145" xfId="4137" xr:uid="{00000000-0005-0000-0000-0000DF8B0000}"/>
    <cellStyle name="Percent 146" xfId="4138" xr:uid="{00000000-0005-0000-0000-0000E08B0000}"/>
    <cellStyle name="Percent 147" xfId="4139" xr:uid="{00000000-0005-0000-0000-0000E18B0000}"/>
    <cellStyle name="Percent 148" xfId="4140" xr:uid="{00000000-0005-0000-0000-0000E28B0000}"/>
    <cellStyle name="Percent 149" xfId="4141" xr:uid="{00000000-0005-0000-0000-0000E38B0000}"/>
    <cellStyle name="Percent 15" xfId="4142" xr:uid="{00000000-0005-0000-0000-0000E48B0000}"/>
    <cellStyle name="Percent 150" xfId="4143" xr:uid="{00000000-0005-0000-0000-0000E58B0000}"/>
    <cellStyle name="Percent 151" xfId="4144" xr:uid="{00000000-0005-0000-0000-0000E68B0000}"/>
    <cellStyle name="Percent 152" xfId="4145" xr:uid="{00000000-0005-0000-0000-0000E78B0000}"/>
    <cellStyle name="Percent 153" xfId="4146" xr:uid="{00000000-0005-0000-0000-0000E88B0000}"/>
    <cellStyle name="Percent 154" xfId="4147" xr:uid="{00000000-0005-0000-0000-0000E98B0000}"/>
    <cellStyle name="Percent 155" xfId="4148" xr:uid="{00000000-0005-0000-0000-0000EA8B0000}"/>
    <cellStyle name="Percent 156" xfId="4149" xr:uid="{00000000-0005-0000-0000-0000EB8B0000}"/>
    <cellStyle name="Percent 157" xfId="4150" xr:uid="{00000000-0005-0000-0000-0000EC8B0000}"/>
    <cellStyle name="Percent 158" xfId="4151" xr:uid="{00000000-0005-0000-0000-0000ED8B0000}"/>
    <cellStyle name="Percent 159" xfId="4152" xr:uid="{00000000-0005-0000-0000-0000EE8B0000}"/>
    <cellStyle name="Percent 159 2" xfId="5240" xr:uid="{00000000-0005-0000-0000-0000EF8B0000}"/>
    <cellStyle name="Percent 159 2 2" xfId="6865" xr:uid="{00000000-0005-0000-0000-0000F08B0000}"/>
    <cellStyle name="Percent 159 2 2 2" xfId="9951" xr:uid="{00000000-0005-0000-0000-0000F18B0000}"/>
    <cellStyle name="Percent 159 2 2 2 2" xfId="16144" xr:uid="{00000000-0005-0000-0000-0000F28B0000}"/>
    <cellStyle name="Percent 159 2 2 2 2 2" xfId="36064" xr:uid="{00000000-0005-0000-0000-0000F38B0000}"/>
    <cellStyle name="Percent 159 2 2 2 3" xfId="22296" xr:uid="{00000000-0005-0000-0000-0000F48B0000}"/>
    <cellStyle name="Percent 159 2 2 2 3 2" xfId="42216" xr:uid="{00000000-0005-0000-0000-0000F58B0000}"/>
    <cellStyle name="Percent 159 2 2 2 4" xfId="29911" xr:uid="{00000000-0005-0000-0000-0000F68B0000}"/>
    <cellStyle name="Percent 159 2 2 3" xfId="13078" xr:uid="{00000000-0005-0000-0000-0000F78B0000}"/>
    <cellStyle name="Percent 159 2 2 3 2" xfId="32998" xr:uid="{00000000-0005-0000-0000-0000F88B0000}"/>
    <cellStyle name="Percent 159 2 2 4" xfId="19230" xr:uid="{00000000-0005-0000-0000-0000F98B0000}"/>
    <cellStyle name="Percent 159 2 2 4 2" xfId="39150" xr:uid="{00000000-0005-0000-0000-0000FA8B0000}"/>
    <cellStyle name="Percent 159 2 2 5" xfId="26845" xr:uid="{00000000-0005-0000-0000-0000FB8B0000}"/>
    <cellStyle name="Percent 159 2 3" xfId="8416" xr:uid="{00000000-0005-0000-0000-0000FC8B0000}"/>
    <cellStyle name="Percent 159 2 3 2" xfId="14610" xr:uid="{00000000-0005-0000-0000-0000FD8B0000}"/>
    <cellStyle name="Percent 159 2 3 2 2" xfId="34530" xr:uid="{00000000-0005-0000-0000-0000FE8B0000}"/>
    <cellStyle name="Percent 159 2 3 3" xfId="20762" xr:uid="{00000000-0005-0000-0000-0000FF8B0000}"/>
    <cellStyle name="Percent 159 2 3 3 2" xfId="40682" xr:uid="{00000000-0005-0000-0000-0000008C0000}"/>
    <cellStyle name="Percent 159 2 3 4" xfId="28377" xr:uid="{00000000-0005-0000-0000-0000018C0000}"/>
    <cellStyle name="Percent 159 2 4" xfId="11544" xr:uid="{00000000-0005-0000-0000-0000028C0000}"/>
    <cellStyle name="Percent 159 2 4 2" xfId="31464" xr:uid="{00000000-0005-0000-0000-0000038C0000}"/>
    <cellStyle name="Percent 159 2 5" xfId="17696" xr:uid="{00000000-0005-0000-0000-0000048C0000}"/>
    <cellStyle name="Percent 159 2 5 2" xfId="37616" xr:uid="{00000000-0005-0000-0000-0000058C0000}"/>
    <cellStyle name="Percent 159 2 6" xfId="25311" xr:uid="{00000000-0005-0000-0000-0000068C0000}"/>
    <cellStyle name="Percent 159 3" xfId="6082" xr:uid="{00000000-0005-0000-0000-0000078C0000}"/>
    <cellStyle name="Percent 159 3 2" xfId="9182" xr:uid="{00000000-0005-0000-0000-0000088C0000}"/>
    <cellStyle name="Percent 159 3 2 2" xfId="15375" xr:uid="{00000000-0005-0000-0000-0000098C0000}"/>
    <cellStyle name="Percent 159 3 2 2 2" xfId="35295" xr:uid="{00000000-0005-0000-0000-00000A8C0000}"/>
    <cellStyle name="Percent 159 3 2 3" xfId="21527" xr:uid="{00000000-0005-0000-0000-00000B8C0000}"/>
    <cellStyle name="Percent 159 3 2 3 2" xfId="41447" xr:uid="{00000000-0005-0000-0000-00000C8C0000}"/>
    <cellStyle name="Percent 159 3 2 4" xfId="29142" xr:uid="{00000000-0005-0000-0000-00000D8C0000}"/>
    <cellStyle name="Percent 159 3 3" xfId="12309" xr:uid="{00000000-0005-0000-0000-00000E8C0000}"/>
    <cellStyle name="Percent 159 3 3 2" xfId="32229" xr:uid="{00000000-0005-0000-0000-00000F8C0000}"/>
    <cellStyle name="Percent 159 3 4" xfId="18461" xr:uid="{00000000-0005-0000-0000-0000108C0000}"/>
    <cellStyle name="Percent 159 3 4 2" xfId="38381" xr:uid="{00000000-0005-0000-0000-0000118C0000}"/>
    <cellStyle name="Percent 159 3 5" xfId="26076" xr:uid="{00000000-0005-0000-0000-0000128C0000}"/>
    <cellStyle name="Percent 159 4" xfId="7647" xr:uid="{00000000-0005-0000-0000-0000138C0000}"/>
    <cellStyle name="Percent 159 4 2" xfId="13841" xr:uid="{00000000-0005-0000-0000-0000148C0000}"/>
    <cellStyle name="Percent 159 4 2 2" xfId="33761" xr:uid="{00000000-0005-0000-0000-0000158C0000}"/>
    <cellStyle name="Percent 159 4 3" xfId="19993" xr:uid="{00000000-0005-0000-0000-0000168C0000}"/>
    <cellStyle name="Percent 159 4 3 2" xfId="39913" xr:uid="{00000000-0005-0000-0000-0000178C0000}"/>
    <cellStyle name="Percent 159 4 4" xfId="27608" xr:uid="{00000000-0005-0000-0000-0000188C0000}"/>
    <cellStyle name="Percent 159 5" xfId="10775" xr:uid="{00000000-0005-0000-0000-0000198C0000}"/>
    <cellStyle name="Percent 159 5 2" xfId="30695" xr:uid="{00000000-0005-0000-0000-00001A8C0000}"/>
    <cellStyle name="Percent 159 6" xfId="16927" xr:uid="{00000000-0005-0000-0000-00001B8C0000}"/>
    <cellStyle name="Percent 159 6 2" xfId="36847" xr:uid="{00000000-0005-0000-0000-00001C8C0000}"/>
    <cellStyle name="Percent 159 7" xfId="24542" xr:uid="{00000000-0005-0000-0000-00001D8C0000}"/>
    <cellStyle name="Percent 16" xfId="4153" xr:uid="{00000000-0005-0000-0000-00001E8C0000}"/>
    <cellStyle name="Percent 160" xfId="1205" xr:uid="{00000000-0005-0000-0000-00001F8C0000}"/>
    <cellStyle name="Percent 161" xfId="4504" xr:uid="{00000000-0005-0000-0000-0000208C0000}"/>
    <cellStyle name="Percent 162" xfId="1199" xr:uid="{00000000-0005-0000-0000-0000218C0000}"/>
    <cellStyle name="Percent 162 2" xfId="4647" xr:uid="{00000000-0005-0000-0000-0000228C0000}"/>
    <cellStyle name="Percent 162 2 2" xfId="6272" xr:uid="{00000000-0005-0000-0000-0000238C0000}"/>
    <cellStyle name="Percent 162 2 2 2" xfId="9358" xr:uid="{00000000-0005-0000-0000-0000248C0000}"/>
    <cellStyle name="Percent 162 2 2 2 2" xfId="15551" xr:uid="{00000000-0005-0000-0000-0000258C0000}"/>
    <cellStyle name="Percent 162 2 2 2 2 2" xfId="35471" xr:uid="{00000000-0005-0000-0000-0000268C0000}"/>
    <cellStyle name="Percent 162 2 2 2 3" xfId="21703" xr:uid="{00000000-0005-0000-0000-0000278C0000}"/>
    <cellStyle name="Percent 162 2 2 2 3 2" xfId="41623" xr:uid="{00000000-0005-0000-0000-0000288C0000}"/>
    <cellStyle name="Percent 162 2 2 2 4" xfId="29318" xr:uid="{00000000-0005-0000-0000-0000298C0000}"/>
    <cellStyle name="Percent 162 2 2 3" xfId="12485" xr:uid="{00000000-0005-0000-0000-00002A8C0000}"/>
    <cellStyle name="Percent 162 2 2 3 2" xfId="32405" xr:uid="{00000000-0005-0000-0000-00002B8C0000}"/>
    <cellStyle name="Percent 162 2 2 4" xfId="18637" xr:uid="{00000000-0005-0000-0000-00002C8C0000}"/>
    <cellStyle name="Percent 162 2 2 4 2" xfId="38557" xr:uid="{00000000-0005-0000-0000-00002D8C0000}"/>
    <cellStyle name="Percent 162 2 2 5" xfId="26252" xr:uid="{00000000-0005-0000-0000-00002E8C0000}"/>
    <cellStyle name="Percent 162 2 3" xfId="7823" xr:uid="{00000000-0005-0000-0000-00002F8C0000}"/>
    <cellStyle name="Percent 162 2 3 2" xfId="14017" xr:uid="{00000000-0005-0000-0000-0000308C0000}"/>
    <cellStyle name="Percent 162 2 3 2 2" xfId="33937" xr:uid="{00000000-0005-0000-0000-0000318C0000}"/>
    <cellStyle name="Percent 162 2 3 3" xfId="20169" xr:uid="{00000000-0005-0000-0000-0000328C0000}"/>
    <cellStyle name="Percent 162 2 3 3 2" xfId="40089" xr:uid="{00000000-0005-0000-0000-0000338C0000}"/>
    <cellStyle name="Percent 162 2 3 4" xfId="27784" xr:uid="{00000000-0005-0000-0000-0000348C0000}"/>
    <cellStyle name="Percent 162 2 4" xfId="10951" xr:uid="{00000000-0005-0000-0000-0000358C0000}"/>
    <cellStyle name="Percent 162 2 4 2" xfId="30871" xr:uid="{00000000-0005-0000-0000-0000368C0000}"/>
    <cellStyle name="Percent 162 2 5" xfId="17103" xr:uid="{00000000-0005-0000-0000-0000378C0000}"/>
    <cellStyle name="Percent 162 2 5 2" xfId="37023" xr:uid="{00000000-0005-0000-0000-0000388C0000}"/>
    <cellStyle name="Percent 162 2 6" xfId="24718" xr:uid="{00000000-0005-0000-0000-0000398C0000}"/>
    <cellStyle name="Percent 162 3" xfId="5486" xr:uid="{00000000-0005-0000-0000-00003A8C0000}"/>
    <cellStyle name="Percent 162 3 2" xfId="8589" xr:uid="{00000000-0005-0000-0000-00003B8C0000}"/>
    <cellStyle name="Percent 162 3 2 2" xfId="14782" xr:uid="{00000000-0005-0000-0000-00003C8C0000}"/>
    <cellStyle name="Percent 162 3 2 2 2" xfId="34702" xr:uid="{00000000-0005-0000-0000-00003D8C0000}"/>
    <cellStyle name="Percent 162 3 2 3" xfId="20934" xr:uid="{00000000-0005-0000-0000-00003E8C0000}"/>
    <cellStyle name="Percent 162 3 2 3 2" xfId="40854" xr:uid="{00000000-0005-0000-0000-00003F8C0000}"/>
    <cellStyle name="Percent 162 3 2 4" xfId="28549" xr:uid="{00000000-0005-0000-0000-0000408C0000}"/>
    <cellStyle name="Percent 162 3 3" xfId="11716" xr:uid="{00000000-0005-0000-0000-0000418C0000}"/>
    <cellStyle name="Percent 162 3 3 2" xfId="31636" xr:uid="{00000000-0005-0000-0000-0000428C0000}"/>
    <cellStyle name="Percent 162 3 4" xfId="17868" xr:uid="{00000000-0005-0000-0000-0000438C0000}"/>
    <cellStyle name="Percent 162 3 4 2" xfId="37788" xr:uid="{00000000-0005-0000-0000-0000448C0000}"/>
    <cellStyle name="Percent 162 3 5" xfId="25483" xr:uid="{00000000-0005-0000-0000-0000458C0000}"/>
    <cellStyle name="Percent 162 4" xfId="7054" xr:uid="{00000000-0005-0000-0000-0000468C0000}"/>
    <cellStyle name="Percent 162 4 2" xfId="13248" xr:uid="{00000000-0005-0000-0000-0000478C0000}"/>
    <cellStyle name="Percent 162 4 2 2" xfId="33168" xr:uid="{00000000-0005-0000-0000-0000488C0000}"/>
    <cellStyle name="Percent 162 4 3" xfId="19400" xr:uid="{00000000-0005-0000-0000-0000498C0000}"/>
    <cellStyle name="Percent 162 4 3 2" xfId="39320" xr:uid="{00000000-0005-0000-0000-00004A8C0000}"/>
    <cellStyle name="Percent 162 4 4" xfId="27015" xr:uid="{00000000-0005-0000-0000-00004B8C0000}"/>
    <cellStyle name="Percent 162 5" xfId="10182" xr:uid="{00000000-0005-0000-0000-00004C8C0000}"/>
    <cellStyle name="Percent 162 5 2" xfId="30102" xr:uid="{00000000-0005-0000-0000-00004D8C0000}"/>
    <cellStyle name="Percent 162 6" xfId="16334" xr:uid="{00000000-0005-0000-0000-00004E8C0000}"/>
    <cellStyle name="Percent 162 6 2" xfId="36254" xr:uid="{00000000-0005-0000-0000-00004F8C0000}"/>
    <cellStyle name="Percent 162 7" xfId="23949" xr:uid="{00000000-0005-0000-0000-0000508C0000}"/>
    <cellStyle name="Percent 163" xfId="4611" xr:uid="{00000000-0005-0000-0000-0000518C0000}"/>
    <cellStyle name="Percent 163 2" xfId="4618" xr:uid="{00000000-0005-0000-0000-0000528C0000}"/>
    <cellStyle name="Percent 163 3" xfId="6243" xr:uid="{00000000-0005-0000-0000-0000538C0000}"/>
    <cellStyle name="Percent 163 3 2" xfId="9329" xr:uid="{00000000-0005-0000-0000-0000548C0000}"/>
    <cellStyle name="Percent 163 3 2 2" xfId="15522" xr:uid="{00000000-0005-0000-0000-0000558C0000}"/>
    <cellStyle name="Percent 163 3 2 2 2" xfId="35442" xr:uid="{00000000-0005-0000-0000-0000568C0000}"/>
    <cellStyle name="Percent 163 3 2 3" xfId="21674" xr:uid="{00000000-0005-0000-0000-0000578C0000}"/>
    <cellStyle name="Percent 163 3 2 3 2" xfId="41594" xr:uid="{00000000-0005-0000-0000-0000588C0000}"/>
    <cellStyle name="Percent 163 3 2 4" xfId="29289" xr:uid="{00000000-0005-0000-0000-0000598C0000}"/>
    <cellStyle name="Percent 163 3 3" xfId="12456" xr:uid="{00000000-0005-0000-0000-00005A8C0000}"/>
    <cellStyle name="Percent 163 3 3 2" xfId="32376" xr:uid="{00000000-0005-0000-0000-00005B8C0000}"/>
    <cellStyle name="Percent 163 3 4" xfId="18608" xr:uid="{00000000-0005-0000-0000-00005C8C0000}"/>
    <cellStyle name="Percent 163 3 4 2" xfId="38528" xr:uid="{00000000-0005-0000-0000-00005D8C0000}"/>
    <cellStyle name="Percent 163 3 5" xfId="26223" xr:uid="{00000000-0005-0000-0000-00005E8C0000}"/>
    <cellStyle name="Percent 163 4" xfId="7794" xr:uid="{00000000-0005-0000-0000-00005F8C0000}"/>
    <cellStyle name="Percent 163 4 2" xfId="13988" xr:uid="{00000000-0005-0000-0000-0000608C0000}"/>
    <cellStyle name="Percent 163 4 2 2" xfId="33908" xr:uid="{00000000-0005-0000-0000-0000618C0000}"/>
    <cellStyle name="Percent 163 4 3" xfId="20140" xr:uid="{00000000-0005-0000-0000-0000628C0000}"/>
    <cellStyle name="Percent 163 4 3 2" xfId="40060" xr:uid="{00000000-0005-0000-0000-0000638C0000}"/>
    <cellStyle name="Percent 163 4 4" xfId="27755" xr:uid="{00000000-0005-0000-0000-0000648C0000}"/>
    <cellStyle name="Percent 163 5" xfId="10922" xr:uid="{00000000-0005-0000-0000-0000658C0000}"/>
    <cellStyle name="Percent 163 5 2" xfId="30842" xr:uid="{00000000-0005-0000-0000-0000668C0000}"/>
    <cellStyle name="Percent 163 6" xfId="17074" xr:uid="{00000000-0005-0000-0000-0000678C0000}"/>
    <cellStyle name="Percent 163 6 2" xfId="36994" xr:uid="{00000000-0005-0000-0000-0000688C0000}"/>
    <cellStyle name="Percent 163 7" xfId="24689" xr:uid="{00000000-0005-0000-0000-0000698C0000}"/>
    <cellStyle name="Percent 164" xfId="5385" xr:uid="{00000000-0005-0000-0000-00006A8C0000}"/>
    <cellStyle name="Percent 165" xfId="5455" xr:uid="{00000000-0005-0000-0000-00006B8C0000}"/>
    <cellStyle name="Percent 166" xfId="5393" xr:uid="{00000000-0005-0000-0000-00006C8C0000}"/>
    <cellStyle name="Percent 167" xfId="5446" xr:uid="{00000000-0005-0000-0000-00006D8C0000}"/>
    <cellStyle name="Percent 168" xfId="5404" xr:uid="{00000000-0005-0000-0000-00006E8C0000}"/>
    <cellStyle name="Percent 169" xfId="5435" xr:uid="{00000000-0005-0000-0000-00006F8C0000}"/>
    <cellStyle name="Percent 17" xfId="4154" xr:uid="{00000000-0005-0000-0000-0000708C0000}"/>
    <cellStyle name="Percent 170" xfId="5407" xr:uid="{00000000-0005-0000-0000-0000718C0000}"/>
    <cellStyle name="Percent 171" xfId="5432" xr:uid="{00000000-0005-0000-0000-0000728C0000}"/>
    <cellStyle name="Percent 172" xfId="5399" xr:uid="{00000000-0005-0000-0000-0000738C0000}"/>
    <cellStyle name="Percent 173" xfId="5449" xr:uid="{00000000-0005-0000-0000-0000748C0000}"/>
    <cellStyle name="Percent 174" xfId="5392" xr:uid="{00000000-0005-0000-0000-0000758C0000}"/>
    <cellStyle name="Percent 175" xfId="5424" xr:uid="{00000000-0005-0000-0000-0000768C0000}"/>
    <cellStyle name="Percent 176" xfId="5402" xr:uid="{00000000-0005-0000-0000-0000778C0000}"/>
    <cellStyle name="Percent 177" xfId="5448" xr:uid="{00000000-0005-0000-0000-0000788C0000}"/>
    <cellStyle name="Percent 178" xfId="5416" xr:uid="{00000000-0005-0000-0000-0000798C0000}"/>
    <cellStyle name="Percent 179" xfId="5439" xr:uid="{00000000-0005-0000-0000-00007A8C0000}"/>
    <cellStyle name="Percent 18" xfId="4155" xr:uid="{00000000-0005-0000-0000-00007B8C0000}"/>
    <cellStyle name="Percent 180" xfId="4622" xr:uid="{00000000-0005-0000-0000-00007C8C0000}"/>
    <cellStyle name="Percent 180 2" xfId="6247" xr:uid="{00000000-0005-0000-0000-00007D8C0000}"/>
    <cellStyle name="Percent 180 2 2" xfId="9333" xr:uid="{00000000-0005-0000-0000-00007E8C0000}"/>
    <cellStyle name="Percent 180 2 2 2" xfId="15526" xr:uid="{00000000-0005-0000-0000-00007F8C0000}"/>
    <cellStyle name="Percent 180 2 2 2 2" xfId="35446" xr:uid="{00000000-0005-0000-0000-0000808C0000}"/>
    <cellStyle name="Percent 180 2 2 3" xfId="21678" xr:uid="{00000000-0005-0000-0000-0000818C0000}"/>
    <cellStyle name="Percent 180 2 2 3 2" xfId="41598" xr:uid="{00000000-0005-0000-0000-0000828C0000}"/>
    <cellStyle name="Percent 180 2 2 4" xfId="29293" xr:uid="{00000000-0005-0000-0000-0000838C0000}"/>
    <cellStyle name="Percent 180 2 3" xfId="12460" xr:uid="{00000000-0005-0000-0000-0000848C0000}"/>
    <cellStyle name="Percent 180 2 3 2" xfId="32380" xr:uid="{00000000-0005-0000-0000-0000858C0000}"/>
    <cellStyle name="Percent 180 2 4" xfId="18612" xr:uid="{00000000-0005-0000-0000-0000868C0000}"/>
    <cellStyle name="Percent 180 2 4 2" xfId="38532" xr:uid="{00000000-0005-0000-0000-0000878C0000}"/>
    <cellStyle name="Percent 180 2 5" xfId="26227" xr:uid="{00000000-0005-0000-0000-0000888C0000}"/>
    <cellStyle name="Percent 180 3" xfId="7798" xr:uid="{00000000-0005-0000-0000-0000898C0000}"/>
    <cellStyle name="Percent 180 3 2" xfId="13992" xr:uid="{00000000-0005-0000-0000-00008A8C0000}"/>
    <cellStyle name="Percent 180 3 2 2" xfId="33912" xr:uid="{00000000-0005-0000-0000-00008B8C0000}"/>
    <cellStyle name="Percent 180 3 3" xfId="20144" xr:uid="{00000000-0005-0000-0000-00008C8C0000}"/>
    <cellStyle name="Percent 180 3 3 2" xfId="40064" xr:uid="{00000000-0005-0000-0000-00008D8C0000}"/>
    <cellStyle name="Percent 180 3 4" xfId="27759" xr:uid="{00000000-0005-0000-0000-00008E8C0000}"/>
    <cellStyle name="Percent 180 4" xfId="10926" xr:uid="{00000000-0005-0000-0000-00008F8C0000}"/>
    <cellStyle name="Percent 180 4 2" xfId="30846" xr:uid="{00000000-0005-0000-0000-0000908C0000}"/>
    <cellStyle name="Percent 180 5" xfId="17078" xr:uid="{00000000-0005-0000-0000-0000918C0000}"/>
    <cellStyle name="Percent 180 5 2" xfId="36998" xr:uid="{00000000-0005-0000-0000-0000928C0000}"/>
    <cellStyle name="Percent 180 6" xfId="24693" xr:uid="{00000000-0005-0000-0000-0000938C0000}"/>
    <cellStyle name="Percent 181" xfId="7025" xr:uid="{00000000-0005-0000-0000-0000948C0000}"/>
    <cellStyle name="Percent 182" xfId="10096" xr:uid="{00000000-0005-0000-0000-0000958C0000}"/>
    <cellStyle name="Percent 183" xfId="10102" xr:uid="{00000000-0005-0000-0000-0000968C0000}"/>
    <cellStyle name="Percent 184" xfId="10153" xr:uid="{00000000-0005-0000-0000-0000978C0000}"/>
    <cellStyle name="Percent 185" xfId="1061" xr:uid="{00000000-0005-0000-0000-0000988C0000}"/>
    <cellStyle name="Percent 186" xfId="1098" xr:uid="{00000000-0005-0000-0000-0000998C0000}"/>
    <cellStyle name="Percent 187" xfId="22468" xr:uid="{00000000-0005-0000-0000-00009A8C0000}"/>
    <cellStyle name="Percent 188" xfId="22463" xr:uid="{00000000-0005-0000-0000-00009B8C0000}"/>
    <cellStyle name="Percent 189" xfId="22465" xr:uid="{00000000-0005-0000-0000-00009C8C0000}"/>
    <cellStyle name="Percent 19" xfId="4156" xr:uid="{00000000-0005-0000-0000-00009D8C0000}"/>
    <cellStyle name="Percent 190" xfId="1038" xr:uid="{00000000-0005-0000-0000-00009E8C0000}"/>
    <cellStyle name="Percent 190 2" xfId="23919" xr:uid="{00000000-0005-0000-0000-00009F8C0000}"/>
    <cellStyle name="Percent 191" xfId="1043" xr:uid="{00000000-0005-0000-0000-0000A08C0000}"/>
    <cellStyle name="Percent 191 2" xfId="23922" xr:uid="{00000000-0005-0000-0000-0000A18C0000}"/>
    <cellStyle name="Percent 192" xfId="22509" xr:uid="{00000000-0005-0000-0000-0000A28C0000}"/>
    <cellStyle name="Percent 192 2" xfId="42420" xr:uid="{00000000-0005-0000-0000-0000A38C0000}"/>
    <cellStyle name="Percent 193" xfId="22538" xr:uid="{00000000-0005-0000-0000-0000A48C0000}"/>
    <cellStyle name="Percent 193 2" xfId="42449" xr:uid="{00000000-0005-0000-0000-0000A58C0000}"/>
    <cellStyle name="Percent 194" xfId="22656" xr:uid="{00000000-0005-0000-0000-0000A68C0000}"/>
    <cellStyle name="Percent 194 2" xfId="42567" xr:uid="{00000000-0005-0000-0000-0000A78C0000}"/>
    <cellStyle name="Percent 195" xfId="22473" xr:uid="{00000000-0005-0000-0000-0000A88C0000}"/>
    <cellStyle name="Percent 195 2" xfId="42384" xr:uid="{00000000-0005-0000-0000-0000A98C0000}"/>
    <cellStyle name="Percent 196" xfId="22684" xr:uid="{00000000-0005-0000-0000-0000AA8C0000}"/>
    <cellStyle name="Percent 196 2" xfId="42595" xr:uid="{00000000-0005-0000-0000-0000AB8C0000}"/>
    <cellStyle name="Percent 197" xfId="22513" xr:uid="{00000000-0005-0000-0000-0000AC8C0000}"/>
    <cellStyle name="Percent 197 2" xfId="42424" xr:uid="{00000000-0005-0000-0000-0000AD8C0000}"/>
    <cellStyle name="Percent 198" xfId="23322" xr:uid="{00000000-0005-0000-0000-0000AE8C0000}"/>
    <cellStyle name="Percent 2" xfId="9" xr:uid="{00000000-0005-0000-0000-0000AF8C0000}"/>
    <cellStyle name="Percent 2 10" xfId="196" xr:uid="{00000000-0005-0000-0000-0000B08C0000}"/>
    <cellStyle name="Percent 2 10 2" xfId="4562" xr:uid="{00000000-0005-0000-0000-0000B18C0000}"/>
    <cellStyle name="Percent 2 10 3" xfId="4158" xr:uid="{00000000-0005-0000-0000-0000B28C0000}"/>
    <cellStyle name="Percent 2 10 4" xfId="1125" xr:uid="{00000000-0005-0000-0000-0000B38C0000}"/>
    <cellStyle name="Percent 2 11" xfId="226" xr:uid="{00000000-0005-0000-0000-0000B48C0000}"/>
    <cellStyle name="Percent 2 11 2" xfId="4563" xr:uid="{00000000-0005-0000-0000-0000B58C0000}"/>
    <cellStyle name="Percent 2 11 3" xfId="4159" xr:uid="{00000000-0005-0000-0000-0000B68C0000}"/>
    <cellStyle name="Percent 2 11 4" xfId="1126" xr:uid="{00000000-0005-0000-0000-0000B78C0000}"/>
    <cellStyle name="Percent 2 12" xfId="218" xr:uid="{00000000-0005-0000-0000-0000B88C0000}"/>
    <cellStyle name="Percent 2 12 2" xfId="4564" xr:uid="{00000000-0005-0000-0000-0000B98C0000}"/>
    <cellStyle name="Percent 2 12 3" xfId="4160" xr:uid="{00000000-0005-0000-0000-0000BA8C0000}"/>
    <cellStyle name="Percent 2 12 4" xfId="1127" xr:uid="{00000000-0005-0000-0000-0000BB8C0000}"/>
    <cellStyle name="Percent 2 13" xfId="237" xr:uid="{00000000-0005-0000-0000-0000BC8C0000}"/>
    <cellStyle name="Percent 2 13 2" xfId="4565" xr:uid="{00000000-0005-0000-0000-0000BD8C0000}"/>
    <cellStyle name="Percent 2 13 3" xfId="4161" xr:uid="{00000000-0005-0000-0000-0000BE8C0000}"/>
    <cellStyle name="Percent 2 13 4" xfId="1128" xr:uid="{00000000-0005-0000-0000-0000BF8C0000}"/>
    <cellStyle name="Percent 2 14" xfId="252" xr:uid="{00000000-0005-0000-0000-0000C08C0000}"/>
    <cellStyle name="Percent 2 14 2" xfId="4566" xr:uid="{00000000-0005-0000-0000-0000C18C0000}"/>
    <cellStyle name="Percent 2 14 3" xfId="4162" xr:uid="{00000000-0005-0000-0000-0000C28C0000}"/>
    <cellStyle name="Percent 2 14 4" xfId="1129" xr:uid="{00000000-0005-0000-0000-0000C38C0000}"/>
    <cellStyle name="Percent 2 15" xfId="268" xr:uid="{00000000-0005-0000-0000-0000C48C0000}"/>
    <cellStyle name="Percent 2 15 2" xfId="4567" xr:uid="{00000000-0005-0000-0000-0000C58C0000}"/>
    <cellStyle name="Percent 2 15 3" xfId="4163" xr:uid="{00000000-0005-0000-0000-0000C68C0000}"/>
    <cellStyle name="Percent 2 15 4" xfId="1130" xr:uid="{00000000-0005-0000-0000-0000C78C0000}"/>
    <cellStyle name="Percent 2 16" xfId="282" xr:uid="{00000000-0005-0000-0000-0000C88C0000}"/>
    <cellStyle name="Percent 2 16 2" xfId="4568" xr:uid="{00000000-0005-0000-0000-0000C98C0000}"/>
    <cellStyle name="Percent 2 16 3" xfId="4164" xr:uid="{00000000-0005-0000-0000-0000CA8C0000}"/>
    <cellStyle name="Percent 2 16 4" xfId="1131" xr:uid="{00000000-0005-0000-0000-0000CB8C0000}"/>
    <cellStyle name="Percent 2 17" xfId="304" xr:uid="{00000000-0005-0000-0000-0000CC8C0000}"/>
    <cellStyle name="Percent 2 17 2" xfId="4569" xr:uid="{00000000-0005-0000-0000-0000CD8C0000}"/>
    <cellStyle name="Percent 2 17 3" xfId="4165" xr:uid="{00000000-0005-0000-0000-0000CE8C0000}"/>
    <cellStyle name="Percent 2 17 4" xfId="1132" xr:uid="{00000000-0005-0000-0000-0000CF8C0000}"/>
    <cellStyle name="Percent 2 18" xfId="332" xr:uid="{00000000-0005-0000-0000-0000D08C0000}"/>
    <cellStyle name="Percent 2 18 2" xfId="4570" xr:uid="{00000000-0005-0000-0000-0000D18C0000}"/>
    <cellStyle name="Percent 2 18 3" xfId="4166" xr:uid="{00000000-0005-0000-0000-0000D28C0000}"/>
    <cellStyle name="Percent 2 18 4" xfId="1133" xr:uid="{00000000-0005-0000-0000-0000D38C0000}"/>
    <cellStyle name="Percent 2 19" xfId="357" xr:uid="{00000000-0005-0000-0000-0000D48C0000}"/>
    <cellStyle name="Percent 2 19 2" xfId="4571" xr:uid="{00000000-0005-0000-0000-0000D58C0000}"/>
    <cellStyle name="Percent 2 19 3" xfId="4167" xr:uid="{00000000-0005-0000-0000-0000D68C0000}"/>
    <cellStyle name="Percent 2 19 4" xfId="1134" xr:uid="{00000000-0005-0000-0000-0000D78C0000}"/>
    <cellStyle name="Percent 2 2" xfId="17" xr:uid="{00000000-0005-0000-0000-0000D88C0000}"/>
    <cellStyle name="Percent 2 2 10" xfId="147" xr:uid="{00000000-0005-0000-0000-0000D98C0000}"/>
    <cellStyle name="Percent 2 2 11" xfId="180" xr:uid="{00000000-0005-0000-0000-0000DA8C0000}"/>
    <cellStyle name="Percent 2 2 12" xfId="225" xr:uid="{00000000-0005-0000-0000-0000DB8C0000}"/>
    <cellStyle name="Percent 2 2 13" xfId="204" xr:uid="{00000000-0005-0000-0000-0000DC8C0000}"/>
    <cellStyle name="Percent 2 2 14" xfId="306" xr:uid="{00000000-0005-0000-0000-0000DD8C0000}"/>
    <cellStyle name="Percent 2 2 15" xfId="336" xr:uid="{00000000-0005-0000-0000-0000DE8C0000}"/>
    <cellStyle name="Percent 2 2 16" xfId="353" xr:uid="{00000000-0005-0000-0000-0000DF8C0000}"/>
    <cellStyle name="Percent 2 2 17" xfId="376" xr:uid="{00000000-0005-0000-0000-0000E08C0000}"/>
    <cellStyle name="Percent 2 2 18" xfId="418" xr:uid="{00000000-0005-0000-0000-0000E18C0000}"/>
    <cellStyle name="Percent 2 2 19" xfId="445" xr:uid="{00000000-0005-0000-0000-0000E28C0000}"/>
    <cellStyle name="Percent 2 2 2" xfId="127" xr:uid="{00000000-0005-0000-0000-0000E38C0000}"/>
    <cellStyle name="Percent 2 2 2 2" xfId="4169" xr:uid="{00000000-0005-0000-0000-0000E48C0000}"/>
    <cellStyle name="Percent 2 2 2 2 2" xfId="4170" xr:uid="{00000000-0005-0000-0000-0000E58C0000}"/>
    <cellStyle name="Percent 2 2 2 3" xfId="4171" xr:uid="{00000000-0005-0000-0000-0000E68C0000}"/>
    <cellStyle name="Percent 2 2 20" xfId="471" xr:uid="{00000000-0005-0000-0000-0000E78C0000}"/>
    <cellStyle name="Percent 2 2 21" xfId="450" xr:uid="{00000000-0005-0000-0000-0000E88C0000}"/>
    <cellStyle name="Percent 2 2 22" xfId="402" xr:uid="{00000000-0005-0000-0000-0000E98C0000}"/>
    <cellStyle name="Percent 2 2 23" xfId="519" xr:uid="{00000000-0005-0000-0000-0000EA8C0000}"/>
    <cellStyle name="Percent 2 2 24" xfId="583" xr:uid="{00000000-0005-0000-0000-0000EB8C0000}"/>
    <cellStyle name="Percent 2 2 25" xfId="615" xr:uid="{00000000-0005-0000-0000-0000EC8C0000}"/>
    <cellStyle name="Percent 2 2 26" xfId="641" xr:uid="{00000000-0005-0000-0000-0000ED8C0000}"/>
    <cellStyle name="Percent 2 2 27" xfId="666" xr:uid="{00000000-0005-0000-0000-0000EE8C0000}"/>
    <cellStyle name="Percent 2 2 28" xfId="690" xr:uid="{00000000-0005-0000-0000-0000EF8C0000}"/>
    <cellStyle name="Percent 2 2 3" xfId="143" xr:uid="{00000000-0005-0000-0000-0000F08C0000}"/>
    <cellStyle name="Percent 2 2 3 2" xfId="4172" xr:uid="{00000000-0005-0000-0000-0000F18C0000}"/>
    <cellStyle name="Percent 2 2 4" xfId="162" xr:uid="{00000000-0005-0000-0000-0000F28C0000}"/>
    <cellStyle name="Percent 2 2 4 2" xfId="4173" xr:uid="{00000000-0005-0000-0000-0000F38C0000}"/>
    <cellStyle name="Percent 2 2 5" xfId="189" xr:uid="{00000000-0005-0000-0000-0000F48C0000}"/>
    <cellStyle name="Percent 2 2 5 2" xfId="4572" xr:uid="{00000000-0005-0000-0000-0000F58C0000}"/>
    <cellStyle name="Percent 2 2 6" xfId="179" xr:uid="{00000000-0005-0000-0000-0000F68C0000}"/>
    <cellStyle name="Percent 2 2 6 2" xfId="4168" xr:uid="{00000000-0005-0000-0000-0000F78C0000}"/>
    <cellStyle name="Percent 2 2 7" xfId="186" xr:uid="{00000000-0005-0000-0000-0000F88C0000}"/>
    <cellStyle name="Percent 2 2 7 2" xfId="1135" xr:uid="{00000000-0005-0000-0000-0000F98C0000}"/>
    <cellStyle name="Percent 2 2 8" xfId="165" xr:uid="{00000000-0005-0000-0000-0000FA8C0000}"/>
    <cellStyle name="Percent 2 2 9" xfId="187" xr:uid="{00000000-0005-0000-0000-0000FB8C0000}"/>
    <cellStyle name="Percent 2 20" xfId="354" xr:uid="{00000000-0005-0000-0000-0000FC8C0000}"/>
    <cellStyle name="Percent 2 20 2" xfId="4174" xr:uid="{00000000-0005-0000-0000-0000FD8C0000}"/>
    <cellStyle name="Percent 2 21" xfId="360" xr:uid="{00000000-0005-0000-0000-0000FE8C0000}"/>
    <cellStyle name="Percent 2 21 2" xfId="4175" xr:uid="{00000000-0005-0000-0000-0000FF8C0000}"/>
    <cellStyle name="Percent 2 22" xfId="348" xr:uid="{00000000-0005-0000-0000-0000008D0000}"/>
    <cellStyle name="Percent 2 22 2" xfId="5241" xr:uid="{00000000-0005-0000-0000-0000018D0000}"/>
    <cellStyle name="Percent 2 22 2 2" xfId="6866" xr:uid="{00000000-0005-0000-0000-0000028D0000}"/>
    <cellStyle name="Percent 2 22 2 2 2" xfId="9952" xr:uid="{00000000-0005-0000-0000-0000038D0000}"/>
    <cellStyle name="Percent 2 22 2 2 2 2" xfId="16145" xr:uid="{00000000-0005-0000-0000-0000048D0000}"/>
    <cellStyle name="Percent 2 22 2 2 2 2 2" xfId="36065" xr:uid="{00000000-0005-0000-0000-0000058D0000}"/>
    <cellStyle name="Percent 2 22 2 2 2 3" xfId="22297" xr:uid="{00000000-0005-0000-0000-0000068D0000}"/>
    <cellStyle name="Percent 2 22 2 2 2 3 2" xfId="42217" xr:uid="{00000000-0005-0000-0000-0000078D0000}"/>
    <cellStyle name="Percent 2 22 2 2 2 4" xfId="29912" xr:uid="{00000000-0005-0000-0000-0000088D0000}"/>
    <cellStyle name="Percent 2 22 2 2 3" xfId="13079" xr:uid="{00000000-0005-0000-0000-0000098D0000}"/>
    <cellStyle name="Percent 2 22 2 2 3 2" xfId="32999" xr:uid="{00000000-0005-0000-0000-00000A8D0000}"/>
    <cellStyle name="Percent 2 22 2 2 4" xfId="19231" xr:uid="{00000000-0005-0000-0000-00000B8D0000}"/>
    <cellStyle name="Percent 2 22 2 2 4 2" xfId="39151" xr:uid="{00000000-0005-0000-0000-00000C8D0000}"/>
    <cellStyle name="Percent 2 22 2 2 5" xfId="26846" xr:uid="{00000000-0005-0000-0000-00000D8D0000}"/>
    <cellStyle name="Percent 2 22 2 3" xfId="8417" xr:uid="{00000000-0005-0000-0000-00000E8D0000}"/>
    <cellStyle name="Percent 2 22 2 3 2" xfId="14611" xr:uid="{00000000-0005-0000-0000-00000F8D0000}"/>
    <cellStyle name="Percent 2 22 2 3 2 2" xfId="34531" xr:uid="{00000000-0005-0000-0000-0000108D0000}"/>
    <cellStyle name="Percent 2 22 2 3 3" xfId="20763" xr:uid="{00000000-0005-0000-0000-0000118D0000}"/>
    <cellStyle name="Percent 2 22 2 3 3 2" xfId="40683" xr:uid="{00000000-0005-0000-0000-0000128D0000}"/>
    <cellStyle name="Percent 2 22 2 3 4" xfId="28378" xr:uid="{00000000-0005-0000-0000-0000138D0000}"/>
    <cellStyle name="Percent 2 22 2 4" xfId="11545" xr:uid="{00000000-0005-0000-0000-0000148D0000}"/>
    <cellStyle name="Percent 2 22 2 4 2" xfId="31465" xr:uid="{00000000-0005-0000-0000-0000158D0000}"/>
    <cellStyle name="Percent 2 22 2 5" xfId="17697" xr:uid="{00000000-0005-0000-0000-0000168D0000}"/>
    <cellStyle name="Percent 2 22 2 5 2" xfId="37617" xr:uid="{00000000-0005-0000-0000-0000178D0000}"/>
    <cellStyle name="Percent 2 22 2 6" xfId="25312" xr:uid="{00000000-0005-0000-0000-0000188D0000}"/>
    <cellStyle name="Percent 2 22 3" xfId="6083" xr:uid="{00000000-0005-0000-0000-0000198D0000}"/>
    <cellStyle name="Percent 2 22 3 2" xfId="9183" xr:uid="{00000000-0005-0000-0000-00001A8D0000}"/>
    <cellStyle name="Percent 2 22 3 2 2" xfId="15376" xr:uid="{00000000-0005-0000-0000-00001B8D0000}"/>
    <cellStyle name="Percent 2 22 3 2 2 2" xfId="35296" xr:uid="{00000000-0005-0000-0000-00001C8D0000}"/>
    <cellStyle name="Percent 2 22 3 2 3" xfId="21528" xr:uid="{00000000-0005-0000-0000-00001D8D0000}"/>
    <cellStyle name="Percent 2 22 3 2 3 2" xfId="41448" xr:uid="{00000000-0005-0000-0000-00001E8D0000}"/>
    <cellStyle name="Percent 2 22 3 2 4" xfId="29143" xr:uid="{00000000-0005-0000-0000-00001F8D0000}"/>
    <cellStyle name="Percent 2 22 3 3" xfId="12310" xr:uid="{00000000-0005-0000-0000-0000208D0000}"/>
    <cellStyle name="Percent 2 22 3 3 2" xfId="32230" xr:uid="{00000000-0005-0000-0000-0000218D0000}"/>
    <cellStyle name="Percent 2 22 3 4" xfId="18462" xr:uid="{00000000-0005-0000-0000-0000228D0000}"/>
    <cellStyle name="Percent 2 22 3 4 2" xfId="38382" xr:uid="{00000000-0005-0000-0000-0000238D0000}"/>
    <cellStyle name="Percent 2 22 3 5" xfId="26077" xr:uid="{00000000-0005-0000-0000-0000248D0000}"/>
    <cellStyle name="Percent 2 22 4" xfId="7648" xr:uid="{00000000-0005-0000-0000-0000258D0000}"/>
    <cellStyle name="Percent 2 22 4 2" xfId="13842" xr:uid="{00000000-0005-0000-0000-0000268D0000}"/>
    <cellStyle name="Percent 2 22 4 2 2" xfId="33762" xr:uid="{00000000-0005-0000-0000-0000278D0000}"/>
    <cellStyle name="Percent 2 22 4 3" xfId="19994" xr:uid="{00000000-0005-0000-0000-0000288D0000}"/>
    <cellStyle name="Percent 2 22 4 3 2" xfId="39914" xr:uid="{00000000-0005-0000-0000-0000298D0000}"/>
    <cellStyle name="Percent 2 22 4 4" xfId="27609" xr:uid="{00000000-0005-0000-0000-00002A8D0000}"/>
    <cellStyle name="Percent 2 22 5" xfId="10776" xr:uid="{00000000-0005-0000-0000-00002B8D0000}"/>
    <cellStyle name="Percent 2 22 5 2" xfId="30696" xr:uid="{00000000-0005-0000-0000-00002C8D0000}"/>
    <cellStyle name="Percent 2 22 6" xfId="16928" xr:uid="{00000000-0005-0000-0000-00002D8D0000}"/>
    <cellStyle name="Percent 2 22 6 2" xfId="36848" xr:uid="{00000000-0005-0000-0000-00002E8D0000}"/>
    <cellStyle name="Percent 2 22 7" xfId="4157" xr:uid="{00000000-0005-0000-0000-00002F8D0000}"/>
    <cellStyle name="Percent 2 22 7 2" xfId="24543" xr:uid="{00000000-0005-0000-0000-0000308D0000}"/>
    <cellStyle name="Percent 2 23" xfId="395" xr:uid="{00000000-0005-0000-0000-0000318D0000}"/>
    <cellStyle name="Percent 2 24" xfId="410" xr:uid="{00000000-0005-0000-0000-0000328D0000}"/>
    <cellStyle name="Percent 2 25" xfId="343" xr:uid="{00000000-0005-0000-0000-0000338D0000}"/>
    <cellStyle name="Percent 2 26" xfId="481" xr:uid="{00000000-0005-0000-0000-0000348D0000}"/>
    <cellStyle name="Percent 2 27" xfId="558" xr:uid="{00000000-0005-0000-0000-0000358D0000}"/>
    <cellStyle name="Percent 2 28" xfId="536" xr:uid="{00000000-0005-0000-0000-0000368D0000}"/>
    <cellStyle name="Percent 2 29" xfId="526" xr:uid="{00000000-0005-0000-0000-0000378D0000}"/>
    <cellStyle name="Percent 2 3" xfId="88" xr:uid="{00000000-0005-0000-0000-0000388D0000}"/>
    <cellStyle name="Percent 2 3 10" xfId="23328" xr:uid="{00000000-0005-0000-0000-0000398D0000}"/>
    <cellStyle name="Percent 2 3 2" xfId="749" xr:uid="{00000000-0005-0000-0000-00003A8D0000}"/>
    <cellStyle name="Percent 2 3 2 2" xfId="4177" xr:uid="{00000000-0005-0000-0000-00003B8D0000}"/>
    <cellStyle name="Percent 2 3 2 3" xfId="23631" xr:uid="{00000000-0005-0000-0000-00003C8D0000}"/>
    <cellStyle name="Percent 2 3 3" xfId="4178" xr:uid="{00000000-0005-0000-0000-00003D8D0000}"/>
    <cellStyle name="Percent 2 3 4" xfId="4176" xr:uid="{00000000-0005-0000-0000-00003E8D0000}"/>
    <cellStyle name="Percent 2 3 5" xfId="10140" xr:uid="{00000000-0005-0000-0000-00003F8D0000}"/>
    <cellStyle name="Percent 2 3 6" xfId="1136" xr:uid="{00000000-0005-0000-0000-0000408D0000}"/>
    <cellStyle name="Percent 2 3 7" xfId="22505" xr:uid="{00000000-0005-0000-0000-0000418D0000}"/>
    <cellStyle name="Percent 2 3 7 2" xfId="42416" xr:uid="{00000000-0005-0000-0000-0000428D0000}"/>
    <cellStyle name="Percent 2 3 8" xfId="22714" xr:uid="{00000000-0005-0000-0000-0000438D0000}"/>
    <cellStyle name="Percent 2 3 8 2" xfId="42625" xr:uid="{00000000-0005-0000-0000-0000448D0000}"/>
    <cellStyle name="Percent 2 3 9" xfId="23017" xr:uid="{00000000-0005-0000-0000-0000458D0000}"/>
    <cellStyle name="Percent 2 3 9 2" xfId="42928" xr:uid="{00000000-0005-0000-0000-0000468D0000}"/>
    <cellStyle name="Percent 2 30" xfId="592" xr:uid="{00000000-0005-0000-0000-0000478D0000}"/>
    <cellStyle name="Percent 2 31" xfId="620" xr:uid="{00000000-0005-0000-0000-0000488D0000}"/>
    <cellStyle name="Percent 2 4" xfId="97" xr:uid="{00000000-0005-0000-0000-0000498D0000}"/>
    <cellStyle name="Percent 2 4 2" xfId="4180" xr:uid="{00000000-0005-0000-0000-00004A8D0000}"/>
    <cellStyle name="Percent 2 4 3" xfId="4573" xr:uid="{00000000-0005-0000-0000-00004B8D0000}"/>
    <cellStyle name="Percent 2 4 4" xfId="4179" xr:uid="{00000000-0005-0000-0000-00004C8D0000}"/>
    <cellStyle name="Percent 2 5" xfId="123" xr:uid="{00000000-0005-0000-0000-00004D8D0000}"/>
    <cellStyle name="Percent 2 5 2" xfId="4574" xr:uid="{00000000-0005-0000-0000-00004E8D0000}"/>
    <cellStyle name="Percent 2 5 3" xfId="4181" xr:uid="{00000000-0005-0000-0000-00004F8D0000}"/>
    <cellStyle name="Percent 2 5 4" xfId="1137" xr:uid="{00000000-0005-0000-0000-0000508D0000}"/>
    <cellStyle name="Percent 2 6" xfId="148" xr:uid="{00000000-0005-0000-0000-0000518D0000}"/>
    <cellStyle name="Percent 2 6 2" xfId="4575" xr:uid="{00000000-0005-0000-0000-0000528D0000}"/>
    <cellStyle name="Percent 2 6 3" xfId="4182" xr:uid="{00000000-0005-0000-0000-0000538D0000}"/>
    <cellStyle name="Percent 2 6 4" xfId="1138" xr:uid="{00000000-0005-0000-0000-0000548D0000}"/>
    <cellStyle name="Percent 2 7" xfId="142" xr:uid="{00000000-0005-0000-0000-0000558D0000}"/>
    <cellStyle name="Percent 2 7 2" xfId="4576" xr:uid="{00000000-0005-0000-0000-0000568D0000}"/>
    <cellStyle name="Percent 2 7 3" xfId="4183" xr:uid="{00000000-0005-0000-0000-0000578D0000}"/>
    <cellStyle name="Percent 2 7 4" xfId="1139" xr:uid="{00000000-0005-0000-0000-0000588D0000}"/>
    <cellStyle name="Percent 2 8" xfId="214" xr:uid="{00000000-0005-0000-0000-0000598D0000}"/>
    <cellStyle name="Percent 2 8 2" xfId="4577" xr:uid="{00000000-0005-0000-0000-00005A8D0000}"/>
    <cellStyle name="Percent 2 8 3" xfId="4184" xr:uid="{00000000-0005-0000-0000-00005B8D0000}"/>
    <cellStyle name="Percent 2 8 4" xfId="1140" xr:uid="{00000000-0005-0000-0000-00005C8D0000}"/>
    <cellStyle name="Percent 2 9" xfId="181" xr:uid="{00000000-0005-0000-0000-00005D8D0000}"/>
    <cellStyle name="Percent 2 9 2" xfId="4578" xr:uid="{00000000-0005-0000-0000-00005E8D0000}"/>
    <cellStyle name="Percent 2 9 3" xfId="4185" xr:uid="{00000000-0005-0000-0000-00005F8D0000}"/>
    <cellStyle name="Percent 2 9 4" xfId="1141" xr:uid="{00000000-0005-0000-0000-0000608D0000}"/>
    <cellStyle name="Percent 20" xfId="4186" xr:uid="{00000000-0005-0000-0000-0000618D0000}"/>
    <cellStyle name="Percent 21" xfId="4187" xr:uid="{00000000-0005-0000-0000-0000628D0000}"/>
    <cellStyle name="Percent 22" xfId="4188" xr:uid="{00000000-0005-0000-0000-0000638D0000}"/>
    <cellStyle name="Percent 23" xfId="4189" xr:uid="{00000000-0005-0000-0000-0000648D0000}"/>
    <cellStyle name="Percent 24" xfId="4190" xr:uid="{00000000-0005-0000-0000-0000658D0000}"/>
    <cellStyle name="Percent 25" xfId="4191" xr:uid="{00000000-0005-0000-0000-0000668D0000}"/>
    <cellStyle name="Percent 25 2" xfId="4192" xr:uid="{00000000-0005-0000-0000-0000678D0000}"/>
    <cellStyle name="Percent 25 2 2" xfId="4193" xr:uid="{00000000-0005-0000-0000-0000688D0000}"/>
    <cellStyle name="Percent 25 2 2 2" xfId="5243" xr:uid="{00000000-0005-0000-0000-0000698D0000}"/>
    <cellStyle name="Percent 25 2 2 2 2" xfId="6868" xr:uid="{00000000-0005-0000-0000-00006A8D0000}"/>
    <cellStyle name="Percent 25 2 2 2 2 2" xfId="9954" xr:uid="{00000000-0005-0000-0000-00006B8D0000}"/>
    <cellStyle name="Percent 25 2 2 2 2 2 2" xfId="16147" xr:uid="{00000000-0005-0000-0000-00006C8D0000}"/>
    <cellStyle name="Percent 25 2 2 2 2 2 2 2" xfId="36067" xr:uid="{00000000-0005-0000-0000-00006D8D0000}"/>
    <cellStyle name="Percent 25 2 2 2 2 2 3" xfId="22299" xr:uid="{00000000-0005-0000-0000-00006E8D0000}"/>
    <cellStyle name="Percent 25 2 2 2 2 2 3 2" xfId="42219" xr:uid="{00000000-0005-0000-0000-00006F8D0000}"/>
    <cellStyle name="Percent 25 2 2 2 2 2 4" xfId="29914" xr:uid="{00000000-0005-0000-0000-0000708D0000}"/>
    <cellStyle name="Percent 25 2 2 2 2 3" xfId="13081" xr:uid="{00000000-0005-0000-0000-0000718D0000}"/>
    <cellStyle name="Percent 25 2 2 2 2 3 2" xfId="33001" xr:uid="{00000000-0005-0000-0000-0000728D0000}"/>
    <cellStyle name="Percent 25 2 2 2 2 4" xfId="19233" xr:uid="{00000000-0005-0000-0000-0000738D0000}"/>
    <cellStyle name="Percent 25 2 2 2 2 4 2" xfId="39153" xr:uid="{00000000-0005-0000-0000-0000748D0000}"/>
    <cellStyle name="Percent 25 2 2 2 2 5" xfId="26848" xr:uid="{00000000-0005-0000-0000-0000758D0000}"/>
    <cellStyle name="Percent 25 2 2 2 3" xfId="8419" xr:uid="{00000000-0005-0000-0000-0000768D0000}"/>
    <cellStyle name="Percent 25 2 2 2 3 2" xfId="14613" xr:uid="{00000000-0005-0000-0000-0000778D0000}"/>
    <cellStyle name="Percent 25 2 2 2 3 2 2" xfId="34533" xr:uid="{00000000-0005-0000-0000-0000788D0000}"/>
    <cellStyle name="Percent 25 2 2 2 3 3" xfId="20765" xr:uid="{00000000-0005-0000-0000-0000798D0000}"/>
    <cellStyle name="Percent 25 2 2 2 3 3 2" xfId="40685" xr:uid="{00000000-0005-0000-0000-00007A8D0000}"/>
    <cellStyle name="Percent 25 2 2 2 3 4" xfId="28380" xr:uid="{00000000-0005-0000-0000-00007B8D0000}"/>
    <cellStyle name="Percent 25 2 2 2 4" xfId="11547" xr:uid="{00000000-0005-0000-0000-00007C8D0000}"/>
    <cellStyle name="Percent 25 2 2 2 4 2" xfId="31467" xr:uid="{00000000-0005-0000-0000-00007D8D0000}"/>
    <cellStyle name="Percent 25 2 2 2 5" xfId="17699" xr:uid="{00000000-0005-0000-0000-00007E8D0000}"/>
    <cellStyle name="Percent 25 2 2 2 5 2" xfId="37619" xr:uid="{00000000-0005-0000-0000-00007F8D0000}"/>
    <cellStyle name="Percent 25 2 2 2 6" xfId="25314" xr:uid="{00000000-0005-0000-0000-0000808D0000}"/>
    <cellStyle name="Percent 25 2 2 3" xfId="6089" xr:uid="{00000000-0005-0000-0000-0000818D0000}"/>
    <cellStyle name="Percent 25 2 2 3 2" xfId="9185" xr:uid="{00000000-0005-0000-0000-0000828D0000}"/>
    <cellStyle name="Percent 25 2 2 3 2 2" xfId="15378" xr:uid="{00000000-0005-0000-0000-0000838D0000}"/>
    <cellStyle name="Percent 25 2 2 3 2 2 2" xfId="35298" xr:uid="{00000000-0005-0000-0000-0000848D0000}"/>
    <cellStyle name="Percent 25 2 2 3 2 3" xfId="21530" xr:uid="{00000000-0005-0000-0000-0000858D0000}"/>
    <cellStyle name="Percent 25 2 2 3 2 3 2" xfId="41450" xr:uid="{00000000-0005-0000-0000-0000868D0000}"/>
    <cellStyle name="Percent 25 2 2 3 2 4" xfId="29145" xr:uid="{00000000-0005-0000-0000-0000878D0000}"/>
    <cellStyle name="Percent 25 2 2 3 3" xfId="12312" xr:uid="{00000000-0005-0000-0000-0000888D0000}"/>
    <cellStyle name="Percent 25 2 2 3 3 2" xfId="32232" xr:uid="{00000000-0005-0000-0000-0000898D0000}"/>
    <cellStyle name="Percent 25 2 2 3 4" xfId="18464" xr:uid="{00000000-0005-0000-0000-00008A8D0000}"/>
    <cellStyle name="Percent 25 2 2 3 4 2" xfId="38384" xr:uid="{00000000-0005-0000-0000-00008B8D0000}"/>
    <cellStyle name="Percent 25 2 2 3 5" xfId="26079" xr:uid="{00000000-0005-0000-0000-00008C8D0000}"/>
    <cellStyle name="Percent 25 2 2 4" xfId="7650" xr:uid="{00000000-0005-0000-0000-00008D8D0000}"/>
    <cellStyle name="Percent 25 2 2 4 2" xfId="13844" xr:uid="{00000000-0005-0000-0000-00008E8D0000}"/>
    <cellStyle name="Percent 25 2 2 4 2 2" xfId="33764" xr:uid="{00000000-0005-0000-0000-00008F8D0000}"/>
    <cellStyle name="Percent 25 2 2 4 3" xfId="19996" xr:uid="{00000000-0005-0000-0000-0000908D0000}"/>
    <cellStyle name="Percent 25 2 2 4 3 2" xfId="39916" xr:uid="{00000000-0005-0000-0000-0000918D0000}"/>
    <cellStyle name="Percent 25 2 2 4 4" xfId="27611" xr:uid="{00000000-0005-0000-0000-0000928D0000}"/>
    <cellStyle name="Percent 25 2 2 5" xfId="10778" xr:uid="{00000000-0005-0000-0000-0000938D0000}"/>
    <cellStyle name="Percent 25 2 2 5 2" xfId="30698" xr:uid="{00000000-0005-0000-0000-0000948D0000}"/>
    <cellStyle name="Percent 25 2 2 6" xfId="16930" xr:uid="{00000000-0005-0000-0000-0000958D0000}"/>
    <cellStyle name="Percent 25 2 2 6 2" xfId="36850" xr:uid="{00000000-0005-0000-0000-0000968D0000}"/>
    <cellStyle name="Percent 25 2 2 7" xfId="24545" xr:uid="{00000000-0005-0000-0000-0000978D0000}"/>
    <cellStyle name="Percent 25 2 3" xfId="5242" xr:uid="{00000000-0005-0000-0000-0000988D0000}"/>
    <cellStyle name="Percent 25 2 3 2" xfId="6867" xr:uid="{00000000-0005-0000-0000-0000998D0000}"/>
    <cellStyle name="Percent 25 2 3 2 2" xfId="9953" xr:uid="{00000000-0005-0000-0000-00009A8D0000}"/>
    <cellStyle name="Percent 25 2 3 2 2 2" xfId="16146" xr:uid="{00000000-0005-0000-0000-00009B8D0000}"/>
    <cellStyle name="Percent 25 2 3 2 2 2 2" xfId="36066" xr:uid="{00000000-0005-0000-0000-00009C8D0000}"/>
    <cellStyle name="Percent 25 2 3 2 2 3" xfId="22298" xr:uid="{00000000-0005-0000-0000-00009D8D0000}"/>
    <cellStyle name="Percent 25 2 3 2 2 3 2" xfId="42218" xr:uid="{00000000-0005-0000-0000-00009E8D0000}"/>
    <cellStyle name="Percent 25 2 3 2 2 4" xfId="29913" xr:uid="{00000000-0005-0000-0000-00009F8D0000}"/>
    <cellStyle name="Percent 25 2 3 2 3" xfId="13080" xr:uid="{00000000-0005-0000-0000-0000A08D0000}"/>
    <cellStyle name="Percent 25 2 3 2 3 2" xfId="33000" xr:uid="{00000000-0005-0000-0000-0000A18D0000}"/>
    <cellStyle name="Percent 25 2 3 2 4" xfId="19232" xr:uid="{00000000-0005-0000-0000-0000A28D0000}"/>
    <cellStyle name="Percent 25 2 3 2 4 2" xfId="39152" xr:uid="{00000000-0005-0000-0000-0000A38D0000}"/>
    <cellStyle name="Percent 25 2 3 2 5" xfId="26847" xr:uid="{00000000-0005-0000-0000-0000A48D0000}"/>
    <cellStyle name="Percent 25 2 3 3" xfId="8418" xr:uid="{00000000-0005-0000-0000-0000A58D0000}"/>
    <cellStyle name="Percent 25 2 3 3 2" xfId="14612" xr:uid="{00000000-0005-0000-0000-0000A68D0000}"/>
    <cellStyle name="Percent 25 2 3 3 2 2" xfId="34532" xr:uid="{00000000-0005-0000-0000-0000A78D0000}"/>
    <cellStyle name="Percent 25 2 3 3 3" xfId="20764" xr:uid="{00000000-0005-0000-0000-0000A88D0000}"/>
    <cellStyle name="Percent 25 2 3 3 3 2" xfId="40684" xr:uid="{00000000-0005-0000-0000-0000A98D0000}"/>
    <cellStyle name="Percent 25 2 3 3 4" xfId="28379" xr:uid="{00000000-0005-0000-0000-0000AA8D0000}"/>
    <cellStyle name="Percent 25 2 3 4" xfId="11546" xr:uid="{00000000-0005-0000-0000-0000AB8D0000}"/>
    <cellStyle name="Percent 25 2 3 4 2" xfId="31466" xr:uid="{00000000-0005-0000-0000-0000AC8D0000}"/>
    <cellStyle name="Percent 25 2 3 5" xfId="17698" xr:uid="{00000000-0005-0000-0000-0000AD8D0000}"/>
    <cellStyle name="Percent 25 2 3 5 2" xfId="37618" xr:uid="{00000000-0005-0000-0000-0000AE8D0000}"/>
    <cellStyle name="Percent 25 2 3 6" xfId="25313" xr:uid="{00000000-0005-0000-0000-0000AF8D0000}"/>
    <cellStyle name="Percent 25 2 4" xfId="6088" xr:uid="{00000000-0005-0000-0000-0000B08D0000}"/>
    <cellStyle name="Percent 25 2 4 2" xfId="9184" xr:uid="{00000000-0005-0000-0000-0000B18D0000}"/>
    <cellStyle name="Percent 25 2 4 2 2" xfId="15377" xr:uid="{00000000-0005-0000-0000-0000B28D0000}"/>
    <cellStyle name="Percent 25 2 4 2 2 2" xfId="35297" xr:uid="{00000000-0005-0000-0000-0000B38D0000}"/>
    <cellStyle name="Percent 25 2 4 2 3" xfId="21529" xr:uid="{00000000-0005-0000-0000-0000B48D0000}"/>
    <cellStyle name="Percent 25 2 4 2 3 2" xfId="41449" xr:uid="{00000000-0005-0000-0000-0000B58D0000}"/>
    <cellStyle name="Percent 25 2 4 2 4" xfId="29144" xr:uid="{00000000-0005-0000-0000-0000B68D0000}"/>
    <cellStyle name="Percent 25 2 4 3" xfId="12311" xr:uid="{00000000-0005-0000-0000-0000B78D0000}"/>
    <cellStyle name="Percent 25 2 4 3 2" xfId="32231" xr:uid="{00000000-0005-0000-0000-0000B88D0000}"/>
    <cellStyle name="Percent 25 2 4 4" xfId="18463" xr:uid="{00000000-0005-0000-0000-0000B98D0000}"/>
    <cellStyle name="Percent 25 2 4 4 2" xfId="38383" xr:uid="{00000000-0005-0000-0000-0000BA8D0000}"/>
    <cellStyle name="Percent 25 2 4 5" xfId="26078" xr:uid="{00000000-0005-0000-0000-0000BB8D0000}"/>
    <cellStyle name="Percent 25 2 5" xfId="7649" xr:uid="{00000000-0005-0000-0000-0000BC8D0000}"/>
    <cellStyle name="Percent 25 2 5 2" xfId="13843" xr:uid="{00000000-0005-0000-0000-0000BD8D0000}"/>
    <cellStyle name="Percent 25 2 5 2 2" xfId="33763" xr:uid="{00000000-0005-0000-0000-0000BE8D0000}"/>
    <cellStyle name="Percent 25 2 5 3" xfId="19995" xr:uid="{00000000-0005-0000-0000-0000BF8D0000}"/>
    <cellStyle name="Percent 25 2 5 3 2" xfId="39915" xr:uid="{00000000-0005-0000-0000-0000C08D0000}"/>
    <cellStyle name="Percent 25 2 5 4" xfId="27610" xr:uid="{00000000-0005-0000-0000-0000C18D0000}"/>
    <cellStyle name="Percent 25 2 6" xfId="10777" xr:uid="{00000000-0005-0000-0000-0000C28D0000}"/>
    <cellStyle name="Percent 25 2 6 2" xfId="30697" xr:uid="{00000000-0005-0000-0000-0000C38D0000}"/>
    <cellStyle name="Percent 25 2 7" xfId="16929" xr:uid="{00000000-0005-0000-0000-0000C48D0000}"/>
    <cellStyle name="Percent 25 2 7 2" xfId="36849" xr:uid="{00000000-0005-0000-0000-0000C58D0000}"/>
    <cellStyle name="Percent 25 2 8" xfId="24544" xr:uid="{00000000-0005-0000-0000-0000C68D0000}"/>
    <cellStyle name="Percent 25 3" xfId="4194" xr:uid="{00000000-0005-0000-0000-0000C78D0000}"/>
    <cellStyle name="Percent 25 3 2" xfId="4195" xr:uid="{00000000-0005-0000-0000-0000C88D0000}"/>
    <cellStyle name="Percent 25 3 2 2" xfId="5245" xr:uid="{00000000-0005-0000-0000-0000C98D0000}"/>
    <cellStyle name="Percent 25 3 2 2 2" xfId="6870" xr:uid="{00000000-0005-0000-0000-0000CA8D0000}"/>
    <cellStyle name="Percent 25 3 2 2 2 2" xfId="9956" xr:uid="{00000000-0005-0000-0000-0000CB8D0000}"/>
    <cellStyle name="Percent 25 3 2 2 2 2 2" xfId="16149" xr:uid="{00000000-0005-0000-0000-0000CC8D0000}"/>
    <cellStyle name="Percent 25 3 2 2 2 2 2 2" xfId="36069" xr:uid="{00000000-0005-0000-0000-0000CD8D0000}"/>
    <cellStyle name="Percent 25 3 2 2 2 2 3" xfId="22301" xr:uid="{00000000-0005-0000-0000-0000CE8D0000}"/>
    <cellStyle name="Percent 25 3 2 2 2 2 3 2" xfId="42221" xr:uid="{00000000-0005-0000-0000-0000CF8D0000}"/>
    <cellStyle name="Percent 25 3 2 2 2 2 4" xfId="29916" xr:uid="{00000000-0005-0000-0000-0000D08D0000}"/>
    <cellStyle name="Percent 25 3 2 2 2 3" xfId="13083" xr:uid="{00000000-0005-0000-0000-0000D18D0000}"/>
    <cellStyle name="Percent 25 3 2 2 2 3 2" xfId="33003" xr:uid="{00000000-0005-0000-0000-0000D28D0000}"/>
    <cellStyle name="Percent 25 3 2 2 2 4" xfId="19235" xr:uid="{00000000-0005-0000-0000-0000D38D0000}"/>
    <cellStyle name="Percent 25 3 2 2 2 4 2" xfId="39155" xr:uid="{00000000-0005-0000-0000-0000D48D0000}"/>
    <cellStyle name="Percent 25 3 2 2 2 5" xfId="26850" xr:uid="{00000000-0005-0000-0000-0000D58D0000}"/>
    <cellStyle name="Percent 25 3 2 2 3" xfId="8421" xr:uid="{00000000-0005-0000-0000-0000D68D0000}"/>
    <cellStyle name="Percent 25 3 2 2 3 2" xfId="14615" xr:uid="{00000000-0005-0000-0000-0000D78D0000}"/>
    <cellStyle name="Percent 25 3 2 2 3 2 2" xfId="34535" xr:uid="{00000000-0005-0000-0000-0000D88D0000}"/>
    <cellStyle name="Percent 25 3 2 2 3 3" xfId="20767" xr:uid="{00000000-0005-0000-0000-0000D98D0000}"/>
    <cellStyle name="Percent 25 3 2 2 3 3 2" xfId="40687" xr:uid="{00000000-0005-0000-0000-0000DA8D0000}"/>
    <cellStyle name="Percent 25 3 2 2 3 4" xfId="28382" xr:uid="{00000000-0005-0000-0000-0000DB8D0000}"/>
    <cellStyle name="Percent 25 3 2 2 4" xfId="11549" xr:uid="{00000000-0005-0000-0000-0000DC8D0000}"/>
    <cellStyle name="Percent 25 3 2 2 4 2" xfId="31469" xr:uid="{00000000-0005-0000-0000-0000DD8D0000}"/>
    <cellStyle name="Percent 25 3 2 2 5" xfId="17701" xr:uid="{00000000-0005-0000-0000-0000DE8D0000}"/>
    <cellStyle name="Percent 25 3 2 2 5 2" xfId="37621" xr:uid="{00000000-0005-0000-0000-0000DF8D0000}"/>
    <cellStyle name="Percent 25 3 2 2 6" xfId="25316" xr:uid="{00000000-0005-0000-0000-0000E08D0000}"/>
    <cellStyle name="Percent 25 3 2 3" xfId="6091" xr:uid="{00000000-0005-0000-0000-0000E18D0000}"/>
    <cellStyle name="Percent 25 3 2 3 2" xfId="9187" xr:uid="{00000000-0005-0000-0000-0000E28D0000}"/>
    <cellStyle name="Percent 25 3 2 3 2 2" xfId="15380" xr:uid="{00000000-0005-0000-0000-0000E38D0000}"/>
    <cellStyle name="Percent 25 3 2 3 2 2 2" xfId="35300" xr:uid="{00000000-0005-0000-0000-0000E48D0000}"/>
    <cellStyle name="Percent 25 3 2 3 2 3" xfId="21532" xr:uid="{00000000-0005-0000-0000-0000E58D0000}"/>
    <cellStyle name="Percent 25 3 2 3 2 3 2" xfId="41452" xr:uid="{00000000-0005-0000-0000-0000E68D0000}"/>
    <cellStyle name="Percent 25 3 2 3 2 4" xfId="29147" xr:uid="{00000000-0005-0000-0000-0000E78D0000}"/>
    <cellStyle name="Percent 25 3 2 3 3" xfId="12314" xr:uid="{00000000-0005-0000-0000-0000E88D0000}"/>
    <cellStyle name="Percent 25 3 2 3 3 2" xfId="32234" xr:uid="{00000000-0005-0000-0000-0000E98D0000}"/>
    <cellStyle name="Percent 25 3 2 3 4" xfId="18466" xr:uid="{00000000-0005-0000-0000-0000EA8D0000}"/>
    <cellStyle name="Percent 25 3 2 3 4 2" xfId="38386" xr:uid="{00000000-0005-0000-0000-0000EB8D0000}"/>
    <cellStyle name="Percent 25 3 2 3 5" xfId="26081" xr:uid="{00000000-0005-0000-0000-0000EC8D0000}"/>
    <cellStyle name="Percent 25 3 2 4" xfId="7652" xr:uid="{00000000-0005-0000-0000-0000ED8D0000}"/>
    <cellStyle name="Percent 25 3 2 4 2" xfId="13846" xr:uid="{00000000-0005-0000-0000-0000EE8D0000}"/>
    <cellStyle name="Percent 25 3 2 4 2 2" xfId="33766" xr:uid="{00000000-0005-0000-0000-0000EF8D0000}"/>
    <cellStyle name="Percent 25 3 2 4 3" xfId="19998" xr:uid="{00000000-0005-0000-0000-0000F08D0000}"/>
    <cellStyle name="Percent 25 3 2 4 3 2" xfId="39918" xr:uid="{00000000-0005-0000-0000-0000F18D0000}"/>
    <cellStyle name="Percent 25 3 2 4 4" xfId="27613" xr:uid="{00000000-0005-0000-0000-0000F28D0000}"/>
    <cellStyle name="Percent 25 3 2 5" xfId="10780" xr:uid="{00000000-0005-0000-0000-0000F38D0000}"/>
    <cellStyle name="Percent 25 3 2 5 2" xfId="30700" xr:uid="{00000000-0005-0000-0000-0000F48D0000}"/>
    <cellStyle name="Percent 25 3 2 6" xfId="16932" xr:uid="{00000000-0005-0000-0000-0000F58D0000}"/>
    <cellStyle name="Percent 25 3 2 6 2" xfId="36852" xr:uid="{00000000-0005-0000-0000-0000F68D0000}"/>
    <cellStyle name="Percent 25 3 2 7" xfId="24547" xr:uid="{00000000-0005-0000-0000-0000F78D0000}"/>
    <cellStyle name="Percent 25 3 3" xfId="5244" xr:uid="{00000000-0005-0000-0000-0000F88D0000}"/>
    <cellStyle name="Percent 25 3 3 2" xfId="6869" xr:uid="{00000000-0005-0000-0000-0000F98D0000}"/>
    <cellStyle name="Percent 25 3 3 2 2" xfId="9955" xr:uid="{00000000-0005-0000-0000-0000FA8D0000}"/>
    <cellStyle name="Percent 25 3 3 2 2 2" xfId="16148" xr:uid="{00000000-0005-0000-0000-0000FB8D0000}"/>
    <cellStyle name="Percent 25 3 3 2 2 2 2" xfId="36068" xr:uid="{00000000-0005-0000-0000-0000FC8D0000}"/>
    <cellStyle name="Percent 25 3 3 2 2 3" xfId="22300" xr:uid="{00000000-0005-0000-0000-0000FD8D0000}"/>
    <cellStyle name="Percent 25 3 3 2 2 3 2" xfId="42220" xr:uid="{00000000-0005-0000-0000-0000FE8D0000}"/>
    <cellStyle name="Percent 25 3 3 2 2 4" xfId="29915" xr:uid="{00000000-0005-0000-0000-0000FF8D0000}"/>
    <cellStyle name="Percent 25 3 3 2 3" xfId="13082" xr:uid="{00000000-0005-0000-0000-0000008E0000}"/>
    <cellStyle name="Percent 25 3 3 2 3 2" xfId="33002" xr:uid="{00000000-0005-0000-0000-0000018E0000}"/>
    <cellStyle name="Percent 25 3 3 2 4" xfId="19234" xr:uid="{00000000-0005-0000-0000-0000028E0000}"/>
    <cellStyle name="Percent 25 3 3 2 4 2" xfId="39154" xr:uid="{00000000-0005-0000-0000-0000038E0000}"/>
    <cellStyle name="Percent 25 3 3 2 5" xfId="26849" xr:uid="{00000000-0005-0000-0000-0000048E0000}"/>
    <cellStyle name="Percent 25 3 3 3" xfId="8420" xr:uid="{00000000-0005-0000-0000-0000058E0000}"/>
    <cellStyle name="Percent 25 3 3 3 2" xfId="14614" xr:uid="{00000000-0005-0000-0000-0000068E0000}"/>
    <cellStyle name="Percent 25 3 3 3 2 2" xfId="34534" xr:uid="{00000000-0005-0000-0000-0000078E0000}"/>
    <cellStyle name="Percent 25 3 3 3 3" xfId="20766" xr:uid="{00000000-0005-0000-0000-0000088E0000}"/>
    <cellStyle name="Percent 25 3 3 3 3 2" xfId="40686" xr:uid="{00000000-0005-0000-0000-0000098E0000}"/>
    <cellStyle name="Percent 25 3 3 3 4" xfId="28381" xr:uid="{00000000-0005-0000-0000-00000A8E0000}"/>
    <cellStyle name="Percent 25 3 3 4" xfId="11548" xr:uid="{00000000-0005-0000-0000-00000B8E0000}"/>
    <cellStyle name="Percent 25 3 3 4 2" xfId="31468" xr:uid="{00000000-0005-0000-0000-00000C8E0000}"/>
    <cellStyle name="Percent 25 3 3 5" xfId="17700" xr:uid="{00000000-0005-0000-0000-00000D8E0000}"/>
    <cellStyle name="Percent 25 3 3 5 2" xfId="37620" xr:uid="{00000000-0005-0000-0000-00000E8E0000}"/>
    <cellStyle name="Percent 25 3 3 6" xfId="25315" xr:uid="{00000000-0005-0000-0000-00000F8E0000}"/>
    <cellStyle name="Percent 25 3 4" xfId="6090" xr:uid="{00000000-0005-0000-0000-0000108E0000}"/>
    <cellStyle name="Percent 25 3 4 2" xfId="9186" xr:uid="{00000000-0005-0000-0000-0000118E0000}"/>
    <cellStyle name="Percent 25 3 4 2 2" xfId="15379" xr:uid="{00000000-0005-0000-0000-0000128E0000}"/>
    <cellStyle name="Percent 25 3 4 2 2 2" xfId="35299" xr:uid="{00000000-0005-0000-0000-0000138E0000}"/>
    <cellStyle name="Percent 25 3 4 2 3" xfId="21531" xr:uid="{00000000-0005-0000-0000-0000148E0000}"/>
    <cellStyle name="Percent 25 3 4 2 3 2" xfId="41451" xr:uid="{00000000-0005-0000-0000-0000158E0000}"/>
    <cellStyle name="Percent 25 3 4 2 4" xfId="29146" xr:uid="{00000000-0005-0000-0000-0000168E0000}"/>
    <cellStyle name="Percent 25 3 4 3" xfId="12313" xr:uid="{00000000-0005-0000-0000-0000178E0000}"/>
    <cellStyle name="Percent 25 3 4 3 2" xfId="32233" xr:uid="{00000000-0005-0000-0000-0000188E0000}"/>
    <cellStyle name="Percent 25 3 4 4" xfId="18465" xr:uid="{00000000-0005-0000-0000-0000198E0000}"/>
    <cellStyle name="Percent 25 3 4 4 2" xfId="38385" xr:uid="{00000000-0005-0000-0000-00001A8E0000}"/>
    <cellStyle name="Percent 25 3 4 5" xfId="26080" xr:uid="{00000000-0005-0000-0000-00001B8E0000}"/>
    <cellStyle name="Percent 25 3 5" xfId="7651" xr:uid="{00000000-0005-0000-0000-00001C8E0000}"/>
    <cellStyle name="Percent 25 3 5 2" xfId="13845" xr:uid="{00000000-0005-0000-0000-00001D8E0000}"/>
    <cellStyle name="Percent 25 3 5 2 2" xfId="33765" xr:uid="{00000000-0005-0000-0000-00001E8E0000}"/>
    <cellStyle name="Percent 25 3 5 3" xfId="19997" xr:uid="{00000000-0005-0000-0000-00001F8E0000}"/>
    <cellStyle name="Percent 25 3 5 3 2" xfId="39917" xr:uid="{00000000-0005-0000-0000-0000208E0000}"/>
    <cellStyle name="Percent 25 3 5 4" xfId="27612" xr:uid="{00000000-0005-0000-0000-0000218E0000}"/>
    <cellStyle name="Percent 25 3 6" xfId="10779" xr:uid="{00000000-0005-0000-0000-0000228E0000}"/>
    <cellStyle name="Percent 25 3 6 2" xfId="30699" xr:uid="{00000000-0005-0000-0000-0000238E0000}"/>
    <cellStyle name="Percent 25 3 7" xfId="16931" xr:uid="{00000000-0005-0000-0000-0000248E0000}"/>
    <cellStyle name="Percent 25 3 7 2" xfId="36851" xr:uid="{00000000-0005-0000-0000-0000258E0000}"/>
    <cellStyle name="Percent 25 3 8" xfId="24546" xr:uid="{00000000-0005-0000-0000-0000268E0000}"/>
    <cellStyle name="Percent 25 4" xfId="4196" xr:uid="{00000000-0005-0000-0000-0000278E0000}"/>
    <cellStyle name="Percent 25 4 2" xfId="4197" xr:uid="{00000000-0005-0000-0000-0000288E0000}"/>
    <cellStyle name="Percent 25 4 2 2" xfId="5246" xr:uid="{00000000-0005-0000-0000-0000298E0000}"/>
    <cellStyle name="Percent 25 4 2 2 2" xfId="6871" xr:uid="{00000000-0005-0000-0000-00002A8E0000}"/>
    <cellStyle name="Percent 25 4 2 2 2 2" xfId="9957" xr:uid="{00000000-0005-0000-0000-00002B8E0000}"/>
    <cellStyle name="Percent 25 4 2 2 2 2 2" xfId="16150" xr:uid="{00000000-0005-0000-0000-00002C8E0000}"/>
    <cellStyle name="Percent 25 4 2 2 2 2 2 2" xfId="36070" xr:uid="{00000000-0005-0000-0000-00002D8E0000}"/>
    <cellStyle name="Percent 25 4 2 2 2 2 3" xfId="22302" xr:uid="{00000000-0005-0000-0000-00002E8E0000}"/>
    <cellStyle name="Percent 25 4 2 2 2 2 3 2" xfId="42222" xr:uid="{00000000-0005-0000-0000-00002F8E0000}"/>
    <cellStyle name="Percent 25 4 2 2 2 2 4" xfId="29917" xr:uid="{00000000-0005-0000-0000-0000308E0000}"/>
    <cellStyle name="Percent 25 4 2 2 2 3" xfId="13084" xr:uid="{00000000-0005-0000-0000-0000318E0000}"/>
    <cellStyle name="Percent 25 4 2 2 2 3 2" xfId="33004" xr:uid="{00000000-0005-0000-0000-0000328E0000}"/>
    <cellStyle name="Percent 25 4 2 2 2 4" xfId="19236" xr:uid="{00000000-0005-0000-0000-0000338E0000}"/>
    <cellStyle name="Percent 25 4 2 2 2 4 2" xfId="39156" xr:uid="{00000000-0005-0000-0000-0000348E0000}"/>
    <cellStyle name="Percent 25 4 2 2 2 5" xfId="26851" xr:uid="{00000000-0005-0000-0000-0000358E0000}"/>
    <cellStyle name="Percent 25 4 2 2 3" xfId="8422" xr:uid="{00000000-0005-0000-0000-0000368E0000}"/>
    <cellStyle name="Percent 25 4 2 2 3 2" xfId="14616" xr:uid="{00000000-0005-0000-0000-0000378E0000}"/>
    <cellStyle name="Percent 25 4 2 2 3 2 2" xfId="34536" xr:uid="{00000000-0005-0000-0000-0000388E0000}"/>
    <cellStyle name="Percent 25 4 2 2 3 3" xfId="20768" xr:uid="{00000000-0005-0000-0000-0000398E0000}"/>
    <cellStyle name="Percent 25 4 2 2 3 3 2" xfId="40688" xr:uid="{00000000-0005-0000-0000-00003A8E0000}"/>
    <cellStyle name="Percent 25 4 2 2 3 4" xfId="28383" xr:uid="{00000000-0005-0000-0000-00003B8E0000}"/>
    <cellStyle name="Percent 25 4 2 2 4" xfId="11550" xr:uid="{00000000-0005-0000-0000-00003C8E0000}"/>
    <cellStyle name="Percent 25 4 2 2 4 2" xfId="31470" xr:uid="{00000000-0005-0000-0000-00003D8E0000}"/>
    <cellStyle name="Percent 25 4 2 2 5" xfId="17702" xr:uid="{00000000-0005-0000-0000-00003E8E0000}"/>
    <cellStyle name="Percent 25 4 2 2 5 2" xfId="37622" xr:uid="{00000000-0005-0000-0000-00003F8E0000}"/>
    <cellStyle name="Percent 25 4 2 2 6" xfId="25317" xr:uid="{00000000-0005-0000-0000-0000408E0000}"/>
    <cellStyle name="Percent 25 4 2 3" xfId="6092" xr:uid="{00000000-0005-0000-0000-0000418E0000}"/>
    <cellStyle name="Percent 25 4 2 3 2" xfId="9188" xr:uid="{00000000-0005-0000-0000-0000428E0000}"/>
    <cellStyle name="Percent 25 4 2 3 2 2" xfId="15381" xr:uid="{00000000-0005-0000-0000-0000438E0000}"/>
    <cellStyle name="Percent 25 4 2 3 2 2 2" xfId="35301" xr:uid="{00000000-0005-0000-0000-0000448E0000}"/>
    <cellStyle name="Percent 25 4 2 3 2 3" xfId="21533" xr:uid="{00000000-0005-0000-0000-0000458E0000}"/>
    <cellStyle name="Percent 25 4 2 3 2 3 2" xfId="41453" xr:uid="{00000000-0005-0000-0000-0000468E0000}"/>
    <cellStyle name="Percent 25 4 2 3 2 4" xfId="29148" xr:uid="{00000000-0005-0000-0000-0000478E0000}"/>
    <cellStyle name="Percent 25 4 2 3 3" xfId="12315" xr:uid="{00000000-0005-0000-0000-0000488E0000}"/>
    <cellStyle name="Percent 25 4 2 3 3 2" xfId="32235" xr:uid="{00000000-0005-0000-0000-0000498E0000}"/>
    <cellStyle name="Percent 25 4 2 3 4" xfId="18467" xr:uid="{00000000-0005-0000-0000-00004A8E0000}"/>
    <cellStyle name="Percent 25 4 2 3 4 2" xfId="38387" xr:uid="{00000000-0005-0000-0000-00004B8E0000}"/>
    <cellStyle name="Percent 25 4 2 3 5" xfId="26082" xr:uid="{00000000-0005-0000-0000-00004C8E0000}"/>
    <cellStyle name="Percent 25 4 2 4" xfId="7653" xr:uid="{00000000-0005-0000-0000-00004D8E0000}"/>
    <cellStyle name="Percent 25 4 2 4 2" xfId="13847" xr:uid="{00000000-0005-0000-0000-00004E8E0000}"/>
    <cellStyle name="Percent 25 4 2 4 2 2" xfId="33767" xr:uid="{00000000-0005-0000-0000-00004F8E0000}"/>
    <cellStyle name="Percent 25 4 2 4 3" xfId="19999" xr:uid="{00000000-0005-0000-0000-0000508E0000}"/>
    <cellStyle name="Percent 25 4 2 4 3 2" xfId="39919" xr:uid="{00000000-0005-0000-0000-0000518E0000}"/>
    <cellStyle name="Percent 25 4 2 4 4" xfId="27614" xr:uid="{00000000-0005-0000-0000-0000528E0000}"/>
    <cellStyle name="Percent 25 4 2 5" xfId="10781" xr:uid="{00000000-0005-0000-0000-0000538E0000}"/>
    <cellStyle name="Percent 25 4 2 5 2" xfId="30701" xr:uid="{00000000-0005-0000-0000-0000548E0000}"/>
    <cellStyle name="Percent 25 4 2 6" xfId="16933" xr:uid="{00000000-0005-0000-0000-0000558E0000}"/>
    <cellStyle name="Percent 25 4 2 6 2" xfId="36853" xr:uid="{00000000-0005-0000-0000-0000568E0000}"/>
    <cellStyle name="Percent 25 4 2 7" xfId="24548" xr:uid="{00000000-0005-0000-0000-0000578E0000}"/>
    <cellStyle name="Percent 25 5" xfId="4198" xr:uid="{00000000-0005-0000-0000-0000588E0000}"/>
    <cellStyle name="Percent 25 5 2" xfId="5247" xr:uid="{00000000-0005-0000-0000-0000598E0000}"/>
    <cellStyle name="Percent 25 5 2 2" xfId="6872" xr:uid="{00000000-0005-0000-0000-00005A8E0000}"/>
    <cellStyle name="Percent 25 5 2 2 2" xfId="9958" xr:uid="{00000000-0005-0000-0000-00005B8E0000}"/>
    <cellStyle name="Percent 25 5 2 2 2 2" xfId="16151" xr:uid="{00000000-0005-0000-0000-00005C8E0000}"/>
    <cellStyle name="Percent 25 5 2 2 2 2 2" xfId="36071" xr:uid="{00000000-0005-0000-0000-00005D8E0000}"/>
    <cellStyle name="Percent 25 5 2 2 2 3" xfId="22303" xr:uid="{00000000-0005-0000-0000-00005E8E0000}"/>
    <cellStyle name="Percent 25 5 2 2 2 3 2" xfId="42223" xr:uid="{00000000-0005-0000-0000-00005F8E0000}"/>
    <cellStyle name="Percent 25 5 2 2 2 4" xfId="29918" xr:uid="{00000000-0005-0000-0000-0000608E0000}"/>
    <cellStyle name="Percent 25 5 2 2 3" xfId="13085" xr:uid="{00000000-0005-0000-0000-0000618E0000}"/>
    <cellStyle name="Percent 25 5 2 2 3 2" xfId="33005" xr:uid="{00000000-0005-0000-0000-0000628E0000}"/>
    <cellStyle name="Percent 25 5 2 2 4" xfId="19237" xr:uid="{00000000-0005-0000-0000-0000638E0000}"/>
    <cellStyle name="Percent 25 5 2 2 4 2" xfId="39157" xr:uid="{00000000-0005-0000-0000-0000648E0000}"/>
    <cellStyle name="Percent 25 5 2 2 5" xfId="26852" xr:uid="{00000000-0005-0000-0000-0000658E0000}"/>
    <cellStyle name="Percent 25 5 2 3" xfId="8423" xr:uid="{00000000-0005-0000-0000-0000668E0000}"/>
    <cellStyle name="Percent 25 5 2 3 2" xfId="14617" xr:uid="{00000000-0005-0000-0000-0000678E0000}"/>
    <cellStyle name="Percent 25 5 2 3 2 2" xfId="34537" xr:uid="{00000000-0005-0000-0000-0000688E0000}"/>
    <cellStyle name="Percent 25 5 2 3 3" xfId="20769" xr:uid="{00000000-0005-0000-0000-0000698E0000}"/>
    <cellStyle name="Percent 25 5 2 3 3 2" xfId="40689" xr:uid="{00000000-0005-0000-0000-00006A8E0000}"/>
    <cellStyle name="Percent 25 5 2 3 4" xfId="28384" xr:uid="{00000000-0005-0000-0000-00006B8E0000}"/>
    <cellStyle name="Percent 25 5 2 4" xfId="11551" xr:uid="{00000000-0005-0000-0000-00006C8E0000}"/>
    <cellStyle name="Percent 25 5 2 4 2" xfId="31471" xr:uid="{00000000-0005-0000-0000-00006D8E0000}"/>
    <cellStyle name="Percent 25 5 2 5" xfId="17703" xr:uid="{00000000-0005-0000-0000-00006E8E0000}"/>
    <cellStyle name="Percent 25 5 2 5 2" xfId="37623" xr:uid="{00000000-0005-0000-0000-00006F8E0000}"/>
    <cellStyle name="Percent 25 5 2 6" xfId="25318" xr:uid="{00000000-0005-0000-0000-0000708E0000}"/>
    <cellStyle name="Percent 25 5 3" xfId="6093" xr:uid="{00000000-0005-0000-0000-0000718E0000}"/>
    <cellStyle name="Percent 25 5 3 2" xfId="9189" xr:uid="{00000000-0005-0000-0000-0000728E0000}"/>
    <cellStyle name="Percent 25 5 3 2 2" xfId="15382" xr:uid="{00000000-0005-0000-0000-0000738E0000}"/>
    <cellStyle name="Percent 25 5 3 2 2 2" xfId="35302" xr:uid="{00000000-0005-0000-0000-0000748E0000}"/>
    <cellStyle name="Percent 25 5 3 2 3" xfId="21534" xr:uid="{00000000-0005-0000-0000-0000758E0000}"/>
    <cellStyle name="Percent 25 5 3 2 3 2" xfId="41454" xr:uid="{00000000-0005-0000-0000-0000768E0000}"/>
    <cellStyle name="Percent 25 5 3 2 4" xfId="29149" xr:uid="{00000000-0005-0000-0000-0000778E0000}"/>
    <cellStyle name="Percent 25 5 3 3" xfId="12316" xr:uid="{00000000-0005-0000-0000-0000788E0000}"/>
    <cellStyle name="Percent 25 5 3 3 2" xfId="32236" xr:uid="{00000000-0005-0000-0000-0000798E0000}"/>
    <cellStyle name="Percent 25 5 3 4" xfId="18468" xr:uid="{00000000-0005-0000-0000-00007A8E0000}"/>
    <cellStyle name="Percent 25 5 3 4 2" xfId="38388" xr:uid="{00000000-0005-0000-0000-00007B8E0000}"/>
    <cellStyle name="Percent 25 5 3 5" xfId="26083" xr:uid="{00000000-0005-0000-0000-00007C8E0000}"/>
    <cellStyle name="Percent 25 5 4" xfId="7654" xr:uid="{00000000-0005-0000-0000-00007D8E0000}"/>
    <cellStyle name="Percent 25 5 4 2" xfId="13848" xr:uid="{00000000-0005-0000-0000-00007E8E0000}"/>
    <cellStyle name="Percent 25 5 4 2 2" xfId="33768" xr:uid="{00000000-0005-0000-0000-00007F8E0000}"/>
    <cellStyle name="Percent 25 5 4 3" xfId="20000" xr:uid="{00000000-0005-0000-0000-0000808E0000}"/>
    <cellStyle name="Percent 25 5 4 3 2" xfId="39920" xr:uid="{00000000-0005-0000-0000-0000818E0000}"/>
    <cellStyle name="Percent 25 5 4 4" xfId="27615" xr:uid="{00000000-0005-0000-0000-0000828E0000}"/>
    <cellStyle name="Percent 25 5 5" xfId="10782" xr:uid="{00000000-0005-0000-0000-0000838E0000}"/>
    <cellStyle name="Percent 25 5 5 2" xfId="30702" xr:uid="{00000000-0005-0000-0000-0000848E0000}"/>
    <cellStyle name="Percent 25 5 6" xfId="16934" xr:uid="{00000000-0005-0000-0000-0000858E0000}"/>
    <cellStyle name="Percent 25 5 6 2" xfId="36854" xr:uid="{00000000-0005-0000-0000-0000868E0000}"/>
    <cellStyle name="Percent 25 5 7" xfId="24549" xr:uid="{00000000-0005-0000-0000-0000878E0000}"/>
    <cellStyle name="Percent 26" xfId="4199" xr:uid="{00000000-0005-0000-0000-0000888E0000}"/>
    <cellStyle name="Percent 26 2" xfId="4200" xr:uid="{00000000-0005-0000-0000-0000898E0000}"/>
    <cellStyle name="Percent 26 2 2" xfId="4201" xr:uid="{00000000-0005-0000-0000-00008A8E0000}"/>
    <cellStyle name="Percent 26 2 2 2" xfId="5249" xr:uid="{00000000-0005-0000-0000-00008B8E0000}"/>
    <cellStyle name="Percent 26 2 2 2 2" xfId="6874" xr:uid="{00000000-0005-0000-0000-00008C8E0000}"/>
    <cellStyle name="Percent 26 2 2 2 2 2" xfId="9960" xr:uid="{00000000-0005-0000-0000-00008D8E0000}"/>
    <cellStyle name="Percent 26 2 2 2 2 2 2" xfId="16153" xr:uid="{00000000-0005-0000-0000-00008E8E0000}"/>
    <cellStyle name="Percent 26 2 2 2 2 2 2 2" xfId="36073" xr:uid="{00000000-0005-0000-0000-00008F8E0000}"/>
    <cellStyle name="Percent 26 2 2 2 2 2 3" xfId="22305" xr:uid="{00000000-0005-0000-0000-0000908E0000}"/>
    <cellStyle name="Percent 26 2 2 2 2 2 3 2" xfId="42225" xr:uid="{00000000-0005-0000-0000-0000918E0000}"/>
    <cellStyle name="Percent 26 2 2 2 2 2 4" xfId="29920" xr:uid="{00000000-0005-0000-0000-0000928E0000}"/>
    <cellStyle name="Percent 26 2 2 2 2 3" xfId="13087" xr:uid="{00000000-0005-0000-0000-0000938E0000}"/>
    <cellStyle name="Percent 26 2 2 2 2 3 2" xfId="33007" xr:uid="{00000000-0005-0000-0000-0000948E0000}"/>
    <cellStyle name="Percent 26 2 2 2 2 4" xfId="19239" xr:uid="{00000000-0005-0000-0000-0000958E0000}"/>
    <cellStyle name="Percent 26 2 2 2 2 4 2" xfId="39159" xr:uid="{00000000-0005-0000-0000-0000968E0000}"/>
    <cellStyle name="Percent 26 2 2 2 2 5" xfId="26854" xr:uid="{00000000-0005-0000-0000-0000978E0000}"/>
    <cellStyle name="Percent 26 2 2 2 3" xfId="8425" xr:uid="{00000000-0005-0000-0000-0000988E0000}"/>
    <cellStyle name="Percent 26 2 2 2 3 2" xfId="14619" xr:uid="{00000000-0005-0000-0000-0000998E0000}"/>
    <cellStyle name="Percent 26 2 2 2 3 2 2" xfId="34539" xr:uid="{00000000-0005-0000-0000-00009A8E0000}"/>
    <cellStyle name="Percent 26 2 2 2 3 3" xfId="20771" xr:uid="{00000000-0005-0000-0000-00009B8E0000}"/>
    <cellStyle name="Percent 26 2 2 2 3 3 2" xfId="40691" xr:uid="{00000000-0005-0000-0000-00009C8E0000}"/>
    <cellStyle name="Percent 26 2 2 2 3 4" xfId="28386" xr:uid="{00000000-0005-0000-0000-00009D8E0000}"/>
    <cellStyle name="Percent 26 2 2 2 4" xfId="11553" xr:uid="{00000000-0005-0000-0000-00009E8E0000}"/>
    <cellStyle name="Percent 26 2 2 2 4 2" xfId="31473" xr:uid="{00000000-0005-0000-0000-00009F8E0000}"/>
    <cellStyle name="Percent 26 2 2 2 5" xfId="17705" xr:uid="{00000000-0005-0000-0000-0000A08E0000}"/>
    <cellStyle name="Percent 26 2 2 2 5 2" xfId="37625" xr:uid="{00000000-0005-0000-0000-0000A18E0000}"/>
    <cellStyle name="Percent 26 2 2 2 6" xfId="25320" xr:uid="{00000000-0005-0000-0000-0000A28E0000}"/>
    <cellStyle name="Percent 26 2 2 3" xfId="6095" xr:uid="{00000000-0005-0000-0000-0000A38E0000}"/>
    <cellStyle name="Percent 26 2 2 3 2" xfId="9191" xr:uid="{00000000-0005-0000-0000-0000A48E0000}"/>
    <cellStyle name="Percent 26 2 2 3 2 2" xfId="15384" xr:uid="{00000000-0005-0000-0000-0000A58E0000}"/>
    <cellStyle name="Percent 26 2 2 3 2 2 2" xfId="35304" xr:uid="{00000000-0005-0000-0000-0000A68E0000}"/>
    <cellStyle name="Percent 26 2 2 3 2 3" xfId="21536" xr:uid="{00000000-0005-0000-0000-0000A78E0000}"/>
    <cellStyle name="Percent 26 2 2 3 2 3 2" xfId="41456" xr:uid="{00000000-0005-0000-0000-0000A88E0000}"/>
    <cellStyle name="Percent 26 2 2 3 2 4" xfId="29151" xr:uid="{00000000-0005-0000-0000-0000A98E0000}"/>
    <cellStyle name="Percent 26 2 2 3 3" xfId="12318" xr:uid="{00000000-0005-0000-0000-0000AA8E0000}"/>
    <cellStyle name="Percent 26 2 2 3 3 2" xfId="32238" xr:uid="{00000000-0005-0000-0000-0000AB8E0000}"/>
    <cellStyle name="Percent 26 2 2 3 4" xfId="18470" xr:uid="{00000000-0005-0000-0000-0000AC8E0000}"/>
    <cellStyle name="Percent 26 2 2 3 4 2" xfId="38390" xr:uid="{00000000-0005-0000-0000-0000AD8E0000}"/>
    <cellStyle name="Percent 26 2 2 3 5" xfId="26085" xr:uid="{00000000-0005-0000-0000-0000AE8E0000}"/>
    <cellStyle name="Percent 26 2 2 4" xfId="7656" xr:uid="{00000000-0005-0000-0000-0000AF8E0000}"/>
    <cellStyle name="Percent 26 2 2 4 2" xfId="13850" xr:uid="{00000000-0005-0000-0000-0000B08E0000}"/>
    <cellStyle name="Percent 26 2 2 4 2 2" xfId="33770" xr:uid="{00000000-0005-0000-0000-0000B18E0000}"/>
    <cellStyle name="Percent 26 2 2 4 3" xfId="20002" xr:uid="{00000000-0005-0000-0000-0000B28E0000}"/>
    <cellStyle name="Percent 26 2 2 4 3 2" xfId="39922" xr:uid="{00000000-0005-0000-0000-0000B38E0000}"/>
    <cellStyle name="Percent 26 2 2 4 4" xfId="27617" xr:uid="{00000000-0005-0000-0000-0000B48E0000}"/>
    <cellStyle name="Percent 26 2 2 5" xfId="10784" xr:uid="{00000000-0005-0000-0000-0000B58E0000}"/>
    <cellStyle name="Percent 26 2 2 5 2" xfId="30704" xr:uid="{00000000-0005-0000-0000-0000B68E0000}"/>
    <cellStyle name="Percent 26 2 2 6" xfId="16936" xr:uid="{00000000-0005-0000-0000-0000B78E0000}"/>
    <cellStyle name="Percent 26 2 2 6 2" xfId="36856" xr:uid="{00000000-0005-0000-0000-0000B88E0000}"/>
    <cellStyle name="Percent 26 2 2 7" xfId="24551" xr:uid="{00000000-0005-0000-0000-0000B98E0000}"/>
    <cellStyle name="Percent 26 2 3" xfId="5248" xr:uid="{00000000-0005-0000-0000-0000BA8E0000}"/>
    <cellStyle name="Percent 26 2 3 2" xfId="6873" xr:uid="{00000000-0005-0000-0000-0000BB8E0000}"/>
    <cellStyle name="Percent 26 2 3 2 2" xfId="9959" xr:uid="{00000000-0005-0000-0000-0000BC8E0000}"/>
    <cellStyle name="Percent 26 2 3 2 2 2" xfId="16152" xr:uid="{00000000-0005-0000-0000-0000BD8E0000}"/>
    <cellStyle name="Percent 26 2 3 2 2 2 2" xfId="36072" xr:uid="{00000000-0005-0000-0000-0000BE8E0000}"/>
    <cellStyle name="Percent 26 2 3 2 2 3" xfId="22304" xr:uid="{00000000-0005-0000-0000-0000BF8E0000}"/>
    <cellStyle name="Percent 26 2 3 2 2 3 2" xfId="42224" xr:uid="{00000000-0005-0000-0000-0000C08E0000}"/>
    <cellStyle name="Percent 26 2 3 2 2 4" xfId="29919" xr:uid="{00000000-0005-0000-0000-0000C18E0000}"/>
    <cellStyle name="Percent 26 2 3 2 3" xfId="13086" xr:uid="{00000000-0005-0000-0000-0000C28E0000}"/>
    <cellStyle name="Percent 26 2 3 2 3 2" xfId="33006" xr:uid="{00000000-0005-0000-0000-0000C38E0000}"/>
    <cellStyle name="Percent 26 2 3 2 4" xfId="19238" xr:uid="{00000000-0005-0000-0000-0000C48E0000}"/>
    <cellStyle name="Percent 26 2 3 2 4 2" xfId="39158" xr:uid="{00000000-0005-0000-0000-0000C58E0000}"/>
    <cellStyle name="Percent 26 2 3 2 5" xfId="26853" xr:uid="{00000000-0005-0000-0000-0000C68E0000}"/>
    <cellStyle name="Percent 26 2 3 3" xfId="8424" xr:uid="{00000000-0005-0000-0000-0000C78E0000}"/>
    <cellStyle name="Percent 26 2 3 3 2" xfId="14618" xr:uid="{00000000-0005-0000-0000-0000C88E0000}"/>
    <cellStyle name="Percent 26 2 3 3 2 2" xfId="34538" xr:uid="{00000000-0005-0000-0000-0000C98E0000}"/>
    <cellStyle name="Percent 26 2 3 3 3" xfId="20770" xr:uid="{00000000-0005-0000-0000-0000CA8E0000}"/>
    <cellStyle name="Percent 26 2 3 3 3 2" xfId="40690" xr:uid="{00000000-0005-0000-0000-0000CB8E0000}"/>
    <cellStyle name="Percent 26 2 3 3 4" xfId="28385" xr:uid="{00000000-0005-0000-0000-0000CC8E0000}"/>
    <cellStyle name="Percent 26 2 3 4" xfId="11552" xr:uid="{00000000-0005-0000-0000-0000CD8E0000}"/>
    <cellStyle name="Percent 26 2 3 4 2" xfId="31472" xr:uid="{00000000-0005-0000-0000-0000CE8E0000}"/>
    <cellStyle name="Percent 26 2 3 5" xfId="17704" xr:uid="{00000000-0005-0000-0000-0000CF8E0000}"/>
    <cellStyle name="Percent 26 2 3 5 2" xfId="37624" xr:uid="{00000000-0005-0000-0000-0000D08E0000}"/>
    <cellStyle name="Percent 26 2 3 6" xfId="25319" xr:uid="{00000000-0005-0000-0000-0000D18E0000}"/>
    <cellStyle name="Percent 26 2 4" xfId="6094" xr:uid="{00000000-0005-0000-0000-0000D28E0000}"/>
    <cellStyle name="Percent 26 2 4 2" xfId="9190" xr:uid="{00000000-0005-0000-0000-0000D38E0000}"/>
    <cellStyle name="Percent 26 2 4 2 2" xfId="15383" xr:uid="{00000000-0005-0000-0000-0000D48E0000}"/>
    <cellStyle name="Percent 26 2 4 2 2 2" xfId="35303" xr:uid="{00000000-0005-0000-0000-0000D58E0000}"/>
    <cellStyle name="Percent 26 2 4 2 3" xfId="21535" xr:uid="{00000000-0005-0000-0000-0000D68E0000}"/>
    <cellStyle name="Percent 26 2 4 2 3 2" xfId="41455" xr:uid="{00000000-0005-0000-0000-0000D78E0000}"/>
    <cellStyle name="Percent 26 2 4 2 4" xfId="29150" xr:uid="{00000000-0005-0000-0000-0000D88E0000}"/>
    <cellStyle name="Percent 26 2 4 3" xfId="12317" xr:uid="{00000000-0005-0000-0000-0000D98E0000}"/>
    <cellStyle name="Percent 26 2 4 3 2" xfId="32237" xr:uid="{00000000-0005-0000-0000-0000DA8E0000}"/>
    <cellStyle name="Percent 26 2 4 4" xfId="18469" xr:uid="{00000000-0005-0000-0000-0000DB8E0000}"/>
    <cellStyle name="Percent 26 2 4 4 2" xfId="38389" xr:uid="{00000000-0005-0000-0000-0000DC8E0000}"/>
    <cellStyle name="Percent 26 2 4 5" xfId="26084" xr:uid="{00000000-0005-0000-0000-0000DD8E0000}"/>
    <cellStyle name="Percent 26 2 5" xfId="7655" xr:uid="{00000000-0005-0000-0000-0000DE8E0000}"/>
    <cellStyle name="Percent 26 2 5 2" xfId="13849" xr:uid="{00000000-0005-0000-0000-0000DF8E0000}"/>
    <cellStyle name="Percent 26 2 5 2 2" xfId="33769" xr:uid="{00000000-0005-0000-0000-0000E08E0000}"/>
    <cellStyle name="Percent 26 2 5 3" xfId="20001" xr:uid="{00000000-0005-0000-0000-0000E18E0000}"/>
    <cellStyle name="Percent 26 2 5 3 2" xfId="39921" xr:uid="{00000000-0005-0000-0000-0000E28E0000}"/>
    <cellStyle name="Percent 26 2 5 4" xfId="27616" xr:uid="{00000000-0005-0000-0000-0000E38E0000}"/>
    <cellStyle name="Percent 26 2 6" xfId="10783" xr:uid="{00000000-0005-0000-0000-0000E48E0000}"/>
    <cellStyle name="Percent 26 2 6 2" xfId="30703" xr:uid="{00000000-0005-0000-0000-0000E58E0000}"/>
    <cellStyle name="Percent 26 2 7" xfId="16935" xr:uid="{00000000-0005-0000-0000-0000E68E0000}"/>
    <cellStyle name="Percent 26 2 7 2" xfId="36855" xr:uid="{00000000-0005-0000-0000-0000E78E0000}"/>
    <cellStyle name="Percent 26 2 8" xfId="24550" xr:uid="{00000000-0005-0000-0000-0000E88E0000}"/>
    <cellStyle name="Percent 26 3" xfId="4202" xr:uid="{00000000-0005-0000-0000-0000E98E0000}"/>
    <cellStyle name="Percent 26 3 2" xfId="4203" xr:uid="{00000000-0005-0000-0000-0000EA8E0000}"/>
    <cellStyle name="Percent 26 3 2 2" xfId="5251" xr:uid="{00000000-0005-0000-0000-0000EB8E0000}"/>
    <cellStyle name="Percent 26 3 2 2 2" xfId="6876" xr:uid="{00000000-0005-0000-0000-0000EC8E0000}"/>
    <cellStyle name="Percent 26 3 2 2 2 2" xfId="9962" xr:uid="{00000000-0005-0000-0000-0000ED8E0000}"/>
    <cellStyle name="Percent 26 3 2 2 2 2 2" xfId="16155" xr:uid="{00000000-0005-0000-0000-0000EE8E0000}"/>
    <cellStyle name="Percent 26 3 2 2 2 2 2 2" xfId="36075" xr:uid="{00000000-0005-0000-0000-0000EF8E0000}"/>
    <cellStyle name="Percent 26 3 2 2 2 2 3" xfId="22307" xr:uid="{00000000-0005-0000-0000-0000F08E0000}"/>
    <cellStyle name="Percent 26 3 2 2 2 2 3 2" xfId="42227" xr:uid="{00000000-0005-0000-0000-0000F18E0000}"/>
    <cellStyle name="Percent 26 3 2 2 2 2 4" xfId="29922" xr:uid="{00000000-0005-0000-0000-0000F28E0000}"/>
    <cellStyle name="Percent 26 3 2 2 2 3" xfId="13089" xr:uid="{00000000-0005-0000-0000-0000F38E0000}"/>
    <cellStyle name="Percent 26 3 2 2 2 3 2" xfId="33009" xr:uid="{00000000-0005-0000-0000-0000F48E0000}"/>
    <cellStyle name="Percent 26 3 2 2 2 4" xfId="19241" xr:uid="{00000000-0005-0000-0000-0000F58E0000}"/>
    <cellStyle name="Percent 26 3 2 2 2 4 2" xfId="39161" xr:uid="{00000000-0005-0000-0000-0000F68E0000}"/>
    <cellStyle name="Percent 26 3 2 2 2 5" xfId="26856" xr:uid="{00000000-0005-0000-0000-0000F78E0000}"/>
    <cellStyle name="Percent 26 3 2 2 3" xfId="8427" xr:uid="{00000000-0005-0000-0000-0000F88E0000}"/>
    <cellStyle name="Percent 26 3 2 2 3 2" xfId="14621" xr:uid="{00000000-0005-0000-0000-0000F98E0000}"/>
    <cellStyle name="Percent 26 3 2 2 3 2 2" xfId="34541" xr:uid="{00000000-0005-0000-0000-0000FA8E0000}"/>
    <cellStyle name="Percent 26 3 2 2 3 3" xfId="20773" xr:uid="{00000000-0005-0000-0000-0000FB8E0000}"/>
    <cellStyle name="Percent 26 3 2 2 3 3 2" xfId="40693" xr:uid="{00000000-0005-0000-0000-0000FC8E0000}"/>
    <cellStyle name="Percent 26 3 2 2 3 4" xfId="28388" xr:uid="{00000000-0005-0000-0000-0000FD8E0000}"/>
    <cellStyle name="Percent 26 3 2 2 4" xfId="11555" xr:uid="{00000000-0005-0000-0000-0000FE8E0000}"/>
    <cellStyle name="Percent 26 3 2 2 4 2" xfId="31475" xr:uid="{00000000-0005-0000-0000-0000FF8E0000}"/>
    <cellStyle name="Percent 26 3 2 2 5" xfId="17707" xr:uid="{00000000-0005-0000-0000-0000008F0000}"/>
    <cellStyle name="Percent 26 3 2 2 5 2" xfId="37627" xr:uid="{00000000-0005-0000-0000-0000018F0000}"/>
    <cellStyle name="Percent 26 3 2 2 6" xfId="25322" xr:uid="{00000000-0005-0000-0000-0000028F0000}"/>
    <cellStyle name="Percent 26 3 2 3" xfId="6097" xr:uid="{00000000-0005-0000-0000-0000038F0000}"/>
    <cellStyle name="Percent 26 3 2 3 2" xfId="9193" xr:uid="{00000000-0005-0000-0000-0000048F0000}"/>
    <cellStyle name="Percent 26 3 2 3 2 2" xfId="15386" xr:uid="{00000000-0005-0000-0000-0000058F0000}"/>
    <cellStyle name="Percent 26 3 2 3 2 2 2" xfId="35306" xr:uid="{00000000-0005-0000-0000-0000068F0000}"/>
    <cellStyle name="Percent 26 3 2 3 2 3" xfId="21538" xr:uid="{00000000-0005-0000-0000-0000078F0000}"/>
    <cellStyle name="Percent 26 3 2 3 2 3 2" xfId="41458" xr:uid="{00000000-0005-0000-0000-0000088F0000}"/>
    <cellStyle name="Percent 26 3 2 3 2 4" xfId="29153" xr:uid="{00000000-0005-0000-0000-0000098F0000}"/>
    <cellStyle name="Percent 26 3 2 3 3" xfId="12320" xr:uid="{00000000-0005-0000-0000-00000A8F0000}"/>
    <cellStyle name="Percent 26 3 2 3 3 2" xfId="32240" xr:uid="{00000000-0005-0000-0000-00000B8F0000}"/>
    <cellStyle name="Percent 26 3 2 3 4" xfId="18472" xr:uid="{00000000-0005-0000-0000-00000C8F0000}"/>
    <cellStyle name="Percent 26 3 2 3 4 2" xfId="38392" xr:uid="{00000000-0005-0000-0000-00000D8F0000}"/>
    <cellStyle name="Percent 26 3 2 3 5" xfId="26087" xr:uid="{00000000-0005-0000-0000-00000E8F0000}"/>
    <cellStyle name="Percent 26 3 2 4" xfId="7658" xr:uid="{00000000-0005-0000-0000-00000F8F0000}"/>
    <cellStyle name="Percent 26 3 2 4 2" xfId="13852" xr:uid="{00000000-0005-0000-0000-0000108F0000}"/>
    <cellStyle name="Percent 26 3 2 4 2 2" xfId="33772" xr:uid="{00000000-0005-0000-0000-0000118F0000}"/>
    <cellStyle name="Percent 26 3 2 4 3" xfId="20004" xr:uid="{00000000-0005-0000-0000-0000128F0000}"/>
    <cellStyle name="Percent 26 3 2 4 3 2" xfId="39924" xr:uid="{00000000-0005-0000-0000-0000138F0000}"/>
    <cellStyle name="Percent 26 3 2 4 4" xfId="27619" xr:uid="{00000000-0005-0000-0000-0000148F0000}"/>
    <cellStyle name="Percent 26 3 2 5" xfId="10786" xr:uid="{00000000-0005-0000-0000-0000158F0000}"/>
    <cellStyle name="Percent 26 3 2 5 2" xfId="30706" xr:uid="{00000000-0005-0000-0000-0000168F0000}"/>
    <cellStyle name="Percent 26 3 2 6" xfId="16938" xr:uid="{00000000-0005-0000-0000-0000178F0000}"/>
    <cellStyle name="Percent 26 3 2 6 2" xfId="36858" xr:uid="{00000000-0005-0000-0000-0000188F0000}"/>
    <cellStyle name="Percent 26 3 2 7" xfId="24553" xr:uid="{00000000-0005-0000-0000-0000198F0000}"/>
    <cellStyle name="Percent 26 3 3" xfId="5250" xr:uid="{00000000-0005-0000-0000-00001A8F0000}"/>
    <cellStyle name="Percent 26 3 3 2" xfId="6875" xr:uid="{00000000-0005-0000-0000-00001B8F0000}"/>
    <cellStyle name="Percent 26 3 3 2 2" xfId="9961" xr:uid="{00000000-0005-0000-0000-00001C8F0000}"/>
    <cellStyle name="Percent 26 3 3 2 2 2" xfId="16154" xr:uid="{00000000-0005-0000-0000-00001D8F0000}"/>
    <cellStyle name="Percent 26 3 3 2 2 2 2" xfId="36074" xr:uid="{00000000-0005-0000-0000-00001E8F0000}"/>
    <cellStyle name="Percent 26 3 3 2 2 3" xfId="22306" xr:uid="{00000000-0005-0000-0000-00001F8F0000}"/>
    <cellStyle name="Percent 26 3 3 2 2 3 2" xfId="42226" xr:uid="{00000000-0005-0000-0000-0000208F0000}"/>
    <cellStyle name="Percent 26 3 3 2 2 4" xfId="29921" xr:uid="{00000000-0005-0000-0000-0000218F0000}"/>
    <cellStyle name="Percent 26 3 3 2 3" xfId="13088" xr:uid="{00000000-0005-0000-0000-0000228F0000}"/>
    <cellStyle name="Percent 26 3 3 2 3 2" xfId="33008" xr:uid="{00000000-0005-0000-0000-0000238F0000}"/>
    <cellStyle name="Percent 26 3 3 2 4" xfId="19240" xr:uid="{00000000-0005-0000-0000-0000248F0000}"/>
    <cellStyle name="Percent 26 3 3 2 4 2" xfId="39160" xr:uid="{00000000-0005-0000-0000-0000258F0000}"/>
    <cellStyle name="Percent 26 3 3 2 5" xfId="26855" xr:uid="{00000000-0005-0000-0000-0000268F0000}"/>
    <cellStyle name="Percent 26 3 3 3" xfId="8426" xr:uid="{00000000-0005-0000-0000-0000278F0000}"/>
    <cellStyle name="Percent 26 3 3 3 2" xfId="14620" xr:uid="{00000000-0005-0000-0000-0000288F0000}"/>
    <cellStyle name="Percent 26 3 3 3 2 2" xfId="34540" xr:uid="{00000000-0005-0000-0000-0000298F0000}"/>
    <cellStyle name="Percent 26 3 3 3 3" xfId="20772" xr:uid="{00000000-0005-0000-0000-00002A8F0000}"/>
    <cellStyle name="Percent 26 3 3 3 3 2" xfId="40692" xr:uid="{00000000-0005-0000-0000-00002B8F0000}"/>
    <cellStyle name="Percent 26 3 3 3 4" xfId="28387" xr:uid="{00000000-0005-0000-0000-00002C8F0000}"/>
    <cellStyle name="Percent 26 3 3 4" xfId="11554" xr:uid="{00000000-0005-0000-0000-00002D8F0000}"/>
    <cellStyle name="Percent 26 3 3 4 2" xfId="31474" xr:uid="{00000000-0005-0000-0000-00002E8F0000}"/>
    <cellStyle name="Percent 26 3 3 5" xfId="17706" xr:uid="{00000000-0005-0000-0000-00002F8F0000}"/>
    <cellStyle name="Percent 26 3 3 5 2" xfId="37626" xr:uid="{00000000-0005-0000-0000-0000308F0000}"/>
    <cellStyle name="Percent 26 3 3 6" xfId="25321" xr:uid="{00000000-0005-0000-0000-0000318F0000}"/>
    <cellStyle name="Percent 26 3 4" xfId="6096" xr:uid="{00000000-0005-0000-0000-0000328F0000}"/>
    <cellStyle name="Percent 26 3 4 2" xfId="9192" xr:uid="{00000000-0005-0000-0000-0000338F0000}"/>
    <cellStyle name="Percent 26 3 4 2 2" xfId="15385" xr:uid="{00000000-0005-0000-0000-0000348F0000}"/>
    <cellStyle name="Percent 26 3 4 2 2 2" xfId="35305" xr:uid="{00000000-0005-0000-0000-0000358F0000}"/>
    <cellStyle name="Percent 26 3 4 2 3" xfId="21537" xr:uid="{00000000-0005-0000-0000-0000368F0000}"/>
    <cellStyle name="Percent 26 3 4 2 3 2" xfId="41457" xr:uid="{00000000-0005-0000-0000-0000378F0000}"/>
    <cellStyle name="Percent 26 3 4 2 4" xfId="29152" xr:uid="{00000000-0005-0000-0000-0000388F0000}"/>
    <cellStyle name="Percent 26 3 4 3" xfId="12319" xr:uid="{00000000-0005-0000-0000-0000398F0000}"/>
    <cellStyle name="Percent 26 3 4 3 2" xfId="32239" xr:uid="{00000000-0005-0000-0000-00003A8F0000}"/>
    <cellStyle name="Percent 26 3 4 4" xfId="18471" xr:uid="{00000000-0005-0000-0000-00003B8F0000}"/>
    <cellStyle name="Percent 26 3 4 4 2" xfId="38391" xr:uid="{00000000-0005-0000-0000-00003C8F0000}"/>
    <cellStyle name="Percent 26 3 4 5" xfId="26086" xr:uid="{00000000-0005-0000-0000-00003D8F0000}"/>
    <cellStyle name="Percent 26 3 5" xfId="7657" xr:uid="{00000000-0005-0000-0000-00003E8F0000}"/>
    <cellStyle name="Percent 26 3 5 2" xfId="13851" xr:uid="{00000000-0005-0000-0000-00003F8F0000}"/>
    <cellStyle name="Percent 26 3 5 2 2" xfId="33771" xr:uid="{00000000-0005-0000-0000-0000408F0000}"/>
    <cellStyle name="Percent 26 3 5 3" xfId="20003" xr:uid="{00000000-0005-0000-0000-0000418F0000}"/>
    <cellStyle name="Percent 26 3 5 3 2" xfId="39923" xr:uid="{00000000-0005-0000-0000-0000428F0000}"/>
    <cellStyle name="Percent 26 3 5 4" xfId="27618" xr:uid="{00000000-0005-0000-0000-0000438F0000}"/>
    <cellStyle name="Percent 26 3 6" xfId="10785" xr:uid="{00000000-0005-0000-0000-0000448F0000}"/>
    <cellStyle name="Percent 26 3 6 2" xfId="30705" xr:uid="{00000000-0005-0000-0000-0000458F0000}"/>
    <cellStyle name="Percent 26 3 7" xfId="16937" xr:uid="{00000000-0005-0000-0000-0000468F0000}"/>
    <cellStyle name="Percent 26 3 7 2" xfId="36857" xr:uid="{00000000-0005-0000-0000-0000478F0000}"/>
    <cellStyle name="Percent 26 3 8" xfId="24552" xr:uid="{00000000-0005-0000-0000-0000488F0000}"/>
    <cellStyle name="Percent 26 4" xfId="4204" xr:uid="{00000000-0005-0000-0000-0000498F0000}"/>
    <cellStyle name="Percent 26 4 2" xfId="4205" xr:uid="{00000000-0005-0000-0000-00004A8F0000}"/>
    <cellStyle name="Percent 26 4 2 2" xfId="5252" xr:uid="{00000000-0005-0000-0000-00004B8F0000}"/>
    <cellStyle name="Percent 26 4 2 2 2" xfId="6877" xr:uid="{00000000-0005-0000-0000-00004C8F0000}"/>
    <cellStyle name="Percent 26 4 2 2 2 2" xfId="9963" xr:uid="{00000000-0005-0000-0000-00004D8F0000}"/>
    <cellStyle name="Percent 26 4 2 2 2 2 2" xfId="16156" xr:uid="{00000000-0005-0000-0000-00004E8F0000}"/>
    <cellStyle name="Percent 26 4 2 2 2 2 2 2" xfId="36076" xr:uid="{00000000-0005-0000-0000-00004F8F0000}"/>
    <cellStyle name="Percent 26 4 2 2 2 2 3" xfId="22308" xr:uid="{00000000-0005-0000-0000-0000508F0000}"/>
    <cellStyle name="Percent 26 4 2 2 2 2 3 2" xfId="42228" xr:uid="{00000000-0005-0000-0000-0000518F0000}"/>
    <cellStyle name="Percent 26 4 2 2 2 2 4" xfId="29923" xr:uid="{00000000-0005-0000-0000-0000528F0000}"/>
    <cellStyle name="Percent 26 4 2 2 2 3" xfId="13090" xr:uid="{00000000-0005-0000-0000-0000538F0000}"/>
    <cellStyle name="Percent 26 4 2 2 2 3 2" xfId="33010" xr:uid="{00000000-0005-0000-0000-0000548F0000}"/>
    <cellStyle name="Percent 26 4 2 2 2 4" xfId="19242" xr:uid="{00000000-0005-0000-0000-0000558F0000}"/>
    <cellStyle name="Percent 26 4 2 2 2 4 2" xfId="39162" xr:uid="{00000000-0005-0000-0000-0000568F0000}"/>
    <cellStyle name="Percent 26 4 2 2 2 5" xfId="26857" xr:uid="{00000000-0005-0000-0000-0000578F0000}"/>
    <cellStyle name="Percent 26 4 2 2 3" xfId="8428" xr:uid="{00000000-0005-0000-0000-0000588F0000}"/>
    <cellStyle name="Percent 26 4 2 2 3 2" xfId="14622" xr:uid="{00000000-0005-0000-0000-0000598F0000}"/>
    <cellStyle name="Percent 26 4 2 2 3 2 2" xfId="34542" xr:uid="{00000000-0005-0000-0000-00005A8F0000}"/>
    <cellStyle name="Percent 26 4 2 2 3 3" xfId="20774" xr:uid="{00000000-0005-0000-0000-00005B8F0000}"/>
    <cellStyle name="Percent 26 4 2 2 3 3 2" xfId="40694" xr:uid="{00000000-0005-0000-0000-00005C8F0000}"/>
    <cellStyle name="Percent 26 4 2 2 3 4" xfId="28389" xr:uid="{00000000-0005-0000-0000-00005D8F0000}"/>
    <cellStyle name="Percent 26 4 2 2 4" xfId="11556" xr:uid="{00000000-0005-0000-0000-00005E8F0000}"/>
    <cellStyle name="Percent 26 4 2 2 4 2" xfId="31476" xr:uid="{00000000-0005-0000-0000-00005F8F0000}"/>
    <cellStyle name="Percent 26 4 2 2 5" xfId="17708" xr:uid="{00000000-0005-0000-0000-0000608F0000}"/>
    <cellStyle name="Percent 26 4 2 2 5 2" xfId="37628" xr:uid="{00000000-0005-0000-0000-0000618F0000}"/>
    <cellStyle name="Percent 26 4 2 2 6" xfId="25323" xr:uid="{00000000-0005-0000-0000-0000628F0000}"/>
    <cellStyle name="Percent 26 4 2 3" xfId="6098" xr:uid="{00000000-0005-0000-0000-0000638F0000}"/>
    <cellStyle name="Percent 26 4 2 3 2" xfId="9194" xr:uid="{00000000-0005-0000-0000-0000648F0000}"/>
    <cellStyle name="Percent 26 4 2 3 2 2" xfId="15387" xr:uid="{00000000-0005-0000-0000-0000658F0000}"/>
    <cellStyle name="Percent 26 4 2 3 2 2 2" xfId="35307" xr:uid="{00000000-0005-0000-0000-0000668F0000}"/>
    <cellStyle name="Percent 26 4 2 3 2 3" xfId="21539" xr:uid="{00000000-0005-0000-0000-0000678F0000}"/>
    <cellStyle name="Percent 26 4 2 3 2 3 2" xfId="41459" xr:uid="{00000000-0005-0000-0000-0000688F0000}"/>
    <cellStyle name="Percent 26 4 2 3 2 4" xfId="29154" xr:uid="{00000000-0005-0000-0000-0000698F0000}"/>
    <cellStyle name="Percent 26 4 2 3 3" xfId="12321" xr:uid="{00000000-0005-0000-0000-00006A8F0000}"/>
    <cellStyle name="Percent 26 4 2 3 3 2" xfId="32241" xr:uid="{00000000-0005-0000-0000-00006B8F0000}"/>
    <cellStyle name="Percent 26 4 2 3 4" xfId="18473" xr:uid="{00000000-0005-0000-0000-00006C8F0000}"/>
    <cellStyle name="Percent 26 4 2 3 4 2" xfId="38393" xr:uid="{00000000-0005-0000-0000-00006D8F0000}"/>
    <cellStyle name="Percent 26 4 2 3 5" xfId="26088" xr:uid="{00000000-0005-0000-0000-00006E8F0000}"/>
    <cellStyle name="Percent 26 4 2 4" xfId="7659" xr:uid="{00000000-0005-0000-0000-00006F8F0000}"/>
    <cellStyle name="Percent 26 4 2 4 2" xfId="13853" xr:uid="{00000000-0005-0000-0000-0000708F0000}"/>
    <cellStyle name="Percent 26 4 2 4 2 2" xfId="33773" xr:uid="{00000000-0005-0000-0000-0000718F0000}"/>
    <cellStyle name="Percent 26 4 2 4 3" xfId="20005" xr:uid="{00000000-0005-0000-0000-0000728F0000}"/>
    <cellStyle name="Percent 26 4 2 4 3 2" xfId="39925" xr:uid="{00000000-0005-0000-0000-0000738F0000}"/>
    <cellStyle name="Percent 26 4 2 4 4" xfId="27620" xr:uid="{00000000-0005-0000-0000-0000748F0000}"/>
    <cellStyle name="Percent 26 4 2 5" xfId="10787" xr:uid="{00000000-0005-0000-0000-0000758F0000}"/>
    <cellStyle name="Percent 26 4 2 5 2" xfId="30707" xr:uid="{00000000-0005-0000-0000-0000768F0000}"/>
    <cellStyle name="Percent 26 4 2 6" xfId="16939" xr:uid="{00000000-0005-0000-0000-0000778F0000}"/>
    <cellStyle name="Percent 26 4 2 6 2" xfId="36859" xr:uid="{00000000-0005-0000-0000-0000788F0000}"/>
    <cellStyle name="Percent 26 4 2 7" xfId="24554" xr:uid="{00000000-0005-0000-0000-0000798F0000}"/>
    <cellStyle name="Percent 26 5" xfId="4206" xr:uid="{00000000-0005-0000-0000-00007A8F0000}"/>
    <cellStyle name="Percent 26 5 2" xfId="5253" xr:uid="{00000000-0005-0000-0000-00007B8F0000}"/>
    <cellStyle name="Percent 26 5 2 2" xfId="6878" xr:uid="{00000000-0005-0000-0000-00007C8F0000}"/>
    <cellStyle name="Percent 26 5 2 2 2" xfId="9964" xr:uid="{00000000-0005-0000-0000-00007D8F0000}"/>
    <cellStyle name="Percent 26 5 2 2 2 2" xfId="16157" xr:uid="{00000000-0005-0000-0000-00007E8F0000}"/>
    <cellStyle name="Percent 26 5 2 2 2 2 2" xfId="36077" xr:uid="{00000000-0005-0000-0000-00007F8F0000}"/>
    <cellStyle name="Percent 26 5 2 2 2 3" xfId="22309" xr:uid="{00000000-0005-0000-0000-0000808F0000}"/>
    <cellStyle name="Percent 26 5 2 2 2 3 2" xfId="42229" xr:uid="{00000000-0005-0000-0000-0000818F0000}"/>
    <cellStyle name="Percent 26 5 2 2 2 4" xfId="29924" xr:uid="{00000000-0005-0000-0000-0000828F0000}"/>
    <cellStyle name="Percent 26 5 2 2 3" xfId="13091" xr:uid="{00000000-0005-0000-0000-0000838F0000}"/>
    <cellStyle name="Percent 26 5 2 2 3 2" xfId="33011" xr:uid="{00000000-0005-0000-0000-0000848F0000}"/>
    <cellStyle name="Percent 26 5 2 2 4" xfId="19243" xr:uid="{00000000-0005-0000-0000-0000858F0000}"/>
    <cellStyle name="Percent 26 5 2 2 4 2" xfId="39163" xr:uid="{00000000-0005-0000-0000-0000868F0000}"/>
    <cellStyle name="Percent 26 5 2 2 5" xfId="26858" xr:uid="{00000000-0005-0000-0000-0000878F0000}"/>
    <cellStyle name="Percent 26 5 2 3" xfId="8429" xr:uid="{00000000-0005-0000-0000-0000888F0000}"/>
    <cellStyle name="Percent 26 5 2 3 2" xfId="14623" xr:uid="{00000000-0005-0000-0000-0000898F0000}"/>
    <cellStyle name="Percent 26 5 2 3 2 2" xfId="34543" xr:uid="{00000000-0005-0000-0000-00008A8F0000}"/>
    <cellStyle name="Percent 26 5 2 3 3" xfId="20775" xr:uid="{00000000-0005-0000-0000-00008B8F0000}"/>
    <cellStyle name="Percent 26 5 2 3 3 2" xfId="40695" xr:uid="{00000000-0005-0000-0000-00008C8F0000}"/>
    <cellStyle name="Percent 26 5 2 3 4" xfId="28390" xr:uid="{00000000-0005-0000-0000-00008D8F0000}"/>
    <cellStyle name="Percent 26 5 2 4" xfId="11557" xr:uid="{00000000-0005-0000-0000-00008E8F0000}"/>
    <cellStyle name="Percent 26 5 2 4 2" xfId="31477" xr:uid="{00000000-0005-0000-0000-00008F8F0000}"/>
    <cellStyle name="Percent 26 5 2 5" xfId="17709" xr:uid="{00000000-0005-0000-0000-0000908F0000}"/>
    <cellStyle name="Percent 26 5 2 5 2" xfId="37629" xr:uid="{00000000-0005-0000-0000-0000918F0000}"/>
    <cellStyle name="Percent 26 5 2 6" xfId="25324" xr:uid="{00000000-0005-0000-0000-0000928F0000}"/>
    <cellStyle name="Percent 26 5 3" xfId="6099" xr:uid="{00000000-0005-0000-0000-0000938F0000}"/>
    <cellStyle name="Percent 26 5 3 2" xfId="9195" xr:uid="{00000000-0005-0000-0000-0000948F0000}"/>
    <cellStyle name="Percent 26 5 3 2 2" xfId="15388" xr:uid="{00000000-0005-0000-0000-0000958F0000}"/>
    <cellStyle name="Percent 26 5 3 2 2 2" xfId="35308" xr:uid="{00000000-0005-0000-0000-0000968F0000}"/>
    <cellStyle name="Percent 26 5 3 2 3" xfId="21540" xr:uid="{00000000-0005-0000-0000-0000978F0000}"/>
    <cellStyle name="Percent 26 5 3 2 3 2" xfId="41460" xr:uid="{00000000-0005-0000-0000-0000988F0000}"/>
    <cellStyle name="Percent 26 5 3 2 4" xfId="29155" xr:uid="{00000000-0005-0000-0000-0000998F0000}"/>
    <cellStyle name="Percent 26 5 3 3" xfId="12322" xr:uid="{00000000-0005-0000-0000-00009A8F0000}"/>
    <cellStyle name="Percent 26 5 3 3 2" xfId="32242" xr:uid="{00000000-0005-0000-0000-00009B8F0000}"/>
    <cellStyle name="Percent 26 5 3 4" xfId="18474" xr:uid="{00000000-0005-0000-0000-00009C8F0000}"/>
    <cellStyle name="Percent 26 5 3 4 2" xfId="38394" xr:uid="{00000000-0005-0000-0000-00009D8F0000}"/>
    <cellStyle name="Percent 26 5 3 5" xfId="26089" xr:uid="{00000000-0005-0000-0000-00009E8F0000}"/>
    <cellStyle name="Percent 26 5 4" xfId="7660" xr:uid="{00000000-0005-0000-0000-00009F8F0000}"/>
    <cellStyle name="Percent 26 5 4 2" xfId="13854" xr:uid="{00000000-0005-0000-0000-0000A08F0000}"/>
    <cellStyle name="Percent 26 5 4 2 2" xfId="33774" xr:uid="{00000000-0005-0000-0000-0000A18F0000}"/>
    <cellStyle name="Percent 26 5 4 3" xfId="20006" xr:uid="{00000000-0005-0000-0000-0000A28F0000}"/>
    <cellStyle name="Percent 26 5 4 3 2" xfId="39926" xr:uid="{00000000-0005-0000-0000-0000A38F0000}"/>
    <cellStyle name="Percent 26 5 4 4" xfId="27621" xr:uid="{00000000-0005-0000-0000-0000A48F0000}"/>
    <cellStyle name="Percent 26 5 5" xfId="10788" xr:uid="{00000000-0005-0000-0000-0000A58F0000}"/>
    <cellStyle name="Percent 26 5 5 2" xfId="30708" xr:uid="{00000000-0005-0000-0000-0000A68F0000}"/>
    <cellStyle name="Percent 26 5 6" xfId="16940" xr:uid="{00000000-0005-0000-0000-0000A78F0000}"/>
    <cellStyle name="Percent 26 5 6 2" xfId="36860" xr:uid="{00000000-0005-0000-0000-0000A88F0000}"/>
    <cellStyle name="Percent 26 5 7" xfId="24555" xr:uid="{00000000-0005-0000-0000-0000A98F0000}"/>
    <cellStyle name="Percent 27" xfId="4207" xr:uid="{00000000-0005-0000-0000-0000AA8F0000}"/>
    <cellStyle name="Percent 27 2" xfId="4208" xr:uid="{00000000-0005-0000-0000-0000AB8F0000}"/>
    <cellStyle name="Percent 27 2 2" xfId="4209" xr:uid="{00000000-0005-0000-0000-0000AC8F0000}"/>
    <cellStyle name="Percent 27 2 2 2" xfId="5255" xr:uid="{00000000-0005-0000-0000-0000AD8F0000}"/>
    <cellStyle name="Percent 27 2 2 2 2" xfId="6880" xr:uid="{00000000-0005-0000-0000-0000AE8F0000}"/>
    <cellStyle name="Percent 27 2 2 2 2 2" xfId="9966" xr:uid="{00000000-0005-0000-0000-0000AF8F0000}"/>
    <cellStyle name="Percent 27 2 2 2 2 2 2" xfId="16159" xr:uid="{00000000-0005-0000-0000-0000B08F0000}"/>
    <cellStyle name="Percent 27 2 2 2 2 2 2 2" xfId="36079" xr:uid="{00000000-0005-0000-0000-0000B18F0000}"/>
    <cellStyle name="Percent 27 2 2 2 2 2 3" xfId="22311" xr:uid="{00000000-0005-0000-0000-0000B28F0000}"/>
    <cellStyle name="Percent 27 2 2 2 2 2 3 2" xfId="42231" xr:uid="{00000000-0005-0000-0000-0000B38F0000}"/>
    <cellStyle name="Percent 27 2 2 2 2 2 4" xfId="29926" xr:uid="{00000000-0005-0000-0000-0000B48F0000}"/>
    <cellStyle name="Percent 27 2 2 2 2 3" xfId="13093" xr:uid="{00000000-0005-0000-0000-0000B58F0000}"/>
    <cellStyle name="Percent 27 2 2 2 2 3 2" xfId="33013" xr:uid="{00000000-0005-0000-0000-0000B68F0000}"/>
    <cellStyle name="Percent 27 2 2 2 2 4" xfId="19245" xr:uid="{00000000-0005-0000-0000-0000B78F0000}"/>
    <cellStyle name="Percent 27 2 2 2 2 4 2" xfId="39165" xr:uid="{00000000-0005-0000-0000-0000B88F0000}"/>
    <cellStyle name="Percent 27 2 2 2 2 5" xfId="26860" xr:uid="{00000000-0005-0000-0000-0000B98F0000}"/>
    <cellStyle name="Percent 27 2 2 2 3" xfId="8431" xr:uid="{00000000-0005-0000-0000-0000BA8F0000}"/>
    <cellStyle name="Percent 27 2 2 2 3 2" xfId="14625" xr:uid="{00000000-0005-0000-0000-0000BB8F0000}"/>
    <cellStyle name="Percent 27 2 2 2 3 2 2" xfId="34545" xr:uid="{00000000-0005-0000-0000-0000BC8F0000}"/>
    <cellStyle name="Percent 27 2 2 2 3 3" xfId="20777" xr:uid="{00000000-0005-0000-0000-0000BD8F0000}"/>
    <cellStyle name="Percent 27 2 2 2 3 3 2" xfId="40697" xr:uid="{00000000-0005-0000-0000-0000BE8F0000}"/>
    <cellStyle name="Percent 27 2 2 2 3 4" xfId="28392" xr:uid="{00000000-0005-0000-0000-0000BF8F0000}"/>
    <cellStyle name="Percent 27 2 2 2 4" xfId="11559" xr:uid="{00000000-0005-0000-0000-0000C08F0000}"/>
    <cellStyle name="Percent 27 2 2 2 4 2" xfId="31479" xr:uid="{00000000-0005-0000-0000-0000C18F0000}"/>
    <cellStyle name="Percent 27 2 2 2 5" xfId="17711" xr:uid="{00000000-0005-0000-0000-0000C28F0000}"/>
    <cellStyle name="Percent 27 2 2 2 5 2" xfId="37631" xr:uid="{00000000-0005-0000-0000-0000C38F0000}"/>
    <cellStyle name="Percent 27 2 2 2 6" xfId="25326" xr:uid="{00000000-0005-0000-0000-0000C48F0000}"/>
    <cellStyle name="Percent 27 2 2 3" xfId="6102" xr:uid="{00000000-0005-0000-0000-0000C58F0000}"/>
    <cellStyle name="Percent 27 2 2 3 2" xfId="9197" xr:uid="{00000000-0005-0000-0000-0000C68F0000}"/>
    <cellStyle name="Percent 27 2 2 3 2 2" xfId="15390" xr:uid="{00000000-0005-0000-0000-0000C78F0000}"/>
    <cellStyle name="Percent 27 2 2 3 2 2 2" xfId="35310" xr:uid="{00000000-0005-0000-0000-0000C88F0000}"/>
    <cellStyle name="Percent 27 2 2 3 2 3" xfId="21542" xr:uid="{00000000-0005-0000-0000-0000C98F0000}"/>
    <cellStyle name="Percent 27 2 2 3 2 3 2" xfId="41462" xr:uid="{00000000-0005-0000-0000-0000CA8F0000}"/>
    <cellStyle name="Percent 27 2 2 3 2 4" xfId="29157" xr:uid="{00000000-0005-0000-0000-0000CB8F0000}"/>
    <cellStyle name="Percent 27 2 2 3 3" xfId="12324" xr:uid="{00000000-0005-0000-0000-0000CC8F0000}"/>
    <cellStyle name="Percent 27 2 2 3 3 2" xfId="32244" xr:uid="{00000000-0005-0000-0000-0000CD8F0000}"/>
    <cellStyle name="Percent 27 2 2 3 4" xfId="18476" xr:uid="{00000000-0005-0000-0000-0000CE8F0000}"/>
    <cellStyle name="Percent 27 2 2 3 4 2" xfId="38396" xr:uid="{00000000-0005-0000-0000-0000CF8F0000}"/>
    <cellStyle name="Percent 27 2 2 3 5" xfId="26091" xr:uid="{00000000-0005-0000-0000-0000D08F0000}"/>
    <cellStyle name="Percent 27 2 2 4" xfId="7662" xr:uid="{00000000-0005-0000-0000-0000D18F0000}"/>
    <cellStyle name="Percent 27 2 2 4 2" xfId="13856" xr:uid="{00000000-0005-0000-0000-0000D28F0000}"/>
    <cellStyle name="Percent 27 2 2 4 2 2" xfId="33776" xr:uid="{00000000-0005-0000-0000-0000D38F0000}"/>
    <cellStyle name="Percent 27 2 2 4 3" xfId="20008" xr:uid="{00000000-0005-0000-0000-0000D48F0000}"/>
    <cellStyle name="Percent 27 2 2 4 3 2" xfId="39928" xr:uid="{00000000-0005-0000-0000-0000D58F0000}"/>
    <cellStyle name="Percent 27 2 2 4 4" xfId="27623" xr:uid="{00000000-0005-0000-0000-0000D68F0000}"/>
    <cellStyle name="Percent 27 2 2 5" xfId="10790" xr:uid="{00000000-0005-0000-0000-0000D78F0000}"/>
    <cellStyle name="Percent 27 2 2 5 2" xfId="30710" xr:uid="{00000000-0005-0000-0000-0000D88F0000}"/>
    <cellStyle name="Percent 27 2 2 6" xfId="16942" xr:uid="{00000000-0005-0000-0000-0000D98F0000}"/>
    <cellStyle name="Percent 27 2 2 6 2" xfId="36862" xr:uid="{00000000-0005-0000-0000-0000DA8F0000}"/>
    <cellStyle name="Percent 27 2 2 7" xfId="24557" xr:uid="{00000000-0005-0000-0000-0000DB8F0000}"/>
    <cellStyle name="Percent 27 2 3" xfId="5254" xr:uid="{00000000-0005-0000-0000-0000DC8F0000}"/>
    <cellStyle name="Percent 27 2 3 2" xfId="6879" xr:uid="{00000000-0005-0000-0000-0000DD8F0000}"/>
    <cellStyle name="Percent 27 2 3 2 2" xfId="9965" xr:uid="{00000000-0005-0000-0000-0000DE8F0000}"/>
    <cellStyle name="Percent 27 2 3 2 2 2" xfId="16158" xr:uid="{00000000-0005-0000-0000-0000DF8F0000}"/>
    <cellStyle name="Percent 27 2 3 2 2 2 2" xfId="36078" xr:uid="{00000000-0005-0000-0000-0000E08F0000}"/>
    <cellStyle name="Percent 27 2 3 2 2 3" xfId="22310" xr:uid="{00000000-0005-0000-0000-0000E18F0000}"/>
    <cellStyle name="Percent 27 2 3 2 2 3 2" xfId="42230" xr:uid="{00000000-0005-0000-0000-0000E28F0000}"/>
    <cellStyle name="Percent 27 2 3 2 2 4" xfId="29925" xr:uid="{00000000-0005-0000-0000-0000E38F0000}"/>
    <cellStyle name="Percent 27 2 3 2 3" xfId="13092" xr:uid="{00000000-0005-0000-0000-0000E48F0000}"/>
    <cellStyle name="Percent 27 2 3 2 3 2" xfId="33012" xr:uid="{00000000-0005-0000-0000-0000E58F0000}"/>
    <cellStyle name="Percent 27 2 3 2 4" xfId="19244" xr:uid="{00000000-0005-0000-0000-0000E68F0000}"/>
    <cellStyle name="Percent 27 2 3 2 4 2" xfId="39164" xr:uid="{00000000-0005-0000-0000-0000E78F0000}"/>
    <cellStyle name="Percent 27 2 3 2 5" xfId="26859" xr:uid="{00000000-0005-0000-0000-0000E88F0000}"/>
    <cellStyle name="Percent 27 2 3 3" xfId="8430" xr:uid="{00000000-0005-0000-0000-0000E98F0000}"/>
    <cellStyle name="Percent 27 2 3 3 2" xfId="14624" xr:uid="{00000000-0005-0000-0000-0000EA8F0000}"/>
    <cellStyle name="Percent 27 2 3 3 2 2" xfId="34544" xr:uid="{00000000-0005-0000-0000-0000EB8F0000}"/>
    <cellStyle name="Percent 27 2 3 3 3" xfId="20776" xr:uid="{00000000-0005-0000-0000-0000EC8F0000}"/>
    <cellStyle name="Percent 27 2 3 3 3 2" xfId="40696" xr:uid="{00000000-0005-0000-0000-0000ED8F0000}"/>
    <cellStyle name="Percent 27 2 3 3 4" xfId="28391" xr:uid="{00000000-0005-0000-0000-0000EE8F0000}"/>
    <cellStyle name="Percent 27 2 3 4" xfId="11558" xr:uid="{00000000-0005-0000-0000-0000EF8F0000}"/>
    <cellStyle name="Percent 27 2 3 4 2" xfId="31478" xr:uid="{00000000-0005-0000-0000-0000F08F0000}"/>
    <cellStyle name="Percent 27 2 3 5" xfId="17710" xr:uid="{00000000-0005-0000-0000-0000F18F0000}"/>
    <cellStyle name="Percent 27 2 3 5 2" xfId="37630" xr:uid="{00000000-0005-0000-0000-0000F28F0000}"/>
    <cellStyle name="Percent 27 2 3 6" xfId="25325" xr:uid="{00000000-0005-0000-0000-0000F38F0000}"/>
    <cellStyle name="Percent 27 2 4" xfId="6101" xr:uid="{00000000-0005-0000-0000-0000F48F0000}"/>
    <cellStyle name="Percent 27 2 4 2" xfId="9196" xr:uid="{00000000-0005-0000-0000-0000F58F0000}"/>
    <cellStyle name="Percent 27 2 4 2 2" xfId="15389" xr:uid="{00000000-0005-0000-0000-0000F68F0000}"/>
    <cellStyle name="Percent 27 2 4 2 2 2" xfId="35309" xr:uid="{00000000-0005-0000-0000-0000F78F0000}"/>
    <cellStyle name="Percent 27 2 4 2 3" xfId="21541" xr:uid="{00000000-0005-0000-0000-0000F88F0000}"/>
    <cellStyle name="Percent 27 2 4 2 3 2" xfId="41461" xr:uid="{00000000-0005-0000-0000-0000F98F0000}"/>
    <cellStyle name="Percent 27 2 4 2 4" xfId="29156" xr:uid="{00000000-0005-0000-0000-0000FA8F0000}"/>
    <cellStyle name="Percent 27 2 4 3" xfId="12323" xr:uid="{00000000-0005-0000-0000-0000FB8F0000}"/>
    <cellStyle name="Percent 27 2 4 3 2" xfId="32243" xr:uid="{00000000-0005-0000-0000-0000FC8F0000}"/>
    <cellStyle name="Percent 27 2 4 4" xfId="18475" xr:uid="{00000000-0005-0000-0000-0000FD8F0000}"/>
    <cellStyle name="Percent 27 2 4 4 2" xfId="38395" xr:uid="{00000000-0005-0000-0000-0000FE8F0000}"/>
    <cellStyle name="Percent 27 2 4 5" xfId="26090" xr:uid="{00000000-0005-0000-0000-0000FF8F0000}"/>
    <cellStyle name="Percent 27 2 5" xfId="7661" xr:uid="{00000000-0005-0000-0000-000000900000}"/>
    <cellStyle name="Percent 27 2 5 2" xfId="13855" xr:uid="{00000000-0005-0000-0000-000001900000}"/>
    <cellStyle name="Percent 27 2 5 2 2" xfId="33775" xr:uid="{00000000-0005-0000-0000-000002900000}"/>
    <cellStyle name="Percent 27 2 5 3" xfId="20007" xr:uid="{00000000-0005-0000-0000-000003900000}"/>
    <cellStyle name="Percent 27 2 5 3 2" xfId="39927" xr:uid="{00000000-0005-0000-0000-000004900000}"/>
    <cellStyle name="Percent 27 2 5 4" xfId="27622" xr:uid="{00000000-0005-0000-0000-000005900000}"/>
    <cellStyle name="Percent 27 2 6" xfId="10789" xr:uid="{00000000-0005-0000-0000-000006900000}"/>
    <cellStyle name="Percent 27 2 6 2" xfId="30709" xr:uid="{00000000-0005-0000-0000-000007900000}"/>
    <cellStyle name="Percent 27 2 7" xfId="16941" xr:uid="{00000000-0005-0000-0000-000008900000}"/>
    <cellStyle name="Percent 27 2 7 2" xfId="36861" xr:uid="{00000000-0005-0000-0000-000009900000}"/>
    <cellStyle name="Percent 27 2 8" xfId="24556" xr:uid="{00000000-0005-0000-0000-00000A900000}"/>
    <cellStyle name="Percent 27 3" xfId="4210" xr:uid="{00000000-0005-0000-0000-00000B900000}"/>
    <cellStyle name="Percent 27 3 2" xfId="4211" xr:uid="{00000000-0005-0000-0000-00000C900000}"/>
    <cellStyle name="Percent 27 3 2 2" xfId="5257" xr:uid="{00000000-0005-0000-0000-00000D900000}"/>
    <cellStyle name="Percent 27 3 2 2 2" xfId="6882" xr:uid="{00000000-0005-0000-0000-00000E900000}"/>
    <cellStyle name="Percent 27 3 2 2 2 2" xfId="9968" xr:uid="{00000000-0005-0000-0000-00000F900000}"/>
    <cellStyle name="Percent 27 3 2 2 2 2 2" xfId="16161" xr:uid="{00000000-0005-0000-0000-000010900000}"/>
    <cellStyle name="Percent 27 3 2 2 2 2 2 2" xfId="36081" xr:uid="{00000000-0005-0000-0000-000011900000}"/>
    <cellStyle name="Percent 27 3 2 2 2 2 3" xfId="22313" xr:uid="{00000000-0005-0000-0000-000012900000}"/>
    <cellStyle name="Percent 27 3 2 2 2 2 3 2" xfId="42233" xr:uid="{00000000-0005-0000-0000-000013900000}"/>
    <cellStyle name="Percent 27 3 2 2 2 2 4" xfId="29928" xr:uid="{00000000-0005-0000-0000-000014900000}"/>
    <cellStyle name="Percent 27 3 2 2 2 3" xfId="13095" xr:uid="{00000000-0005-0000-0000-000015900000}"/>
    <cellStyle name="Percent 27 3 2 2 2 3 2" xfId="33015" xr:uid="{00000000-0005-0000-0000-000016900000}"/>
    <cellStyle name="Percent 27 3 2 2 2 4" xfId="19247" xr:uid="{00000000-0005-0000-0000-000017900000}"/>
    <cellStyle name="Percent 27 3 2 2 2 4 2" xfId="39167" xr:uid="{00000000-0005-0000-0000-000018900000}"/>
    <cellStyle name="Percent 27 3 2 2 2 5" xfId="26862" xr:uid="{00000000-0005-0000-0000-000019900000}"/>
    <cellStyle name="Percent 27 3 2 2 3" xfId="8433" xr:uid="{00000000-0005-0000-0000-00001A900000}"/>
    <cellStyle name="Percent 27 3 2 2 3 2" xfId="14627" xr:uid="{00000000-0005-0000-0000-00001B900000}"/>
    <cellStyle name="Percent 27 3 2 2 3 2 2" xfId="34547" xr:uid="{00000000-0005-0000-0000-00001C900000}"/>
    <cellStyle name="Percent 27 3 2 2 3 3" xfId="20779" xr:uid="{00000000-0005-0000-0000-00001D900000}"/>
    <cellStyle name="Percent 27 3 2 2 3 3 2" xfId="40699" xr:uid="{00000000-0005-0000-0000-00001E900000}"/>
    <cellStyle name="Percent 27 3 2 2 3 4" xfId="28394" xr:uid="{00000000-0005-0000-0000-00001F900000}"/>
    <cellStyle name="Percent 27 3 2 2 4" xfId="11561" xr:uid="{00000000-0005-0000-0000-000020900000}"/>
    <cellStyle name="Percent 27 3 2 2 4 2" xfId="31481" xr:uid="{00000000-0005-0000-0000-000021900000}"/>
    <cellStyle name="Percent 27 3 2 2 5" xfId="17713" xr:uid="{00000000-0005-0000-0000-000022900000}"/>
    <cellStyle name="Percent 27 3 2 2 5 2" xfId="37633" xr:uid="{00000000-0005-0000-0000-000023900000}"/>
    <cellStyle name="Percent 27 3 2 2 6" xfId="25328" xr:uid="{00000000-0005-0000-0000-000024900000}"/>
    <cellStyle name="Percent 27 3 2 3" xfId="6104" xr:uid="{00000000-0005-0000-0000-000025900000}"/>
    <cellStyle name="Percent 27 3 2 3 2" xfId="9199" xr:uid="{00000000-0005-0000-0000-000026900000}"/>
    <cellStyle name="Percent 27 3 2 3 2 2" xfId="15392" xr:uid="{00000000-0005-0000-0000-000027900000}"/>
    <cellStyle name="Percent 27 3 2 3 2 2 2" xfId="35312" xr:uid="{00000000-0005-0000-0000-000028900000}"/>
    <cellStyle name="Percent 27 3 2 3 2 3" xfId="21544" xr:uid="{00000000-0005-0000-0000-000029900000}"/>
    <cellStyle name="Percent 27 3 2 3 2 3 2" xfId="41464" xr:uid="{00000000-0005-0000-0000-00002A900000}"/>
    <cellStyle name="Percent 27 3 2 3 2 4" xfId="29159" xr:uid="{00000000-0005-0000-0000-00002B900000}"/>
    <cellStyle name="Percent 27 3 2 3 3" xfId="12326" xr:uid="{00000000-0005-0000-0000-00002C900000}"/>
    <cellStyle name="Percent 27 3 2 3 3 2" xfId="32246" xr:uid="{00000000-0005-0000-0000-00002D900000}"/>
    <cellStyle name="Percent 27 3 2 3 4" xfId="18478" xr:uid="{00000000-0005-0000-0000-00002E900000}"/>
    <cellStyle name="Percent 27 3 2 3 4 2" xfId="38398" xr:uid="{00000000-0005-0000-0000-00002F900000}"/>
    <cellStyle name="Percent 27 3 2 3 5" xfId="26093" xr:uid="{00000000-0005-0000-0000-000030900000}"/>
    <cellStyle name="Percent 27 3 2 4" xfId="7664" xr:uid="{00000000-0005-0000-0000-000031900000}"/>
    <cellStyle name="Percent 27 3 2 4 2" xfId="13858" xr:uid="{00000000-0005-0000-0000-000032900000}"/>
    <cellStyle name="Percent 27 3 2 4 2 2" xfId="33778" xr:uid="{00000000-0005-0000-0000-000033900000}"/>
    <cellStyle name="Percent 27 3 2 4 3" xfId="20010" xr:uid="{00000000-0005-0000-0000-000034900000}"/>
    <cellStyle name="Percent 27 3 2 4 3 2" xfId="39930" xr:uid="{00000000-0005-0000-0000-000035900000}"/>
    <cellStyle name="Percent 27 3 2 4 4" xfId="27625" xr:uid="{00000000-0005-0000-0000-000036900000}"/>
    <cellStyle name="Percent 27 3 2 5" xfId="10792" xr:uid="{00000000-0005-0000-0000-000037900000}"/>
    <cellStyle name="Percent 27 3 2 5 2" xfId="30712" xr:uid="{00000000-0005-0000-0000-000038900000}"/>
    <cellStyle name="Percent 27 3 2 6" xfId="16944" xr:uid="{00000000-0005-0000-0000-000039900000}"/>
    <cellStyle name="Percent 27 3 2 6 2" xfId="36864" xr:uid="{00000000-0005-0000-0000-00003A900000}"/>
    <cellStyle name="Percent 27 3 2 7" xfId="24559" xr:uid="{00000000-0005-0000-0000-00003B900000}"/>
    <cellStyle name="Percent 27 3 3" xfId="5256" xr:uid="{00000000-0005-0000-0000-00003C900000}"/>
    <cellStyle name="Percent 27 3 3 2" xfId="6881" xr:uid="{00000000-0005-0000-0000-00003D900000}"/>
    <cellStyle name="Percent 27 3 3 2 2" xfId="9967" xr:uid="{00000000-0005-0000-0000-00003E900000}"/>
    <cellStyle name="Percent 27 3 3 2 2 2" xfId="16160" xr:uid="{00000000-0005-0000-0000-00003F900000}"/>
    <cellStyle name="Percent 27 3 3 2 2 2 2" xfId="36080" xr:uid="{00000000-0005-0000-0000-000040900000}"/>
    <cellStyle name="Percent 27 3 3 2 2 3" xfId="22312" xr:uid="{00000000-0005-0000-0000-000041900000}"/>
    <cellStyle name="Percent 27 3 3 2 2 3 2" xfId="42232" xr:uid="{00000000-0005-0000-0000-000042900000}"/>
    <cellStyle name="Percent 27 3 3 2 2 4" xfId="29927" xr:uid="{00000000-0005-0000-0000-000043900000}"/>
    <cellStyle name="Percent 27 3 3 2 3" xfId="13094" xr:uid="{00000000-0005-0000-0000-000044900000}"/>
    <cellStyle name="Percent 27 3 3 2 3 2" xfId="33014" xr:uid="{00000000-0005-0000-0000-000045900000}"/>
    <cellStyle name="Percent 27 3 3 2 4" xfId="19246" xr:uid="{00000000-0005-0000-0000-000046900000}"/>
    <cellStyle name="Percent 27 3 3 2 4 2" xfId="39166" xr:uid="{00000000-0005-0000-0000-000047900000}"/>
    <cellStyle name="Percent 27 3 3 2 5" xfId="26861" xr:uid="{00000000-0005-0000-0000-000048900000}"/>
    <cellStyle name="Percent 27 3 3 3" xfId="8432" xr:uid="{00000000-0005-0000-0000-000049900000}"/>
    <cellStyle name="Percent 27 3 3 3 2" xfId="14626" xr:uid="{00000000-0005-0000-0000-00004A900000}"/>
    <cellStyle name="Percent 27 3 3 3 2 2" xfId="34546" xr:uid="{00000000-0005-0000-0000-00004B900000}"/>
    <cellStyle name="Percent 27 3 3 3 3" xfId="20778" xr:uid="{00000000-0005-0000-0000-00004C900000}"/>
    <cellStyle name="Percent 27 3 3 3 3 2" xfId="40698" xr:uid="{00000000-0005-0000-0000-00004D900000}"/>
    <cellStyle name="Percent 27 3 3 3 4" xfId="28393" xr:uid="{00000000-0005-0000-0000-00004E900000}"/>
    <cellStyle name="Percent 27 3 3 4" xfId="11560" xr:uid="{00000000-0005-0000-0000-00004F900000}"/>
    <cellStyle name="Percent 27 3 3 4 2" xfId="31480" xr:uid="{00000000-0005-0000-0000-000050900000}"/>
    <cellStyle name="Percent 27 3 3 5" xfId="17712" xr:uid="{00000000-0005-0000-0000-000051900000}"/>
    <cellStyle name="Percent 27 3 3 5 2" xfId="37632" xr:uid="{00000000-0005-0000-0000-000052900000}"/>
    <cellStyle name="Percent 27 3 3 6" xfId="25327" xr:uid="{00000000-0005-0000-0000-000053900000}"/>
    <cellStyle name="Percent 27 3 4" xfId="6103" xr:uid="{00000000-0005-0000-0000-000054900000}"/>
    <cellStyle name="Percent 27 3 4 2" xfId="9198" xr:uid="{00000000-0005-0000-0000-000055900000}"/>
    <cellStyle name="Percent 27 3 4 2 2" xfId="15391" xr:uid="{00000000-0005-0000-0000-000056900000}"/>
    <cellStyle name="Percent 27 3 4 2 2 2" xfId="35311" xr:uid="{00000000-0005-0000-0000-000057900000}"/>
    <cellStyle name="Percent 27 3 4 2 3" xfId="21543" xr:uid="{00000000-0005-0000-0000-000058900000}"/>
    <cellStyle name="Percent 27 3 4 2 3 2" xfId="41463" xr:uid="{00000000-0005-0000-0000-000059900000}"/>
    <cellStyle name="Percent 27 3 4 2 4" xfId="29158" xr:uid="{00000000-0005-0000-0000-00005A900000}"/>
    <cellStyle name="Percent 27 3 4 3" xfId="12325" xr:uid="{00000000-0005-0000-0000-00005B900000}"/>
    <cellStyle name="Percent 27 3 4 3 2" xfId="32245" xr:uid="{00000000-0005-0000-0000-00005C900000}"/>
    <cellStyle name="Percent 27 3 4 4" xfId="18477" xr:uid="{00000000-0005-0000-0000-00005D900000}"/>
    <cellStyle name="Percent 27 3 4 4 2" xfId="38397" xr:uid="{00000000-0005-0000-0000-00005E900000}"/>
    <cellStyle name="Percent 27 3 4 5" xfId="26092" xr:uid="{00000000-0005-0000-0000-00005F900000}"/>
    <cellStyle name="Percent 27 3 5" xfId="7663" xr:uid="{00000000-0005-0000-0000-000060900000}"/>
    <cellStyle name="Percent 27 3 5 2" xfId="13857" xr:uid="{00000000-0005-0000-0000-000061900000}"/>
    <cellStyle name="Percent 27 3 5 2 2" xfId="33777" xr:uid="{00000000-0005-0000-0000-000062900000}"/>
    <cellStyle name="Percent 27 3 5 3" xfId="20009" xr:uid="{00000000-0005-0000-0000-000063900000}"/>
    <cellStyle name="Percent 27 3 5 3 2" xfId="39929" xr:uid="{00000000-0005-0000-0000-000064900000}"/>
    <cellStyle name="Percent 27 3 5 4" xfId="27624" xr:uid="{00000000-0005-0000-0000-000065900000}"/>
    <cellStyle name="Percent 27 3 6" xfId="10791" xr:uid="{00000000-0005-0000-0000-000066900000}"/>
    <cellStyle name="Percent 27 3 6 2" xfId="30711" xr:uid="{00000000-0005-0000-0000-000067900000}"/>
    <cellStyle name="Percent 27 3 7" xfId="16943" xr:uid="{00000000-0005-0000-0000-000068900000}"/>
    <cellStyle name="Percent 27 3 7 2" xfId="36863" xr:uid="{00000000-0005-0000-0000-000069900000}"/>
    <cellStyle name="Percent 27 3 8" xfId="24558" xr:uid="{00000000-0005-0000-0000-00006A900000}"/>
    <cellStyle name="Percent 27 4" xfId="4212" xr:uid="{00000000-0005-0000-0000-00006B900000}"/>
    <cellStyle name="Percent 27 4 2" xfId="4213" xr:uid="{00000000-0005-0000-0000-00006C900000}"/>
    <cellStyle name="Percent 27 4 2 2" xfId="5258" xr:uid="{00000000-0005-0000-0000-00006D900000}"/>
    <cellStyle name="Percent 27 4 2 2 2" xfId="6883" xr:uid="{00000000-0005-0000-0000-00006E900000}"/>
    <cellStyle name="Percent 27 4 2 2 2 2" xfId="9969" xr:uid="{00000000-0005-0000-0000-00006F900000}"/>
    <cellStyle name="Percent 27 4 2 2 2 2 2" xfId="16162" xr:uid="{00000000-0005-0000-0000-000070900000}"/>
    <cellStyle name="Percent 27 4 2 2 2 2 2 2" xfId="36082" xr:uid="{00000000-0005-0000-0000-000071900000}"/>
    <cellStyle name="Percent 27 4 2 2 2 2 3" xfId="22314" xr:uid="{00000000-0005-0000-0000-000072900000}"/>
    <cellStyle name="Percent 27 4 2 2 2 2 3 2" xfId="42234" xr:uid="{00000000-0005-0000-0000-000073900000}"/>
    <cellStyle name="Percent 27 4 2 2 2 2 4" xfId="29929" xr:uid="{00000000-0005-0000-0000-000074900000}"/>
    <cellStyle name="Percent 27 4 2 2 2 3" xfId="13096" xr:uid="{00000000-0005-0000-0000-000075900000}"/>
    <cellStyle name="Percent 27 4 2 2 2 3 2" xfId="33016" xr:uid="{00000000-0005-0000-0000-000076900000}"/>
    <cellStyle name="Percent 27 4 2 2 2 4" xfId="19248" xr:uid="{00000000-0005-0000-0000-000077900000}"/>
    <cellStyle name="Percent 27 4 2 2 2 4 2" xfId="39168" xr:uid="{00000000-0005-0000-0000-000078900000}"/>
    <cellStyle name="Percent 27 4 2 2 2 5" xfId="26863" xr:uid="{00000000-0005-0000-0000-000079900000}"/>
    <cellStyle name="Percent 27 4 2 2 3" xfId="8434" xr:uid="{00000000-0005-0000-0000-00007A900000}"/>
    <cellStyle name="Percent 27 4 2 2 3 2" xfId="14628" xr:uid="{00000000-0005-0000-0000-00007B900000}"/>
    <cellStyle name="Percent 27 4 2 2 3 2 2" xfId="34548" xr:uid="{00000000-0005-0000-0000-00007C900000}"/>
    <cellStyle name="Percent 27 4 2 2 3 3" xfId="20780" xr:uid="{00000000-0005-0000-0000-00007D900000}"/>
    <cellStyle name="Percent 27 4 2 2 3 3 2" xfId="40700" xr:uid="{00000000-0005-0000-0000-00007E900000}"/>
    <cellStyle name="Percent 27 4 2 2 3 4" xfId="28395" xr:uid="{00000000-0005-0000-0000-00007F900000}"/>
    <cellStyle name="Percent 27 4 2 2 4" xfId="11562" xr:uid="{00000000-0005-0000-0000-000080900000}"/>
    <cellStyle name="Percent 27 4 2 2 4 2" xfId="31482" xr:uid="{00000000-0005-0000-0000-000081900000}"/>
    <cellStyle name="Percent 27 4 2 2 5" xfId="17714" xr:uid="{00000000-0005-0000-0000-000082900000}"/>
    <cellStyle name="Percent 27 4 2 2 5 2" xfId="37634" xr:uid="{00000000-0005-0000-0000-000083900000}"/>
    <cellStyle name="Percent 27 4 2 2 6" xfId="25329" xr:uid="{00000000-0005-0000-0000-000084900000}"/>
    <cellStyle name="Percent 27 4 2 3" xfId="6106" xr:uid="{00000000-0005-0000-0000-000085900000}"/>
    <cellStyle name="Percent 27 4 2 3 2" xfId="9200" xr:uid="{00000000-0005-0000-0000-000086900000}"/>
    <cellStyle name="Percent 27 4 2 3 2 2" xfId="15393" xr:uid="{00000000-0005-0000-0000-000087900000}"/>
    <cellStyle name="Percent 27 4 2 3 2 2 2" xfId="35313" xr:uid="{00000000-0005-0000-0000-000088900000}"/>
    <cellStyle name="Percent 27 4 2 3 2 3" xfId="21545" xr:uid="{00000000-0005-0000-0000-000089900000}"/>
    <cellStyle name="Percent 27 4 2 3 2 3 2" xfId="41465" xr:uid="{00000000-0005-0000-0000-00008A900000}"/>
    <cellStyle name="Percent 27 4 2 3 2 4" xfId="29160" xr:uid="{00000000-0005-0000-0000-00008B900000}"/>
    <cellStyle name="Percent 27 4 2 3 3" xfId="12327" xr:uid="{00000000-0005-0000-0000-00008C900000}"/>
    <cellStyle name="Percent 27 4 2 3 3 2" xfId="32247" xr:uid="{00000000-0005-0000-0000-00008D900000}"/>
    <cellStyle name="Percent 27 4 2 3 4" xfId="18479" xr:uid="{00000000-0005-0000-0000-00008E900000}"/>
    <cellStyle name="Percent 27 4 2 3 4 2" xfId="38399" xr:uid="{00000000-0005-0000-0000-00008F900000}"/>
    <cellStyle name="Percent 27 4 2 3 5" xfId="26094" xr:uid="{00000000-0005-0000-0000-000090900000}"/>
    <cellStyle name="Percent 27 4 2 4" xfId="7665" xr:uid="{00000000-0005-0000-0000-000091900000}"/>
    <cellStyle name="Percent 27 4 2 4 2" xfId="13859" xr:uid="{00000000-0005-0000-0000-000092900000}"/>
    <cellStyle name="Percent 27 4 2 4 2 2" xfId="33779" xr:uid="{00000000-0005-0000-0000-000093900000}"/>
    <cellStyle name="Percent 27 4 2 4 3" xfId="20011" xr:uid="{00000000-0005-0000-0000-000094900000}"/>
    <cellStyle name="Percent 27 4 2 4 3 2" xfId="39931" xr:uid="{00000000-0005-0000-0000-000095900000}"/>
    <cellStyle name="Percent 27 4 2 4 4" xfId="27626" xr:uid="{00000000-0005-0000-0000-000096900000}"/>
    <cellStyle name="Percent 27 4 2 5" xfId="10793" xr:uid="{00000000-0005-0000-0000-000097900000}"/>
    <cellStyle name="Percent 27 4 2 5 2" xfId="30713" xr:uid="{00000000-0005-0000-0000-000098900000}"/>
    <cellStyle name="Percent 27 4 2 6" xfId="16945" xr:uid="{00000000-0005-0000-0000-000099900000}"/>
    <cellStyle name="Percent 27 4 2 6 2" xfId="36865" xr:uid="{00000000-0005-0000-0000-00009A900000}"/>
    <cellStyle name="Percent 27 4 2 7" xfId="24560" xr:uid="{00000000-0005-0000-0000-00009B900000}"/>
    <cellStyle name="Percent 27 5" xfId="4214" xr:uid="{00000000-0005-0000-0000-00009C900000}"/>
    <cellStyle name="Percent 27 5 2" xfId="5259" xr:uid="{00000000-0005-0000-0000-00009D900000}"/>
    <cellStyle name="Percent 27 5 2 2" xfId="6884" xr:uid="{00000000-0005-0000-0000-00009E900000}"/>
    <cellStyle name="Percent 27 5 2 2 2" xfId="9970" xr:uid="{00000000-0005-0000-0000-00009F900000}"/>
    <cellStyle name="Percent 27 5 2 2 2 2" xfId="16163" xr:uid="{00000000-0005-0000-0000-0000A0900000}"/>
    <cellStyle name="Percent 27 5 2 2 2 2 2" xfId="36083" xr:uid="{00000000-0005-0000-0000-0000A1900000}"/>
    <cellStyle name="Percent 27 5 2 2 2 3" xfId="22315" xr:uid="{00000000-0005-0000-0000-0000A2900000}"/>
    <cellStyle name="Percent 27 5 2 2 2 3 2" xfId="42235" xr:uid="{00000000-0005-0000-0000-0000A3900000}"/>
    <cellStyle name="Percent 27 5 2 2 2 4" xfId="29930" xr:uid="{00000000-0005-0000-0000-0000A4900000}"/>
    <cellStyle name="Percent 27 5 2 2 3" xfId="13097" xr:uid="{00000000-0005-0000-0000-0000A5900000}"/>
    <cellStyle name="Percent 27 5 2 2 3 2" xfId="33017" xr:uid="{00000000-0005-0000-0000-0000A6900000}"/>
    <cellStyle name="Percent 27 5 2 2 4" xfId="19249" xr:uid="{00000000-0005-0000-0000-0000A7900000}"/>
    <cellStyle name="Percent 27 5 2 2 4 2" xfId="39169" xr:uid="{00000000-0005-0000-0000-0000A8900000}"/>
    <cellStyle name="Percent 27 5 2 2 5" xfId="26864" xr:uid="{00000000-0005-0000-0000-0000A9900000}"/>
    <cellStyle name="Percent 27 5 2 3" xfId="8435" xr:uid="{00000000-0005-0000-0000-0000AA900000}"/>
    <cellStyle name="Percent 27 5 2 3 2" xfId="14629" xr:uid="{00000000-0005-0000-0000-0000AB900000}"/>
    <cellStyle name="Percent 27 5 2 3 2 2" xfId="34549" xr:uid="{00000000-0005-0000-0000-0000AC900000}"/>
    <cellStyle name="Percent 27 5 2 3 3" xfId="20781" xr:uid="{00000000-0005-0000-0000-0000AD900000}"/>
    <cellStyle name="Percent 27 5 2 3 3 2" xfId="40701" xr:uid="{00000000-0005-0000-0000-0000AE900000}"/>
    <cellStyle name="Percent 27 5 2 3 4" xfId="28396" xr:uid="{00000000-0005-0000-0000-0000AF900000}"/>
    <cellStyle name="Percent 27 5 2 4" xfId="11563" xr:uid="{00000000-0005-0000-0000-0000B0900000}"/>
    <cellStyle name="Percent 27 5 2 4 2" xfId="31483" xr:uid="{00000000-0005-0000-0000-0000B1900000}"/>
    <cellStyle name="Percent 27 5 2 5" xfId="17715" xr:uid="{00000000-0005-0000-0000-0000B2900000}"/>
    <cellStyle name="Percent 27 5 2 5 2" xfId="37635" xr:uid="{00000000-0005-0000-0000-0000B3900000}"/>
    <cellStyle name="Percent 27 5 2 6" xfId="25330" xr:uid="{00000000-0005-0000-0000-0000B4900000}"/>
    <cellStyle name="Percent 27 5 3" xfId="6107" xr:uid="{00000000-0005-0000-0000-0000B5900000}"/>
    <cellStyle name="Percent 27 5 3 2" xfId="9201" xr:uid="{00000000-0005-0000-0000-0000B6900000}"/>
    <cellStyle name="Percent 27 5 3 2 2" xfId="15394" xr:uid="{00000000-0005-0000-0000-0000B7900000}"/>
    <cellStyle name="Percent 27 5 3 2 2 2" xfId="35314" xr:uid="{00000000-0005-0000-0000-0000B8900000}"/>
    <cellStyle name="Percent 27 5 3 2 3" xfId="21546" xr:uid="{00000000-0005-0000-0000-0000B9900000}"/>
    <cellStyle name="Percent 27 5 3 2 3 2" xfId="41466" xr:uid="{00000000-0005-0000-0000-0000BA900000}"/>
    <cellStyle name="Percent 27 5 3 2 4" xfId="29161" xr:uid="{00000000-0005-0000-0000-0000BB900000}"/>
    <cellStyle name="Percent 27 5 3 3" xfId="12328" xr:uid="{00000000-0005-0000-0000-0000BC900000}"/>
    <cellStyle name="Percent 27 5 3 3 2" xfId="32248" xr:uid="{00000000-0005-0000-0000-0000BD900000}"/>
    <cellStyle name="Percent 27 5 3 4" xfId="18480" xr:uid="{00000000-0005-0000-0000-0000BE900000}"/>
    <cellStyle name="Percent 27 5 3 4 2" xfId="38400" xr:uid="{00000000-0005-0000-0000-0000BF900000}"/>
    <cellStyle name="Percent 27 5 3 5" xfId="26095" xr:uid="{00000000-0005-0000-0000-0000C0900000}"/>
    <cellStyle name="Percent 27 5 4" xfId="7666" xr:uid="{00000000-0005-0000-0000-0000C1900000}"/>
    <cellStyle name="Percent 27 5 4 2" xfId="13860" xr:uid="{00000000-0005-0000-0000-0000C2900000}"/>
    <cellStyle name="Percent 27 5 4 2 2" xfId="33780" xr:uid="{00000000-0005-0000-0000-0000C3900000}"/>
    <cellStyle name="Percent 27 5 4 3" xfId="20012" xr:uid="{00000000-0005-0000-0000-0000C4900000}"/>
    <cellStyle name="Percent 27 5 4 3 2" xfId="39932" xr:uid="{00000000-0005-0000-0000-0000C5900000}"/>
    <cellStyle name="Percent 27 5 4 4" xfId="27627" xr:uid="{00000000-0005-0000-0000-0000C6900000}"/>
    <cellStyle name="Percent 27 5 5" xfId="10794" xr:uid="{00000000-0005-0000-0000-0000C7900000}"/>
    <cellStyle name="Percent 27 5 5 2" xfId="30714" xr:uid="{00000000-0005-0000-0000-0000C8900000}"/>
    <cellStyle name="Percent 27 5 6" xfId="16946" xr:uid="{00000000-0005-0000-0000-0000C9900000}"/>
    <cellStyle name="Percent 27 5 6 2" xfId="36866" xr:uid="{00000000-0005-0000-0000-0000CA900000}"/>
    <cellStyle name="Percent 27 5 7" xfId="24561" xr:uid="{00000000-0005-0000-0000-0000CB900000}"/>
    <cellStyle name="Percent 28" xfId="4215" xr:uid="{00000000-0005-0000-0000-0000CC900000}"/>
    <cellStyle name="Percent 28 2" xfId="4216" xr:uid="{00000000-0005-0000-0000-0000CD900000}"/>
    <cellStyle name="Percent 28 2 2" xfId="4217" xr:uid="{00000000-0005-0000-0000-0000CE900000}"/>
    <cellStyle name="Percent 28 2 2 2" xfId="5261" xr:uid="{00000000-0005-0000-0000-0000CF900000}"/>
    <cellStyle name="Percent 28 2 2 2 2" xfId="6886" xr:uid="{00000000-0005-0000-0000-0000D0900000}"/>
    <cellStyle name="Percent 28 2 2 2 2 2" xfId="9972" xr:uid="{00000000-0005-0000-0000-0000D1900000}"/>
    <cellStyle name="Percent 28 2 2 2 2 2 2" xfId="16165" xr:uid="{00000000-0005-0000-0000-0000D2900000}"/>
    <cellStyle name="Percent 28 2 2 2 2 2 2 2" xfId="36085" xr:uid="{00000000-0005-0000-0000-0000D3900000}"/>
    <cellStyle name="Percent 28 2 2 2 2 2 3" xfId="22317" xr:uid="{00000000-0005-0000-0000-0000D4900000}"/>
    <cellStyle name="Percent 28 2 2 2 2 2 3 2" xfId="42237" xr:uid="{00000000-0005-0000-0000-0000D5900000}"/>
    <cellStyle name="Percent 28 2 2 2 2 2 4" xfId="29932" xr:uid="{00000000-0005-0000-0000-0000D6900000}"/>
    <cellStyle name="Percent 28 2 2 2 2 3" xfId="13099" xr:uid="{00000000-0005-0000-0000-0000D7900000}"/>
    <cellStyle name="Percent 28 2 2 2 2 3 2" xfId="33019" xr:uid="{00000000-0005-0000-0000-0000D8900000}"/>
    <cellStyle name="Percent 28 2 2 2 2 4" xfId="19251" xr:uid="{00000000-0005-0000-0000-0000D9900000}"/>
    <cellStyle name="Percent 28 2 2 2 2 4 2" xfId="39171" xr:uid="{00000000-0005-0000-0000-0000DA900000}"/>
    <cellStyle name="Percent 28 2 2 2 2 5" xfId="26866" xr:uid="{00000000-0005-0000-0000-0000DB900000}"/>
    <cellStyle name="Percent 28 2 2 2 3" xfId="8437" xr:uid="{00000000-0005-0000-0000-0000DC900000}"/>
    <cellStyle name="Percent 28 2 2 2 3 2" xfId="14631" xr:uid="{00000000-0005-0000-0000-0000DD900000}"/>
    <cellStyle name="Percent 28 2 2 2 3 2 2" xfId="34551" xr:uid="{00000000-0005-0000-0000-0000DE900000}"/>
    <cellStyle name="Percent 28 2 2 2 3 3" xfId="20783" xr:uid="{00000000-0005-0000-0000-0000DF900000}"/>
    <cellStyle name="Percent 28 2 2 2 3 3 2" xfId="40703" xr:uid="{00000000-0005-0000-0000-0000E0900000}"/>
    <cellStyle name="Percent 28 2 2 2 3 4" xfId="28398" xr:uid="{00000000-0005-0000-0000-0000E1900000}"/>
    <cellStyle name="Percent 28 2 2 2 4" xfId="11565" xr:uid="{00000000-0005-0000-0000-0000E2900000}"/>
    <cellStyle name="Percent 28 2 2 2 4 2" xfId="31485" xr:uid="{00000000-0005-0000-0000-0000E3900000}"/>
    <cellStyle name="Percent 28 2 2 2 5" xfId="17717" xr:uid="{00000000-0005-0000-0000-0000E4900000}"/>
    <cellStyle name="Percent 28 2 2 2 5 2" xfId="37637" xr:uid="{00000000-0005-0000-0000-0000E5900000}"/>
    <cellStyle name="Percent 28 2 2 2 6" xfId="25332" xr:uid="{00000000-0005-0000-0000-0000E6900000}"/>
    <cellStyle name="Percent 28 2 2 3" xfId="6110" xr:uid="{00000000-0005-0000-0000-0000E7900000}"/>
    <cellStyle name="Percent 28 2 2 3 2" xfId="9203" xr:uid="{00000000-0005-0000-0000-0000E8900000}"/>
    <cellStyle name="Percent 28 2 2 3 2 2" xfId="15396" xr:uid="{00000000-0005-0000-0000-0000E9900000}"/>
    <cellStyle name="Percent 28 2 2 3 2 2 2" xfId="35316" xr:uid="{00000000-0005-0000-0000-0000EA900000}"/>
    <cellStyle name="Percent 28 2 2 3 2 3" xfId="21548" xr:uid="{00000000-0005-0000-0000-0000EB900000}"/>
    <cellStyle name="Percent 28 2 2 3 2 3 2" xfId="41468" xr:uid="{00000000-0005-0000-0000-0000EC900000}"/>
    <cellStyle name="Percent 28 2 2 3 2 4" xfId="29163" xr:uid="{00000000-0005-0000-0000-0000ED900000}"/>
    <cellStyle name="Percent 28 2 2 3 3" xfId="12330" xr:uid="{00000000-0005-0000-0000-0000EE900000}"/>
    <cellStyle name="Percent 28 2 2 3 3 2" xfId="32250" xr:uid="{00000000-0005-0000-0000-0000EF900000}"/>
    <cellStyle name="Percent 28 2 2 3 4" xfId="18482" xr:uid="{00000000-0005-0000-0000-0000F0900000}"/>
    <cellStyle name="Percent 28 2 2 3 4 2" xfId="38402" xr:uid="{00000000-0005-0000-0000-0000F1900000}"/>
    <cellStyle name="Percent 28 2 2 3 5" xfId="26097" xr:uid="{00000000-0005-0000-0000-0000F2900000}"/>
    <cellStyle name="Percent 28 2 2 4" xfId="7668" xr:uid="{00000000-0005-0000-0000-0000F3900000}"/>
    <cellStyle name="Percent 28 2 2 4 2" xfId="13862" xr:uid="{00000000-0005-0000-0000-0000F4900000}"/>
    <cellStyle name="Percent 28 2 2 4 2 2" xfId="33782" xr:uid="{00000000-0005-0000-0000-0000F5900000}"/>
    <cellStyle name="Percent 28 2 2 4 3" xfId="20014" xr:uid="{00000000-0005-0000-0000-0000F6900000}"/>
    <cellStyle name="Percent 28 2 2 4 3 2" xfId="39934" xr:uid="{00000000-0005-0000-0000-0000F7900000}"/>
    <cellStyle name="Percent 28 2 2 4 4" xfId="27629" xr:uid="{00000000-0005-0000-0000-0000F8900000}"/>
    <cellStyle name="Percent 28 2 2 5" xfId="10796" xr:uid="{00000000-0005-0000-0000-0000F9900000}"/>
    <cellStyle name="Percent 28 2 2 5 2" xfId="30716" xr:uid="{00000000-0005-0000-0000-0000FA900000}"/>
    <cellStyle name="Percent 28 2 2 6" xfId="16948" xr:uid="{00000000-0005-0000-0000-0000FB900000}"/>
    <cellStyle name="Percent 28 2 2 6 2" xfId="36868" xr:uid="{00000000-0005-0000-0000-0000FC900000}"/>
    <cellStyle name="Percent 28 2 2 7" xfId="24563" xr:uid="{00000000-0005-0000-0000-0000FD900000}"/>
    <cellStyle name="Percent 28 2 3" xfId="5260" xr:uid="{00000000-0005-0000-0000-0000FE900000}"/>
    <cellStyle name="Percent 28 2 3 2" xfId="6885" xr:uid="{00000000-0005-0000-0000-0000FF900000}"/>
    <cellStyle name="Percent 28 2 3 2 2" xfId="9971" xr:uid="{00000000-0005-0000-0000-000000910000}"/>
    <cellStyle name="Percent 28 2 3 2 2 2" xfId="16164" xr:uid="{00000000-0005-0000-0000-000001910000}"/>
    <cellStyle name="Percent 28 2 3 2 2 2 2" xfId="36084" xr:uid="{00000000-0005-0000-0000-000002910000}"/>
    <cellStyle name="Percent 28 2 3 2 2 3" xfId="22316" xr:uid="{00000000-0005-0000-0000-000003910000}"/>
    <cellStyle name="Percent 28 2 3 2 2 3 2" xfId="42236" xr:uid="{00000000-0005-0000-0000-000004910000}"/>
    <cellStyle name="Percent 28 2 3 2 2 4" xfId="29931" xr:uid="{00000000-0005-0000-0000-000005910000}"/>
    <cellStyle name="Percent 28 2 3 2 3" xfId="13098" xr:uid="{00000000-0005-0000-0000-000006910000}"/>
    <cellStyle name="Percent 28 2 3 2 3 2" xfId="33018" xr:uid="{00000000-0005-0000-0000-000007910000}"/>
    <cellStyle name="Percent 28 2 3 2 4" xfId="19250" xr:uid="{00000000-0005-0000-0000-000008910000}"/>
    <cellStyle name="Percent 28 2 3 2 4 2" xfId="39170" xr:uid="{00000000-0005-0000-0000-000009910000}"/>
    <cellStyle name="Percent 28 2 3 2 5" xfId="26865" xr:uid="{00000000-0005-0000-0000-00000A910000}"/>
    <cellStyle name="Percent 28 2 3 3" xfId="8436" xr:uid="{00000000-0005-0000-0000-00000B910000}"/>
    <cellStyle name="Percent 28 2 3 3 2" xfId="14630" xr:uid="{00000000-0005-0000-0000-00000C910000}"/>
    <cellStyle name="Percent 28 2 3 3 2 2" xfId="34550" xr:uid="{00000000-0005-0000-0000-00000D910000}"/>
    <cellStyle name="Percent 28 2 3 3 3" xfId="20782" xr:uid="{00000000-0005-0000-0000-00000E910000}"/>
    <cellStyle name="Percent 28 2 3 3 3 2" xfId="40702" xr:uid="{00000000-0005-0000-0000-00000F910000}"/>
    <cellStyle name="Percent 28 2 3 3 4" xfId="28397" xr:uid="{00000000-0005-0000-0000-000010910000}"/>
    <cellStyle name="Percent 28 2 3 4" xfId="11564" xr:uid="{00000000-0005-0000-0000-000011910000}"/>
    <cellStyle name="Percent 28 2 3 4 2" xfId="31484" xr:uid="{00000000-0005-0000-0000-000012910000}"/>
    <cellStyle name="Percent 28 2 3 5" xfId="17716" xr:uid="{00000000-0005-0000-0000-000013910000}"/>
    <cellStyle name="Percent 28 2 3 5 2" xfId="37636" xr:uid="{00000000-0005-0000-0000-000014910000}"/>
    <cellStyle name="Percent 28 2 3 6" xfId="25331" xr:uid="{00000000-0005-0000-0000-000015910000}"/>
    <cellStyle name="Percent 28 2 4" xfId="6109" xr:uid="{00000000-0005-0000-0000-000016910000}"/>
    <cellStyle name="Percent 28 2 4 2" xfId="9202" xr:uid="{00000000-0005-0000-0000-000017910000}"/>
    <cellStyle name="Percent 28 2 4 2 2" xfId="15395" xr:uid="{00000000-0005-0000-0000-000018910000}"/>
    <cellStyle name="Percent 28 2 4 2 2 2" xfId="35315" xr:uid="{00000000-0005-0000-0000-000019910000}"/>
    <cellStyle name="Percent 28 2 4 2 3" xfId="21547" xr:uid="{00000000-0005-0000-0000-00001A910000}"/>
    <cellStyle name="Percent 28 2 4 2 3 2" xfId="41467" xr:uid="{00000000-0005-0000-0000-00001B910000}"/>
    <cellStyle name="Percent 28 2 4 2 4" xfId="29162" xr:uid="{00000000-0005-0000-0000-00001C910000}"/>
    <cellStyle name="Percent 28 2 4 3" xfId="12329" xr:uid="{00000000-0005-0000-0000-00001D910000}"/>
    <cellStyle name="Percent 28 2 4 3 2" xfId="32249" xr:uid="{00000000-0005-0000-0000-00001E910000}"/>
    <cellStyle name="Percent 28 2 4 4" xfId="18481" xr:uid="{00000000-0005-0000-0000-00001F910000}"/>
    <cellStyle name="Percent 28 2 4 4 2" xfId="38401" xr:uid="{00000000-0005-0000-0000-000020910000}"/>
    <cellStyle name="Percent 28 2 4 5" xfId="26096" xr:uid="{00000000-0005-0000-0000-000021910000}"/>
    <cellStyle name="Percent 28 2 5" xfId="7667" xr:uid="{00000000-0005-0000-0000-000022910000}"/>
    <cellStyle name="Percent 28 2 5 2" xfId="13861" xr:uid="{00000000-0005-0000-0000-000023910000}"/>
    <cellStyle name="Percent 28 2 5 2 2" xfId="33781" xr:uid="{00000000-0005-0000-0000-000024910000}"/>
    <cellStyle name="Percent 28 2 5 3" xfId="20013" xr:uid="{00000000-0005-0000-0000-000025910000}"/>
    <cellStyle name="Percent 28 2 5 3 2" xfId="39933" xr:uid="{00000000-0005-0000-0000-000026910000}"/>
    <cellStyle name="Percent 28 2 5 4" xfId="27628" xr:uid="{00000000-0005-0000-0000-000027910000}"/>
    <cellStyle name="Percent 28 2 6" xfId="10795" xr:uid="{00000000-0005-0000-0000-000028910000}"/>
    <cellStyle name="Percent 28 2 6 2" xfId="30715" xr:uid="{00000000-0005-0000-0000-000029910000}"/>
    <cellStyle name="Percent 28 2 7" xfId="16947" xr:uid="{00000000-0005-0000-0000-00002A910000}"/>
    <cellStyle name="Percent 28 2 7 2" xfId="36867" xr:uid="{00000000-0005-0000-0000-00002B910000}"/>
    <cellStyle name="Percent 28 2 8" xfId="24562" xr:uid="{00000000-0005-0000-0000-00002C910000}"/>
    <cellStyle name="Percent 28 3" xfId="4218" xr:uid="{00000000-0005-0000-0000-00002D910000}"/>
    <cellStyle name="Percent 28 3 2" xfId="4219" xr:uid="{00000000-0005-0000-0000-00002E910000}"/>
    <cellStyle name="Percent 28 3 2 2" xfId="5263" xr:uid="{00000000-0005-0000-0000-00002F910000}"/>
    <cellStyle name="Percent 28 3 2 2 2" xfId="6888" xr:uid="{00000000-0005-0000-0000-000030910000}"/>
    <cellStyle name="Percent 28 3 2 2 2 2" xfId="9974" xr:uid="{00000000-0005-0000-0000-000031910000}"/>
    <cellStyle name="Percent 28 3 2 2 2 2 2" xfId="16167" xr:uid="{00000000-0005-0000-0000-000032910000}"/>
    <cellStyle name="Percent 28 3 2 2 2 2 2 2" xfId="36087" xr:uid="{00000000-0005-0000-0000-000033910000}"/>
    <cellStyle name="Percent 28 3 2 2 2 2 3" xfId="22319" xr:uid="{00000000-0005-0000-0000-000034910000}"/>
    <cellStyle name="Percent 28 3 2 2 2 2 3 2" xfId="42239" xr:uid="{00000000-0005-0000-0000-000035910000}"/>
    <cellStyle name="Percent 28 3 2 2 2 2 4" xfId="29934" xr:uid="{00000000-0005-0000-0000-000036910000}"/>
    <cellStyle name="Percent 28 3 2 2 2 3" xfId="13101" xr:uid="{00000000-0005-0000-0000-000037910000}"/>
    <cellStyle name="Percent 28 3 2 2 2 3 2" xfId="33021" xr:uid="{00000000-0005-0000-0000-000038910000}"/>
    <cellStyle name="Percent 28 3 2 2 2 4" xfId="19253" xr:uid="{00000000-0005-0000-0000-000039910000}"/>
    <cellStyle name="Percent 28 3 2 2 2 4 2" xfId="39173" xr:uid="{00000000-0005-0000-0000-00003A910000}"/>
    <cellStyle name="Percent 28 3 2 2 2 5" xfId="26868" xr:uid="{00000000-0005-0000-0000-00003B910000}"/>
    <cellStyle name="Percent 28 3 2 2 3" xfId="8439" xr:uid="{00000000-0005-0000-0000-00003C910000}"/>
    <cellStyle name="Percent 28 3 2 2 3 2" xfId="14633" xr:uid="{00000000-0005-0000-0000-00003D910000}"/>
    <cellStyle name="Percent 28 3 2 2 3 2 2" xfId="34553" xr:uid="{00000000-0005-0000-0000-00003E910000}"/>
    <cellStyle name="Percent 28 3 2 2 3 3" xfId="20785" xr:uid="{00000000-0005-0000-0000-00003F910000}"/>
    <cellStyle name="Percent 28 3 2 2 3 3 2" xfId="40705" xr:uid="{00000000-0005-0000-0000-000040910000}"/>
    <cellStyle name="Percent 28 3 2 2 3 4" xfId="28400" xr:uid="{00000000-0005-0000-0000-000041910000}"/>
    <cellStyle name="Percent 28 3 2 2 4" xfId="11567" xr:uid="{00000000-0005-0000-0000-000042910000}"/>
    <cellStyle name="Percent 28 3 2 2 4 2" xfId="31487" xr:uid="{00000000-0005-0000-0000-000043910000}"/>
    <cellStyle name="Percent 28 3 2 2 5" xfId="17719" xr:uid="{00000000-0005-0000-0000-000044910000}"/>
    <cellStyle name="Percent 28 3 2 2 5 2" xfId="37639" xr:uid="{00000000-0005-0000-0000-000045910000}"/>
    <cellStyle name="Percent 28 3 2 2 6" xfId="25334" xr:uid="{00000000-0005-0000-0000-000046910000}"/>
    <cellStyle name="Percent 28 3 2 3" xfId="6112" xr:uid="{00000000-0005-0000-0000-000047910000}"/>
    <cellStyle name="Percent 28 3 2 3 2" xfId="9205" xr:uid="{00000000-0005-0000-0000-000048910000}"/>
    <cellStyle name="Percent 28 3 2 3 2 2" xfId="15398" xr:uid="{00000000-0005-0000-0000-000049910000}"/>
    <cellStyle name="Percent 28 3 2 3 2 2 2" xfId="35318" xr:uid="{00000000-0005-0000-0000-00004A910000}"/>
    <cellStyle name="Percent 28 3 2 3 2 3" xfId="21550" xr:uid="{00000000-0005-0000-0000-00004B910000}"/>
    <cellStyle name="Percent 28 3 2 3 2 3 2" xfId="41470" xr:uid="{00000000-0005-0000-0000-00004C910000}"/>
    <cellStyle name="Percent 28 3 2 3 2 4" xfId="29165" xr:uid="{00000000-0005-0000-0000-00004D910000}"/>
    <cellStyle name="Percent 28 3 2 3 3" xfId="12332" xr:uid="{00000000-0005-0000-0000-00004E910000}"/>
    <cellStyle name="Percent 28 3 2 3 3 2" xfId="32252" xr:uid="{00000000-0005-0000-0000-00004F910000}"/>
    <cellStyle name="Percent 28 3 2 3 4" xfId="18484" xr:uid="{00000000-0005-0000-0000-000050910000}"/>
    <cellStyle name="Percent 28 3 2 3 4 2" xfId="38404" xr:uid="{00000000-0005-0000-0000-000051910000}"/>
    <cellStyle name="Percent 28 3 2 3 5" xfId="26099" xr:uid="{00000000-0005-0000-0000-000052910000}"/>
    <cellStyle name="Percent 28 3 2 4" xfId="7670" xr:uid="{00000000-0005-0000-0000-000053910000}"/>
    <cellStyle name="Percent 28 3 2 4 2" xfId="13864" xr:uid="{00000000-0005-0000-0000-000054910000}"/>
    <cellStyle name="Percent 28 3 2 4 2 2" xfId="33784" xr:uid="{00000000-0005-0000-0000-000055910000}"/>
    <cellStyle name="Percent 28 3 2 4 3" xfId="20016" xr:uid="{00000000-0005-0000-0000-000056910000}"/>
    <cellStyle name="Percent 28 3 2 4 3 2" xfId="39936" xr:uid="{00000000-0005-0000-0000-000057910000}"/>
    <cellStyle name="Percent 28 3 2 4 4" xfId="27631" xr:uid="{00000000-0005-0000-0000-000058910000}"/>
    <cellStyle name="Percent 28 3 2 5" xfId="10798" xr:uid="{00000000-0005-0000-0000-000059910000}"/>
    <cellStyle name="Percent 28 3 2 5 2" xfId="30718" xr:uid="{00000000-0005-0000-0000-00005A910000}"/>
    <cellStyle name="Percent 28 3 2 6" xfId="16950" xr:uid="{00000000-0005-0000-0000-00005B910000}"/>
    <cellStyle name="Percent 28 3 2 6 2" xfId="36870" xr:uid="{00000000-0005-0000-0000-00005C910000}"/>
    <cellStyle name="Percent 28 3 2 7" xfId="24565" xr:uid="{00000000-0005-0000-0000-00005D910000}"/>
    <cellStyle name="Percent 28 3 3" xfId="5262" xr:uid="{00000000-0005-0000-0000-00005E910000}"/>
    <cellStyle name="Percent 28 3 3 2" xfId="6887" xr:uid="{00000000-0005-0000-0000-00005F910000}"/>
    <cellStyle name="Percent 28 3 3 2 2" xfId="9973" xr:uid="{00000000-0005-0000-0000-000060910000}"/>
    <cellStyle name="Percent 28 3 3 2 2 2" xfId="16166" xr:uid="{00000000-0005-0000-0000-000061910000}"/>
    <cellStyle name="Percent 28 3 3 2 2 2 2" xfId="36086" xr:uid="{00000000-0005-0000-0000-000062910000}"/>
    <cellStyle name="Percent 28 3 3 2 2 3" xfId="22318" xr:uid="{00000000-0005-0000-0000-000063910000}"/>
    <cellStyle name="Percent 28 3 3 2 2 3 2" xfId="42238" xr:uid="{00000000-0005-0000-0000-000064910000}"/>
    <cellStyle name="Percent 28 3 3 2 2 4" xfId="29933" xr:uid="{00000000-0005-0000-0000-000065910000}"/>
    <cellStyle name="Percent 28 3 3 2 3" xfId="13100" xr:uid="{00000000-0005-0000-0000-000066910000}"/>
    <cellStyle name="Percent 28 3 3 2 3 2" xfId="33020" xr:uid="{00000000-0005-0000-0000-000067910000}"/>
    <cellStyle name="Percent 28 3 3 2 4" xfId="19252" xr:uid="{00000000-0005-0000-0000-000068910000}"/>
    <cellStyle name="Percent 28 3 3 2 4 2" xfId="39172" xr:uid="{00000000-0005-0000-0000-000069910000}"/>
    <cellStyle name="Percent 28 3 3 2 5" xfId="26867" xr:uid="{00000000-0005-0000-0000-00006A910000}"/>
    <cellStyle name="Percent 28 3 3 3" xfId="8438" xr:uid="{00000000-0005-0000-0000-00006B910000}"/>
    <cellStyle name="Percent 28 3 3 3 2" xfId="14632" xr:uid="{00000000-0005-0000-0000-00006C910000}"/>
    <cellStyle name="Percent 28 3 3 3 2 2" xfId="34552" xr:uid="{00000000-0005-0000-0000-00006D910000}"/>
    <cellStyle name="Percent 28 3 3 3 3" xfId="20784" xr:uid="{00000000-0005-0000-0000-00006E910000}"/>
    <cellStyle name="Percent 28 3 3 3 3 2" xfId="40704" xr:uid="{00000000-0005-0000-0000-00006F910000}"/>
    <cellStyle name="Percent 28 3 3 3 4" xfId="28399" xr:uid="{00000000-0005-0000-0000-000070910000}"/>
    <cellStyle name="Percent 28 3 3 4" xfId="11566" xr:uid="{00000000-0005-0000-0000-000071910000}"/>
    <cellStyle name="Percent 28 3 3 4 2" xfId="31486" xr:uid="{00000000-0005-0000-0000-000072910000}"/>
    <cellStyle name="Percent 28 3 3 5" xfId="17718" xr:uid="{00000000-0005-0000-0000-000073910000}"/>
    <cellStyle name="Percent 28 3 3 5 2" xfId="37638" xr:uid="{00000000-0005-0000-0000-000074910000}"/>
    <cellStyle name="Percent 28 3 3 6" xfId="25333" xr:uid="{00000000-0005-0000-0000-000075910000}"/>
    <cellStyle name="Percent 28 3 4" xfId="6111" xr:uid="{00000000-0005-0000-0000-000076910000}"/>
    <cellStyle name="Percent 28 3 4 2" xfId="9204" xr:uid="{00000000-0005-0000-0000-000077910000}"/>
    <cellStyle name="Percent 28 3 4 2 2" xfId="15397" xr:uid="{00000000-0005-0000-0000-000078910000}"/>
    <cellStyle name="Percent 28 3 4 2 2 2" xfId="35317" xr:uid="{00000000-0005-0000-0000-000079910000}"/>
    <cellStyle name="Percent 28 3 4 2 3" xfId="21549" xr:uid="{00000000-0005-0000-0000-00007A910000}"/>
    <cellStyle name="Percent 28 3 4 2 3 2" xfId="41469" xr:uid="{00000000-0005-0000-0000-00007B910000}"/>
    <cellStyle name="Percent 28 3 4 2 4" xfId="29164" xr:uid="{00000000-0005-0000-0000-00007C910000}"/>
    <cellStyle name="Percent 28 3 4 3" xfId="12331" xr:uid="{00000000-0005-0000-0000-00007D910000}"/>
    <cellStyle name="Percent 28 3 4 3 2" xfId="32251" xr:uid="{00000000-0005-0000-0000-00007E910000}"/>
    <cellStyle name="Percent 28 3 4 4" xfId="18483" xr:uid="{00000000-0005-0000-0000-00007F910000}"/>
    <cellStyle name="Percent 28 3 4 4 2" xfId="38403" xr:uid="{00000000-0005-0000-0000-000080910000}"/>
    <cellStyle name="Percent 28 3 4 5" xfId="26098" xr:uid="{00000000-0005-0000-0000-000081910000}"/>
    <cellStyle name="Percent 28 3 5" xfId="7669" xr:uid="{00000000-0005-0000-0000-000082910000}"/>
    <cellStyle name="Percent 28 3 5 2" xfId="13863" xr:uid="{00000000-0005-0000-0000-000083910000}"/>
    <cellStyle name="Percent 28 3 5 2 2" xfId="33783" xr:uid="{00000000-0005-0000-0000-000084910000}"/>
    <cellStyle name="Percent 28 3 5 3" xfId="20015" xr:uid="{00000000-0005-0000-0000-000085910000}"/>
    <cellStyle name="Percent 28 3 5 3 2" xfId="39935" xr:uid="{00000000-0005-0000-0000-000086910000}"/>
    <cellStyle name="Percent 28 3 5 4" xfId="27630" xr:uid="{00000000-0005-0000-0000-000087910000}"/>
    <cellStyle name="Percent 28 3 6" xfId="10797" xr:uid="{00000000-0005-0000-0000-000088910000}"/>
    <cellStyle name="Percent 28 3 6 2" xfId="30717" xr:uid="{00000000-0005-0000-0000-000089910000}"/>
    <cellStyle name="Percent 28 3 7" xfId="16949" xr:uid="{00000000-0005-0000-0000-00008A910000}"/>
    <cellStyle name="Percent 28 3 7 2" xfId="36869" xr:uid="{00000000-0005-0000-0000-00008B910000}"/>
    <cellStyle name="Percent 28 3 8" xfId="24564" xr:uid="{00000000-0005-0000-0000-00008C910000}"/>
    <cellStyle name="Percent 28 4" xfId="4220" xr:uid="{00000000-0005-0000-0000-00008D910000}"/>
    <cellStyle name="Percent 28 4 2" xfId="4221" xr:uid="{00000000-0005-0000-0000-00008E910000}"/>
    <cellStyle name="Percent 28 4 2 2" xfId="5264" xr:uid="{00000000-0005-0000-0000-00008F910000}"/>
    <cellStyle name="Percent 28 4 2 2 2" xfId="6889" xr:uid="{00000000-0005-0000-0000-000090910000}"/>
    <cellStyle name="Percent 28 4 2 2 2 2" xfId="9975" xr:uid="{00000000-0005-0000-0000-000091910000}"/>
    <cellStyle name="Percent 28 4 2 2 2 2 2" xfId="16168" xr:uid="{00000000-0005-0000-0000-000092910000}"/>
    <cellStyle name="Percent 28 4 2 2 2 2 2 2" xfId="36088" xr:uid="{00000000-0005-0000-0000-000093910000}"/>
    <cellStyle name="Percent 28 4 2 2 2 2 3" xfId="22320" xr:uid="{00000000-0005-0000-0000-000094910000}"/>
    <cellStyle name="Percent 28 4 2 2 2 2 3 2" xfId="42240" xr:uid="{00000000-0005-0000-0000-000095910000}"/>
    <cellStyle name="Percent 28 4 2 2 2 2 4" xfId="29935" xr:uid="{00000000-0005-0000-0000-000096910000}"/>
    <cellStyle name="Percent 28 4 2 2 2 3" xfId="13102" xr:uid="{00000000-0005-0000-0000-000097910000}"/>
    <cellStyle name="Percent 28 4 2 2 2 3 2" xfId="33022" xr:uid="{00000000-0005-0000-0000-000098910000}"/>
    <cellStyle name="Percent 28 4 2 2 2 4" xfId="19254" xr:uid="{00000000-0005-0000-0000-000099910000}"/>
    <cellStyle name="Percent 28 4 2 2 2 4 2" xfId="39174" xr:uid="{00000000-0005-0000-0000-00009A910000}"/>
    <cellStyle name="Percent 28 4 2 2 2 5" xfId="26869" xr:uid="{00000000-0005-0000-0000-00009B910000}"/>
    <cellStyle name="Percent 28 4 2 2 3" xfId="8440" xr:uid="{00000000-0005-0000-0000-00009C910000}"/>
    <cellStyle name="Percent 28 4 2 2 3 2" xfId="14634" xr:uid="{00000000-0005-0000-0000-00009D910000}"/>
    <cellStyle name="Percent 28 4 2 2 3 2 2" xfId="34554" xr:uid="{00000000-0005-0000-0000-00009E910000}"/>
    <cellStyle name="Percent 28 4 2 2 3 3" xfId="20786" xr:uid="{00000000-0005-0000-0000-00009F910000}"/>
    <cellStyle name="Percent 28 4 2 2 3 3 2" xfId="40706" xr:uid="{00000000-0005-0000-0000-0000A0910000}"/>
    <cellStyle name="Percent 28 4 2 2 3 4" xfId="28401" xr:uid="{00000000-0005-0000-0000-0000A1910000}"/>
    <cellStyle name="Percent 28 4 2 2 4" xfId="11568" xr:uid="{00000000-0005-0000-0000-0000A2910000}"/>
    <cellStyle name="Percent 28 4 2 2 4 2" xfId="31488" xr:uid="{00000000-0005-0000-0000-0000A3910000}"/>
    <cellStyle name="Percent 28 4 2 2 5" xfId="17720" xr:uid="{00000000-0005-0000-0000-0000A4910000}"/>
    <cellStyle name="Percent 28 4 2 2 5 2" xfId="37640" xr:uid="{00000000-0005-0000-0000-0000A5910000}"/>
    <cellStyle name="Percent 28 4 2 2 6" xfId="25335" xr:uid="{00000000-0005-0000-0000-0000A6910000}"/>
    <cellStyle name="Percent 28 4 2 3" xfId="6113" xr:uid="{00000000-0005-0000-0000-0000A7910000}"/>
    <cellStyle name="Percent 28 4 2 3 2" xfId="9206" xr:uid="{00000000-0005-0000-0000-0000A8910000}"/>
    <cellStyle name="Percent 28 4 2 3 2 2" xfId="15399" xr:uid="{00000000-0005-0000-0000-0000A9910000}"/>
    <cellStyle name="Percent 28 4 2 3 2 2 2" xfId="35319" xr:uid="{00000000-0005-0000-0000-0000AA910000}"/>
    <cellStyle name="Percent 28 4 2 3 2 3" xfId="21551" xr:uid="{00000000-0005-0000-0000-0000AB910000}"/>
    <cellStyle name="Percent 28 4 2 3 2 3 2" xfId="41471" xr:uid="{00000000-0005-0000-0000-0000AC910000}"/>
    <cellStyle name="Percent 28 4 2 3 2 4" xfId="29166" xr:uid="{00000000-0005-0000-0000-0000AD910000}"/>
    <cellStyle name="Percent 28 4 2 3 3" xfId="12333" xr:uid="{00000000-0005-0000-0000-0000AE910000}"/>
    <cellStyle name="Percent 28 4 2 3 3 2" xfId="32253" xr:uid="{00000000-0005-0000-0000-0000AF910000}"/>
    <cellStyle name="Percent 28 4 2 3 4" xfId="18485" xr:uid="{00000000-0005-0000-0000-0000B0910000}"/>
    <cellStyle name="Percent 28 4 2 3 4 2" xfId="38405" xr:uid="{00000000-0005-0000-0000-0000B1910000}"/>
    <cellStyle name="Percent 28 4 2 3 5" xfId="26100" xr:uid="{00000000-0005-0000-0000-0000B2910000}"/>
    <cellStyle name="Percent 28 4 2 4" xfId="7671" xr:uid="{00000000-0005-0000-0000-0000B3910000}"/>
    <cellStyle name="Percent 28 4 2 4 2" xfId="13865" xr:uid="{00000000-0005-0000-0000-0000B4910000}"/>
    <cellStyle name="Percent 28 4 2 4 2 2" xfId="33785" xr:uid="{00000000-0005-0000-0000-0000B5910000}"/>
    <cellStyle name="Percent 28 4 2 4 3" xfId="20017" xr:uid="{00000000-0005-0000-0000-0000B6910000}"/>
    <cellStyle name="Percent 28 4 2 4 3 2" xfId="39937" xr:uid="{00000000-0005-0000-0000-0000B7910000}"/>
    <cellStyle name="Percent 28 4 2 4 4" xfId="27632" xr:uid="{00000000-0005-0000-0000-0000B8910000}"/>
    <cellStyle name="Percent 28 4 2 5" xfId="10799" xr:uid="{00000000-0005-0000-0000-0000B9910000}"/>
    <cellStyle name="Percent 28 4 2 5 2" xfId="30719" xr:uid="{00000000-0005-0000-0000-0000BA910000}"/>
    <cellStyle name="Percent 28 4 2 6" xfId="16951" xr:uid="{00000000-0005-0000-0000-0000BB910000}"/>
    <cellStyle name="Percent 28 4 2 6 2" xfId="36871" xr:uid="{00000000-0005-0000-0000-0000BC910000}"/>
    <cellStyle name="Percent 28 4 2 7" xfId="24566" xr:uid="{00000000-0005-0000-0000-0000BD910000}"/>
    <cellStyle name="Percent 28 5" xfId="4222" xr:uid="{00000000-0005-0000-0000-0000BE910000}"/>
    <cellStyle name="Percent 28 5 2" xfId="5265" xr:uid="{00000000-0005-0000-0000-0000BF910000}"/>
    <cellStyle name="Percent 28 5 2 2" xfId="6890" xr:uid="{00000000-0005-0000-0000-0000C0910000}"/>
    <cellStyle name="Percent 28 5 2 2 2" xfId="9976" xr:uid="{00000000-0005-0000-0000-0000C1910000}"/>
    <cellStyle name="Percent 28 5 2 2 2 2" xfId="16169" xr:uid="{00000000-0005-0000-0000-0000C2910000}"/>
    <cellStyle name="Percent 28 5 2 2 2 2 2" xfId="36089" xr:uid="{00000000-0005-0000-0000-0000C3910000}"/>
    <cellStyle name="Percent 28 5 2 2 2 3" xfId="22321" xr:uid="{00000000-0005-0000-0000-0000C4910000}"/>
    <cellStyle name="Percent 28 5 2 2 2 3 2" xfId="42241" xr:uid="{00000000-0005-0000-0000-0000C5910000}"/>
    <cellStyle name="Percent 28 5 2 2 2 4" xfId="29936" xr:uid="{00000000-0005-0000-0000-0000C6910000}"/>
    <cellStyle name="Percent 28 5 2 2 3" xfId="13103" xr:uid="{00000000-0005-0000-0000-0000C7910000}"/>
    <cellStyle name="Percent 28 5 2 2 3 2" xfId="33023" xr:uid="{00000000-0005-0000-0000-0000C8910000}"/>
    <cellStyle name="Percent 28 5 2 2 4" xfId="19255" xr:uid="{00000000-0005-0000-0000-0000C9910000}"/>
    <cellStyle name="Percent 28 5 2 2 4 2" xfId="39175" xr:uid="{00000000-0005-0000-0000-0000CA910000}"/>
    <cellStyle name="Percent 28 5 2 2 5" xfId="26870" xr:uid="{00000000-0005-0000-0000-0000CB910000}"/>
    <cellStyle name="Percent 28 5 2 3" xfId="8441" xr:uid="{00000000-0005-0000-0000-0000CC910000}"/>
    <cellStyle name="Percent 28 5 2 3 2" xfId="14635" xr:uid="{00000000-0005-0000-0000-0000CD910000}"/>
    <cellStyle name="Percent 28 5 2 3 2 2" xfId="34555" xr:uid="{00000000-0005-0000-0000-0000CE910000}"/>
    <cellStyle name="Percent 28 5 2 3 3" xfId="20787" xr:uid="{00000000-0005-0000-0000-0000CF910000}"/>
    <cellStyle name="Percent 28 5 2 3 3 2" xfId="40707" xr:uid="{00000000-0005-0000-0000-0000D0910000}"/>
    <cellStyle name="Percent 28 5 2 3 4" xfId="28402" xr:uid="{00000000-0005-0000-0000-0000D1910000}"/>
    <cellStyle name="Percent 28 5 2 4" xfId="11569" xr:uid="{00000000-0005-0000-0000-0000D2910000}"/>
    <cellStyle name="Percent 28 5 2 4 2" xfId="31489" xr:uid="{00000000-0005-0000-0000-0000D3910000}"/>
    <cellStyle name="Percent 28 5 2 5" xfId="17721" xr:uid="{00000000-0005-0000-0000-0000D4910000}"/>
    <cellStyle name="Percent 28 5 2 5 2" xfId="37641" xr:uid="{00000000-0005-0000-0000-0000D5910000}"/>
    <cellStyle name="Percent 28 5 2 6" xfId="25336" xr:uid="{00000000-0005-0000-0000-0000D6910000}"/>
    <cellStyle name="Percent 28 5 3" xfId="6114" xr:uid="{00000000-0005-0000-0000-0000D7910000}"/>
    <cellStyle name="Percent 28 5 3 2" xfId="9207" xr:uid="{00000000-0005-0000-0000-0000D8910000}"/>
    <cellStyle name="Percent 28 5 3 2 2" xfId="15400" xr:uid="{00000000-0005-0000-0000-0000D9910000}"/>
    <cellStyle name="Percent 28 5 3 2 2 2" xfId="35320" xr:uid="{00000000-0005-0000-0000-0000DA910000}"/>
    <cellStyle name="Percent 28 5 3 2 3" xfId="21552" xr:uid="{00000000-0005-0000-0000-0000DB910000}"/>
    <cellStyle name="Percent 28 5 3 2 3 2" xfId="41472" xr:uid="{00000000-0005-0000-0000-0000DC910000}"/>
    <cellStyle name="Percent 28 5 3 2 4" xfId="29167" xr:uid="{00000000-0005-0000-0000-0000DD910000}"/>
    <cellStyle name="Percent 28 5 3 3" xfId="12334" xr:uid="{00000000-0005-0000-0000-0000DE910000}"/>
    <cellStyle name="Percent 28 5 3 3 2" xfId="32254" xr:uid="{00000000-0005-0000-0000-0000DF910000}"/>
    <cellStyle name="Percent 28 5 3 4" xfId="18486" xr:uid="{00000000-0005-0000-0000-0000E0910000}"/>
    <cellStyle name="Percent 28 5 3 4 2" xfId="38406" xr:uid="{00000000-0005-0000-0000-0000E1910000}"/>
    <cellStyle name="Percent 28 5 3 5" xfId="26101" xr:uid="{00000000-0005-0000-0000-0000E2910000}"/>
    <cellStyle name="Percent 28 5 4" xfId="7672" xr:uid="{00000000-0005-0000-0000-0000E3910000}"/>
    <cellStyle name="Percent 28 5 4 2" xfId="13866" xr:uid="{00000000-0005-0000-0000-0000E4910000}"/>
    <cellStyle name="Percent 28 5 4 2 2" xfId="33786" xr:uid="{00000000-0005-0000-0000-0000E5910000}"/>
    <cellStyle name="Percent 28 5 4 3" xfId="20018" xr:uid="{00000000-0005-0000-0000-0000E6910000}"/>
    <cellStyle name="Percent 28 5 4 3 2" xfId="39938" xr:uid="{00000000-0005-0000-0000-0000E7910000}"/>
    <cellStyle name="Percent 28 5 4 4" xfId="27633" xr:uid="{00000000-0005-0000-0000-0000E8910000}"/>
    <cellStyle name="Percent 28 5 5" xfId="10800" xr:uid="{00000000-0005-0000-0000-0000E9910000}"/>
    <cellStyle name="Percent 28 5 5 2" xfId="30720" xr:uid="{00000000-0005-0000-0000-0000EA910000}"/>
    <cellStyle name="Percent 28 5 6" xfId="16952" xr:uid="{00000000-0005-0000-0000-0000EB910000}"/>
    <cellStyle name="Percent 28 5 6 2" xfId="36872" xr:uid="{00000000-0005-0000-0000-0000EC910000}"/>
    <cellStyle name="Percent 28 5 7" xfId="24567" xr:uid="{00000000-0005-0000-0000-0000ED910000}"/>
    <cellStyle name="Percent 29" xfId="4223" xr:uid="{00000000-0005-0000-0000-0000EE910000}"/>
    <cellStyle name="Percent 29 2" xfId="4224" xr:uid="{00000000-0005-0000-0000-0000EF910000}"/>
    <cellStyle name="Percent 29 2 2" xfId="4225" xr:uid="{00000000-0005-0000-0000-0000F0910000}"/>
    <cellStyle name="Percent 29 2 2 2" xfId="5267" xr:uid="{00000000-0005-0000-0000-0000F1910000}"/>
    <cellStyle name="Percent 29 2 2 2 2" xfId="6892" xr:uid="{00000000-0005-0000-0000-0000F2910000}"/>
    <cellStyle name="Percent 29 2 2 2 2 2" xfId="9978" xr:uid="{00000000-0005-0000-0000-0000F3910000}"/>
    <cellStyle name="Percent 29 2 2 2 2 2 2" xfId="16171" xr:uid="{00000000-0005-0000-0000-0000F4910000}"/>
    <cellStyle name="Percent 29 2 2 2 2 2 2 2" xfId="36091" xr:uid="{00000000-0005-0000-0000-0000F5910000}"/>
    <cellStyle name="Percent 29 2 2 2 2 2 3" xfId="22323" xr:uid="{00000000-0005-0000-0000-0000F6910000}"/>
    <cellStyle name="Percent 29 2 2 2 2 2 3 2" xfId="42243" xr:uid="{00000000-0005-0000-0000-0000F7910000}"/>
    <cellStyle name="Percent 29 2 2 2 2 2 4" xfId="29938" xr:uid="{00000000-0005-0000-0000-0000F8910000}"/>
    <cellStyle name="Percent 29 2 2 2 2 3" xfId="13105" xr:uid="{00000000-0005-0000-0000-0000F9910000}"/>
    <cellStyle name="Percent 29 2 2 2 2 3 2" xfId="33025" xr:uid="{00000000-0005-0000-0000-0000FA910000}"/>
    <cellStyle name="Percent 29 2 2 2 2 4" xfId="19257" xr:uid="{00000000-0005-0000-0000-0000FB910000}"/>
    <cellStyle name="Percent 29 2 2 2 2 4 2" xfId="39177" xr:uid="{00000000-0005-0000-0000-0000FC910000}"/>
    <cellStyle name="Percent 29 2 2 2 2 5" xfId="26872" xr:uid="{00000000-0005-0000-0000-0000FD910000}"/>
    <cellStyle name="Percent 29 2 2 2 3" xfId="8443" xr:uid="{00000000-0005-0000-0000-0000FE910000}"/>
    <cellStyle name="Percent 29 2 2 2 3 2" xfId="14637" xr:uid="{00000000-0005-0000-0000-0000FF910000}"/>
    <cellStyle name="Percent 29 2 2 2 3 2 2" xfId="34557" xr:uid="{00000000-0005-0000-0000-000000920000}"/>
    <cellStyle name="Percent 29 2 2 2 3 3" xfId="20789" xr:uid="{00000000-0005-0000-0000-000001920000}"/>
    <cellStyle name="Percent 29 2 2 2 3 3 2" xfId="40709" xr:uid="{00000000-0005-0000-0000-000002920000}"/>
    <cellStyle name="Percent 29 2 2 2 3 4" xfId="28404" xr:uid="{00000000-0005-0000-0000-000003920000}"/>
    <cellStyle name="Percent 29 2 2 2 4" xfId="11571" xr:uid="{00000000-0005-0000-0000-000004920000}"/>
    <cellStyle name="Percent 29 2 2 2 4 2" xfId="31491" xr:uid="{00000000-0005-0000-0000-000005920000}"/>
    <cellStyle name="Percent 29 2 2 2 5" xfId="17723" xr:uid="{00000000-0005-0000-0000-000006920000}"/>
    <cellStyle name="Percent 29 2 2 2 5 2" xfId="37643" xr:uid="{00000000-0005-0000-0000-000007920000}"/>
    <cellStyle name="Percent 29 2 2 2 6" xfId="25338" xr:uid="{00000000-0005-0000-0000-000008920000}"/>
    <cellStyle name="Percent 29 2 2 3" xfId="6117" xr:uid="{00000000-0005-0000-0000-000009920000}"/>
    <cellStyle name="Percent 29 2 2 3 2" xfId="9209" xr:uid="{00000000-0005-0000-0000-00000A920000}"/>
    <cellStyle name="Percent 29 2 2 3 2 2" xfId="15402" xr:uid="{00000000-0005-0000-0000-00000B920000}"/>
    <cellStyle name="Percent 29 2 2 3 2 2 2" xfId="35322" xr:uid="{00000000-0005-0000-0000-00000C920000}"/>
    <cellStyle name="Percent 29 2 2 3 2 3" xfId="21554" xr:uid="{00000000-0005-0000-0000-00000D920000}"/>
    <cellStyle name="Percent 29 2 2 3 2 3 2" xfId="41474" xr:uid="{00000000-0005-0000-0000-00000E920000}"/>
    <cellStyle name="Percent 29 2 2 3 2 4" xfId="29169" xr:uid="{00000000-0005-0000-0000-00000F920000}"/>
    <cellStyle name="Percent 29 2 2 3 3" xfId="12336" xr:uid="{00000000-0005-0000-0000-000010920000}"/>
    <cellStyle name="Percent 29 2 2 3 3 2" xfId="32256" xr:uid="{00000000-0005-0000-0000-000011920000}"/>
    <cellStyle name="Percent 29 2 2 3 4" xfId="18488" xr:uid="{00000000-0005-0000-0000-000012920000}"/>
    <cellStyle name="Percent 29 2 2 3 4 2" xfId="38408" xr:uid="{00000000-0005-0000-0000-000013920000}"/>
    <cellStyle name="Percent 29 2 2 3 5" xfId="26103" xr:uid="{00000000-0005-0000-0000-000014920000}"/>
    <cellStyle name="Percent 29 2 2 4" xfId="7674" xr:uid="{00000000-0005-0000-0000-000015920000}"/>
    <cellStyle name="Percent 29 2 2 4 2" xfId="13868" xr:uid="{00000000-0005-0000-0000-000016920000}"/>
    <cellStyle name="Percent 29 2 2 4 2 2" xfId="33788" xr:uid="{00000000-0005-0000-0000-000017920000}"/>
    <cellStyle name="Percent 29 2 2 4 3" xfId="20020" xr:uid="{00000000-0005-0000-0000-000018920000}"/>
    <cellStyle name="Percent 29 2 2 4 3 2" xfId="39940" xr:uid="{00000000-0005-0000-0000-000019920000}"/>
    <cellStyle name="Percent 29 2 2 4 4" xfId="27635" xr:uid="{00000000-0005-0000-0000-00001A920000}"/>
    <cellStyle name="Percent 29 2 2 5" xfId="10802" xr:uid="{00000000-0005-0000-0000-00001B920000}"/>
    <cellStyle name="Percent 29 2 2 5 2" xfId="30722" xr:uid="{00000000-0005-0000-0000-00001C920000}"/>
    <cellStyle name="Percent 29 2 2 6" xfId="16954" xr:uid="{00000000-0005-0000-0000-00001D920000}"/>
    <cellStyle name="Percent 29 2 2 6 2" xfId="36874" xr:uid="{00000000-0005-0000-0000-00001E920000}"/>
    <cellStyle name="Percent 29 2 2 7" xfId="24569" xr:uid="{00000000-0005-0000-0000-00001F920000}"/>
    <cellStyle name="Percent 29 2 3" xfId="5266" xr:uid="{00000000-0005-0000-0000-000020920000}"/>
    <cellStyle name="Percent 29 2 3 2" xfId="6891" xr:uid="{00000000-0005-0000-0000-000021920000}"/>
    <cellStyle name="Percent 29 2 3 2 2" xfId="9977" xr:uid="{00000000-0005-0000-0000-000022920000}"/>
    <cellStyle name="Percent 29 2 3 2 2 2" xfId="16170" xr:uid="{00000000-0005-0000-0000-000023920000}"/>
    <cellStyle name="Percent 29 2 3 2 2 2 2" xfId="36090" xr:uid="{00000000-0005-0000-0000-000024920000}"/>
    <cellStyle name="Percent 29 2 3 2 2 3" xfId="22322" xr:uid="{00000000-0005-0000-0000-000025920000}"/>
    <cellStyle name="Percent 29 2 3 2 2 3 2" xfId="42242" xr:uid="{00000000-0005-0000-0000-000026920000}"/>
    <cellStyle name="Percent 29 2 3 2 2 4" xfId="29937" xr:uid="{00000000-0005-0000-0000-000027920000}"/>
    <cellStyle name="Percent 29 2 3 2 3" xfId="13104" xr:uid="{00000000-0005-0000-0000-000028920000}"/>
    <cellStyle name="Percent 29 2 3 2 3 2" xfId="33024" xr:uid="{00000000-0005-0000-0000-000029920000}"/>
    <cellStyle name="Percent 29 2 3 2 4" xfId="19256" xr:uid="{00000000-0005-0000-0000-00002A920000}"/>
    <cellStyle name="Percent 29 2 3 2 4 2" xfId="39176" xr:uid="{00000000-0005-0000-0000-00002B920000}"/>
    <cellStyle name="Percent 29 2 3 2 5" xfId="26871" xr:uid="{00000000-0005-0000-0000-00002C920000}"/>
    <cellStyle name="Percent 29 2 3 3" xfId="8442" xr:uid="{00000000-0005-0000-0000-00002D920000}"/>
    <cellStyle name="Percent 29 2 3 3 2" xfId="14636" xr:uid="{00000000-0005-0000-0000-00002E920000}"/>
    <cellStyle name="Percent 29 2 3 3 2 2" xfId="34556" xr:uid="{00000000-0005-0000-0000-00002F920000}"/>
    <cellStyle name="Percent 29 2 3 3 3" xfId="20788" xr:uid="{00000000-0005-0000-0000-000030920000}"/>
    <cellStyle name="Percent 29 2 3 3 3 2" xfId="40708" xr:uid="{00000000-0005-0000-0000-000031920000}"/>
    <cellStyle name="Percent 29 2 3 3 4" xfId="28403" xr:uid="{00000000-0005-0000-0000-000032920000}"/>
    <cellStyle name="Percent 29 2 3 4" xfId="11570" xr:uid="{00000000-0005-0000-0000-000033920000}"/>
    <cellStyle name="Percent 29 2 3 4 2" xfId="31490" xr:uid="{00000000-0005-0000-0000-000034920000}"/>
    <cellStyle name="Percent 29 2 3 5" xfId="17722" xr:uid="{00000000-0005-0000-0000-000035920000}"/>
    <cellStyle name="Percent 29 2 3 5 2" xfId="37642" xr:uid="{00000000-0005-0000-0000-000036920000}"/>
    <cellStyle name="Percent 29 2 3 6" xfId="25337" xr:uid="{00000000-0005-0000-0000-000037920000}"/>
    <cellStyle name="Percent 29 2 4" xfId="6116" xr:uid="{00000000-0005-0000-0000-000038920000}"/>
    <cellStyle name="Percent 29 2 4 2" xfId="9208" xr:uid="{00000000-0005-0000-0000-000039920000}"/>
    <cellStyle name="Percent 29 2 4 2 2" xfId="15401" xr:uid="{00000000-0005-0000-0000-00003A920000}"/>
    <cellStyle name="Percent 29 2 4 2 2 2" xfId="35321" xr:uid="{00000000-0005-0000-0000-00003B920000}"/>
    <cellStyle name="Percent 29 2 4 2 3" xfId="21553" xr:uid="{00000000-0005-0000-0000-00003C920000}"/>
    <cellStyle name="Percent 29 2 4 2 3 2" xfId="41473" xr:uid="{00000000-0005-0000-0000-00003D920000}"/>
    <cellStyle name="Percent 29 2 4 2 4" xfId="29168" xr:uid="{00000000-0005-0000-0000-00003E920000}"/>
    <cellStyle name="Percent 29 2 4 3" xfId="12335" xr:uid="{00000000-0005-0000-0000-00003F920000}"/>
    <cellStyle name="Percent 29 2 4 3 2" xfId="32255" xr:uid="{00000000-0005-0000-0000-000040920000}"/>
    <cellStyle name="Percent 29 2 4 4" xfId="18487" xr:uid="{00000000-0005-0000-0000-000041920000}"/>
    <cellStyle name="Percent 29 2 4 4 2" xfId="38407" xr:uid="{00000000-0005-0000-0000-000042920000}"/>
    <cellStyle name="Percent 29 2 4 5" xfId="26102" xr:uid="{00000000-0005-0000-0000-000043920000}"/>
    <cellStyle name="Percent 29 2 5" xfId="7673" xr:uid="{00000000-0005-0000-0000-000044920000}"/>
    <cellStyle name="Percent 29 2 5 2" xfId="13867" xr:uid="{00000000-0005-0000-0000-000045920000}"/>
    <cellStyle name="Percent 29 2 5 2 2" xfId="33787" xr:uid="{00000000-0005-0000-0000-000046920000}"/>
    <cellStyle name="Percent 29 2 5 3" xfId="20019" xr:uid="{00000000-0005-0000-0000-000047920000}"/>
    <cellStyle name="Percent 29 2 5 3 2" xfId="39939" xr:uid="{00000000-0005-0000-0000-000048920000}"/>
    <cellStyle name="Percent 29 2 5 4" xfId="27634" xr:uid="{00000000-0005-0000-0000-000049920000}"/>
    <cellStyle name="Percent 29 2 6" xfId="10801" xr:uid="{00000000-0005-0000-0000-00004A920000}"/>
    <cellStyle name="Percent 29 2 6 2" xfId="30721" xr:uid="{00000000-0005-0000-0000-00004B920000}"/>
    <cellStyle name="Percent 29 2 7" xfId="16953" xr:uid="{00000000-0005-0000-0000-00004C920000}"/>
    <cellStyle name="Percent 29 2 7 2" xfId="36873" xr:uid="{00000000-0005-0000-0000-00004D920000}"/>
    <cellStyle name="Percent 29 2 8" xfId="24568" xr:uid="{00000000-0005-0000-0000-00004E920000}"/>
    <cellStyle name="Percent 29 3" xfId="4226" xr:uid="{00000000-0005-0000-0000-00004F920000}"/>
    <cellStyle name="Percent 29 3 2" xfId="4227" xr:uid="{00000000-0005-0000-0000-000050920000}"/>
    <cellStyle name="Percent 29 3 2 2" xfId="5269" xr:uid="{00000000-0005-0000-0000-000051920000}"/>
    <cellStyle name="Percent 29 3 2 2 2" xfId="6894" xr:uid="{00000000-0005-0000-0000-000052920000}"/>
    <cellStyle name="Percent 29 3 2 2 2 2" xfId="9980" xr:uid="{00000000-0005-0000-0000-000053920000}"/>
    <cellStyle name="Percent 29 3 2 2 2 2 2" xfId="16173" xr:uid="{00000000-0005-0000-0000-000054920000}"/>
    <cellStyle name="Percent 29 3 2 2 2 2 2 2" xfId="36093" xr:uid="{00000000-0005-0000-0000-000055920000}"/>
    <cellStyle name="Percent 29 3 2 2 2 2 3" xfId="22325" xr:uid="{00000000-0005-0000-0000-000056920000}"/>
    <cellStyle name="Percent 29 3 2 2 2 2 3 2" xfId="42245" xr:uid="{00000000-0005-0000-0000-000057920000}"/>
    <cellStyle name="Percent 29 3 2 2 2 2 4" xfId="29940" xr:uid="{00000000-0005-0000-0000-000058920000}"/>
    <cellStyle name="Percent 29 3 2 2 2 3" xfId="13107" xr:uid="{00000000-0005-0000-0000-000059920000}"/>
    <cellStyle name="Percent 29 3 2 2 2 3 2" xfId="33027" xr:uid="{00000000-0005-0000-0000-00005A920000}"/>
    <cellStyle name="Percent 29 3 2 2 2 4" xfId="19259" xr:uid="{00000000-0005-0000-0000-00005B920000}"/>
    <cellStyle name="Percent 29 3 2 2 2 4 2" xfId="39179" xr:uid="{00000000-0005-0000-0000-00005C920000}"/>
    <cellStyle name="Percent 29 3 2 2 2 5" xfId="26874" xr:uid="{00000000-0005-0000-0000-00005D920000}"/>
    <cellStyle name="Percent 29 3 2 2 3" xfId="8445" xr:uid="{00000000-0005-0000-0000-00005E920000}"/>
    <cellStyle name="Percent 29 3 2 2 3 2" xfId="14639" xr:uid="{00000000-0005-0000-0000-00005F920000}"/>
    <cellStyle name="Percent 29 3 2 2 3 2 2" xfId="34559" xr:uid="{00000000-0005-0000-0000-000060920000}"/>
    <cellStyle name="Percent 29 3 2 2 3 3" xfId="20791" xr:uid="{00000000-0005-0000-0000-000061920000}"/>
    <cellStyle name="Percent 29 3 2 2 3 3 2" xfId="40711" xr:uid="{00000000-0005-0000-0000-000062920000}"/>
    <cellStyle name="Percent 29 3 2 2 3 4" xfId="28406" xr:uid="{00000000-0005-0000-0000-000063920000}"/>
    <cellStyle name="Percent 29 3 2 2 4" xfId="11573" xr:uid="{00000000-0005-0000-0000-000064920000}"/>
    <cellStyle name="Percent 29 3 2 2 4 2" xfId="31493" xr:uid="{00000000-0005-0000-0000-000065920000}"/>
    <cellStyle name="Percent 29 3 2 2 5" xfId="17725" xr:uid="{00000000-0005-0000-0000-000066920000}"/>
    <cellStyle name="Percent 29 3 2 2 5 2" xfId="37645" xr:uid="{00000000-0005-0000-0000-000067920000}"/>
    <cellStyle name="Percent 29 3 2 2 6" xfId="25340" xr:uid="{00000000-0005-0000-0000-000068920000}"/>
    <cellStyle name="Percent 29 3 2 3" xfId="6119" xr:uid="{00000000-0005-0000-0000-000069920000}"/>
    <cellStyle name="Percent 29 3 2 3 2" xfId="9211" xr:uid="{00000000-0005-0000-0000-00006A920000}"/>
    <cellStyle name="Percent 29 3 2 3 2 2" xfId="15404" xr:uid="{00000000-0005-0000-0000-00006B920000}"/>
    <cellStyle name="Percent 29 3 2 3 2 2 2" xfId="35324" xr:uid="{00000000-0005-0000-0000-00006C920000}"/>
    <cellStyle name="Percent 29 3 2 3 2 3" xfId="21556" xr:uid="{00000000-0005-0000-0000-00006D920000}"/>
    <cellStyle name="Percent 29 3 2 3 2 3 2" xfId="41476" xr:uid="{00000000-0005-0000-0000-00006E920000}"/>
    <cellStyle name="Percent 29 3 2 3 2 4" xfId="29171" xr:uid="{00000000-0005-0000-0000-00006F920000}"/>
    <cellStyle name="Percent 29 3 2 3 3" xfId="12338" xr:uid="{00000000-0005-0000-0000-000070920000}"/>
    <cellStyle name="Percent 29 3 2 3 3 2" xfId="32258" xr:uid="{00000000-0005-0000-0000-000071920000}"/>
    <cellStyle name="Percent 29 3 2 3 4" xfId="18490" xr:uid="{00000000-0005-0000-0000-000072920000}"/>
    <cellStyle name="Percent 29 3 2 3 4 2" xfId="38410" xr:uid="{00000000-0005-0000-0000-000073920000}"/>
    <cellStyle name="Percent 29 3 2 3 5" xfId="26105" xr:uid="{00000000-0005-0000-0000-000074920000}"/>
    <cellStyle name="Percent 29 3 2 4" xfId="7676" xr:uid="{00000000-0005-0000-0000-000075920000}"/>
    <cellStyle name="Percent 29 3 2 4 2" xfId="13870" xr:uid="{00000000-0005-0000-0000-000076920000}"/>
    <cellStyle name="Percent 29 3 2 4 2 2" xfId="33790" xr:uid="{00000000-0005-0000-0000-000077920000}"/>
    <cellStyle name="Percent 29 3 2 4 3" xfId="20022" xr:uid="{00000000-0005-0000-0000-000078920000}"/>
    <cellStyle name="Percent 29 3 2 4 3 2" xfId="39942" xr:uid="{00000000-0005-0000-0000-000079920000}"/>
    <cellStyle name="Percent 29 3 2 4 4" xfId="27637" xr:uid="{00000000-0005-0000-0000-00007A920000}"/>
    <cellStyle name="Percent 29 3 2 5" xfId="10804" xr:uid="{00000000-0005-0000-0000-00007B920000}"/>
    <cellStyle name="Percent 29 3 2 5 2" xfId="30724" xr:uid="{00000000-0005-0000-0000-00007C920000}"/>
    <cellStyle name="Percent 29 3 2 6" xfId="16956" xr:uid="{00000000-0005-0000-0000-00007D920000}"/>
    <cellStyle name="Percent 29 3 2 6 2" xfId="36876" xr:uid="{00000000-0005-0000-0000-00007E920000}"/>
    <cellStyle name="Percent 29 3 2 7" xfId="24571" xr:uid="{00000000-0005-0000-0000-00007F920000}"/>
    <cellStyle name="Percent 29 3 3" xfId="5268" xr:uid="{00000000-0005-0000-0000-000080920000}"/>
    <cellStyle name="Percent 29 3 3 2" xfId="6893" xr:uid="{00000000-0005-0000-0000-000081920000}"/>
    <cellStyle name="Percent 29 3 3 2 2" xfId="9979" xr:uid="{00000000-0005-0000-0000-000082920000}"/>
    <cellStyle name="Percent 29 3 3 2 2 2" xfId="16172" xr:uid="{00000000-0005-0000-0000-000083920000}"/>
    <cellStyle name="Percent 29 3 3 2 2 2 2" xfId="36092" xr:uid="{00000000-0005-0000-0000-000084920000}"/>
    <cellStyle name="Percent 29 3 3 2 2 3" xfId="22324" xr:uid="{00000000-0005-0000-0000-000085920000}"/>
    <cellStyle name="Percent 29 3 3 2 2 3 2" xfId="42244" xr:uid="{00000000-0005-0000-0000-000086920000}"/>
    <cellStyle name="Percent 29 3 3 2 2 4" xfId="29939" xr:uid="{00000000-0005-0000-0000-000087920000}"/>
    <cellStyle name="Percent 29 3 3 2 3" xfId="13106" xr:uid="{00000000-0005-0000-0000-000088920000}"/>
    <cellStyle name="Percent 29 3 3 2 3 2" xfId="33026" xr:uid="{00000000-0005-0000-0000-000089920000}"/>
    <cellStyle name="Percent 29 3 3 2 4" xfId="19258" xr:uid="{00000000-0005-0000-0000-00008A920000}"/>
    <cellStyle name="Percent 29 3 3 2 4 2" xfId="39178" xr:uid="{00000000-0005-0000-0000-00008B920000}"/>
    <cellStyle name="Percent 29 3 3 2 5" xfId="26873" xr:uid="{00000000-0005-0000-0000-00008C920000}"/>
    <cellStyle name="Percent 29 3 3 3" xfId="8444" xr:uid="{00000000-0005-0000-0000-00008D920000}"/>
    <cellStyle name="Percent 29 3 3 3 2" xfId="14638" xr:uid="{00000000-0005-0000-0000-00008E920000}"/>
    <cellStyle name="Percent 29 3 3 3 2 2" xfId="34558" xr:uid="{00000000-0005-0000-0000-00008F920000}"/>
    <cellStyle name="Percent 29 3 3 3 3" xfId="20790" xr:uid="{00000000-0005-0000-0000-000090920000}"/>
    <cellStyle name="Percent 29 3 3 3 3 2" xfId="40710" xr:uid="{00000000-0005-0000-0000-000091920000}"/>
    <cellStyle name="Percent 29 3 3 3 4" xfId="28405" xr:uid="{00000000-0005-0000-0000-000092920000}"/>
    <cellStyle name="Percent 29 3 3 4" xfId="11572" xr:uid="{00000000-0005-0000-0000-000093920000}"/>
    <cellStyle name="Percent 29 3 3 4 2" xfId="31492" xr:uid="{00000000-0005-0000-0000-000094920000}"/>
    <cellStyle name="Percent 29 3 3 5" xfId="17724" xr:uid="{00000000-0005-0000-0000-000095920000}"/>
    <cellStyle name="Percent 29 3 3 5 2" xfId="37644" xr:uid="{00000000-0005-0000-0000-000096920000}"/>
    <cellStyle name="Percent 29 3 3 6" xfId="25339" xr:uid="{00000000-0005-0000-0000-000097920000}"/>
    <cellStyle name="Percent 29 3 4" xfId="6118" xr:uid="{00000000-0005-0000-0000-000098920000}"/>
    <cellStyle name="Percent 29 3 4 2" xfId="9210" xr:uid="{00000000-0005-0000-0000-000099920000}"/>
    <cellStyle name="Percent 29 3 4 2 2" xfId="15403" xr:uid="{00000000-0005-0000-0000-00009A920000}"/>
    <cellStyle name="Percent 29 3 4 2 2 2" xfId="35323" xr:uid="{00000000-0005-0000-0000-00009B920000}"/>
    <cellStyle name="Percent 29 3 4 2 3" xfId="21555" xr:uid="{00000000-0005-0000-0000-00009C920000}"/>
    <cellStyle name="Percent 29 3 4 2 3 2" xfId="41475" xr:uid="{00000000-0005-0000-0000-00009D920000}"/>
    <cellStyle name="Percent 29 3 4 2 4" xfId="29170" xr:uid="{00000000-0005-0000-0000-00009E920000}"/>
    <cellStyle name="Percent 29 3 4 3" xfId="12337" xr:uid="{00000000-0005-0000-0000-00009F920000}"/>
    <cellStyle name="Percent 29 3 4 3 2" xfId="32257" xr:uid="{00000000-0005-0000-0000-0000A0920000}"/>
    <cellStyle name="Percent 29 3 4 4" xfId="18489" xr:uid="{00000000-0005-0000-0000-0000A1920000}"/>
    <cellStyle name="Percent 29 3 4 4 2" xfId="38409" xr:uid="{00000000-0005-0000-0000-0000A2920000}"/>
    <cellStyle name="Percent 29 3 4 5" xfId="26104" xr:uid="{00000000-0005-0000-0000-0000A3920000}"/>
    <cellStyle name="Percent 29 3 5" xfId="7675" xr:uid="{00000000-0005-0000-0000-0000A4920000}"/>
    <cellStyle name="Percent 29 3 5 2" xfId="13869" xr:uid="{00000000-0005-0000-0000-0000A5920000}"/>
    <cellStyle name="Percent 29 3 5 2 2" xfId="33789" xr:uid="{00000000-0005-0000-0000-0000A6920000}"/>
    <cellStyle name="Percent 29 3 5 3" xfId="20021" xr:uid="{00000000-0005-0000-0000-0000A7920000}"/>
    <cellStyle name="Percent 29 3 5 3 2" xfId="39941" xr:uid="{00000000-0005-0000-0000-0000A8920000}"/>
    <cellStyle name="Percent 29 3 5 4" xfId="27636" xr:uid="{00000000-0005-0000-0000-0000A9920000}"/>
    <cellStyle name="Percent 29 3 6" xfId="10803" xr:uid="{00000000-0005-0000-0000-0000AA920000}"/>
    <cellStyle name="Percent 29 3 6 2" xfId="30723" xr:uid="{00000000-0005-0000-0000-0000AB920000}"/>
    <cellStyle name="Percent 29 3 7" xfId="16955" xr:uid="{00000000-0005-0000-0000-0000AC920000}"/>
    <cellStyle name="Percent 29 3 7 2" xfId="36875" xr:uid="{00000000-0005-0000-0000-0000AD920000}"/>
    <cellStyle name="Percent 29 3 8" xfId="24570" xr:uid="{00000000-0005-0000-0000-0000AE920000}"/>
    <cellStyle name="Percent 29 4" xfId="4228" xr:uid="{00000000-0005-0000-0000-0000AF920000}"/>
    <cellStyle name="Percent 29 4 2" xfId="4229" xr:uid="{00000000-0005-0000-0000-0000B0920000}"/>
    <cellStyle name="Percent 29 4 2 2" xfId="5270" xr:uid="{00000000-0005-0000-0000-0000B1920000}"/>
    <cellStyle name="Percent 29 4 2 2 2" xfId="6895" xr:uid="{00000000-0005-0000-0000-0000B2920000}"/>
    <cellStyle name="Percent 29 4 2 2 2 2" xfId="9981" xr:uid="{00000000-0005-0000-0000-0000B3920000}"/>
    <cellStyle name="Percent 29 4 2 2 2 2 2" xfId="16174" xr:uid="{00000000-0005-0000-0000-0000B4920000}"/>
    <cellStyle name="Percent 29 4 2 2 2 2 2 2" xfId="36094" xr:uid="{00000000-0005-0000-0000-0000B5920000}"/>
    <cellStyle name="Percent 29 4 2 2 2 2 3" xfId="22326" xr:uid="{00000000-0005-0000-0000-0000B6920000}"/>
    <cellStyle name="Percent 29 4 2 2 2 2 3 2" xfId="42246" xr:uid="{00000000-0005-0000-0000-0000B7920000}"/>
    <cellStyle name="Percent 29 4 2 2 2 2 4" xfId="29941" xr:uid="{00000000-0005-0000-0000-0000B8920000}"/>
    <cellStyle name="Percent 29 4 2 2 2 3" xfId="13108" xr:uid="{00000000-0005-0000-0000-0000B9920000}"/>
    <cellStyle name="Percent 29 4 2 2 2 3 2" xfId="33028" xr:uid="{00000000-0005-0000-0000-0000BA920000}"/>
    <cellStyle name="Percent 29 4 2 2 2 4" xfId="19260" xr:uid="{00000000-0005-0000-0000-0000BB920000}"/>
    <cellStyle name="Percent 29 4 2 2 2 4 2" xfId="39180" xr:uid="{00000000-0005-0000-0000-0000BC920000}"/>
    <cellStyle name="Percent 29 4 2 2 2 5" xfId="26875" xr:uid="{00000000-0005-0000-0000-0000BD920000}"/>
    <cellStyle name="Percent 29 4 2 2 3" xfId="8446" xr:uid="{00000000-0005-0000-0000-0000BE920000}"/>
    <cellStyle name="Percent 29 4 2 2 3 2" xfId="14640" xr:uid="{00000000-0005-0000-0000-0000BF920000}"/>
    <cellStyle name="Percent 29 4 2 2 3 2 2" xfId="34560" xr:uid="{00000000-0005-0000-0000-0000C0920000}"/>
    <cellStyle name="Percent 29 4 2 2 3 3" xfId="20792" xr:uid="{00000000-0005-0000-0000-0000C1920000}"/>
    <cellStyle name="Percent 29 4 2 2 3 3 2" xfId="40712" xr:uid="{00000000-0005-0000-0000-0000C2920000}"/>
    <cellStyle name="Percent 29 4 2 2 3 4" xfId="28407" xr:uid="{00000000-0005-0000-0000-0000C3920000}"/>
    <cellStyle name="Percent 29 4 2 2 4" xfId="11574" xr:uid="{00000000-0005-0000-0000-0000C4920000}"/>
    <cellStyle name="Percent 29 4 2 2 4 2" xfId="31494" xr:uid="{00000000-0005-0000-0000-0000C5920000}"/>
    <cellStyle name="Percent 29 4 2 2 5" xfId="17726" xr:uid="{00000000-0005-0000-0000-0000C6920000}"/>
    <cellStyle name="Percent 29 4 2 2 5 2" xfId="37646" xr:uid="{00000000-0005-0000-0000-0000C7920000}"/>
    <cellStyle name="Percent 29 4 2 2 6" xfId="25341" xr:uid="{00000000-0005-0000-0000-0000C8920000}"/>
    <cellStyle name="Percent 29 4 2 3" xfId="6120" xr:uid="{00000000-0005-0000-0000-0000C9920000}"/>
    <cellStyle name="Percent 29 4 2 3 2" xfId="9212" xr:uid="{00000000-0005-0000-0000-0000CA920000}"/>
    <cellStyle name="Percent 29 4 2 3 2 2" xfId="15405" xr:uid="{00000000-0005-0000-0000-0000CB920000}"/>
    <cellStyle name="Percent 29 4 2 3 2 2 2" xfId="35325" xr:uid="{00000000-0005-0000-0000-0000CC920000}"/>
    <cellStyle name="Percent 29 4 2 3 2 3" xfId="21557" xr:uid="{00000000-0005-0000-0000-0000CD920000}"/>
    <cellStyle name="Percent 29 4 2 3 2 3 2" xfId="41477" xr:uid="{00000000-0005-0000-0000-0000CE920000}"/>
    <cellStyle name="Percent 29 4 2 3 2 4" xfId="29172" xr:uid="{00000000-0005-0000-0000-0000CF920000}"/>
    <cellStyle name="Percent 29 4 2 3 3" xfId="12339" xr:uid="{00000000-0005-0000-0000-0000D0920000}"/>
    <cellStyle name="Percent 29 4 2 3 3 2" xfId="32259" xr:uid="{00000000-0005-0000-0000-0000D1920000}"/>
    <cellStyle name="Percent 29 4 2 3 4" xfId="18491" xr:uid="{00000000-0005-0000-0000-0000D2920000}"/>
    <cellStyle name="Percent 29 4 2 3 4 2" xfId="38411" xr:uid="{00000000-0005-0000-0000-0000D3920000}"/>
    <cellStyle name="Percent 29 4 2 3 5" xfId="26106" xr:uid="{00000000-0005-0000-0000-0000D4920000}"/>
    <cellStyle name="Percent 29 4 2 4" xfId="7677" xr:uid="{00000000-0005-0000-0000-0000D5920000}"/>
    <cellStyle name="Percent 29 4 2 4 2" xfId="13871" xr:uid="{00000000-0005-0000-0000-0000D6920000}"/>
    <cellStyle name="Percent 29 4 2 4 2 2" xfId="33791" xr:uid="{00000000-0005-0000-0000-0000D7920000}"/>
    <cellStyle name="Percent 29 4 2 4 3" xfId="20023" xr:uid="{00000000-0005-0000-0000-0000D8920000}"/>
    <cellStyle name="Percent 29 4 2 4 3 2" xfId="39943" xr:uid="{00000000-0005-0000-0000-0000D9920000}"/>
    <cellStyle name="Percent 29 4 2 4 4" xfId="27638" xr:uid="{00000000-0005-0000-0000-0000DA920000}"/>
    <cellStyle name="Percent 29 4 2 5" xfId="10805" xr:uid="{00000000-0005-0000-0000-0000DB920000}"/>
    <cellStyle name="Percent 29 4 2 5 2" xfId="30725" xr:uid="{00000000-0005-0000-0000-0000DC920000}"/>
    <cellStyle name="Percent 29 4 2 6" xfId="16957" xr:uid="{00000000-0005-0000-0000-0000DD920000}"/>
    <cellStyle name="Percent 29 4 2 6 2" xfId="36877" xr:uid="{00000000-0005-0000-0000-0000DE920000}"/>
    <cellStyle name="Percent 29 4 2 7" xfId="24572" xr:uid="{00000000-0005-0000-0000-0000DF920000}"/>
    <cellStyle name="Percent 29 5" xfId="4230" xr:uid="{00000000-0005-0000-0000-0000E0920000}"/>
    <cellStyle name="Percent 29 5 2" xfId="5271" xr:uid="{00000000-0005-0000-0000-0000E1920000}"/>
    <cellStyle name="Percent 29 5 2 2" xfId="6896" xr:uid="{00000000-0005-0000-0000-0000E2920000}"/>
    <cellStyle name="Percent 29 5 2 2 2" xfId="9982" xr:uid="{00000000-0005-0000-0000-0000E3920000}"/>
    <cellStyle name="Percent 29 5 2 2 2 2" xfId="16175" xr:uid="{00000000-0005-0000-0000-0000E4920000}"/>
    <cellStyle name="Percent 29 5 2 2 2 2 2" xfId="36095" xr:uid="{00000000-0005-0000-0000-0000E5920000}"/>
    <cellStyle name="Percent 29 5 2 2 2 3" xfId="22327" xr:uid="{00000000-0005-0000-0000-0000E6920000}"/>
    <cellStyle name="Percent 29 5 2 2 2 3 2" xfId="42247" xr:uid="{00000000-0005-0000-0000-0000E7920000}"/>
    <cellStyle name="Percent 29 5 2 2 2 4" xfId="29942" xr:uid="{00000000-0005-0000-0000-0000E8920000}"/>
    <cellStyle name="Percent 29 5 2 2 3" xfId="13109" xr:uid="{00000000-0005-0000-0000-0000E9920000}"/>
    <cellStyle name="Percent 29 5 2 2 3 2" xfId="33029" xr:uid="{00000000-0005-0000-0000-0000EA920000}"/>
    <cellStyle name="Percent 29 5 2 2 4" xfId="19261" xr:uid="{00000000-0005-0000-0000-0000EB920000}"/>
    <cellStyle name="Percent 29 5 2 2 4 2" xfId="39181" xr:uid="{00000000-0005-0000-0000-0000EC920000}"/>
    <cellStyle name="Percent 29 5 2 2 5" xfId="26876" xr:uid="{00000000-0005-0000-0000-0000ED920000}"/>
    <cellStyle name="Percent 29 5 2 3" xfId="8447" xr:uid="{00000000-0005-0000-0000-0000EE920000}"/>
    <cellStyle name="Percent 29 5 2 3 2" xfId="14641" xr:uid="{00000000-0005-0000-0000-0000EF920000}"/>
    <cellStyle name="Percent 29 5 2 3 2 2" xfId="34561" xr:uid="{00000000-0005-0000-0000-0000F0920000}"/>
    <cellStyle name="Percent 29 5 2 3 3" xfId="20793" xr:uid="{00000000-0005-0000-0000-0000F1920000}"/>
    <cellStyle name="Percent 29 5 2 3 3 2" xfId="40713" xr:uid="{00000000-0005-0000-0000-0000F2920000}"/>
    <cellStyle name="Percent 29 5 2 3 4" xfId="28408" xr:uid="{00000000-0005-0000-0000-0000F3920000}"/>
    <cellStyle name="Percent 29 5 2 4" xfId="11575" xr:uid="{00000000-0005-0000-0000-0000F4920000}"/>
    <cellStyle name="Percent 29 5 2 4 2" xfId="31495" xr:uid="{00000000-0005-0000-0000-0000F5920000}"/>
    <cellStyle name="Percent 29 5 2 5" xfId="17727" xr:uid="{00000000-0005-0000-0000-0000F6920000}"/>
    <cellStyle name="Percent 29 5 2 5 2" xfId="37647" xr:uid="{00000000-0005-0000-0000-0000F7920000}"/>
    <cellStyle name="Percent 29 5 2 6" xfId="25342" xr:uid="{00000000-0005-0000-0000-0000F8920000}"/>
    <cellStyle name="Percent 29 5 3" xfId="6121" xr:uid="{00000000-0005-0000-0000-0000F9920000}"/>
    <cellStyle name="Percent 29 5 3 2" xfId="9213" xr:uid="{00000000-0005-0000-0000-0000FA920000}"/>
    <cellStyle name="Percent 29 5 3 2 2" xfId="15406" xr:uid="{00000000-0005-0000-0000-0000FB920000}"/>
    <cellStyle name="Percent 29 5 3 2 2 2" xfId="35326" xr:uid="{00000000-0005-0000-0000-0000FC920000}"/>
    <cellStyle name="Percent 29 5 3 2 3" xfId="21558" xr:uid="{00000000-0005-0000-0000-0000FD920000}"/>
    <cellStyle name="Percent 29 5 3 2 3 2" xfId="41478" xr:uid="{00000000-0005-0000-0000-0000FE920000}"/>
    <cellStyle name="Percent 29 5 3 2 4" xfId="29173" xr:uid="{00000000-0005-0000-0000-0000FF920000}"/>
    <cellStyle name="Percent 29 5 3 3" xfId="12340" xr:uid="{00000000-0005-0000-0000-000000930000}"/>
    <cellStyle name="Percent 29 5 3 3 2" xfId="32260" xr:uid="{00000000-0005-0000-0000-000001930000}"/>
    <cellStyle name="Percent 29 5 3 4" xfId="18492" xr:uid="{00000000-0005-0000-0000-000002930000}"/>
    <cellStyle name="Percent 29 5 3 4 2" xfId="38412" xr:uid="{00000000-0005-0000-0000-000003930000}"/>
    <cellStyle name="Percent 29 5 3 5" xfId="26107" xr:uid="{00000000-0005-0000-0000-000004930000}"/>
    <cellStyle name="Percent 29 5 4" xfId="7678" xr:uid="{00000000-0005-0000-0000-000005930000}"/>
    <cellStyle name="Percent 29 5 4 2" xfId="13872" xr:uid="{00000000-0005-0000-0000-000006930000}"/>
    <cellStyle name="Percent 29 5 4 2 2" xfId="33792" xr:uid="{00000000-0005-0000-0000-000007930000}"/>
    <cellStyle name="Percent 29 5 4 3" xfId="20024" xr:uid="{00000000-0005-0000-0000-000008930000}"/>
    <cellStyle name="Percent 29 5 4 3 2" xfId="39944" xr:uid="{00000000-0005-0000-0000-000009930000}"/>
    <cellStyle name="Percent 29 5 4 4" xfId="27639" xr:uid="{00000000-0005-0000-0000-00000A930000}"/>
    <cellStyle name="Percent 29 5 5" xfId="10806" xr:uid="{00000000-0005-0000-0000-00000B930000}"/>
    <cellStyle name="Percent 29 5 5 2" xfId="30726" xr:uid="{00000000-0005-0000-0000-00000C930000}"/>
    <cellStyle name="Percent 29 5 6" xfId="16958" xr:uid="{00000000-0005-0000-0000-00000D930000}"/>
    <cellStyle name="Percent 29 5 6 2" xfId="36878" xr:uid="{00000000-0005-0000-0000-00000E930000}"/>
    <cellStyle name="Percent 29 5 7" xfId="24573" xr:uid="{00000000-0005-0000-0000-00000F930000}"/>
    <cellStyle name="Percent 3" xfId="12" xr:uid="{00000000-0005-0000-0000-000010930000}"/>
    <cellStyle name="Percent 3 10" xfId="222" xr:uid="{00000000-0005-0000-0000-000011930000}"/>
    <cellStyle name="Percent 3 10 2" xfId="5272" xr:uid="{00000000-0005-0000-0000-000012930000}"/>
    <cellStyle name="Percent 3 10 2 2" xfId="6897" xr:uid="{00000000-0005-0000-0000-000013930000}"/>
    <cellStyle name="Percent 3 10 2 2 2" xfId="9983" xr:uid="{00000000-0005-0000-0000-000014930000}"/>
    <cellStyle name="Percent 3 10 2 2 2 2" xfId="16176" xr:uid="{00000000-0005-0000-0000-000015930000}"/>
    <cellStyle name="Percent 3 10 2 2 2 2 2" xfId="36096" xr:uid="{00000000-0005-0000-0000-000016930000}"/>
    <cellStyle name="Percent 3 10 2 2 2 3" xfId="22328" xr:uid="{00000000-0005-0000-0000-000017930000}"/>
    <cellStyle name="Percent 3 10 2 2 2 3 2" xfId="42248" xr:uid="{00000000-0005-0000-0000-000018930000}"/>
    <cellStyle name="Percent 3 10 2 2 2 4" xfId="29943" xr:uid="{00000000-0005-0000-0000-000019930000}"/>
    <cellStyle name="Percent 3 10 2 2 3" xfId="13110" xr:uid="{00000000-0005-0000-0000-00001A930000}"/>
    <cellStyle name="Percent 3 10 2 2 3 2" xfId="33030" xr:uid="{00000000-0005-0000-0000-00001B930000}"/>
    <cellStyle name="Percent 3 10 2 2 4" xfId="19262" xr:uid="{00000000-0005-0000-0000-00001C930000}"/>
    <cellStyle name="Percent 3 10 2 2 4 2" xfId="39182" xr:uid="{00000000-0005-0000-0000-00001D930000}"/>
    <cellStyle name="Percent 3 10 2 2 5" xfId="26877" xr:uid="{00000000-0005-0000-0000-00001E930000}"/>
    <cellStyle name="Percent 3 10 2 3" xfId="8448" xr:uid="{00000000-0005-0000-0000-00001F930000}"/>
    <cellStyle name="Percent 3 10 2 3 2" xfId="14642" xr:uid="{00000000-0005-0000-0000-000020930000}"/>
    <cellStyle name="Percent 3 10 2 3 2 2" xfId="34562" xr:uid="{00000000-0005-0000-0000-000021930000}"/>
    <cellStyle name="Percent 3 10 2 3 3" xfId="20794" xr:uid="{00000000-0005-0000-0000-000022930000}"/>
    <cellStyle name="Percent 3 10 2 3 3 2" xfId="40714" xr:uid="{00000000-0005-0000-0000-000023930000}"/>
    <cellStyle name="Percent 3 10 2 3 4" xfId="28409" xr:uid="{00000000-0005-0000-0000-000024930000}"/>
    <cellStyle name="Percent 3 10 2 4" xfId="11576" xr:uid="{00000000-0005-0000-0000-000025930000}"/>
    <cellStyle name="Percent 3 10 2 4 2" xfId="31496" xr:uid="{00000000-0005-0000-0000-000026930000}"/>
    <cellStyle name="Percent 3 10 2 5" xfId="17728" xr:uid="{00000000-0005-0000-0000-000027930000}"/>
    <cellStyle name="Percent 3 10 2 5 2" xfId="37648" xr:uid="{00000000-0005-0000-0000-000028930000}"/>
    <cellStyle name="Percent 3 10 2 6" xfId="25343" xr:uid="{00000000-0005-0000-0000-000029930000}"/>
    <cellStyle name="Percent 3 10 3" xfId="6122" xr:uid="{00000000-0005-0000-0000-00002A930000}"/>
    <cellStyle name="Percent 3 10 3 2" xfId="9214" xr:uid="{00000000-0005-0000-0000-00002B930000}"/>
    <cellStyle name="Percent 3 10 3 2 2" xfId="15407" xr:uid="{00000000-0005-0000-0000-00002C930000}"/>
    <cellStyle name="Percent 3 10 3 2 2 2" xfId="35327" xr:uid="{00000000-0005-0000-0000-00002D930000}"/>
    <cellStyle name="Percent 3 10 3 2 3" xfId="21559" xr:uid="{00000000-0005-0000-0000-00002E930000}"/>
    <cellStyle name="Percent 3 10 3 2 3 2" xfId="41479" xr:uid="{00000000-0005-0000-0000-00002F930000}"/>
    <cellStyle name="Percent 3 10 3 2 4" xfId="29174" xr:uid="{00000000-0005-0000-0000-000030930000}"/>
    <cellStyle name="Percent 3 10 3 3" xfId="12341" xr:uid="{00000000-0005-0000-0000-000031930000}"/>
    <cellStyle name="Percent 3 10 3 3 2" xfId="32261" xr:uid="{00000000-0005-0000-0000-000032930000}"/>
    <cellStyle name="Percent 3 10 3 4" xfId="18493" xr:uid="{00000000-0005-0000-0000-000033930000}"/>
    <cellStyle name="Percent 3 10 3 4 2" xfId="38413" xr:uid="{00000000-0005-0000-0000-000034930000}"/>
    <cellStyle name="Percent 3 10 3 5" xfId="26108" xr:uid="{00000000-0005-0000-0000-000035930000}"/>
    <cellStyle name="Percent 3 10 4" xfId="7679" xr:uid="{00000000-0005-0000-0000-000036930000}"/>
    <cellStyle name="Percent 3 10 4 2" xfId="13873" xr:uid="{00000000-0005-0000-0000-000037930000}"/>
    <cellStyle name="Percent 3 10 4 2 2" xfId="33793" xr:uid="{00000000-0005-0000-0000-000038930000}"/>
    <cellStyle name="Percent 3 10 4 3" xfId="20025" xr:uid="{00000000-0005-0000-0000-000039930000}"/>
    <cellStyle name="Percent 3 10 4 3 2" xfId="39945" xr:uid="{00000000-0005-0000-0000-00003A930000}"/>
    <cellStyle name="Percent 3 10 4 4" xfId="27640" xr:uid="{00000000-0005-0000-0000-00003B930000}"/>
    <cellStyle name="Percent 3 10 5" xfId="10807" xr:uid="{00000000-0005-0000-0000-00003C930000}"/>
    <cellStyle name="Percent 3 10 5 2" xfId="30727" xr:uid="{00000000-0005-0000-0000-00003D930000}"/>
    <cellStyle name="Percent 3 10 6" xfId="16959" xr:uid="{00000000-0005-0000-0000-00003E930000}"/>
    <cellStyle name="Percent 3 10 6 2" xfId="36879" xr:uid="{00000000-0005-0000-0000-00003F930000}"/>
    <cellStyle name="Percent 3 10 7" xfId="4231" xr:uid="{00000000-0005-0000-0000-000040930000}"/>
    <cellStyle name="Percent 3 10 7 2" xfId="24574" xr:uid="{00000000-0005-0000-0000-000041930000}"/>
    <cellStyle name="Percent 3 11" xfId="242" xr:uid="{00000000-0005-0000-0000-000042930000}"/>
    <cellStyle name="Percent 3 11 2" xfId="5273" xr:uid="{00000000-0005-0000-0000-000043930000}"/>
    <cellStyle name="Percent 3 11 2 2" xfId="6898" xr:uid="{00000000-0005-0000-0000-000044930000}"/>
    <cellStyle name="Percent 3 11 2 2 2" xfId="9984" xr:uid="{00000000-0005-0000-0000-000045930000}"/>
    <cellStyle name="Percent 3 11 2 2 2 2" xfId="16177" xr:uid="{00000000-0005-0000-0000-000046930000}"/>
    <cellStyle name="Percent 3 11 2 2 2 2 2" xfId="36097" xr:uid="{00000000-0005-0000-0000-000047930000}"/>
    <cellStyle name="Percent 3 11 2 2 2 3" xfId="22329" xr:uid="{00000000-0005-0000-0000-000048930000}"/>
    <cellStyle name="Percent 3 11 2 2 2 3 2" xfId="42249" xr:uid="{00000000-0005-0000-0000-000049930000}"/>
    <cellStyle name="Percent 3 11 2 2 2 4" xfId="29944" xr:uid="{00000000-0005-0000-0000-00004A930000}"/>
    <cellStyle name="Percent 3 11 2 2 3" xfId="13111" xr:uid="{00000000-0005-0000-0000-00004B930000}"/>
    <cellStyle name="Percent 3 11 2 2 3 2" xfId="33031" xr:uid="{00000000-0005-0000-0000-00004C930000}"/>
    <cellStyle name="Percent 3 11 2 2 4" xfId="19263" xr:uid="{00000000-0005-0000-0000-00004D930000}"/>
    <cellStyle name="Percent 3 11 2 2 4 2" xfId="39183" xr:uid="{00000000-0005-0000-0000-00004E930000}"/>
    <cellStyle name="Percent 3 11 2 2 5" xfId="26878" xr:uid="{00000000-0005-0000-0000-00004F930000}"/>
    <cellStyle name="Percent 3 11 2 3" xfId="8449" xr:uid="{00000000-0005-0000-0000-000050930000}"/>
    <cellStyle name="Percent 3 11 2 3 2" xfId="14643" xr:uid="{00000000-0005-0000-0000-000051930000}"/>
    <cellStyle name="Percent 3 11 2 3 2 2" xfId="34563" xr:uid="{00000000-0005-0000-0000-000052930000}"/>
    <cellStyle name="Percent 3 11 2 3 3" xfId="20795" xr:uid="{00000000-0005-0000-0000-000053930000}"/>
    <cellStyle name="Percent 3 11 2 3 3 2" xfId="40715" xr:uid="{00000000-0005-0000-0000-000054930000}"/>
    <cellStyle name="Percent 3 11 2 3 4" xfId="28410" xr:uid="{00000000-0005-0000-0000-000055930000}"/>
    <cellStyle name="Percent 3 11 2 4" xfId="11577" xr:uid="{00000000-0005-0000-0000-000056930000}"/>
    <cellStyle name="Percent 3 11 2 4 2" xfId="31497" xr:uid="{00000000-0005-0000-0000-000057930000}"/>
    <cellStyle name="Percent 3 11 2 5" xfId="17729" xr:uid="{00000000-0005-0000-0000-000058930000}"/>
    <cellStyle name="Percent 3 11 2 5 2" xfId="37649" xr:uid="{00000000-0005-0000-0000-000059930000}"/>
    <cellStyle name="Percent 3 11 2 6" xfId="25344" xr:uid="{00000000-0005-0000-0000-00005A930000}"/>
    <cellStyle name="Percent 3 11 3" xfId="6123" xr:uid="{00000000-0005-0000-0000-00005B930000}"/>
    <cellStyle name="Percent 3 11 3 2" xfId="9215" xr:uid="{00000000-0005-0000-0000-00005C930000}"/>
    <cellStyle name="Percent 3 11 3 2 2" xfId="15408" xr:uid="{00000000-0005-0000-0000-00005D930000}"/>
    <cellStyle name="Percent 3 11 3 2 2 2" xfId="35328" xr:uid="{00000000-0005-0000-0000-00005E930000}"/>
    <cellStyle name="Percent 3 11 3 2 3" xfId="21560" xr:uid="{00000000-0005-0000-0000-00005F930000}"/>
    <cellStyle name="Percent 3 11 3 2 3 2" xfId="41480" xr:uid="{00000000-0005-0000-0000-000060930000}"/>
    <cellStyle name="Percent 3 11 3 2 4" xfId="29175" xr:uid="{00000000-0005-0000-0000-000061930000}"/>
    <cellStyle name="Percent 3 11 3 3" xfId="12342" xr:uid="{00000000-0005-0000-0000-000062930000}"/>
    <cellStyle name="Percent 3 11 3 3 2" xfId="32262" xr:uid="{00000000-0005-0000-0000-000063930000}"/>
    <cellStyle name="Percent 3 11 3 4" xfId="18494" xr:uid="{00000000-0005-0000-0000-000064930000}"/>
    <cellStyle name="Percent 3 11 3 4 2" xfId="38414" xr:uid="{00000000-0005-0000-0000-000065930000}"/>
    <cellStyle name="Percent 3 11 3 5" xfId="26109" xr:uid="{00000000-0005-0000-0000-000066930000}"/>
    <cellStyle name="Percent 3 11 4" xfId="7680" xr:uid="{00000000-0005-0000-0000-000067930000}"/>
    <cellStyle name="Percent 3 11 4 2" xfId="13874" xr:uid="{00000000-0005-0000-0000-000068930000}"/>
    <cellStyle name="Percent 3 11 4 2 2" xfId="33794" xr:uid="{00000000-0005-0000-0000-000069930000}"/>
    <cellStyle name="Percent 3 11 4 3" xfId="20026" xr:uid="{00000000-0005-0000-0000-00006A930000}"/>
    <cellStyle name="Percent 3 11 4 3 2" xfId="39946" xr:uid="{00000000-0005-0000-0000-00006B930000}"/>
    <cellStyle name="Percent 3 11 4 4" xfId="27641" xr:uid="{00000000-0005-0000-0000-00006C930000}"/>
    <cellStyle name="Percent 3 11 5" xfId="10808" xr:uid="{00000000-0005-0000-0000-00006D930000}"/>
    <cellStyle name="Percent 3 11 5 2" xfId="30728" xr:uid="{00000000-0005-0000-0000-00006E930000}"/>
    <cellStyle name="Percent 3 11 6" xfId="16960" xr:uid="{00000000-0005-0000-0000-00006F930000}"/>
    <cellStyle name="Percent 3 11 6 2" xfId="36880" xr:uid="{00000000-0005-0000-0000-000070930000}"/>
    <cellStyle name="Percent 3 11 7" xfId="4232" xr:uid="{00000000-0005-0000-0000-000071930000}"/>
    <cellStyle name="Percent 3 11 7 2" xfId="24575" xr:uid="{00000000-0005-0000-0000-000072930000}"/>
    <cellStyle name="Percent 3 12" xfId="257" xr:uid="{00000000-0005-0000-0000-000073930000}"/>
    <cellStyle name="Percent 3 12 2" xfId="5274" xr:uid="{00000000-0005-0000-0000-000074930000}"/>
    <cellStyle name="Percent 3 12 2 2" xfId="6899" xr:uid="{00000000-0005-0000-0000-000075930000}"/>
    <cellStyle name="Percent 3 12 2 2 2" xfId="9985" xr:uid="{00000000-0005-0000-0000-000076930000}"/>
    <cellStyle name="Percent 3 12 2 2 2 2" xfId="16178" xr:uid="{00000000-0005-0000-0000-000077930000}"/>
    <cellStyle name="Percent 3 12 2 2 2 2 2" xfId="36098" xr:uid="{00000000-0005-0000-0000-000078930000}"/>
    <cellStyle name="Percent 3 12 2 2 2 3" xfId="22330" xr:uid="{00000000-0005-0000-0000-000079930000}"/>
    <cellStyle name="Percent 3 12 2 2 2 3 2" xfId="42250" xr:uid="{00000000-0005-0000-0000-00007A930000}"/>
    <cellStyle name="Percent 3 12 2 2 2 4" xfId="29945" xr:uid="{00000000-0005-0000-0000-00007B930000}"/>
    <cellStyle name="Percent 3 12 2 2 3" xfId="13112" xr:uid="{00000000-0005-0000-0000-00007C930000}"/>
    <cellStyle name="Percent 3 12 2 2 3 2" xfId="33032" xr:uid="{00000000-0005-0000-0000-00007D930000}"/>
    <cellStyle name="Percent 3 12 2 2 4" xfId="19264" xr:uid="{00000000-0005-0000-0000-00007E930000}"/>
    <cellStyle name="Percent 3 12 2 2 4 2" xfId="39184" xr:uid="{00000000-0005-0000-0000-00007F930000}"/>
    <cellStyle name="Percent 3 12 2 2 5" xfId="26879" xr:uid="{00000000-0005-0000-0000-000080930000}"/>
    <cellStyle name="Percent 3 12 2 3" xfId="8450" xr:uid="{00000000-0005-0000-0000-000081930000}"/>
    <cellStyle name="Percent 3 12 2 3 2" xfId="14644" xr:uid="{00000000-0005-0000-0000-000082930000}"/>
    <cellStyle name="Percent 3 12 2 3 2 2" xfId="34564" xr:uid="{00000000-0005-0000-0000-000083930000}"/>
    <cellStyle name="Percent 3 12 2 3 3" xfId="20796" xr:uid="{00000000-0005-0000-0000-000084930000}"/>
    <cellStyle name="Percent 3 12 2 3 3 2" xfId="40716" xr:uid="{00000000-0005-0000-0000-000085930000}"/>
    <cellStyle name="Percent 3 12 2 3 4" xfId="28411" xr:uid="{00000000-0005-0000-0000-000086930000}"/>
    <cellStyle name="Percent 3 12 2 4" xfId="11578" xr:uid="{00000000-0005-0000-0000-000087930000}"/>
    <cellStyle name="Percent 3 12 2 4 2" xfId="31498" xr:uid="{00000000-0005-0000-0000-000088930000}"/>
    <cellStyle name="Percent 3 12 2 5" xfId="17730" xr:uid="{00000000-0005-0000-0000-000089930000}"/>
    <cellStyle name="Percent 3 12 2 5 2" xfId="37650" xr:uid="{00000000-0005-0000-0000-00008A930000}"/>
    <cellStyle name="Percent 3 12 2 6" xfId="25345" xr:uid="{00000000-0005-0000-0000-00008B930000}"/>
    <cellStyle name="Percent 3 12 3" xfId="6124" xr:uid="{00000000-0005-0000-0000-00008C930000}"/>
    <cellStyle name="Percent 3 12 3 2" xfId="9216" xr:uid="{00000000-0005-0000-0000-00008D930000}"/>
    <cellStyle name="Percent 3 12 3 2 2" xfId="15409" xr:uid="{00000000-0005-0000-0000-00008E930000}"/>
    <cellStyle name="Percent 3 12 3 2 2 2" xfId="35329" xr:uid="{00000000-0005-0000-0000-00008F930000}"/>
    <cellStyle name="Percent 3 12 3 2 3" xfId="21561" xr:uid="{00000000-0005-0000-0000-000090930000}"/>
    <cellStyle name="Percent 3 12 3 2 3 2" xfId="41481" xr:uid="{00000000-0005-0000-0000-000091930000}"/>
    <cellStyle name="Percent 3 12 3 2 4" xfId="29176" xr:uid="{00000000-0005-0000-0000-000092930000}"/>
    <cellStyle name="Percent 3 12 3 3" xfId="12343" xr:uid="{00000000-0005-0000-0000-000093930000}"/>
    <cellStyle name="Percent 3 12 3 3 2" xfId="32263" xr:uid="{00000000-0005-0000-0000-000094930000}"/>
    <cellStyle name="Percent 3 12 3 4" xfId="18495" xr:uid="{00000000-0005-0000-0000-000095930000}"/>
    <cellStyle name="Percent 3 12 3 4 2" xfId="38415" xr:uid="{00000000-0005-0000-0000-000096930000}"/>
    <cellStyle name="Percent 3 12 3 5" xfId="26110" xr:uid="{00000000-0005-0000-0000-000097930000}"/>
    <cellStyle name="Percent 3 12 4" xfId="7681" xr:uid="{00000000-0005-0000-0000-000098930000}"/>
    <cellStyle name="Percent 3 12 4 2" xfId="13875" xr:uid="{00000000-0005-0000-0000-000099930000}"/>
    <cellStyle name="Percent 3 12 4 2 2" xfId="33795" xr:uid="{00000000-0005-0000-0000-00009A930000}"/>
    <cellStyle name="Percent 3 12 4 3" xfId="20027" xr:uid="{00000000-0005-0000-0000-00009B930000}"/>
    <cellStyle name="Percent 3 12 4 3 2" xfId="39947" xr:uid="{00000000-0005-0000-0000-00009C930000}"/>
    <cellStyle name="Percent 3 12 4 4" xfId="27642" xr:uid="{00000000-0005-0000-0000-00009D930000}"/>
    <cellStyle name="Percent 3 12 5" xfId="10809" xr:uid="{00000000-0005-0000-0000-00009E930000}"/>
    <cellStyle name="Percent 3 12 5 2" xfId="30729" xr:uid="{00000000-0005-0000-0000-00009F930000}"/>
    <cellStyle name="Percent 3 12 6" xfId="16961" xr:uid="{00000000-0005-0000-0000-0000A0930000}"/>
    <cellStyle name="Percent 3 12 6 2" xfId="36881" xr:uid="{00000000-0005-0000-0000-0000A1930000}"/>
    <cellStyle name="Percent 3 12 7" xfId="4233" xr:uid="{00000000-0005-0000-0000-0000A2930000}"/>
    <cellStyle name="Percent 3 12 7 2" xfId="24576" xr:uid="{00000000-0005-0000-0000-0000A3930000}"/>
    <cellStyle name="Percent 3 13" xfId="273" xr:uid="{00000000-0005-0000-0000-0000A4930000}"/>
    <cellStyle name="Percent 3 13 2" xfId="5275" xr:uid="{00000000-0005-0000-0000-0000A5930000}"/>
    <cellStyle name="Percent 3 13 2 2" xfId="6900" xr:uid="{00000000-0005-0000-0000-0000A6930000}"/>
    <cellStyle name="Percent 3 13 2 2 2" xfId="9986" xr:uid="{00000000-0005-0000-0000-0000A7930000}"/>
    <cellStyle name="Percent 3 13 2 2 2 2" xfId="16179" xr:uid="{00000000-0005-0000-0000-0000A8930000}"/>
    <cellStyle name="Percent 3 13 2 2 2 2 2" xfId="36099" xr:uid="{00000000-0005-0000-0000-0000A9930000}"/>
    <cellStyle name="Percent 3 13 2 2 2 3" xfId="22331" xr:uid="{00000000-0005-0000-0000-0000AA930000}"/>
    <cellStyle name="Percent 3 13 2 2 2 3 2" xfId="42251" xr:uid="{00000000-0005-0000-0000-0000AB930000}"/>
    <cellStyle name="Percent 3 13 2 2 2 4" xfId="29946" xr:uid="{00000000-0005-0000-0000-0000AC930000}"/>
    <cellStyle name="Percent 3 13 2 2 3" xfId="13113" xr:uid="{00000000-0005-0000-0000-0000AD930000}"/>
    <cellStyle name="Percent 3 13 2 2 3 2" xfId="33033" xr:uid="{00000000-0005-0000-0000-0000AE930000}"/>
    <cellStyle name="Percent 3 13 2 2 4" xfId="19265" xr:uid="{00000000-0005-0000-0000-0000AF930000}"/>
    <cellStyle name="Percent 3 13 2 2 4 2" xfId="39185" xr:uid="{00000000-0005-0000-0000-0000B0930000}"/>
    <cellStyle name="Percent 3 13 2 2 5" xfId="26880" xr:uid="{00000000-0005-0000-0000-0000B1930000}"/>
    <cellStyle name="Percent 3 13 2 3" xfId="8451" xr:uid="{00000000-0005-0000-0000-0000B2930000}"/>
    <cellStyle name="Percent 3 13 2 3 2" xfId="14645" xr:uid="{00000000-0005-0000-0000-0000B3930000}"/>
    <cellStyle name="Percent 3 13 2 3 2 2" xfId="34565" xr:uid="{00000000-0005-0000-0000-0000B4930000}"/>
    <cellStyle name="Percent 3 13 2 3 3" xfId="20797" xr:uid="{00000000-0005-0000-0000-0000B5930000}"/>
    <cellStyle name="Percent 3 13 2 3 3 2" xfId="40717" xr:uid="{00000000-0005-0000-0000-0000B6930000}"/>
    <cellStyle name="Percent 3 13 2 3 4" xfId="28412" xr:uid="{00000000-0005-0000-0000-0000B7930000}"/>
    <cellStyle name="Percent 3 13 2 4" xfId="11579" xr:uid="{00000000-0005-0000-0000-0000B8930000}"/>
    <cellStyle name="Percent 3 13 2 4 2" xfId="31499" xr:uid="{00000000-0005-0000-0000-0000B9930000}"/>
    <cellStyle name="Percent 3 13 2 5" xfId="17731" xr:uid="{00000000-0005-0000-0000-0000BA930000}"/>
    <cellStyle name="Percent 3 13 2 5 2" xfId="37651" xr:uid="{00000000-0005-0000-0000-0000BB930000}"/>
    <cellStyle name="Percent 3 13 2 6" xfId="25346" xr:uid="{00000000-0005-0000-0000-0000BC930000}"/>
    <cellStyle name="Percent 3 13 3" xfId="6125" xr:uid="{00000000-0005-0000-0000-0000BD930000}"/>
    <cellStyle name="Percent 3 13 3 2" xfId="9217" xr:uid="{00000000-0005-0000-0000-0000BE930000}"/>
    <cellStyle name="Percent 3 13 3 2 2" xfId="15410" xr:uid="{00000000-0005-0000-0000-0000BF930000}"/>
    <cellStyle name="Percent 3 13 3 2 2 2" xfId="35330" xr:uid="{00000000-0005-0000-0000-0000C0930000}"/>
    <cellStyle name="Percent 3 13 3 2 3" xfId="21562" xr:uid="{00000000-0005-0000-0000-0000C1930000}"/>
    <cellStyle name="Percent 3 13 3 2 3 2" xfId="41482" xr:uid="{00000000-0005-0000-0000-0000C2930000}"/>
    <cellStyle name="Percent 3 13 3 2 4" xfId="29177" xr:uid="{00000000-0005-0000-0000-0000C3930000}"/>
    <cellStyle name="Percent 3 13 3 3" xfId="12344" xr:uid="{00000000-0005-0000-0000-0000C4930000}"/>
    <cellStyle name="Percent 3 13 3 3 2" xfId="32264" xr:uid="{00000000-0005-0000-0000-0000C5930000}"/>
    <cellStyle name="Percent 3 13 3 4" xfId="18496" xr:uid="{00000000-0005-0000-0000-0000C6930000}"/>
    <cellStyle name="Percent 3 13 3 4 2" xfId="38416" xr:uid="{00000000-0005-0000-0000-0000C7930000}"/>
    <cellStyle name="Percent 3 13 3 5" xfId="26111" xr:uid="{00000000-0005-0000-0000-0000C8930000}"/>
    <cellStyle name="Percent 3 13 4" xfId="7682" xr:uid="{00000000-0005-0000-0000-0000C9930000}"/>
    <cellStyle name="Percent 3 13 4 2" xfId="13876" xr:uid="{00000000-0005-0000-0000-0000CA930000}"/>
    <cellStyle name="Percent 3 13 4 2 2" xfId="33796" xr:uid="{00000000-0005-0000-0000-0000CB930000}"/>
    <cellStyle name="Percent 3 13 4 3" xfId="20028" xr:uid="{00000000-0005-0000-0000-0000CC930000}"/>
    <cellStyle name="Percent 3 13 4 3 2" xfId="39948" xr:uid="{00000000-0005-0000-0000-0000CD930000}"/>
    <cellStyle name="Percent 3 13 4 4" xfId="27643" xr:uid="{00000000-0005-0000-0000-0000CE930000}"/>
    <cellStyle name="Percent 3 13 5" xfId="10810" xr:uid="{00000000-0005-0000-0000-0000CF930000}"/>
    <cellStyle name="Percent 3 13 5 2" xfId="30730" xr:uid="{00000000-0005-0000-0000-0000D0930000}"/>
    <cellStyle name="Percent 3 13 6" xfId="16962" xr:uid="{00000000-0005-0000-0000-0000D1930000}"/>
    <cellStyle name="Percent 3 13 6 2" xfId="36882" xr:uid="{00000000-0005-0000-0000-0000D2930000}"/>
    <cellStyle name="Percent 3 13 7" xfId="4234" xr:uid="{00000000-0005-0000-0000-0000D3930000}"/>
    <cellStyle name="Percent 3 13 7 2" xfId="24577" xr:uid="{00000000-0005-0000-0000-0000D4930000}"/>
    <cellStyle name="Percent 3 14" xfId="286" xr:uid="{00000000-0005-0000-0000-0000D5930000}"/>
    <cellStyle name="Percent 3 14 2" xfId="5276" xr:uid="{00000000-0005-0000-0000-0000D6930000}"/>
    <cellStyle name="Percent 3 14 2 2" xfId="6901" xr:uid="{00000000-0005-0000-0000-0000D7930000}"/>
    <cellStyle name="Percent 3 14 2 2 2" xfId="9987" xr:uid="{00000000-0005-0000-0000-0000D8930000}"/>
    <cellStyle name="Percent 3 14 2 2 2 2" xfId="16180" xr:uid="{00000000-0005-0000-0000-0000D9930000}"/>
    <cellStyle name="Percent 3 14 2 2 2 2 2" xfId="36100" xr:uid="{00000000-0005-0000-0000-0000DA930000}"/>
    <cellStyle name="Percent 3 14 2 2 2 3" xfId="22332" xr:uid="{00000000-0005-0000-0000-0000DB930000}"/>
    <cellStyle name="Percent 3 14 2 2 2 3 2" xfId="42252" xr:uid="{00000000-0005-0000-0000-0000DC930000}"/>
    <cellStyle name="Percent 3 14 2 2 2 4" xfId="29947" xr:uid="{00000000-0005-0000-0000-0000DD930000}"/>
    <cellStyle name="Percent 3 14 2 2 3" xfId="13114" xr:uid="{00000000-0005-0000-0000-0000DE930000}"/>
    <cellStyle name="Percent 3 14 2 2 3 2" xfId="33034" xr:uid="{00000000-0005-0000-0000-0000DF930000}"/>
    <cellStyle name="Percent 3 14 2 2 4" xfId="19266" xr:uid="{00000000-0005-0000-0000-0000E0930000}"/>
    <cellStyle name="Percent 3 14 2 2 4 2" xfId="39186" xr:uid="{00000000-0005-0000-0000-0000E1930000}"/>
    <cellStyle name="Percent 3 14 2 2 5" xfId="26881" xr:uid="{00000000-0005-0000-0000-0000E2930000}"/>
    <cellStyle name="Percent 3 14 2 3" xfId="8452" xr:uid="{00000000-0005-0000-0000-0000E3930000}"/>
    <cellStyle name="Percent 3 14 2 3 2" xfId="14646" xr:uid="{00000000-0005-0000-0000-0000E4930000}"/>
    <cellStyle name="Percent 3 14 2 3 2 2" xfId="34566" xr:uid="{00000000-0005-0000-0000-0000E5930000}"/>
    <cellStyle name="Percent 3 14 2 3 3" xfId="20798" xr:uid="{00000000-0005-0000-0000-0000E6930000}"/>
    <cellStyle name="Percent 3 14 2 3 3 2" xfId="40718" xr:uid="{00000000-0005-0000-0000-0000E7930000}"/>
    <cellStyle name="Percent 3 14 2 3 4" xfId="28413" xr:uid="{00000000-0005-0000-0000-0000E8930000}"/>
    <cellStyle name="Percent 3 14 2 4" xfId="11580" xr:uid="{00000000-0005-0000-0000-0000E9930000}"/>
    <cellStyle name="Percent 3 14 2 4 2" xfId="31500" xr:uid="{00000000-0005-0000-0000-0000EA930000}"/>
    <cellStyle name="Percent 3 14 2 5" xfId="17732" xr:uid="{00000000-0005-0000-0000-0000EB930000}"/>
    <cellStyle name="Percent 3 14 2 5 2" xfId="37652" xr:uid="{00000000-0005-0000-0000-0000EC930000}"/>
    <cellStyle name="Percent 3 14 2 6" xfId="25347" xr:uid="{00000000-0005-0000-0000-0000ED930000}"/>
    <cellStyle name="Percent 3 14 3" xfId="6126" xr:uid="{00000000-0005-0000-0000-0000EE930000}"/>
    <cellStyle name="Percent 3 14 3 2" xfId="9218" xr:uid="{00000000-0005-0000-0000-0000EF930000}"/>
    <cellStyle name="Percent 3 14 3 2 2" xfId="15411" xr:uid="{00000000-0005-0000-0000-0000F0930000}"/>
    <cellStyle name="Percent 3 14 3 2 2 2" xfId="35331" xr:uid="{00000000-0005-0000-0000-0000F1930000}"/>
    <cellStyle name="Percent 3 14 3 2 3" xfId="21563" xr:uid="{00000000-0005-0000-0000-0000F2930000}"/>
    <cellStyle name="Percent 3 14 3 2 3 2" xfId="41483" xr:uid="{00000000-0005-0000-0000-0000F3930000}"/>
    <cellStyle name="Percent 3 14 3 2 4" xfId="29178" xr:uid="{00000000-0005-0000-0000-0000F4930000}"/>
    <cellStyle name="Percent 3 14 3 3" xfId="12345" xr:uid="{00000000-0005-0000-0000-0000F5930000}"/>
    <cellStyle name="Percent 3 14 3 3 2" xfId="32265" xr:uid="{00000000-0005-0000-0000-0000F6930000}"/>
    <cellStyle name="Percent 3 14 3 4" xfId="18497" xr:uid="{00000000-0005-0000-0000-0000F7930000}"/>
    <cellStyle name="Percent 3 14 3 4 2" xfId="38417" xr:uid="{00000000-0005-0000-0000-0000F8930000}"/>
    <cellStyle name="Percent 3 14 3 5" xfId="26112" xr:uid="{00000000-0005-0000-0000-0000F9930000}"/>
    <cellStyle name="Percent 3 14 4" xfId="7683" xr:uid="{00000000-0005-0000-0000-0000FA930000}"/>
    <cellStyle name="Percent 3 14 4 2" xfId="13877" xr:uid="{00000000-0005-0000-0000-0000FB930000}"/>
    <cellStyle name="Percent 3 14 4 2 2" xfId="33797" xr:uid="{00000000-0005-0000-0000-0000FC930000}"/>
    <cellStyle name="Percent 3 14 4 3" xfId="20029" xr:uid="{00000000-0005-0000-0000-0000FD930000}"/>
    <cellStyle name="Percent 3 14 4 3 2" xfId="39949" xr:uid="{00000000-0005-0000-0000-0000FE930000}"/>
    <cellStyle name="Percent 3 14 4 4" xfId="27644" xr:uid="{00000000-0005-0000-0000-0000FF930000}"/>
    <cellStyle name="Percent 3 14 5" xfId="10811" xr:uid="{00000000-0005-0000-0000-000000940000}"/>
    <cellStyle name="Percent 3 14 5 2" xfId="30731" xr:uid="{00000000-0005-0000-0000-000001940000}"/>
    <cellStyle name="Percent 3 14 6" xfId="16963" xr:uid="{00000000-0005-0000-0000-000002940000}"/>
    <cellStyle name="Percent 3 14 6 2" xfId="36883" xr:uid="{00000000-0005-0000-0000-000003940000}"/>
    <cellStyle name="Percent 3 14 7" xfId="4235" xr:uid="{00000000-0005-0000-0000-000004940000}"/>
    <cellStyle name="Percent 3 14 7 2" xfId="24578" xr:uid="{00000000-0005-0000-0000-000005940000}"/>
    <cellStyle name="Percent 3 15" xfId="264" xr:uid="{00000000-0005-0000-0000-000006940000}"/>
    <cellStyle name="Percent 3 15 2" xfId="5277" xr:uid="{00000000-0005-0000-0000-000007940000}"/>
    <cellStyle name="Percent 3 15 2 2" xfId="6902" xr:uid="{00000000-0005-0000-0000-000008940000}"/>
    <cellStyle name="Percent 3 15 2 2 2" xfId="9988" xr:uid="{00000000-0005-0000-0000-000009940000}"/>
    <cellStyle name="Percent 3 15 2 2 2 2" xfId="16181" xr:uid="{00000000-0005-0000-0000-00000A940000}"/>
    <cellStyle name="Percent 3 15 2 2 2 2 2" xfId="36101" xr:uid="{00000000-0005-0000-0000-00000B940000}"/>
    <cellStyle name="Percent 3 15 2 2 2 3" xfId="22333" xr:uid="{00000000-0005-0000-0000-00000C940000}"/>
    <cellStyle name="Percent 3 15 2 2 2 3 2" xfId="42253" xr:uid="{00000000-0005-0000-0000-00000D940000}"/>
    <cellStyle name="Percent 3 15 2 2 2 4" xfId="29948" xr:uid="{00000000-0005-0000-0000-00000E940000}"/>
    <cellStyle name="Percent 3 15 2 2 3" xfId="13115" xr:uid="{00000000-0005-0000-0000-00000F940000}"/>
    <cellStyle name="Percent 3 15 2 2 3 2" xfId="33035" xr:uid="{00000000-0005-0000-0000-000010940000}"/>
    <cellStyle name="Percent 3 15 2 2 4" xfId="19267" xr:uid="{00000000-0005-0000-0000-000011940000}"/>
    <cellStyle name="Percent 3 15 2 2 4 2" xfId="39187" xr:uid="{00000000-0005-0000-0000-000012940000}"/>
    <cellStyle name="Percent 3 15 2 2 5" xfId="26882" xr:uid="{00000000-0005-0000-0000-000013940000}"/>
    <cellStyle name="Percent 3 15 2 3" xfId="8453" xr:uid="{00000000-0005-0000-0000-000014940000}"/>
    <cellStyle name="Percent 3 15 2 3 2" xfId="14647" xr:uid="{00000000-0005-0000-0000-000015940000}"/>
    <cellStyle name="Percent 3 15 2 3 2 2" xfId="34567" xr:uid="{00000000-0005-0000-0000-000016940000}"/>
    <cellStyle name="Percent 3 15 2 3 3" xfId="20799" xr:uid="{00000000-0005-0000-0000-000017940000}"/>
    <cellStyle name="Percent 3 15 2 3 3 2" xfId="40719" xr:uid="{00000000-0005-0000-0000-000018940000}"/>
    <cellStyle name="Percent 3 15 2 3 4" xfId="28414" xr:uid="{00000000-0005-0000-0000-000019940000}"/>
    <cellStyle name="Percent 3 15 2 4" xfId="11581" xr:uid="{00000000-0005-0000-0000-00001A940000}"/>
    <cellStyle name="Percent 3 15 2 4 2" xfId="31501" xr:uid="{00000000-0005-0000-0000-00001B940000}"/>
    <cellStyle name="Percent 3 15 2 5" xfId="17733" xr:uid="{00000000-0005-0000-0000-00001C940000}"/>
    <cellStyle name="Percent 3 15 2 5 2" xfId="37653" xr:uid="{00000000-0005-0000-0000-00001D940000}"/>
    <cellStyle name="Percent 3 15 2 6" xfId="25348" xr:uid="{00000000-0005-0000-0000-00001E940000}"/>
    <cellStyle name="Percent 3 15 3" xfId="6127" xr:uid="{00000000-0005-0000-0000-00001F940000}"/>
    <cellStyle name="Percent 3 15 3 2" xfId="9219" xr:uid="{00000000-0005-0000-0000-000020940000}"/>
    <cellStyle name="Percent 3 15 3 2 2" xfId="15412" xr:uid="{00000000-0005-0000-0000-000021940000}"/>
    <cellStyle name="Percent 3 15 3 2 2 2" xfId="35332" xr:uid="{00000000-0005-0000-0000-000022940000}"/>
    <cellStyle name="Percent 3 15 3 2 3" xfId="21564" xr:uid="{00000000-0005-0000-0000-000023940000}"/>
    <cellStyle name="Percent 3 15 3 2 3 2" xfId="41484" xr:uid="{00000000-0005-0000-0000-000024940000}"/>
    <cellStyle name="Percent 3 15 3 2 4" xfId="29179" xr:uid="{00000000-0005-0000-0000-000025940000}"/>
    <cellStyle name="Percent 3 15 3 3" xfId="12346" xr:uid="{00000000-0005-0000-0000-000026940000}"/>
    <cellStyle name="Percent 3 15 3 3 2" xfId="32266" xr:uid="{00000000-0005-0000-0000-000027940000}"/>
    <cellStyle name="Percent 3 15 3 4" xfId="18498" xr:uid="{00000000-0005-0000-0000-000028940000}"/>
    <cellStyle name="Percent 3 15 3 4 2" xfId="38418" xr:uid="{00000000-0005-0000-0000-000029940000}"/>
    <cellStyle name="Percent 3 15 3 5" xfId="26113" xr:uid="{00000000-0005-0000-0000-00002A940000}"/>
    <cellStyle name="Percent 3 15 4" xfId="7684" xr:uid="{00000000-0005-0000-0000-00002B940000}"/>
    <cellStyle name="Percent 3 15 4 2" xfId="13878" xr:uid="{00000000-0005-0000-0000-00002C940000}"/>
    <cellStyle name="Percent 3 15 4 2 2" xfId="33798" xr:uid="{00000000-0005-0000-0000-00002D940000}"/>
    <cellStyle name="Percent 3 15 4 3" xfId="20030" xr:uid="{00000000-0005-0000-0000-00002E940000}"/>
    <cellStyle name="Percent 3 15 4 3 2" xfId="39950" xr:uid="{00000000-0005-0000-0000-00002F940000}"/>
    <cellStyle name="Percent 3 15 4 4" xfId="27645" xr:uid="{00000000-0005-0000-0000-000030940000}"/>
    <cellStyle name="Percent 3 15 5" xfId="10812" xr:uid="{00000000-0005-0000-0000-000031940000}"/>
    <cellStyle name="Percent 3 15 5 2" xfId="30732" xr:uid="{00000000-0005-0000-0000-000032940000}"/>
    <cellStyle name="Percent 3 15 6" xfId="16964" xr:uid="{00000000-0005-0000-0000-000033940000}"/>
    <cellStyle name="Percent 3 15 6 2" xfId="36884" xr:uid="{00000000-0005-0000-0000-000034940000}"/>
    <cellStyle name="Percent 3 15 7" xfId="4236" xr:uid="{00000000-0005-0000-0000-000035940000}"/>
    <cellStyle name="Percent 3 15 7 2" xfId="24579" xr:uid="{00000000-0005-0000-0000-000036940000}"/>
    <cellStyle name="Percent 3 16" xfId="334" xr:uid="{00000000-0005-0000-0000-000037940000}"/>
    <cellStyle name="Percent 3 16 2" xfId="5278" xr:uid="{00000000-0005-0000-0000-000038940000}"/>
    <cellStyle name="Percent 3 16 2 2" xfId="6903" xr:uid="{00000000-0005-0000-0000-000039940000}"/>
    <cellStyle name="Percent 3 16 2 2 2" xfId="9989" xr:uid="{00000000-0005-0000-0000-00003A940000}"/>
    <cellStyle name="Percent 3 16 2 2 2 2" xfId="16182" xr:uid="{00000000-0005-0000-0000-00003B940000}"/>
    <cellStyle name="Percent 3 16 2 2 2 2 2" xfId="36102" xr:uid="{00000000-0005-0000-0000-00003C940000}"/>
    <cellStyle name="Percent 3 16 2 2 2 3" xfId="22334" xr:uid="{00000000-0005-0000-0000-00003D940000}"/>
    <cellStyle name="Percent 3 16 2 2 2 3 2" xfId="42254" xr:uid="{00000000-0005-0000-0000-00003E940000}"/>
    <cellStyle name="Percent 3 16 2 2 2 4" xfId="29949" xr:uid="{00000000-0005-0000-0000-00003F940000}"/>
    <cellStyle name="Percent 3 16 2 2 3" xfId="13116" xr:uid="{00000000-0005-0000-0000-000040940000}"/>
    <cellStyle name="Percent 3 16 2 2 3 2" xfId="33036" xr:uid="{00000000-0005-0000-0000-000041940000}"/>
    <cellStyle name="Percent 3 16 2 2 4" xfId="19268" xr:uid="{00000000-0005-0000-0000-000042940000}"/>
    <cellStyle name="Percent 3 16 2 2 4 2" xfId="39188" xr:uid="{00000000-0005-0000-0000-000043940000}"/>
    <cellStyle name="Percent 3 16 2 2 5" xfId="26883" xr:uid="{00000000-0005-0000-0000-000044940000}"/>
    <cellStyle name="Percent 3 16 2 3" xfId="8454" xr:uid="{00000000-0005-0000-0000-000045940000}"/>
    <cellStyle name="Percent 3 16 2 3 2" xfId="14648" xr:uid="{00000000-0005-0000-0000-000046940000}"/>
    <cellStyle name="Percent 3 16 2 3 2 2" xfId="34568" xr:uid="{00000000-0005-0000-0000-000047940000}"/>
    <cellStyle name="Percent 3 16 2 3 3" xfId="20800" xr:uid="{00000000-0005-0000-0000-000048940000}"/>
    <cellStyle name="Percent 3 16 2 3 3 2" xfId="40720" xr:uid="{00000000-0005-0000-0000-000049940000}"/>
    <cellStyle name="Percent 3 16 2 3 4" xfId="28415" xr:uid="{00000000-0005-0000-0000-00004A940000}"/>
    <cellStyle name="Percent 3 16 2 4" xfId="11582" xr:uid="{00000000-0005-0000-0000-00004B940000}"/>
    <cellStyle name="Percent 3 16 2 4 2" xfId="31502" xr:uid="{00000000-0005-0000-0000-00004C940000}"/>
    <cellStyle name="Percent 3 16 2 5" xfId="17734" xr:uid="{00000000-0005-0000-0000-00004D940000}"/>
    <cellStyle name="Percent 3 16 2 5 2" xfId="37654" xr:uid="{00000000-0005-0000-0000-00004E940000}"/>
    <cellStyle name="Percent 3 16 2 6" xfId="25349" xr:uid="{00000000-0005-0000-0000-00004F940000}"/>
    <cellStyle name="Percent 3 16 3" xfId="6128" xr:uid="{00000000-0005-0000-0000-000050940000}"/>
    <cellStyle name="Percent 3 16 3 2" xfId="9220" xr:uid="{00000000-0005-0000-0000-000051940000}"/>
    <cellStyle name="Percent 3 16 3 2 2" xfId="15413" xr:uid="{00000000-0005-0000-0000-000052940000}"/>
    <cellStyle name="Percent 3 16 3 2 2 2" xfId="35333" xr:uid="{00000000-0005-0000-0000-000053940000}"/>
    <cellStyle name="Percent 3 16 3 2 3" xfId="21565" xr:uid="{00000000-0005-0000-0000-000054940000}"/>
    <cellStyle name="Percent 3 16 3 2 3 2" xfId="41485" xr:uid="{00000000-0005-0000-0000-000055940000}"/>
    <cellStyle name="Percent 3 16 3 2 4" xfId="29180" xr:uid="{00000000-0005-0000-0000-000056940000}"/>
    <cellStyle name="Percent 3 16 3 3" xfId="12347" xr:uid="{00000000-0005-0000-0000-000057940000}"/>
    <cellStyle name="Percent 3 16 3 3 2" xfId="32267" xr:uid="{00000000-0005-0000-0000-000058940000}"/>
    <cellStyle name="Percent 3 16 3 4" xfId="18499" xr:uid="{00000000-0005-0000-0000-000059940000}"/>
    <cellStyle name="Percent 3 16 3 4 2" xfId="38419" xr:uid="{00000000-0005-0000-0000-00005A940000}"/>
    <cellStyle name="Percent 3 16 3 5" xfId="26114" xr:uid="{00000000-0005-0000-0000-00005B940000}"/>
    <cellStyle name="Percent 3 16 4" xfId="7685" xr:uid="{00000000-0005-0000-0000-00005C940000}"/>
    <cellStyle name="Percent 3 16 4 2" xfId="13879" xr:uid="{00000000-0005-0000-0000-00005D940000}"/>
    <cellStyle name="Percent 3 16 4 2 2" xfId="33799" xr:uid="{00000000-0005-0000-0000-00005E940000}"/>
    <cellStyle name="Percent 3 16 4 3" xfId="20031" xr:uid="{00000000-0005-0000-0000-00005F940000}"/>
    <cellStyle name="Percent 3 16 4 3 2" xfId="39951" xr:uid="{00000000-0005-0000-0000-000060940000}"/>
    <cellStyle name="Percent 3 16 4 4" xfId="27646" xr:uid="{00000000-0005-0000-0000-000061940000}"/>
    <cellStyle name="Percent 3 16 5" xfId="10813" xr:uid="{00000000-0005-0000-0000-000062940000}"/>
    <cellStyle name="Percent 3 16 5 2" xfId="30733" xr:uid="{00000000-0005-0000-0000-000063940000}"/>
    <cellStyle name="Percent 3 16 6" xfId="16965" xr:uid="{00000000-0005-0000-0000-000064940000}"/>
    <cellStyle name="Percent 3 16 6 2" xfId="36885" xr:uid="{00000000-0005-0000-0000-000065940000}"/>
    <cellStyle name="Percent 3 16 7" xfId="4237" xr:uid="{00000000-0005-0000-0000-000066940000}"/>
    <cellStyle name="Percent 3 16 7 2" xfId="24580" xr:uid="{00000000-0005-0000-0000-000067940000}"/>
    <cellStyle name="Percent 3 17" xfId="347" xr:uid="{00000000-0005-0000-0000-000068940000}"/>
    <cellStyle name="Percent 3 17 2" xfId="5279" xr:uid="{00000000-0005-0000-0000-000069940000}"/>
    <cellStyle name="Percent 3 17 2 2" xfId="6904" xr:uid="{00000000-0005-0000-0000-00006A940000}"/>
    <cellStyle name="Percent 3 17 2 2 2" xfId="9990" xr:uid="{00000000-0005-0000-0000-00006B940000}"/>
    <cellStyle name="Percent 3 17 2 2 2 2" xfId="16183" xr:uid="{00000000-0005-0000-0000-00006C940000}"/>
    <cellStyle name="Percent 3 17 2 2 2 2 2" xfId="36103" xr:uid="{00000000-0005-0000-0000-00006D940000}"/>
    <cellStyle name="Percent 3 17 2 2 2 3" xfId="22335" xr:uid="{00000000-0005-0000-0000-00006E940000}"/>
    <cellStyle name="Percent 3 17 2 2 2 3 2" xfId="42255" xr:uid="{00000000-0005-0000-0000-00006F940000}"/>
    <cellStyle name="Percent 3 17 2 2 2 4" xfId="29950" xr:uid="{00000000-0005-0000-0000-000070940000}"/>
    <cellStyle name="Percent 3 17 2 2 3" xfId="13117" xr:uid="{00000000-0005-0000-0000-000071940000}"/>
    <cellStyle name="Percent 3 17 2 2 3 2" xfId="33037" xr:uid="{00000000-0005-0000-0000-000072940000}"/>
    <cellStyle name="Percent 3 17 2 2 4" xfId="19269" xr:uid="{00000000-0005-0000-0000-000073940000}"/>
    <cellStyle name="Percent 3 17 2 2 4 2" xfId="39189" xr:uid="{00000000-0005-0000-0000-000074940000}"/>
    <cellStyle name="Percent 3 17 2 2 5" xfId="26884" xr:uid="{00000000-0005-0000-0000-000075940000}"/>
    <cellStyle name="Percent 3 17 2 3" xfId="8455" xr:uid="{00000000-0005-0000-0000-000076940000}"/>
    <cellStyle name="Percent 3 17 2 3 2" xfId="14649" xr:uid="{00000000-0005-0000-0000-000077940000}"/>
    <cellStyle name="Percent 3 17 2 3 2 2" xfId="34569" xr:uid="{00000000-0005-0000-0000-000078940000}"/>
    <cellStyle name="Percent 3 17 2 3 3" xfId="20801" xr:uid="{00000000-0005-0000-0000-000079940000}"/>
    <cellStyle name="Percent 3 17 2 3 3 2" xfId="40721" xr:uid="{00000000-0005-0000-0000-00007A940000}"/>
    <cellStyle name="Percent 3 17 2 3 4" xfId="28416" xr:uid="{00000000-0005-0000-0000-00007B940000}"/>
    <cellStyle name="Percent 3 17 2 4" xfId="11583" xr:uid="{00000000-0005-0000-0000-00007C940000}"/>
    <cellStyle name="Percent 3 17 2 4 2" xfId="31503" xr:uid="{00000000-0005-0000-0000-00007D940000}"/>
    <cellStyle name="Percent 3 17 2 5" xfId="17735" xr:uid="{00000000-0005-0000-0000-00007E940000}"/>
    <cellStyle name="Percent 3 17 2 5 2" xfId="37655" xr:uid="{00000000-0005-0000-0000-00007F940000}"/>
    <cellStyle name="Percent 3 17 2 6" xfId="25350" xr:uid="{00000000-0005-0000-0000-000080940000}"/>
    <cellStyle name="Percent 3 17 3" xfId="6129" xr:uid="{00000000-0005-0000-0000-000081940000}"/>
    <cellStyle name="Percent 3 17 3 2" xfId="9221" xr:uid="{00000000-0005-0000-0000-000082940000}"/>
    <cellStyle name="Percent 3 17 3 2 2" xfId="15414" xr:uid="{00000000-0005-0000-0000-000083940000}"/>
    <cellStyle name="Percent 3 17 3 2 2 2" xfId="35334" xr:uid="{00000000-0005-0000-0000-000084940000}"/>
    <cellStyle name="Percent 3 17 3 2 3" xfId="21566" xr:uid="{00000000-0005-0000-0000-000085940000}"/>
    <cellStyle name="Percent 3 17 3 2 3 2" xfId="41486" xr:uid="{00000000-0005-0000-0000-000086940000}"/>
    <cellStyle name="Percent 3 17 3 2 4" xfId="29181" xr:uid="{00000000-0005-0000-0000-000087940000}"/>
    <cellStyle name="Percent 3 17 3 3" xfId="12348" xr:uid="{00000000-0005-0000-0000-000088940000}"/>
    <cellStyle name="Percent 3 17 3 3 2" xfId="32268" xr:uid="{00000000-0005-0000-0000-000089940000}"/>
    <cellStyle name="Percent 3 17 3 4" xfId="18500" xr:uid="{00000000-0005-0000-0000-00008A940000}"/>
    <cellStyle name="Percent 3 17 3 4 2" xfId="38420" xr:uid="{00000000-0005-0000-0000-00008B940000}"/>
    <cellStyle name="Percent 3 17 3 5" xfId="26115" xr:uid="{00000000-0005-0000-0000-00008C940000}"/>
    <cellStyle name="Percent 3 17 4" xfId="7686" xr:uid="{00000000-0005-0000-0000-00008D940000}"/>
    <cellStyle name="Percent 3 17 4 2" xfId="13880" xr:uid="{00000000-0005-0000-0000-00008E940000}"/>
    <cellStyle name="Percent 3 17 4 2 2" xfId="33800" xr:uid="{00000000-0005-0000-0000-00008F940000}"/>
    <cellStyle name="Percent 3 17 4 3" xfId="20032" xr:uid="{00000000-0005-0000-0000-000090940000}"/>
    <cellStyle name="Percent 3 17 4 3 2" xfId="39952" xr:uid="{00000000-0005-0000-0000-000091940000}"/>
    <cellStyle name="Percent 3 17 4 4" xfId="27647" xr:uid="{00000000-0005-0000-0000-000092940000}"/>
    <cellStyle name="Percent 3 17 5" xfId="10814" xr:uid="{00000000-0005-0000-0000-000093940000}"/>
    <cellStyle name="Percent 3 17 5 2" xfId="30734" xr:uid="{00000000-0005-0000-0000-000094940000}"/>
    <cellStyle name="Percent 3 17 6" xfId="16966" xr:uid="{00000000-0005-0000-0000-000095940000}"/>
    <cellStyle name="Percent 3 17 6 2" xfId="36886" xr:uid="{00000000-0005-0000-0000-000096940000}"/>
    <cellStyle name="Percent 3 17 7" xfId="4238" xr:uid="{00000000-0005-0000-0000-000097940000}"/>
    <cellStyle name="Percent 3 17 7 2" xfId="24581" xr:uid="{00000000-0005-0000-0000-000098940000}"/>
    <cellStyle name="Percent 3 18" xfId="380" xr:uid="{00000000-0005-0000-0000-000099940000}"/>
    <cellStyle name="Percent 3 18 2" xfId="5280" xr:uid="{00000000-0005-0000-0000-00009A940000}"/>
    <cellStyle name="Percent 3 18 2 2" xfId="6905" xr:uid="{00000000-0005-0000-0000-00009B940000}"/>
    <cellStyle name="Percent 3 18 2 2 2" xfId="9991" xr:uid="{00000000-0005-0000-0000-00009C940000}"/>
    <cellStyle name="Percent 3 18 2 2 2 2" xfId="16184" xr:uid="{00000000-0005-0000-0000-00009D940000}"/>
    <cellStyle name="Percent 3 18 2 2 2 2 2" xfId="36104" xr:uid="{00000000-0005-0000-0000-00009E940000}"/>
    <cellStyle name="Percent 3 18 2 2 2 3" xfId="22336" xr:uid="{00000000-0005-0000-0000-00009F940000}"/>
    <cellStyle name="Percent 3 18 2 2 2 3 2" xfId="42256" xr:uid="{00000000-0005-0000-0000-0000A0940000}"/>
    <cellStyle name="Percent 3 18 2 2 2 4" xfId="29951" xr:uid="{00000000-0005-0000-0000-0000A1940000}"/>
    <cellStyle name="Percent 3 18 2 2 3" xfId="13118" xr:uid="{00000000-0005-0000-0000-0000A2940000}"/>
    <cellStyle name="Percent 3 18 2 2 3 2" xfId="33038" xr:uid="{00000000-0005-0000-0000-0000A3940000}"/>
    <cellStyle name="Percent 3 18 2 2 4" xfId="19270" xr:uid="{00000000-0005-0000-0000-0000A4940000}"/>
    <cellStyle name="Percent 3 18 2 2 4 2" xfId="39190" xr:uid="{00000000-0005-0000-0000-0000A5940000}"/>
    <cellStyle name="Percent 3 18 2 2 5" xfId="26885" xr:uid="{00000000-0005-0000-0000-0000A6940000}"/>
    <cellStyle name="Percent 3 18 2 3" xfId="8456" xr:uid="{00000000-0005-0000-0000-0000A7940000}"/>
    <cellStyle name="Percent 3 18 2 3 2" xfId="14650" xr:uid="{00000000-0005-0000-0000-0000A8940000}"/>
    <cellStyle name="Percent 3 18 2 3 2 2" xfId="34570" xr:uid="{00000000-0005-0000-0000-0000A9940000}"/>
    <cellStyle name="Percent 3 18 2 3 3" xfId="20802" xr:uid="{00000000-0005-0000-0000-0000AA940000}"/>
    <cellStyle name="Percent 3 18 2 3 3 2" xfId="40722" xr:uid="{00000000-0005-0000-0000-0000AB940000}"/>
    <cellStyle name="Percent 3 18 2 3 4" xfId="28417" xr:uid="{00000000-0005-0000-0000-0000AC940000}"/>
    <cellStyle name="Percent 3 18 2 4" xfId="11584" xr:uid="{00000000-0005-0000-0000-0000AD940000}"/>
    <cellStyle name="Percent 3 18 2 4 2" xfId="31504" xr:uid="{00000000-0005-0000-0000-0000AE940000}"/>
    <cellStyle name="Percent 3 18 2 5" xfId="17736" xr:uid="{00000000-0005-0000-0000-0000AF940000}"/>
    <cellStyle name="Percent 3 18 2 5 2" xfId="37656" xr:uid="{00000000-0005-0000-0000-0000B0940000}"/>
    <cellStyle name="Percent 3 18 2 6" xfId="25351" xr:uid="{00000000-0005-0000-0000-0000B1940000}"/>
    <cellStyle name="Percent 3 18 3" xfId="6130" xr:uid="{00000000-0005-0000-0000-0000B2940000}"/>
    <cellStyle name="Percent 3 18 3 2" xfId="9222" xr:uid="{00000000-0005-0000-0000-0000B3940000}"/>
    <cellStyle name="Percent 3 18 3 2 2" xfId="15415" xr:uid="{00000000-0005-0000-0000-0000B4940000}"/>
    <cellStyle name="Percent 3 18 3 2 2 2" xfId="35335" xr:uid="{00000000-0005-0000-0000-0000B5940000}"/>
    <cellStyle name="Percent 3 18 3 2 3" xfId="21567" xr:uid="{00000000-0005-0000-0000-0000B6940000}"/>
    <cellStyle name="Percent 3 18 3 2 3 2" xfId="41487" xr:uid="{00000000-0005-0000-0000-0000B7940000}"/>
    <cellStyle name="Percent 3 18 3 2 4" xfId="29182" xr:uid="{00000000-0005-0000-0000-0000B8940000}"/>
    <cellStyle name="Percent 3 18 3 3" xfId="12349" xr:uid="{00000000-0005-0000-0000-0000B9940000}"/>
    <cellStyle name="Percent 3 18 3 3 2" xfId="32269" xr:uid="{00000000-0005-0000-0000-0000BA940000}"/>
    <cellStyle name="Percent 3 18 3 4" xfId="18501" xr:uid="{00000000-0005-0000-0000-0000BB940000}"/>
    <cellStyle name="Percent 3 18 3 4 2" xfId="38421" xr:uid="{00000000-0005-0000-0000-0000BC940000}"/>
    <cellStyle name="Percent 3 18 3 5" xfId="26116" xr:uid="{00000000-0005-0000-0000-0000BD940000}"/>
    <cellStyle name="Percent 3 18 4" xfId="7687" xr:uid="{00000000-0005-0000-0000-0000BE940000}"/>
    <cellStyle name="Percent 3 18 4 2" xfId="13881" xr:uid="{00000000-0005-0000-0000-0000BF940000}"/>
    <cellStyle name="Percent 3 18 4 2 2" xfId="33801" xr:uid="{00000000-0005-0000-0000-0000C0940000}"/>
    <cellStyle name="Percent 3 18 4 3" xfId="20033" xr:uid="{00000000-0005-0000-0000-0000C1940000}"/>
    <cellStyle name="Percent 3 18 4 3 2" xfId="39953" xr:uid="{00000000-0005-0000-0000-0000C2940000}"/>
    <cellStyle name="Percent 3 18 4 4" xfId="27648" xr:uid="{00000000-0005-0000-0000-0000C3940000}"/>
    <cellStyle name="Percent 3 18 5" xfId="10815" xr:uid="{00000000-0005-0000-0000-0000C4940000}"/>
    <cellStyle name="Percent 3 18 5 2" xfId="30735" xr:uid="{00000000-0005-0000-0000-0000C5940000}"/>
    <cellStyle name="Percent 3 18 6" xfId="16967" xr:uid="{00000000-0005-0000-0000-0000C6940000}"/>
    <cellStyle name="Percent 3 18 6 2" xfId="36887" xr:uid="{00000000-0005-0000-0000-0000C7940000}"/>
    <cellStyle name="Percent 3 18 7" xfId="4239" xr:uid="{00000000-0005-0000-0000-0000C8940000}"/>
    <cellStyle name="Percent 3 18 7 2" xfId="24582" xr:uid="{00000000-0005-0000-0000-0000C9940000}"/>
    <cellStyle name="Percent 3 19" xfId="396" xr:uid="{00000000-0005-0000-0000-0000CA940000}"/>
    <cellStyle name="Percent 3 19 2" xfId="5281" xr:uid="{00000000-0005-0000-0000-0000CB940000}"/>
    <cellStyle name="Percent 3 19 2 2" xfId="6906" xr:uid="{00000000-0005-0000-0000-0000CC940000}"/>
    <cellStyle name="Percent 3 19 2 2 2" xfId="9992" xr:uid="{00000000-0005-0000-0000-0000CD940000}"/>
    <cellStyle name="Percent 3 19 2 2 2 2" xfId="16185" xr:uid="{00000000-0005-0000-0000-0000CE940000}"/>
    <cellStyle name="Percent 3 19 2 2 2 2 2" xfId="36105" xr:uid="{00000000-0005-0000-0000-0000CF940000}"/>
    <cellStyle name="Percent 3 19 2 2 2 3" xfId="22337" xr:uid="{00000000-0005-0000-0000-0000D0940000}"/>
    <cellStyle name="Percent 3 19 2 2 2 3 2" xfId="42257" xr:uid="{00000000-0005-0000-0000-0000D1940000}"/>
    <cellStyle name="Percent 3 19 2 2 2 4" xfId="29952" xr:uid="{00000000-0005-0000-0000-0000D2940000}"/>
    <cellStyle name="Percent 3 19 2 2 3" xfId="13119" xr:uid="{00000000-0005-0000-0000-0000D3940000}"/>
    <cellStyle name="Percent 3 19 2 2 3 2" xfId="33039" xr:uid="{00000000-0005-0000-0000-0000D4940000}"/>
    <cellStyle name="Percent 3 19 2 2 4" xfId="19271" xr:uid="{00000000-0005-0000-0000-0000D5940000}"/>
    <cellStyle name="Percent 3 19 2 2 4 2" xfId="39191" xr:uid="{00000000-0005-0000-0000-0000D6940000}"/>
    <cellStyle name="Percent 3 19 2 2 5" xfId="26886" xr:uid="{00000000-0005-0000-0000-0000D7940000}"/>
    <cellStyle name="Percent 3 19 2 3" xfId="8457" xr:uid="{00000000-0005-0000-0000-0000D8940000}"/>
    <cellStyle name="Percent 3 19 2 3 2" xfId="14651" xr:uid="{00000000-0005-0000-0000-0000D9940000}"/>
    <cellStyle name="Percent 3 19 2 3 2 2" xfId="34571" xr:uid="{00000000-0005-0000-0000-0000DA940000}"/>
    <cellStyle name="Percent 3 19 2 3 3" xfId="20803" xr:uid="{00000000-0005-0000-0000-0000DB940000}"/>
    <cellStyle name="Percent 3 19 2 3 3 2" xfId="40723" xr:uid="{00000000-0005-0000-0000-0000DC940000}"/>
    <cellStyle name="Percent 3 19 2 3 4" xfId="28418" xr:uid="{00000000-0005-0000-0000-0000DD940000}"/>
    <cellStyle name="Percent 3 19 2 4" xfId="11585" xr:uid="{00000000-0005-0000-0000-0000DE940000}"/>
    <cellStyle name="Percent 3 19 2 4 2" xfId="31505" xr:uid="{00000000-0005-0000-0000-0000DF940000}"/>
    <cellStyle name="Percent 3 19 2 5" xfId="17737" xr:uid="{00000000-0005-0000-0000-0000E0940000}"/>
    <cellStyle name="Percent 3 19 2 5 2" xfId="37657" xr:uid="{00000000-0005-0000-0000-0000E1940000}"/>
    <cellStyle name="Percent 3 19 2 6" xfId="25352" xr:uid="{00000000-0005-0000-0000-0000E2940000}"/>
    <cellStyle name="Percent 3 19 3" xfId="6131" xr:uid="{00000000-0005-0000-0000-0000E3940000}"/>
    <cellStyle name="Percent 3 19 3 2" xfId="9223" xr:uid="{00000000-0005-0000-0000-0000E4940000}"/>
    <cellStyle name="Percent 3 19 3 2 2" xfId="15416" xr:uid="{00000000-0005-0000-0000-0000E5940000}"/>
    <cellStyle name="Percent 3 19 3 2 2 2" xfId="35336" xr:uid="{00000000-0005-0000-0000-0000E6940000}"/>
    <cellStyle name="Percent 3 19 3 2 3" xfId="21568" xr:uid="{00000000-0005-0000-0000-0000E7940000}"/>
    <cellStyle name="Percent 3 19 3 2 3 2" xfId="41488" xr:uid="{00000000-0005-0000-0000-0000E8940000}"/>
    <cellStyle name="Percent 3 19 3 2 4" xfId="29183" xr:uid="{00000000-0005-0000-0000-0000E9940000}"/>
    <cellStyle name="Percent 3 19 3 3" xfId="12350" xr:uid="{00000000-0005-0000-0000-0000EA940000}"/>
    <cellStyle name="Percent 3 19 3 3 2" xfId="32270" xr:uid="{00000000-0005-0000-0000-0000EB940000}"/>
    <cellStyle name="Percent 3 19 3 4" xfId="18502" xr:uid="{00000000-0005-0000-0000-0000EC940000}"/>
    <cellStyle name="Percent 3 19 3 4 2" xfId="38422" xr:uid="{00000000-0005-0000-0000-0000ED940000}"/>
    <cellStyle name="Percent 3 19 3 5" xfId="26117" xr:uid="{00000000-0005-0000-0000-0000EE940000}"/>
    <cellStyle name="Percent 3 19 4" xfId="7688" xr:uid="{00000000-0005-0000-0000-0000EF940000}"/>
    <cellStyle name="Percent 3 19 4 2" xfId="13882" xr:uid="{00000000-0005-0000-0000-0000F0940000}"/>
    <cellStyle name="Percent 3 19 4 2 2" xfId="33802" xr:uid="{00000000-0005-0000-0000-0000F1940000}"/>
    <cellStyle name="Percent 3 19 4 3" xfId="20034" xr:uid="{00000000-0005-0000-0000-0000F2940000}"/>
    <cellStyle name="Percent 3 19 4 3 2" xfId="39954" xr:uid="{00000000-0005-0000-0000-0000F3940000}"/>
    <cellStyle name="Percent 3 19 4 4" xfId="27649" xr:uid="{00000000-0005-0000-0000-0000F4940000}"/>
    <cellStyle name="Percent 3 19 5" xfId="10816" xr:uid="{00000000-0005-0000-0000-0000F5940000}"/>
    <cellStyle name="Percent 3 19 5 2" xfId="30736" xr:uid="{00000000-0005-0000-0000-0000F6940000}"/>
    <cellStyle name="Percent 3 19 6" xfId="16968" xr:uid="{00000000-0005-0000-0000-0000F7940000}"/>
    <cellStyle name="Percent 3 19 6 2" xfId="36888" xr:uid="{00000000-0005-0000-0000-0000F8940000}"/>
    <cellStyle name="Percent 3 19 7" xfId="4240" xr:uid="{00000000-0005-0000-0000-0000F9940000}"/>
    <cellStyle name="Percent 3 19 7 2" xfId="24583" xr:uid="{00000000-0005-0000-0000-0000FA940000}"/>
    <cellStyle name="Percent 3 2" xfId="33" xr:uid="{00000000-0005-0000-0000-0000FB940000}"/>
    <cellStyle name="Percent 3 2 10" xfId="4242" xr:uid="{00000000-0005-0000-0000-0000FC940000}"/>
    <cellStyle name="Percent 3 2 10 2" xfId="5283" xr:uid="{00000000-0005-0000-0000-0000FD940000}"/>
    <cellStyle name="Percent 3 2 10 2 2" xfId="6908" xr:uid="{00000000-0005-0000-0000-0000FE940000}"/>
    <cellStyle name="Percent 3 2 10 2 2 2" xfId="9994" xr:uid="{00000000-0005-0000-0000-0000FF940000}"/>
    <cellStyle name="Percent 3 2 10 2 2 2 2" xfId="16187" xr:uid="{00000000-0005-0000-0000-000000950000}"/>
    <cellStyle name="Percent 3 2 10 2 2 2 2 2" xfId="36107" xr:uid="{00000000-0005-0000-0000-000001950000}"/>
    <cellStyle name="Percent 3 2 10 2 2 2 3" xfId="22339" xr:uid="{00000000-0005-0000-0000-000002950000}"/>
    <cellStyle name="Percent 3 2 10 2 2 2 3 2" xfId="42259" xr:uid="{00000000-0005-0000-0000-000003950000}"/>
    <cellStyle name="Percent 3 2 10 2 2 2 4" xfId="29954" xr:uid="{00000000-0005-0000-0000-000004950000}"/>
    <cellStyle name="Percent 3 2 10 2 2 3" xfId="13121" xr:uid="{00000000-0005-0000-0000-000005950000}"/>
    <cellStyle name="Percent 3 2 10 2 2 3 2" xfId="33041" xr:uid="{00000000-0005-0000-0000-000006950000}"/>
    <cellStyle name="Percent 3 2 10 2 2 4" xfId="19273" xr:uid="{00000000-0005-0000-0000-000007950000}"/>
    <cellStyle name="Percent 3 2 10 2 2 4 2" xfId="39193" xr:uid="{00000000-0005-0000-0000-000008950000}"/>
    <cellStyle name="Percent 3 2 10 2 2 5" xfId="26888" xr:uid="{00000000-0005-0000-0000-000009950000}"/>
    <cellStyle name="Percent 3 2 10 2 3" xfId="8459" xr:uid="{00000000-0005-0000-0000-00000A950000}"/>
    <cellStyle name="Percent 3 2 10 2 3 2" xfId="14653" xr:uid="{00000000-0005-0000-0000-00000B950000}"/>
    <cellStyle name="Percent 3 2 10 2 3 2 2" xfId="34573" xr:uid="{00000000-0005-0000-0000-00000C950000}"/>
    <cellStyle name="Percent 3 2 10 2 3 3" xfId="20805" xr:uid="{00000000-0005-0000-0000-00000D950000}"/>
    <cellStyle name="Percent 3 2 10 2 3 3 2" xfId="40725" xr:uid="{00000000-0005-0000-0000-00000E950000}"/>
    <cellStyle name="Percent 3 2 10 2 3 4" xfId="28420" xr:uid="{00000000-0005-0000-0000-00000F950000}"/>
    <cellStyle name="Percent 3 2 10 2 4" xfId="11587" xr:uid="{00000000-0005-0000-0000-000010950000}"/>
    <cellStyle name="Percent 3 2 10 2 4 2" xfId="31507" xr:uid="{00000000-0005-0000-0000-000011950000}"/>
    <cellStyle name="Percent 3 2 10 2 5" xfId="17739" xr:uid="{00000000-0005-0000-0000-000012950000}"/>
    <cellStyle name="Percent 3 2 10 2 5 2" xfId="37659" xr:uid="{00000000-0005-0000-0000-000013950000}"/>
    <cellStyle name="Percent 3 2 10 2 6" xfId="25354" xr:uid="{00000000-0005-0000-0000-000014950000}"/>
    <cellStyle name="Percent 3 2 10 3" xfId="6133" xr:uid="{00000000-0005-0000-0000-000015950000}"/>
    <cellStyle name="Percent 3 2 10 3 2" xfId="9225" xr:uid="{00000000-0005-0000-0000-000016950000}"/>
    <cellStyle name="Percent 3 2 10 3 2 2" xfId="15418" xr:uid="{00000000-0005-0000-0000-000017950000}"/>
    <cellStyle name="Percent 3 2 10 3 2 2 2" xfId="35338" xr:uid="{00000000-0005-0000-0000-000018950000}"/>
    <cellStyle name="Percent 3 2 10 3 2 3" xfId="21570" xr:uid="{00000000-0005-0000-0000-000019950000}"/>
    <cellStyle name="Percent 3 2 10 3 2 3 2" xfId="41490" xr:uid="{00000000-0005-0000-0000-00001A950000}"/>
    <cellStyle name="Percent 3 2 10 3 2 4" xfId="29185" xr:uid="{00000000-0005-0000-0000-00001B950000}"/>
    <cellStyle name="Percent 3 2 10 3 3" xfId="12352" xr:uid="{00000000-0005-0000-0000-00001C950000}"/>
    <cellStyle name="Percent 3 2 10 3 3 2" xfId="32272" xr:uid="{00000000-0005-0000-0000-00001D950000}"/>
    <cellStyle name="Percent 3 2 10 3 4" xfId="18504" xr:uid="{00000000-0005-0000-0000-00001E950000}"/>
    <cellStyle name="Percent 3 2 10 3 4 2" xfId="38424" xr:uid="{00000000-0005-0000-0000-00001F950000}"/>
    <cellStyle name="Percent 3 2 10 3 5" xfId="26119" xr:uid="{00000000-0005-0000-0000-000020950000}"/>
    <cellStyle name="Percent 3 2 10 4" xfId="7690" xr:uid="{00000000-0005-0000-0000-000021950000}"/>
    <cellStyle name="Percent 3 2 10 4 2" xfId="13884" xr:uid="{00000000-0005-0000-0000-000022950000}"/>
    <cellStyle name="Percent 3 2 10 4 2 2" xfId="33804" xr:uid="{00000000-0005-0000-0000-000023950000}"/>
    <cellStyle name="Percent 3 2 10 4 3" xfId="20036" xr:uid="{00000000-0005-0000-0000-000024950000}"/>
    <cellStyle name="Percent 3 2 10 4 3 2" xfId="39956" xr:uid="{00000000-0005-0000-0000-000025950000}"/>
    <cellStyle name="Percent 3 2 10 4 4" xfId="27651" xr:uid="{00000000-0005-0000-0000-000026950000}"/>
    <cellStyle name="Percent 3 2 10 5" xfId="10818" xr:uid="{00000000-0005-0000-0000-000027950000}"/>
    <cellStyle name="Percent 3 2 10 5 2" xfId="30738" xr:uid="{00000000-0005-0000-0000-000028950000}"/>
    <cellStyle name="Percent 3 2 10 6" xfId="16970" xr:uid="{00000000-0005-0000-0000-000029950000}"/>
    <cellStyle name="Percent 3 2 10 6 2" xfId="36890" xr:uid="{00000000-0005-0000-0000-00002A950000}"/>
    <cellStyle name="Percent 3 2 10 7" xfId="24585" xr:uid="{00000000-0005-0000-0000-00002B950000}"/>
    <cellStyle name="Percent 3 2 11" xfId="4243" xr:uid="{00000000-0005-0000-0000-00002C950000}"/>
    <cellStyle name="Percent 3 2 11 2" xfId="5284" xr:uid="{00000000-0005-0000-0000-00002D950000}"/>
    <cellStyle name="Percent 3 2 11 2 2" xfId="6909" xr:uid="{00000000-0005-0000-0000-00002E950000}"/>
    <cellStyle name="Percent 3 2 11 2 2 2" xfId="9995" xr:uid="{00000000-0005-0000-0000-00002F950000}"/>
    <cellStyle name="Percent 3 2 11 2 2 2 2" xfId="16188" xr:uid="{00000000-0005-0000-0000-000030950000}"/>
    <cellStyle name="Percent 3 2 11 2 2 2 2 2" xfId="36108" xr:uid="{00000000-0005-0000-0000-000031950000}"/>
    <cellStyle name="Percent 3 2 11 2 2 2 3" xfId="22340" xr:uid="{00000000-0005-0000-0000-000032950000}"/>
    <cellStyle name="Percent 3 2 11 2 2 2 3 2" xfId="42260" xr:uid="{00000000-0005-0000-0000-000033950000}"/>
    <cellStyle name="Percent 3 2 11 2 2 2 4" xfId="29955" xr:uid="{00000000-0005-0000-0000-000034950000}"/>
    <cellStyle name="Percent 3 2 11 2 2 3" xfId="13122" xr:uid="{00000000-0005-0000-0000-000035950000}"/>
    <cellStyle name="Percent 3 2 11 2 2 3 2" xfId="33042" xr:uid="{00000000-0005-0000-0000-000036950000}"/>
    <cellStyle name="Percent 3 2 11 2 2 4" xfId="19274" xr:uid="{00000000-0005-0000-0000-000037950000}"/>
    <cellStyle name="Percent 3 2 11 2 2 4 2" xfId="39194" xr:uid="{00000000-0005-0000-0000-000038950000}"/>
    <cellStyle name="Percent 3 2 11 2 2 5" xfId="26889" xr:uid="{00000000-0005-0000-0000-000039950000}"/>
    <cellStyle name="Percent 3 2 11 2 3" xfId="8460" xr:uid="{00000000-0005-0000-0000-00003A950000}"/>
    <cellStyle name="Percent 3 2 11 2 3 2" xfId="14654" xr:uid="{00000000-0005-0000-0000-00003B950000}"/>
    <cellStyle name="Percent 3 2 11 2 3 2 2" xfId="34574" xr:uid="{00000000-0005-0000-0000-00003C950000}"/>
    <cellStyle name="Percent 3 2 11 2 3 3" xfId="20806" xr:uid="{00000000-0005-0000-0000-00003D950000}"/>
    <cellStyle name="Percent 3 2 11 2 3 3 2" xfId="40726" xr:uid="{00000000-0005-0000-0000-00003E950000}"/>
    <cellStyle name="Percent 3 2 11 2 3 4" xfId="28421" xr:uid="{00000000-0005-0000-0000-00003F950000}"/>
    <cellStyle name="Percent 3 2 11 2 4" xfId="11588" xr:uid="{00000000-0005-0000-0000-000040950000}"/>
    <cellStyle name="Percent 3 2 11 2 4 2" xfId="31508" xr:uid="{00000000-0005-0000-0000-000041950000}"/>
    <cellStyle name="Percent 3 2 11 2 5" xfId="17740" xr:uid="{00000000-0005-0000-0000-000042950000}"/>
    <cellStyle name="Percent 3 2 11 2 5 2" xfId="37660" xr:uid="{00000000-0005-0000-0000-000043950000}"/>
    <cellStyle name="Percent 3 2 11 2 6" xfId="25355" xr:uid="{00000000-0005-0000-0000-000044950000}"/>
    <cellStyle name="Percent 3 2 11 3" xfId="6134" xr:uid="{00000000-0005-0000-0000-000045950000}"/>
    <cellStyle name="Percent 3 2 11 3 2" xfId="9226" xr:uid="{00000000-0005-0000-0000-000046950000}"/>
    <cellStyle name="Percent 3 2 11 3 2 2" xfId="15419" xr:uid="{00000000-0005-0000-0000-000047950000}"/>
    <cellStyle name="Percent 3 2 11 3 2 2 2" xfId="35339" xr:uid="{00000000-0005-0000-0000-000048950000}"/>
    <cellStyle name="Percent 3 2 11 3 2 3" xfId="21571" xr:uid="{00000000-0005-0000-0000-000049950000}"/>
    <cellStyle name="Percent 3 2 11 3 2 3 2" xfId="41491" xr:uid="{00000000-0005-0000-0000-00004A950000}"/>
    <cellStyle name="Percent 3 2 11 3 2 4" xfId="29186" xr:uid="{00000000-0005-0000-0000-00004B950000}"/>
    <cellStyle name="Percent 3 2 11 3 3" xfId="12353" xr:uid="{00000000-0005-0000-0000-00004C950000}"/>
    <cellStyle name="Percent 3 2 11 3 3 2" xfId="32273" xr:uid="{00000000-0005-0000-0000-00004D950000}"/>
    <cellStyle name="Percent 3 2 11 3 4" xfId="18505" xr:uid="{00000000-0005-0000-0000-00004E950000}"/>
    <cellStyle name="Percent 3 2 11 3 4 2" xfId="38425" xr:uid="{00000000-0005-0000-0000-00004F950000}"/>
    <cellStyle name="Percent 3 2 11 3 5" xfId="26120" xr:uid="{00000000-0005-0000-0000-000050950000}"/>
    <cellStyle name="Percent 3 2 11 4" xfId="7691" xr:uid="{00000000-0005-0000-0000-000051950000}"/>
    <cellStyle name="Percent 3 2 11 4 2" xfId="13885" xr:uid="{00000000-0005-0000-0000-000052950000}"/>
    <cellStyle name="Percent 3 2 11 4 2 2" xfId="33805" xr:uid="{00000000-0005-0000-0000-000053950000}"/>
    <cellStyle name="Percent 3 2 11 4 3" xfId="20037" xr:uid="{00000000-0005-0000-0000-000054950000}"/>
    <cellStyle name="Percent 3 2 11 4 3 2" xfId="39957" xr:uid="{00000000-0005-0000-0000-000055950000}"/>
    <cellStyle name="Percent 3 2 11 4 4" xfId="27652" xr:uid="{00000000-0005-0000-0000-000056950000}"/>
    <cellStyle name="Percent 3 2 11 5" xfId="10819" xr:uid="{00000000-0005-0000-0000-000057950000}"/>
    <cellStyle name="Percent 3 2 11 5 2" xfId="30739" xr:uid="{00000000-0005-0000-0000-000058950000}"/>
    <cellStyle name="Percent 3 2 11 6" xfId="16971" xr:uid="{00000000-0005-0000-0000-000059950000}"/>
    <cellStyle name="Percent 3 2 11 6 2" xfId="36891" xr:uid="{00000000-0005-0000-0000-00005A950000}"/>
    <cellStyle name="Percent 3 2 11 7" xfId="24586" xr:uid="{00000000-0005-0000-0000-00005B950000}"/>
    <cellStyle name="Percent 3 2 12" xfId="4244" xr:uid="{00000000-0005-0000-0000-00005C950000}"/>
    <cellStyle name="Percent 3 2 12 2" xfId="5285" xr:uid="{00000000-0005-0000-0000-00005D950000}"/>
    <cellStyle name="Percent 3 2 12 2 2" xfId="6910" xr:uid="{00000000-0005-0000-0000-00005E950000}"/>
    <cellStyle name="Percent 3 2 12 2 2 2" xfId="9996" xr:uid="{00000000-0005-0000-0000-00005F950000}"/>
    <cellStyle name="Percent 3 2 12 2 2 2 2" xfId="16189" xr:uid="{00000000-0005-0000-0000-000060950000}"/>
    <cellStyle name="Percent 3 2 12 2 2 2 2 2" xfId="36109" xr:uid="{00000000-0005-0000-0000-000061950000}"/>
    <cellStyle name="Percent 3 2 12 2 2 2 3" xfId="22341" xr:uid="{00000000-0005-0000-0000-000062950000}"/>
    <cellStyle name="Percent 3 2 12 2 2 2 3 2" xfId="42261" xr:uid="{00000000-0005-0000-0000-000063950000}"/>
    <cellStyle name="Percent 3 2 12 2 2 2 4" xfId="29956" xr:uid="{00000000-0005-0000-0000-000064950000}"/>
    <cellStyle name="Percent 3 2 12 2 2 3" xfId="13123" xr:uid="{00000000-0005-0000-0000-000065950000}"/>
    <cellStyle name="Percent 3 2 12 2 2 3 2" xfId="33043" xr:uid="{00000000-0005-0000-0000-000066950000}"/>
    <cellStyle name="Percent 3 2 12 2 2 4" xfId="19275" xr:uid="{00000000-0005-0000-0000-000067950000}"/>
    <cellStyle name="Percent 3 2 12 2 2 4 2" xfId="39195" xr:uid="{00000000-0005-0000-0000-000068950000}"/>
    <cellStyle name="Percent 3 2 12 2 2 5" xfId="26890" xr:uid="{00000000-0005-0000-0000-000069950000}"/>
    <cellStyle name="Percent 3 2 12 2 3" xfId="8461" xr:uid="{00000000-0005-0000-0000-00006A950000}"/>
    <cellStyle name="Percent 3 2 12 2 3 2" xfId="14655" xr:uid="{00000000-0005-0000-0000-00006B950000}"/>
    <cellStyle name="Percent 3 2 12 2 3 2 2" xfId="34575" xr:uid="{00000000-0005-0000-0000-00006C950000}"/>
    <cellStyle name="Percent 3 2 12 2 3 3" xfId="20807" xr:uid="{00000000-0005-0000-0000-00006D950000}"/>
    <cellStyle name="Percent 3 2 12 2 3 3 2" xfId="40727" xr:uid="{00000000-0005-0000-0000-00006E950000}"/>
    <cellStyle name="Percent 3 2 12 2 3 4" xfId="28422" xr:uid="{00000000-0005-0000-0000-00006F950000}"/>
    <cellStyle name="Percent 3 2 12 2 4" xfId="11589" xr:uid="{00000000-0005-0000-0000-000070950000}"/>
    <cellStyle name="Percent 3 2 12 2 4 2" xfId="31509" xr:uid="{00000000-0005-0000-0000-000071950000}"/>
    <cellStyle name="Percent 3 2 12 2 5" xfId="17741" xr:uid="{00000000-0005-0000-0000-000072950000}"/>
    <cellStyle name="Percent 3 2 12 2 5 2" xfId="37661" xr:uid="{00000000-0005-0000-0000-000073950000}"/>
    <cellStyle name="Percent 3 2 12 2 6" xfId="25356" xr:uid="{00000000-0005-0000-0000-000074950000}"/>
    <cellStyle name="Percent 3 2 12 3" xfId="6135" xr:uid="{00000000-0005-0000-0000-000075950000}"/>
    <cellStyle name="Percent 3 2 12 3 2" xfId="9227" xr:uid="{00000000-0005-0000-0000-000076950000}"/>
    <cellStyle name="Percent 3 2 12 3 2 2" xfId="15420" xr:uid="{00000000-0005-0000-0000-000077950000}"/>
    <cellStyle name="Percent 3 2 12 3 2 2 2" xfId="35340" xr:uid="{00000000-0005-0000-0000-000078950000}"/>
    <cellStyle name="Percent 3 2 12 3 2 3" xfId="21572" xr:uid="{00000000-0005-0000-0000-000079950000}"/>
    <cellStyle name="Percent 3 2 12 3 2 3 2" xfId="41492" xr:uid="{00000000-0005-0000-0000-00007A950000}"/>
    <cellStyle name="Percent 3 2 12 3 2 4" xfId="29187" xr:uid="{00000000-0005-0000-0000-00007B950000}"/>
    <cellStyle name="Percent 3 2 12 3 3" xfId="12354" xr:uid="{00000000-0005-0000-0000-00007C950000}"/>
    <cellStyle name="Percent 3 2 12 3 3 2" xfId="32274" xr:uid="{00000000-0005-0000-0000-00007D950000}"/>
    <cellStyle name="Percent 3 2 12 3 4" xfId="18506" xr:uid="{00000000-0005-0000-0000-00007E950000}"/>
    <cellStyle name="Percent 3 2 12 3 4 2" xfId="38426" xr:uid="{00000000-0005-0000-0000-00007F950000}"/>
    <cellStyle name="Percent 3 2 12 3 5" xfId="26121" xr:uid="{00000000-0005-0000-0000-000080950000}"/>
    <cellStyle name="Percent 3 2 12 4" xfId="7692" xr:uid="{00000000-0005-0000-0000-000081950000}"/>
    <cellStyle name="Percent 3 2 12 4 2" xfId="13886" xr:uid="{00000000-0005-0000-0000-000082950000}"/>
    <cellStyle name="Percent 3 2 12 4 2 2" xfId="33806" xr:uid="{00000000-0005-0000-0000-000083950000}"/>
    <cellStyle name="Percent 3 2 12 4 3" xfId="20038" xr:uid="{00000000-0005-0000-0000-000084950000}"/>
    <cellStyle name="Percent 3 2 12 4 3 2" xfId="39958" xr:uid="{00000000-0005-0000-0000-000085950000}"/>
    <cellStyle name="Percent 3 2 12 4 4" xfId="27653" xr:uid="{00000000-0005-0000-0000-000086950000}"/>
    <cellStyle name="Percent 3 2 12 5" xfId="10820" xr:uid="{00000000-0005-0000-0000-000087950000}"/>
    <cellStyle name="Percent 3 2 12 5 2" xfId="30740" xr:uid="{00000000-0005-0000-0000-000088950000}"/>
    <cellStyle name="Percent 3 2 12 6" xfId="16972" xr:uid="{00000000-0005-0000-0000-000089950000}"/>
    <cellStyle name="Percent 3 2 12 6 2" xfId="36892" xr:uid="{00000000-0005-0000-0000-00008A950000}"/>
    <cellStyle name="Percent 3 2 12 7" xfId="24587" xr:uid="{00000000-0005-0000-0000-00008B950000}"/>
    <cellStyle name="Percent 3 2 13" xfId="4245" xr:uid="{00000000-0005-0000-0000-00008C950000}"/>
    <cellStyle name="Percent 3 2 13 2" xfId="5286" xr:uid="{00000000-0005-0000-0000-00008D950000}"/>
    <cellStyle name="Percent 3 2 13 2 2" xfId="6911" xr:uid="{00000000-0005-0000-0000-00008E950000}"/>
    <cellStyle name="Percent 3 2 13 2 2 2" xfId="9997" xr:uid="{00000000-0005-0000-0000-00008F950000}"/>
    <cellStyle name="Percent 3 2 13 2 2 2 2" xfId="16190" xr:uid="{00000000-0005-0000-0000-000090950000}"/>
    <cellStyle name="Percent 3 2 13 2 2 2 2 2" xfId="36110" xr:uid="{00000000-0005-0000-0000-000091950000}"/>
    <cellStyle name="Percent 3 2 13 2 2 2 3" xfId="22342" xr:uid="{00000000-0005-0000-0000-000092950000}"/>
    <cellStyle name="Percent 3 2 13 2 2 2 3 2" xfId="42262" xr:uid="{00000000-0005-0000-0000-000093950000}"/>
    <cellStyle name="Percent 3 2 13 2 2 2 4" xfId="29957" xr:uid="{00000000-0005-0000-0000-000094950000}"/>
    <cellStyle name="Percent 3 2 13 2 2 3" xfId="13124" xr:uid="{00000000-0005-0000-0000-000095950000}"/>
    <cellStyle name="Percent 3 2 13 2 2 3 2" xfId="33044" xr:uid="{00000000-0005-0000-0000-000096950000}"/>
    <cellStyle name="Percent 3 2 13 2 2 4" xfId="19276" xr:uid="{00000000-0005-0000-0000-000097950000}"/>
    <cellStyle name="Percent 3 2 13 2 2 4 2" xfId="39196" xr:uid="{00000000-0005-0000-0000-000098950000}"/>
    <cellStyle name="Percent 3 2 13 2 2 5" xfId="26891" xr:uid="{00000000-0005-0000-0000-000099950000}"/>
    <cellStyle name="Percent 3 2 13 2 3" xfId="8462" xr:uid="{00000000-0005-0000-0000-00009A950000}"/>
    <cellStyle name="Percent 3 2 13 2 3 2" xfId="14656" xr:uid="{00000000-0005-0000-0000-00009B950000}"/>
    <cellStyle name="Percent 3 2 13 2 3 2 2" xfId="34576" xr:uid="{00000000-0005-0000-0000-00009C950000}"/>
    <cellStyle name="Percent 3 2 13 2 3 3" xfId="20808" xr:uid="{00000000-0005-0000-0000-00009D950000}"/>
    <cellStyle name="Percent 3 2 13 2 3 3 2" xfId="40728" xr:uid="{00000000-0005-0000-0000-00009E950000}"/>
    <cellStyle name="Percent 3 2 13 2 3 4" xfId="28423" xr:uid="{00000000-0005-0000-0000-00009F950000}"/>
    <cellStyle name="Percent 3 2 13 2 4" xfId="11590" xr:uid="{00000000-0005-0000-0000-0000A0950000}"/>
    <cellStyle name="Percent 3 2 13 2 4 2" xfId="31510" xr:uid="{00000000-0005-0000-0000-0000A1950000}"/>
    <cellStyle name="Percent 3 2 13 2 5" xfId="17742" xr:uid="{00000000-0005-0000-0000-0000A2950000}"/>
    <cellStyle name="Percent 3 2 13 2 5 2" xfId="37662" xr:uid="{00000000-0005-0000-0000-0000A3950000}"/>
    <cellStyle name="Percent 3 2 13 2 6" xfId="25357" xr:uid="{00000000-0005-0000-0000-0000A4950000}"/>
    <cellStyle name="Percent 3 2 13 3" xfId="6136" xr:uid="{00000000-0005-0000-0000-0000A5950000}"/>
    <cellStyle name="Percent 3 2 13 3 2" xfId="9228" xr:uid="{00000000-0005-0000-0000-0000A6950000}"/>
    <cellStyle name="Percent 3 2 13 3 2 2" xfId="15421" xr:uid="{00000000-0005-0000-0000-0000A7950000}"/>
    <cellStyle name="Percent 3 2 13 3 2 2 2" xfId="35341" xr:uid="{00000000-0005-0000-0000-0000A8950000}"/>
    <cellStyle name="Percent 3 2 13 3 2 3" xfId="21573" xr:uid="{00000000-0005-0000-0000-0000A9950000}"/>
    <cellStyle name="Percent 3 2 13 3 2 3 2" xfId="41493" xr:uid="{00000000-0005-0000-0000-0000AA950000}"/>
    <cellStyle name="Percent 3 2 13 3 2 4" xfId="29188" xr:uid="{00000000-0005-0000-0000-0000AB950000}"/>
    <cellStyle name="Percent 3 2 13 3 3" xfId="12355" xr:uid="{00000000-0005-0000-0000-0000AC950000}"/>
    <cellStyle name="Percent 3 2 13 3 3 2" xfId="32275" xr:uid="{00000000-0005-0000-0000-0000AD950000}"/>
    <cellStyle name="Percent 3 2 13 3 4" xfId="18507" xr:uid="{00000000-0005-0000-0000-0000AE950000}"/>
    <cellStyle name="Percent 3 2 13 3 4 2" xfId="38427" xr:uid="{00000000-0005-0000-0000-0000AF950000}"/>
    <cellStyle name="Percent 3 2 13 3 5" xfId="26122" xr:uid="{00000000-0005-0000-0000-0000B0950000}"/>
    <cellStyle name="Percent 3 2 13 4" xfId="7693" xr:uid="{00000000-0005-0000-0000-0000B1950000}"/>
    <cellStyle name="Percent 3 2 13 4 2" xfId="13887" xr:uid="{00000000-0005-0000-0000-0000B2950000}"/>
    <cellStyle name="Percent 3 2 13 4 2 2" xfId="33807" xr:uid="{00000000-0005-0000-0000-0000B3950000}"/>
    <cellStyle name="Percent 3 2 13 4 3" xfId="20039" xr:uid="{00000000-0005-0000-0000-0000B4950000}"/>
    <cellStyle name="Percent 3 2 13 4 3 2" xfId="39959" xr:uid="{00000000-0005-0000-0000-0000B5950000}"/>
    <cellStyle name="Percent 3 2 13 4 4" xfId="27654" xr:uid="{00000000-0005-0000-0000-0000B6950000}"/>
    <cellStyle name="Percent 3 2 13 5" xfId="10821" xr:uid="{00000000-0005-0000-0000-0000B7950000}"/>
    <cellStyle name="Percent 3 2 13 5 2" xfId="30741" xr:uid="{00000000-0005-0000-0000-0000B8950000}"/>
    <cellStyle name="Percent 3 2 13 6" xfId="16973" xr:uid="{00000000-0005-0000-0000-0000B9950000}"/>
    <cellStyle name="Percent 3 2 13 6 2" xfId="36893" xr:uid="{00000000-0005-0000-0000-0000BA950000}"/>
    <cellStyle name="Percent 3 2 13 7" xfId="24588" xr:uid="{00000000-0005-0000-0000-0000BB950000}"/>
    <cellStyle name="Percent 3 2 14" xfId="4246" xr:uid="{00000000-0005-0000-0000-0000BC950000}"/>
    <cellStyle name="Percent 3 2 14 2" xfId="5287" xr:uid="{00000000-0005-0000-0000-0000BD950000}"/>
    <cellStyle name="Percent 3 2 14 2 2" xfId="6912" xr:uid="{00000000-0005-0000-0000-0000BE950000}"/>
    <cellStyle name="Percent 3 2 14 2 2 2" xfId="9998" xr:uid="{00000000-0005-0000-0000-0000BF950000}"/>
    <cellStyle name="Percent 3 2 14 2 2 2 2" xfId="16191" xr:uid="{00000000-0005-0000-0000-0000C0950000}"/>
    <cellStyle name="Percent 3 2 14 2 2 2 2 2" xfId="36111" xr:uid="{00000000-0005-0000-0000-0000C1950000}"/>
    <cellStyle name="Percent 3 2 14 2 2 2 3" xfId="22343" xr:uid="{00000000-0005-0000-0000-0000C2950000}"/>
    <cellStyle name="Percent 3 2 14 2 2 2 3 2" xfId="42263" xr:uid="{00000000-0005-0000-0000-0000C3950000}"/>
    <cellStyle name="Percent 3 2 14 2 2 2 4" xfId="29958" xr:uid="{00000000-0005-0000-0000-0000C4950000}"/>
    <cellStyle name="Percent 3 2 14 2 2 3" xfId="13125" xr:uid="{00000000-0005-0000-0000-0000C5950000}"/>
    <cellStyle name="Percent 3 2 14 2 2 3 2" xfId="33045" xr:uid="{00000000-0005-0000-0000-0000C6950000}"/>
    <cellStyle name="Percent 3 2 14 2 2 4" xfId="19277" xr:uid="{00000000-0005-0000-0000-0000C7950000}"/>
    <cellStyle name="Percent 3 2 14 2 2 4 2" xfId="39197" xr:uid="{00000000-0005-0000-0000-0000C8950000}"/>
    <cellStyle name="Percent 3 2 14 2 2 5" xfId="26892" xr:uid="{00000000-0005-0000-0000-0000C9950000}"/>
    <cellStyle name="Percent 3 2 14 2 3" xfId="8463" xr:uid="{00000000-0005-0000-0000-0000CA950000}"/>
    <cellStyle name="Percent 3 2 14 2 3 2" xfId="14657" xr:uid="{00000000-0005-0000-0000-0000CB950000}"/>
    <cellStyle name="Percent 3 2 14 2 3 2 2" xfId="34577" xr:uid="{00000000-0005-0000-0000-0000CC950000}"/>
    <cellStyle name="Percent 3 2 14 2 3 3" xfId="20809" xr:uid="{00000000-0005-0000-0000-0000CD950000}"/>
    <cellStyle name="Percent 3 2 14 2 3 3 2" xfId="40729" xr:uid="{00000000-0005-0000-0000-0000CE950000}"/>
    <cellStyle name="Percent 3 2 14 2 3 4" xfId="28424" xr:uid="{00000000-0005-0000-0000-0000CF950000}"/>
    <cellStyle name="Percent 3 2 14 2 4" xfId="11591" xr:uid="{00000000-0005-0000-0000-0000D0950000}"/>
    <cellStyle name="Percent 3 2 14 2 4 2" xfId="31511" xr:uid="{00000000-0005-0000-0000-0000D1950000}"/>
    <cellStyle name="Percent 3 2 14 2 5" xfId="17743" xr:uid="{00000000-0005-0000-0000-0000D2950000}"/>
    <cellStyle name="Percent 3 2 14 2 5 2" xfId="37663" xr:uid="{00000000-0005-0000-0000-0000D3950000}"/>
    <cellStyle name="Percent 3 2 14 2 6" xfId="25358" xr:uid="{00000000-0005-0000-0000-0000D4950000}"/>
    <cellStyle name="Percent 3 2 14 3" xfId="6137" xr:uid="{00000000-0005-0000-0000-0000D5950000}"/>
    <cellStyle name="Percent 3 2 14 3 2" xfId="9229" xr:uid="{00000000-0005-0000-0000-0000D6950000}"/>
    <cellStyle name="Percent 3 2 14 3 2 2" xfId="15422" xr:uid="{00000000-0005-0000-0000-0000D7950000}"/>
    <cellStyle name="Percent 3 2 14 3 2 2 2" xfId="35342" xr:uid="{00000000-0005-0000-0000-0000D8950000}"/>
    <cellStyle name="Percent 3 2 14 3 2 3" xfId="21574" xr:uid="{00000000-0005-0000-0000-0000D9950000}"/>
    <cellStyle name="Percent 3 2 14 3 2 3 2" xfId="41494" xr:uid="{00000000-0005-0000-0000-0000DA950000}"/>
    <cellStyle name="Percent 3 2 14 3 2 4" xfId="29189" xr:uid="{00000000-0005-0000-0000-0000DB950000}"/>
    <cellStyle name="Percent 3 2 14 3 3" xfId="12356" xr:uid="{00000000-0005-0000-0000-0000DC950000}"/>
    <cellStyle name="Percent 3 2 14 3 3 2" xfId="32276" xr:uid="{00000000-0005-0000-0000-0000DD950000}"/>
    <cellStyle name="Percent 3 2 14 3 4" xfId="18508" xr:uid="{00000000-0005-0000-0000-0000DE950000}"/>
    <cellStyle name="Percent 3 2 14 3 4 2" xfId="38428" xr:uid="{00000000-0005-0000-0000-0000DF950000}"/>
    <cellStyle name="Percent 3 2 14 3 5" xfId="26123" xr:uid="{00000000-0005-0000-0000-0000E0950000}"/>
    <cellStyle name="Percent 3 2 14 4" xfId="7694" xr:uid="{00000000-0005-0000-0000-0000E1950000}"/>
    <cellStyle name="Percent 3 2 14 4 2" xfId="13888" xr:uid="{00000000-0005-0000-0000-0000E2950000}"/>
    <cellStyle name="Percent 3 2 14 4 2 2" xfId="33808" xr:uid="{00000000-0005-0000-0000-0000E3950000}"/>
    <cellStyle name="Percent 3 2 14 4 3" xfId="20040" xr:uid="{00000000-0005-0000-0000-0000E4950000}"/>
    <cellStyle name="Percent 3 2 14 4 3 2" xfId="39960" xr:uid="{00000000-0005-0000-0000-0000E5950000}"/>
    <cellStyle name="Percent 3 2 14 4 4" xfId="27655" xr:uid="{00000000-0005-0000-0000-0000E6950000}"/>
    <cellStyle name="Percent 3 2 14 5" xfId="10822" xr:uid="{00000000-0005-0000-0000-0000E7950000}"/>
    <cellStyle name="Percent 3 2 14 5 2" xfId="30742" xr:uid="{00000000-0005-0000-0000-0000E8950000}"/>
    <cellStyle name="Percent 3 2 14 6" xfId="16974" xr:uid="{00000000-0005-0000-0000-0000E9950000}"/>
    <cellStyle name="Percent 3 2 14 6 2" xfId="36894" xr:uid="{00000000-0005-0000-0000-0000EA950000}"/>
    <cellStyle name="Percent 3 2 14 7" xfId="24589" xr:uid="{00000000-0005-0000-0000-0000EB950000}"/>
    <cellStyle name="Percent 3 2 15" xfId="4247" xr:uid="{00000000-0005-0000-0000-0000EC950000}"/>
    <cellStyle name="Percent 3 2 15 2" xfId="5288" xr:uid="{00000000-0005-0000-0000-0000ED950000}"/>
    <cellStyle name="Percent 3 2 15 2 2" xfId="6913" xr:uid="{00000000-0005-0000-0000-0000EE950000}"/>
    <cellStyle name="Percent 3 2 15 2 2 2" xfId="9999" xr:uid="{00000000-0005-0000-0000-0000EF950000}"/>
    <cellStyle name="Percent 3 2 15 2 2 2 2" xfId="16192" xr:uid="{00000000-0005-0000-0000-0000F0950000}"/>
    <cellStyle name="Percent 3 2 15 2 2 2 2 2" xfId="36112" xr:uid="{00000000-0005-0000-0000-0000F1950000}"/>
    <cellStyle name="Percent 3 2 15 2 2 2 3" xfId="22344" xr:uid="{00000000-0005-0000-0000-0000F2950000}"/>
    <cellStyle name="Percent 3 2 15 2 2 2 3 2" xfId="42264" xr:uid="{00000000-0005-0000-0000-0000F3950000}"/>
    <cellStyle name="Percent 3 2 15 2 2 2 4" xfId="29959" xr:uid="{00000000-0005-0000-0000-0000F4950000}"/>
    <cellStyle name="Percent 3 2 15 2 2 3" xfId="13126" xr:uid="{00000000-0005-0000-0000-0000F5950000}"/>
    <cellStyle name="Percent 3 2 15 2 2 3 2" xfId="33046" xr:uid="{00000000-0005-0000-0000-0000F6950000}"/>
    <cellStyle name="Percent 3 2 15 2 2 4" xfId="19278" xr:uid="{00000000-0005-0000-0000-0000F7950000}"/>
    <cellStyle name="Percent 3 2 15 2 2 4 2" xfId="39198" xr:uid="{00000000-0005-0000-0000-0000F8950000}"/>
    <cellStyle name="Percent 3 2 15 2 2 5" xfId="26893" xr:uid="{00000000-0005-0000-0000-0000F9950000}"/>
    <cellStyle name="Percent 3 2 15 2 3" xfId="8464" xr:uid="{00000000-0005-0000-0000-0000FA950000}"/>
    <cellStyle name="Percent 3 2 15 2 3 2" xfId="14658" xr:uid="{00000000-0005-0000-0000-0000FB950000}"/>
    <cellStyle name="Percent 3 2 15 2 3 2 2" xfId="34578" xr:uid="{00000000-0005-0000-0000-0000FC950000}"/>
    <cellStyle name="Percent 3 2 15 2 3 3" xfId="20810" xr:uid="{00000000-0005-0000-0000-0000FD950000}"/>
    <cellStyle name="Percent 3 2 15 2 3 3 2" xfId="40730" xr:uid="{00000000-0005-0000-0000-0000FE950000}"/>
    <cellStyle name="Percent 3 2 15 2 3 4" xfId="28425" xr:uid="{00000000-0005-0000-0000-0000FF950000}"/>
    <cellStyle name="Percent 3 2 15 2 4" xfId="11592" xr:uid="{00000000-0005-0000-0000-000000960000}"/>
    <cellStyle name="Percent 3 2 15 2 4 2" xfId="31512" xr:uid="{00000000-0005-0000-0000-000001960000}"/>
    <cellStyle name="Percent 3 2 15 2 5" xfId="17744" xr:uid="{00000000-0005-0000-0000-000002960000}"/>
    <cellStyle name="Percent 3 2 15 2 5 2" xfId="37664" xr:uid="{00000000-0005-0000-0000-000003960000}"/>
    <cellStyle name="Percent 3 2 15 2 6" xfId="25359" xr:uid="{00000000-0005-0000-0000-000004960000}"/>
    <cellStyle name="Percent 3 2 15 3" xfId="6138" xr:uid="{00000000-0005-0000-0000-000005960000}"/>
    <cellStyle name="Percent 3 2 15 3 2" xfId="9230" xr:uid="{00000000-0005-0000-0000-000006960000}"/>
    <cellStyle name="Percent 3 2 15 3 2 2" xfId="15423" xr:uid="{00000000-0005-0000-0000-000007960000}"/>
    <cellStyle name="Percent 3 2 15 3 2 2 2" xfId="35343" xr:uid="{00000000-0005-0000-0000-000008960000}"/>
    <cellStyle name="Percent 3 2 15 3 2 3" xfId="21575" xr:uid="{00000000-0005-0000-0000-000009960000}"/>
    <cellStyle name="Percent 3 2 15 3 2 3 2" xfId="41495" xr:uid="{00000000-0005-0000-0000-00000A960000}"/>
    <cellStyle name="Percent 3 2 15 3 2 4" xfId="29190" xr:uid="{00000000-0005-0000-0000-00000B960000}"/>
    <cellStyle name="Percent 3 2 15 3 3" xfId="12357" xr:uid="{00000000-0005-0000-0000-00000C960000}"/>
    <cellStyle name="Percent 3 2 15 3 3 2" xfId="32277" xr:uid="{00000000-0005-0000-0000-00000D960000}"/>
    <cellStyle name="Percent 3 2 15 3 4" xfId="18509" xr:uid="{00000000-0005-0000-0000-00000E960000}"/>
    <cellStyle name="Percent 3 2 15 3 4 2" xfId="38429" xr:uid="{00000000-0005-0000-0000-00000F960000}"/>
    <cellStyle name="Percent 3 2 15 3 5" xfId="26124" xr:uid="{00000000-0005-0000-0000-000010960000}"/>
    <cellStyle name="Percent 3 2 15 4" xfId="7695" xr:uid="{00000000-0005-0000-0000-000011960000}"/>
    <cellStyle name="Percent 3 2 15 4 2" xfId="13889" xr:uid="{00000000-0005-0000-0000-000012960000}"/>
    <cellStyle name="Percent 3 2 15 4 2 2" xfId="33809" xr:uid="{00000000-0005-0000-0000-000013960000}"/>
    <cellStyle name="Percent 3 2 15 4 3" xfId="20041" xr:uid="{00000000-0005-0000-0000-000014960000}"/>
    <cellStyle name="Percent 3 2 15 4 3 2" xfId="39961" xr:uid="{00000000-0005-0000-0000-000015960000}"/>
    <cellStyle name="Percent 3 2 15 4 4" xfId="27656" xr:uid="{00000000-0005-0000-0000-000016960000}"/>
    <cellStyle name="Percent 3 2 15 5" xfId="10823" xr:uid="{00000000-0005-0000-0000-000017960000}"/>
    <cellStyle name="Percent 3 2 15 5 2" xfId="30743" xr:uid="{00000000-0005-0000-0000-000018960000}"/>
    <cellStyle name="Percent 3 2 15 6" xfId="16975" xr:uid="{00000000-0005-0000-0000-000019960000}"/>
    <cellStyle name="Percent 3 2 15 6 2" xfId="36895" xr:uid="{00000000-0005-0000-0000-00001A960000}"/>
    <cellStyle name="Percent 3 2 15 7" xfId="24590" xr:uid="{00000000-0005-0000-0000-00001B960000}"/>
    <cellStyle name="Percent 3 2 16" xfId="4248" xr:uid="{00000000-0005-0000-0000-00001C960000}"/>
    <cellStyle name="Percent 3 2 16 2" xfId="5289" xr:uid="{00000000-0005-0000-0000-00001D960000}"/>
    <cellStyle name="Percent 3 2 16 2 2" xfId="6914" xr:uid="{00000000-0005-0000-0000-00001E960000}"/>
    <cellStyle name="Percent 3 2 16 2 2 2" xfId="10000" xr:uid="{00000000-0005-0000-0000-00001F960000}"/>
    <cellStyle name="Percent 3 2 16 2 2 2 2" xfId="16193" xr:uid="{00000000-0005-0000-0000-000020960000}"/>
    <cellStyle name="Percent 3 2 16 2 2 2 2 2" xfId="36113" xr:uid="{00000000-0005-0000-0000-000021960000}"/>
    <cellStyle name="Percent 3 2 16 2 2 2 3" xfId="22345" xr:uid="{00000000-0005-0000-0000-000022960000}"/>
    <cellStyle name="Percent 3 2 16 2 2 2 3 2" xfId="42265" xr:uid="{00000000-0005-0000-0000-000023960000}"/>
    <cellStyle name="Percent 3 2 16 2 2 2 4" xfId="29960" xr:uid="{00000000-0005-0000-0000-000024960000}"/>
    <cellStyle name="Percent 3 2 16 2 2 3" xfId="13127" xr:uid="{00000000-0005-0000-0000-000025960000}"/>
    <cellStyle name="Percent 3 2 16 2 2 3 2" xfId="33047" xr:uid="{00000000-0005-0000-0000-000026960000}"/>
    <cellStyle name="Percent 3 2 16 2 2 4" xfId="19279" xr:uid="{00000000-0005-0000-0000-000027960000}"/>
    <cellStyle name="Percent 3 2 16 2 2 4 2" xfId="39199" xr:uid="{00000000-0005-0000-0000-000028960000}"/>
    <cellStyle name="Percent 3 2 16 2 2 5" xfId="26894" xr:uid="{00000000-0005-0000-0000-000029960000}"/>
    <cellStyle name="Percent 3 2 16 2 3" xfId="8465" xr:uid="{00000000-0005-0000-0000-00002A960000}"/>
    <cellStyle name="Percent 3 2 16 2 3 2" xfId="14659" xr:uid="{00000000-0005-0000-0000-00002B960000}"/>
    <cellStyle name="Percent 3 2 16 2 3 2 2" xfId="34579" xr:uid="{00000000-0005-0000-0000-00002C960000}"/>
    <cellStyle name="Percent 3 2 16 2 3 3" xfId="20811" xr:uid="{00000000-0005-0000-0000-00002D960000}"/>
    <cellStyle name="Percent 3 2 16 2 3 3 2" xfId="40731" xr:uid="{00000000-0005-0000-0000-00002E960000}"/>
    <cellStyle name="Percent 3 2 16 2 3 4" xfId="28426" xr:uid="{00000000-0005-0000-0000-00002F960000}"/>
    <cellStyle name="Percent 3 2 16 2 4" xfId="11593" xr:uid="{00000000-0005-0000-0000-000030960000}"/>
    <cellStyle name="Percent 3 2 16 2 4 2" xfId="31513" xr:uid="{00000000-0005-0000-0000-000031960000}"/>
    <cellStyle name="Percent 3 2 16 2 5" xfId="17745" xr:uid="{00000000-0005-0000-0000-000032960000}"/>
    <cellStyle name="Percent 3 2 16 2 5 2" xfId="37665" xr:uid="{00000000-0005-0000-0000-000033960000}"/>
    <cellStyle name="Percent 3 2 16 2 6" xfId="25360" xr:uid="{00000000-0005-0000-0000-000034960000}"/>
    <cellStyle name="Percent 3 2 16 3" xfId="6139" xr:uid="{00000000-0005-0000-0000-000035960000}"/>
    <cellStyle name="Percent 3 2 16 3 2" xfId="9231" xr:uid="{00000000-0005-0000-0000-000036960000}"/>
    <cellStyle name="Percent 3 2 16 3 2 2" xfId="15424" xr:uid="{00000000-0005-0000-0000-000037960000}"/>
    <cellStyle name="Percent 3 2 16 3 2 2 2" xfId="35344" xr:uid="{00000000-0005-0000-0000-000038960000}"/>
    <cellStyle name="Percent 3 2 16 3 2 3" xfId="21576" xr:uid="{00000000-0005-0000-0000-000039960000}"/>
    <cellStyle name="Percent 3 2 16 3 2 3 2" xfId="41496" xr:uid="{00000000-0005-0000-0000-00003A960000}"/>
    <cellStyle name="Percent 3 2 16 3 2 4" xfId="29191" xr:uid="{00000000-0005-0000-0000-00003B960000}"/>
    <cellStyle name="Percent 3 2 16 3 3" xfId="12358" xr:uid="{00000000-0005-0000-0000-00003C960000}"/>
    <cellStyle name="Percent 3 2 16 3 3 2" xfId="32278" xr:uid="{00000000-0005-0000-0000-00003D960000}"/>
    <cellStyle name="Percent 3 2 16 3 4" xfId="18510" xr:uid="{00000000-0005-0000-0000-00003E960000}"/>
    <cellStyle name="Percent 3 2 16 3 4 2" xfId="38430" xr:uid="{00000000-0005-0000-0000-00003F960000}"/>
    <cellStyle name="Percent 3 2 16 3 5" xfId="26125" xr:uid="{00000000-0005-0000-0000-000040960000}"/>
    <cellStyle name="Percent 3 2 16 4" xfId="7696" xr:uid="{00000000-0005-0000-0000-000041960000}"/>
    <cellStyle name="Percent 3 2 16 4 2" xfId="13890" xr:uid="{00000000-0005-0000-0000-000042960000}"/>
    <cellStyle name="Percent 3 2 16 4 2 2" xfId="33810" xr:uid="{00000000-0005-0000-0000-000043960000}"/>
    <cellStyle name="Percent 3 2 16 4 3" xfId="20042" xr:uid="{00000000-0005-0000-0000-000044960000}"/>
    <cellStyle name="Percent 3 2 16 4 3 2" xfId="39962" xr:uid="{00000000-0005-0000-0000-000045960000}"/>
    <cellStyle name="Percent 3 2 16 4 4" xfId="27657" xr:uid="{00000000-0005-0000-0000-000046960000}"/>
    <cellStyle name="Percent 3 2 16 5" xfId="10824" xr:uid="{00000000-0005-0000-0000-000047960000}"/>
    <cellStyle name="Percent 3 2 16 5 2" xfId="30744" xr:uid="{00000000-0005-0000-0000-000048960000}"/>
    <cellStyle name="Percent 3 2 16 6" xfId="16976" xr:uid="{00000000-0005-0000-0000-000049960000}"/>
    <cellStyle name="Percent 3 2 16 6 2" xfId="36896" xr:uid="{00000000-0005-0000-0000-00004A960000}"/>
    <cellStyle name="Percent 3 2 16 7" xfId="24591" xr:uid="{00000000-0005-0000-0000-00004B960000}"/>
    <cellStyle name="Percent 3 2 17" xfId="4249" xr:uid="{00000000-0005-0000-0000-00004C960000}"/>
    <cellStyle name="Percent 3 2 17 2" xfId="5290" xr:uid="{00000000-0005-0000-0000-00004D960000}"/>
    <cellStyle name="Percent 3 2 17 2 2" xfId="6915" xr:uid="{00000000-0005-0000-0000-00004E960000}"/>
    <cellStyle name="Percent 3 2 17 2 2 2" xfId="10001" xr:uid="{00000000-0005-0000-0000-00004F960000}"/>
    <cellStyle name="Percent 3 2 17 2 2 2 2" xfId="16194" xr:uid="{00000000-0005-0000-0000-000050960000}"/>
    <cellStyle name="Percent 3 2 17 2 2 2 2 2" xfId="36114" xr:uid="{00000000-0005-0000-0000-000051960000}"/>
    <cellStyle name="Percent 3 2 17 2 2 2 3" xfId="22346" xr:uid="{00000000-0005-0000-0000-000052960000}"/>
    <cellStyle name="Percent 3 2 17 2 2 2 3 2" xfId="42266" xr:uid="{00000000-0005-0000-0000-000053960000}"/>
    <cellStyle name="Percent 3 2 17 2 2 2 4" xfId="29961" xr:uid="{00000000-0005-0000-0000-000054960000}"/>
    <cellStyle name="Percent 3 2 17 2 2 3" xfId="13128" xr:uid="{00000000-0005-0000-0000-000055960000}"/>
    <cellStyle name="Percent 3 2 17 2 2 3 2" xfId="33048" xr:uid="{00000000-0005-0000-0000-000056960000}"/>
    <cellStyle name="Percent 3 2 17 2 2 4" xfId="19280" xr:uid="{00000000-0005-0000-0000-000057960000}"/>
    <cellStyle name="Percent 3 2 17 2 2 4 2" xfId="39200" xr:uid="{00000000-0005-0000-0000-000058960000}"/>
    <cellStyle name="Percent 3 2 17 2 2 5" xfId="26895" xr:uid="{00000000-0005-0000-0000-000059960000}"/>
    <cellStyle name="Percent 3 2 17 2 3" xfId="8466" xr:uid="{00000000-0005-0000-0000-00005A960000}"/>
    <cellStyle name="Percent 3 2 17 2 3 2" xfId="14660" xr:uid="{00000000-0005-0000-0000-00005B960000}"/>
    <cellStyle name="Percent 3 2 17 2 3 2 2" xfId="34580" xr:uid="{00000000-0005-0000-0000-00005C960000}"/>
    <cellStyle name="Percent 3 2 17 2 3 3" xfId="20812" xr:uid="{00000000-0005-0000-0000-00005D960000}"/>
    <cellStyle name="Percent 3 2 17 2 3 3 2" xfId="40732" xr:uid="{00000000-0005-0000-0000-00005E960000}"/>
    <cellStyle name="Percent 3 2 17 2 3 4" xfId="28427" xr:uid="{00000000-0005-0000-0000-00005F960000}"/>
    <cellStyle name="Percent 3 2 17 2 4" xfId="11594" xr:uid="{00000000-0005-0000-0000-000060960000}"/>
    <cellStyle name="Percent 3 2 17 2 4 2" xfId="31514" xr:uid="{00000000-0005-0000-0000-000061960000}"/>
    <cellStyle name="Percent 3 2 17 2 5" xfId="17746" xr:uid="{00000000-0005-0000-0000-000062960000}"/>
    <cellStyle name="Percent 3 2 17 2 5 2" xfId="37666" xr:uid="{00000000-0005-0000-0000-000063960000}"/>
    <cellStyle name="Percent 3 2 17 2 6" xfId="25361" xr:uid="{00000000-0005-0000-0000-000064960000}"/>
    <cellStyle name="Percent 3 2 17 3" xfId="6140" xr:uid="{00000000-0005-0000-0000-000065960000}"/>
    <cellStyle name="Percent 3 2 17 3 2" xfId="9232" xr:uid="{00000000-0005-0000-0000-000066960000}"/>
    <cellStyle name="Percent 3 2 17 3 2 2" xfId="15425" xr:uid="{00000000-0005-0000-0000-000067960000}"/>
    <cellStyle name="Percent 3 2 17 3 2 2 2" xfId="35345" xr:uid="{00000000-0005-0000-0000-000068960000}"/>
    <cellStyle name="Percent 3 2 17 3 2 3" xfId="21577" xr:uid="{00000000-0005-0000-0000-000069960000}"/>
    <cellStyle name="Percent 3 2 17 3 2 3 2" xfId="41497" xr:uid="{00000000-0005-0000-0000-00006A960000}"/>
    <cellStyle name="Percent 3 2 17 3 2 4" xfId="29192" xr:uid="{00000000-0005-0000-0000-00006B960000}"/>
    <cellStyle name="Percent 3 2 17 3 3" xfId="12359" xr:uid="{00000000-0005-0000-0000-00006C960000}"/>
    <cellStyle name="Percent 3 2 17 3 3 2" xfId="32279" xr:uid="{00000000-0005-0000-0000-00006D960000}"/>
    <cellStyle name="Percent 3 2 17 3 4" xfId="18511" xr:uid="{00000000-0005-0000-0000-00006E960000}"/>
    <cellStyle name="Percent 3 2 17 3 4 2" xfId="38431" xr:uid="{00000000-0005-0000-0000-00006F960000}"/>
    <cellStyle name="Percent 3 2 17 3 5" xfId="26126" xr:uid="{00000000-0005-0000-0000-000070960000}"/>
    <cellStyle name="Percent 3 2 17 4" xfId="7697" xr:uid="{00000000-0005-0000-0000-000071960000}"/>
    <cellStyle name="Percent 3 2 17 4 2" xfId="13891" xr:uid="{00000000-0005-0000-0000-000072960000}"/>
    <cellStyle name="Percent 3 2 17 4 2 2" xfId="33811" xr:uid="{00000000-0005-0000-0000-000073960000}"/>
    <cellStyle name="Percent 3 2 17 4 3" xfId="20043" xr:uid="{00000000-0005-0000-0000-000074960000}"/>
    <cellStyle name="Percent 3 2 17 4 3 2" xfId="39963" xr:uid="{00000000-0005-0000-0000-000075960000}"/>
    <cellStyle name="Percent 3 2 17 4 4" xfId="27658" xr:uid="{00000000-0005-0000-0000-000076960000}"/>
    <cellStyle name="Percent 3 2 17 5" xfId="10825" xr:uid="{00000000-0005-0000-0000-000077960000}"/>
    <cellStyle name="Percent 3 2 17 5 2" xfId="30745" xr:uid="{00000000-0005-0000-0000-000078960000}"/>
    <cellStyle name="Percent 3 2 17 6" xfId="16977" xr:uid="{00000000-0005-0000-0000-000079960000}"/>
    <cellStyle name="Percent 3 2 17 6 2" xfId="36897" xr:uid="{00000000-0005-0000-0000-00007A960000}"/>
    <cellStyle name="Percent 3 2 17 7" xfId="24592" xr:uid="{00000000-0005-0000-0000-00007B960000}"/>
    <cellStyle name="Percent 3 2 18" xfId="4250" xr:uid="{00000000-0005-0000-0000-00007C960000}"/>
    <cellStyle name="Percent 3 2 18 2" xfId="5291" xr:uid="{00000000-0005-0000-0000-00007D960000}"/>
    <cellStyle name="Percent 3 2 18 2 2" xfId="6916" xr:uid="{00000000-0005-0000-0000-00007E960000}"/>
    <cellStyle name="Percent 3 2 18 2 2 2" xfId="10002" xr:uid="{00000000-0005-0000-0000-00007F960000}"/>
    <cellStyle name="Percent 3 2 18 2 2 2 2" xfId="16195" xr:uid="{00000000-0005-0000-0000-000080960000}"/>
    <cellStyle name="Percent 3 2 18 2 2 2 2 2" xfId="36115" xr:uid="{00000000-0005-0000-0000-000081960000}"/>
    <cellStyle name="Percent 3 2 18 2 2 2 3" xfId="22347" xr:uid="{00000000-0005-0000-0000-000082960000}"/>
    <cellStyle name="Percent 3 2 18 2 2 2 3 2" xfId="42267" xr:uid="{00000000-0005-0000-0000-000083960000}"/>
    <cellStyle name="Percent 3 2 18 2 2 2 4" xfId="29962" xr:uid="{00000000-0005-0000-0000-000084960000}"/>
    <cellStyle name="Percent 3 2 18 2 2 3" xfId="13129" xr:uid="{00000000-0005-0000-0000-000085960000}"/>
    <cellStyle name="Percent 3 2 18 2 2 3 2" xfId="33049" xr:uid="{00000000-0005-0000-0000-000086960000}"/>
    <cellStyle name="Percent 3 2 18 2 2 4" xfId="19281" xr:uid="{00000000-0005-0000-0000-000087960000}"/>
    <cellStyle name="Percent 3 2 18 2 2 4 2" xfId="39201" xr:uid="{00000000-0005-0000-0000-000088960000}"/>
    <cellStyle name="Percent 3 2 18 2 2 5" xfId="26896" xr:uid="{00000000-0005-0000-0000-000089960000}"/>
    <cellStyle name="Percent 3 2 18 2 3" xfId="8467" xr:uid="{00000000-0005-0000-0000-00008A960000}"/>
    <cellStyle name="Percent 3 2 18 2 3 2" xfId="14661" xr:uid="{00000000-0005-0000-0000-00008B960000}"/>
    <cellStyle name="Percent 3 2 18 2 3 2 2" xfId="34581" xr:uid="{00000000-0005-0000-0000-00008C960000}"/>
    <cellStyle name="Percent 3 2 18 2 3 3" xfId="20813" xr:uid="{00000000-0005-0000-0000-00008D960000}"/>
    <cellStyle name="Percent 3 2 18 2 3 3 2" xfId="40733" xr:uid="{00000000-0005-0000-0000-00008E960000}"/>
    <cellStyle name="Percent 3 2 18 2 3 4" xfId="28428" xr:uid="{00000000-0005-0000-0000-00008F960000}"/>
    <cellStyle name="Percent 3 2 18 2 4" xfId="11595" xr:uid="{00000000-0005-0000-0000-000090960000}"/>
    <cellStyle name="Percent 3 2 18 2 4 2" xfId="31515" xr:uid="{00000000-0005-0000-0000-000091960000}"/>
    <cellStyle name="Percent 3 2 18 2 5" xfId="17747" xr:uid="{00000000-0005-0000-0000-000092960000}"/>
    <cellStyle name="Percent 3 2 18 2 5 2" xfId="37667" xr:uid="{00000000-0005-0000-0000-000093960000}"/>
    <cellStyle name="Percent 3 2 18 2 6" xfId="25362" xr:uid="{00000000-0005-0000-0000-000094960000}"/>
    <cellStyle name="Percent 3 2 18 3" xfId="6141" xr:uid="{00000000-0005-0000-0000-000095960000}"/>
    <cellStyle name="Percent 3 2 18 3 2" xfId="9233" xr:uid="{00000000-0005-0000-0000-000096960000}"/>
    <cellStyle name="Percent 3 2 18 3 2 2" xfId="15426" xr:uid="{00000000-0005-0000-0000-000097960000}"/>
    <cellStyle name="Percent 3 2 18 3 2 2 2" xfId="35346" xr:uid="{00000000-0005-0000-0000-000098960000}"/>
    <cellStyle name="Percent 3 2 18 3 2 3" xfId="21578" xr:uid="{00000000-0005-0000-0000-000099960000}"/>
    <cellStyle name="Percent 3 2 18 3 2 3 2" xfId="41498" xr:uid="{00000000-0005-0000-0000-00009A960000}"/>
    <cellStyle name="Percent 3 2 18 3 2 4" xfId="29193" xr:uid="{00000000-0005-0000-0000-00009B960000}"/>
    <cellStyle name="Percent 3 2 18 3 3" xfId="12360" xr:uid="{00000000-0005-0000-0000-00009C960000}"/>
    <cellStyle name="Percent 3 2 18 3 3 2" xfId="32280" xr:uid="{00000000-0005-0000-0000-00009D960000}"/>
    <cellStyle name="Percent 3 2 18 3 4" xfId="18512" xr:uid="{00000000-0005-0000-0000-00009E960000}"/>
    <cellStyle name="Percent 3 2 18 3 4 2" xfId="38432" xr:uid="{00000000-0005-0000-0000-00009F960000}"/>
    <cellStyle name="Percent 3 2 18 3 5" xfId="26127" xr:uid="{00000000-0005-0000-0000-0000A0960000}"/>
    <cellStyle name="Percent 3 2 18 4" xfId="7698" xr:uid="{00000000-0005-0000-0000-0000A1960000}"/>
    <cellStyle name="Percent 3 2 18 4 2" xfId="13892" xr:uid="{00000000-0005-0000-0000-0000A2960000}"/>
    <cellStyle name="Percent 3 2 18 4 2 2" xfId="33812" xr:uid="{00000000-0005-0000-0000-0000A3960000}"/>
    <cellStyle name="Percent 3 2 18 4 3" xfId="20044" xr:uid="{00000000-0005-0000-0000-0000A4960000}"/>
    <cellStyle name="Percent 3 2 18 4 3 2" xfId="39964" xr:uid="{00000000-0005-0000-0000-0000A5960000}"/>
    <cellStyle name="Percent 3 2 18 4 4" xfId="27659" xr:uid="{00000000-0005-0000-0000-0000A6960000}"/>
    <cellStyle name="Percent 3 2 18 5" xfId="10826" xr:uid="{00000000-0005-0000-0000-0000A7960000}"/>
    <cellStyle name="Percent 3 2 18 5 2" xfId="30746" xr:uid="{00000000-0005-0000-0000-0000A8960000}"/>
    <cellStyle name="Percent 3 2 18 6" xfId="16978" xr:uid="{00000000-0005-0000-0000-0000A9960000}"/>
    <cellStyle name="Percent 3 2 18 6 2" xfId="36898" xr:uid="{00000000-0005-0000-0000-0000AA960000}"/>
    <cellStyle name="Percent 3 2 18 7" xfId="24593" xr:uid="{00000000-0005-0000-0000-0000AB960000}"/>
    <cellStyle name="Percent 3 2 19" xfId="4251" xr:uid="{00000000-0005-0000-0000-0000AC960000}"/>
    <cellStyle name="Percent 3 2 19 2" xfId="5292" xr:uid="{00000000-0005-0000-0000-0000AD960000}"/>
    <cellStyle name="Percent 3 2 19 2 2" xfId="6917" xr:uid="{00000000-0005-0000-0000-0000AE960000}"/>
    <cellStyle name="Percent 3 2 19 2 2 2" xfId="10003" xr:uid="{00000000-0005-0000-0000-0000AF960000}"/>
    <cellStyle name="Percent 3 2 19 2 2 2 2" xfId="16196" xr:uid="{00000000-0005-0000-0000-0000B0960000}"/>
    <cellStyle name="Percent 3 2 19 2 2 2 2 2" xfId="36116" xr:uid="{00000000-0005-0000-0000-0000B1960000}"/>
    <cellStyle name="Percent 3 2 19 2 2 2 3" xfId="22348" xr:uid="{00000000-0005-0000-0000-0000B2960000}"/>
    <cellStyle name="Percent 3 2 19 2 2 2 3 2" xfId="42268" xr:uid="{00000000-0005-0000-0000-0000B3960000}"/>
    <cellStyle name="Percent 3 2 19 2 2 2 4" xfId="29963" xr:uid="{00000000-0005-0000-0000-0000B4960000}"/>
    <cellStyle name="Percent 3 2 19 2 2 3" xfId="13130" xr:uid="{00000000-0005-0000-0000-0000B5960000}"/>
    <cellStyle name="Percent 3 2 19 2 2 3 2" xfId="33050" xr:uid="{00000000-0005-0000-0000-0000B6960000}"/>
    <cellStyle name="Percent 3 2 19 2 2 4" xfId="19282" xr:uid="{00000000-0005-0000-0000-0000B7960000}"/>
    <cellStyle name="Percent 3 2 19 2 2 4 2" xfId="39202" xr:uid="{00000000-0005-0000-0000-0000B8960000}"/>
    <cellStyle name="Percent 3 2 19 2 2 5" xfId="26897" xr:uid="{00000000-0005-0000-0000-0000B9960000}"/>
    <cellStyle name="Percent 3 2 19 2 3" xfId="8468" xr:uid="{00000000-0005-0000-0000-0000BA960000}"/>
    <cellStyle name="Percent 3 2 19 2 3 2" xfId="14662" xr:uid="{00000000-0005-0000-0000-0000BB960000}"/>
    <cellStyle name="Percent 3 2 19 2 3 2 2" xfId="34582" xr:uid="{00000000-0005-0000-0000-0000BC960000}"/>
    <cellStyle name="Percent 3 2 19 2 3 3" xfId="20814" xr:uid="{00000000-0005-0000-0000-0000BD960000}"/>
    <cellStyle name="Percent 3 2 19 2 3 3 2" xfId="40734" xr:uid="{00000000-0005-0000-0000-0000BE960000}"/>
    <cellStyle name="Percent 3 2 19 2 3 4" xfId="28429" xr:uid="{00000000-0005-0000-0000-0000BF960000}"/>
    <cellStyle name="Percent 3 2 19 2 4" xfId="11596" xr:uid="{00000000-0005-0000-0000-0000C0960000}"/>
    <cellStyle name="Percent 3 2 19 2 4 2" xfId="31516" xr:uid="{00000000-0005-0000-0000-0000C1960000}"/>
    <cellStyle name="Percent 3 2 19 2 5" xfId="17748" xr:uid="{00000000-0005-0000-0000-0000C2960000}"/>
    <cellStyle name="Percent 3 2 19 2 5 2" xfId="37668" xr:uid="{00000000-0005-0000-0000-0000C3960000}"/>
    <cellStyle name="Percent 3 2 19 2 6" xfId="25363" xr:uid="{00000000-0005-0000-0000-0000C4960000}"/>
    <cellStyle name="Percent 3 2 19 3" xfId="6142" xr:uid="{00000000-0005-0000-0000-0000C5960000}"/>
    <cellStyle name="Percent 3 2 19 3 2" xfId="9234" xr:uid="{00000000-0005-0000-0000-0000C6960000}"/>
    <cellStyle name="Percent 3 2 19 3 2 2" xfId="15427" xr:uid="{00000000-0005-0000-0000-0000C7960000}"/>
    <cellStyle name="Percent 3 2 19 3 2 2 2" xfId="35347" xr:uid="{00000000-0005-0000-0000-0000C8960000}"/>
    <cellStyle name="Percent 3 2 19 3 2 3" xfId="21579" xr:uid="{00000000-0005-0000-0000-0000C9960000}"/>
    <cellStyle name="Percent 3 2 19 3 2 3 2" xfId="41499" xr:uid="{00000000-0005-0000-0000-0000CA960000}"/>
    <cellStyle name="Percent 3 2 19 3 2 4" xfId="29194" xr:uid="{00000000-0005-0000-0000-0000CB960000}"/>
    <cellStyle name="Percent 3 2 19 3 3" xfId="12361" xr:uid="{00000000-0005-0000-0000-0000CC960000}"/>
    <cellStyle name="Percent 3 2 19 3 3 2" xfId="32281" xr:uid="{00000000-0005-0000-0000-0000CD960000}"/>
    <cellStyle name="Percent 3 2 19 3 4" xfId="18513" xr:uid="{00000000-0005-0000-0000-0000CE960000}"/>
    <cellStyle name="Percent 3 2 19 3 4 2" xfId="38433" xr:uid="{00000000-0005-0000-0000-0000CF960000}"/>
    <cellStyle name="Percent 3 2 19 3 5" xfId="26128" xr:uid="{00000000-0005-0000-0000-0000D0960000}"/>
    <cellStyle name="Percent 3 2 19 4" xfId="7699" xr:uid="{00000000-0005-0000-0000-0000D1960000}"/>
    <cellStyle name="Percent 3 2 19 4 2" xfId="13893" xr:uid="{00000000-0005-0000-0000-0000D2960000}"/>
    <cellStyle name="Percent 3 2 19 4 2 2" xfId="33813" xr:uid="{00000000-0005-0000-0000-0000D3960000}"/>
    <cellStyle name="Percent 3 2 19 4 3" xfId="20045" xr:uid="{00000000-0005-0000-0000-0000D4960000}"/>
    <cellStyle name="Percent 3 2 19 4 3 2" xfId="39965" xr:uid="{00000000-0005-0000-0000-0000D5960000}"/>
    <cellStyle name="Percent 3 2 19 4 4" xfId="27660" xr:uid="{00000000-0005-0000-0000-0000D6960000}"/>
    <cellStyle name="Percent 3 2 19 5" xfId="10827" xr:uid="{00000000-0005-0000-0000-0000D7960000}"/>
    <cellStyle name="Percent 3 2 19 5 2" xfId="30747" xr:uid="{00000000-0005-0000-0000-0000D8960000}"/>
    <cellStyle name="Percent 3 2 19 6" xfId="16979" xr:uid="{00000000-0005-0000-0000-0000D9960000}"/>
    <cellStyle name="Percent 3 2 19 6 2" xfId="36899" xr:uid="{00000000-0005-0000-0000-0000DA960000}"/>
    <cellStyle name="Percent 3 2 19 7" xfId="24594" xr:uid="{00000000-0005-0000-0000-0000DB960000}"/>
    <cellStyle name="Percent 3 2 2" xfId="4252" xr:uid="{00000000-0005-0000-0000-0000DC960000}"/>
    <cellStyle name="Percent 3 2 2 2" xfId="4253" xr:uid="{00000000-0005-0000-0000-0000DD960000}"/>
    <cellStyle name="Percent 3 2 2 2 2" xfId="5293" xr:uid="{00000000-0005-0000-0000-0000DE960000}"/>
    <cellStyle name="Percent 3 2 2 2 2 2" xfId="6918" xr:uid="{00000000-0005-0000-0000-0000DF960000}"/>
    <cellStyle name="Percent 3 2 2 2 2 2 2" xfId="10004" xr:uid="{00000000-0005-0000-0000-0000E0960000}"/>
    <cellStyle name="Percent 3 2 2 2 2 2 2 2" xfId="16197" xr:uid="{00000000-0005-0000-0000-0000E1960000}"/>
    <cellStyle name="Percent 3 2 2 2 2 2 2 2 2" xfId="36117" xr:uid="{00000000-0005-0000-0000-0000E2960000}"/>
    <cellStyle name="Percent 3 2 2 2 2 2 2 3" xfId="22349" xr:uid="{00000000-0005-0000-0000-0000E3960000}"/>
    <cellStyle name="Percent 3 2 2 2 2 2 2 3 2" xfId="42269" xr:uid="{00000000-0005-0000-0000-0000E4960000}"/>
    <cellStyle name="Percent 3 2 2 2 2 2 2 4" xfId="29964" xr:uid="{00000000-0005-0000-0000-0000E5960000}"/>
    <cellStyle name="Percent 3 2 2 2 2 2 3" xfId="13131" xr:uid="{00000000-0005-0000-0000-0000E6960000}"/>
    <cellStyle name="Percent 3 2 2 2 2 2 3 2" xfId="33051" xr:uid="{00000000-0005-0000-0000-0000E7960000}"/>
    <cellStyle name="Percent 3 2 2 2 2 2 4" xfId="19283" xr:uid="{00000000-0005-0000-0000-0000E8960000}"/>
    <cellStyle name="Percent 3 2 2 2 2 2 4 2" xfId="39203" xr:uid="{00000000-0005-0000-0000-0000E9960000}"/>
    <cellStyle name="Percent 3 2 2 2 2 2 5" xfId="26898" xr:uid="{00000000-0005-0000-0000-0000EA960000}"/>
    <cellStyle name="Percent 3 2 2 2 2 3" xfId="8469" xr:uid="{00000000-0005-0000-0000-0000EB960000}"/>
    <cellStyle name="Percent 3 2 2 2 2 3 2" xfId="14663" xr:uid="{00000000-0005-0000-0000-0000EC960000}"/>
    <cellStyle name="Percent 3 2 2 2 2 3 2 2" xfId="34583" xr:uid="{00000000-0005-0000-0000-0000ED960000}"/>
    <cellStyle name="Percent 3 2 2 2 2 3 3" xfId="20815" xr:uid="{00000000-0005-0000-0000-0000EE960000}"/>
    <cellStyle name="Percent 3 2 2 2 2 3 3 2" xfId="40735" xr:uid="{00000000-0005-0000-0000-0000EF960000}"/>
    <cellStyle name="Percent 3 2 2 2 2 3 4" xfId="28430" xr:uid="{00000000-0005-0000-0000-0000F0960000}"/>
    <cellStyle name="Percent 3 2 2 2 2 4" xfId="11597" xr:uid="{00000000-0005-0000-0000-0000F1960000}"/>
    <cellStyle name="Percent 3 2 2 2 2 4 2" xfId="31517" xr:uid="{00000000-0005-0000-0000-0000F2960000}"/>
    <cellStyle name="Percent 3 2 2 2 2 5" xfId="17749" xr:uid="{00000000-0005-0000-0000-0000F3960000}"/>
    <cellStyle name="Percent 3 2 2 2 2 5 2" xfId="37669" xr:uid="{00000000-0005-0000-0000-0000F4960000}"/>
    <cellStyle name="Percent 3 2 2 2 2 6" xfId="25364" xr:uid="{00000000-0005-0000-0000-0000F5960000}"/>
    <cellStyle name="Percent 3 2 2 2 3" xfId="6143" xr:uid="{00000000-0005-0000-0000-0000F6960000}"/>
    <cellStyle name="Percent 3 2 2 2 3 2" xfId="9235" xr:uid="{00000000-0005-0000-0000-0000F7960000}"/>
    <cellStyle name="Percent 3 2 2 2 3 2 2" xfId="15428" xr:uid="{00000000-0005-0000-0000-0000F8960000}"/>
    <cellStyle name="Percent 3 2 2 2 3 2 2 2" xfId="35348" xr:uid="{00000000-0005-0000-0000-0000F9960000}"/>
    <cellStyle name="Percent 3 2 2 2 3 2 3" xfId="21580" xr:uid="{00000000-0005-0000-0000-0000FA960000}"/>
    <cellStyle name="Percent 3 2 2 2 3 2 3 2" xfId="41500" xr:uid="{00000000-0005-0000-0000-0000FB960000}"/>
    <cellStyle name="Percent 3 2 2 2 3 2 4" xfId="29195" xr:uid="{00000000-0005-0000-0000-0000FC960000}"/>
    <cellStyle name="Percent 3 2 2 2 3 3" xfId="12362" xr:uid="{00000000-0005-0000-0000-0000FD960000}"/>
    <cellStyle name="Percent 3 2 2 2 3 3 2" xfId="32282" xr:uid="{00000000-0005-0000-0000-0000FE960000}"/>
    <cellStyle name="Percent 3 2 2 2 3 4" xfId="18514" xr:uid="{00000000-0005-0000-0000-0000FF960000}"/>
    <cellStyle name="Percent 3 2 2 2 3 4 2" xfId="38434" xr:uid="{00000000-0005-0000-0000-000000970000}"/>
    <cellStyle name="Percent 3 2 2 2 3 5" xfId="26129" xr:uid="{00000000-0005-0000-0000-000001970000}"/>
    <cellStyle name="Percent 3 2 2 2 4" xfId="7700" xr:uid="{00000000-0005-0000-0000-000002970000}"/>
    <cellStyle name="Percent 3 2 2 2 4 2" xfId="13894" xr:uid="{00000000-0005-0000-0000-000003970000}"/>
    <cellStyle name="Percent 3 2 2 2 4 2 2" xfId="33814" xr:uid="{00000000-0005-0000-0000-000004970000}"/>
    <cellStyle name="Percent 3 2 2 2 4 3" xfId="20046" xr:uid="{00000000-0005-0000-0000-000005970000}"/>
    <cellStyle name="Percent 3 2 2 2 4 3 2" xfId="39966" xr:uid="{00000000-0005-0000-0000-000006970000}"/>
    <cellStyle name="Percent 3 2 2 2 4 4" xfId="27661" xr:uid="{00000000-0005-0000-0000-000007970000}"/>
    <cellStyle name="Percent 3 2 2 2 5" xfId="10828" xr:uid="{00000000-0005-0000-0000-000008970000}"/>
    <cellStyle name="Percent 3 2 2 2 5 2" xfId="30748" xr:uid="{00000000-0005-0000-0000-000009970000}"/>
    <cellStyle name="Percent 3 2 2 2 6" xfId="16980" xr:uid="{00000000-0005-0000-0000-00000A970000}"/>
    <cellStyle name="Percent 3 2 2 2 6 2" xfId="36900" xr:uid="{00000000-0005-0000-0000-00000B970000}"/>
    <cellStyle name="Percent 3 2 2 2 7" xfId="24595" xr:uid="{00000000-0005-0000-0000-00000C970000}"/>
    <cellStyle name="Percent 3 2 2 3" xfId="4254" xr:uid="{00000000-0005-0000-0000-00000D970000}"/>
    <cellStyle name="Percent 3 2 2 3 2" xfId="5294" xr:uid="{00000000-0005-0000-0000-00000E970000}"/>
    <cellStyle name="Percent 3 2 2 3 2 2" xfId="6919" xr:uid="{00000000-0005-0000-0000-00000F970000}"/>
    <cellStyle name="Percent 3 2 2 3 2 2 2" xfId="10005" xr:uid="{00000000-0005-0000-0000-000010970000}"/>
    <cellStyle name="Percent 3 2 2 3 2 2 2 2" xfId="16198" xr:uid="{00000000-0005-0000-0000-000011970000}"/>
    <cellStyle name="Percent 3 2 2 3 2 2 2 2 2" xfId="36118" xr:uid="{00000000-0005-0000-0000-000012970000}"/>
    <cellStyle name="Percent 3 2 2 3 2 2 2 3" xfId="22350" xr:uid="{00000000-0005-0000-0000-000013970000}"/>
    <cellStyle name="Percent 3 2 2 3 2 2 2 3 2" xfId="42270" xr:uid="{00000000-0005-0000-0000-000014970000}"/>
    <cellStyle name="Percent 3 2 2 3 2 2 2 4" xfId="29965" xr:uid="{00000000-0005-0000-0000-000015970000}"/>
    <cellStyle name="Percent 3 2 2 3 2 2 3" xfId="13132" xr:uid="{00000000-0005-0000-0000-000016970000}"/>
    <cellStyle name="Percent 3 2 2 3 2 2 3 2" xfId="33052" xr:uid="{00000000-0005-0000-0000-000017970000}"/>
    <cellStyle name="Percent 3 2 2 3 2 2 4" xfId="19284" xr:uid="{00000000-0005-0000-0000-000018970000}"/>
    <cellStyle name="Percent 3 2 2 3 2 2 4 2" xfId="39204" xr:uid="{00000000-0005-0000-0000-000019970000}"/>
    <cellStyle name="Percent 3 2 2 3 2 2 5" xfId="26899" xr:uid="{00000000-0005-0000-0000-00001A970000}"/>
    <cellStyle name="Percent 3 2 2 3 2 3" xfId="8470" xr:uid="{00000000-0005-0000-0000-00001B970000}"/>
    <cellStyle name="Percent 3 2 2 3 2 3 2" xfId="14664" xr:uid="{00000000-0005-0000-0000-00001C970000}"/>
    <cellStyle name="Percent 3 2 2 3 2 3 2 2" xfId="34584" xr:uid="{00000000-0005-0000-0000-00001D970000}"/>
    <cellStyle name="Percent 3 2 2 3 2 3 3" xfId="20816" xr:uid="{00000000-0005-0000-0000-00001E970000}"/>
    <cellStyle name="Percent 3 2 2 3 2 3 3 2" xfId="40736" xr:uid="{00000000-0005-0000-0000-00001F970000}"/>
    <cellStyle name="Percent 3 2 2 3 2 3 4" xfId="28431" xr:uid="{00000000-0005-0000-0000-000020970000}"/>
    <cellStyle name="Percent 3 2 2 3 2 4" xfId="11598" xr:uid="{00000000-0005-0000-0000-000021970000}"/>
    <cellStyle name="Percent 3 2 2 3 2 4 2" xfId="31518" xr:uid="{00000000-0005-0000-0000-000022970000}"/>
    <cellStyle name="Percent 3 2 2 3 2 5" xfId="17750" xr:uid="{00000000-0005-0000-0000-000023970000}"/>
    <cellStyle name="Percent 3 2 2 3 2 5 2" xfId="37670" xr:uid="{00000000-0005-0000-0000-000024970000}"/>
    <cellStyle name="Percent 3 2 2 3 2 6" xfId="25365" xr:uid="{00000000-0005-0000-0000-000025970000}"/>
    <cellStyle name="Percent 3 2 2 3 3" xfId="6144" xr:uid="{00000000-0005-0000-0000-000026970000}"/>
    <cellStyle name="Percent 3 2 2 3 3 2" xfId="9236" xr:uid="{00000000-0005-0000-0000-000027970000}"/>
    <cellStyle name="Percent 3 2 2 3 3 2 2" xfId="15429" xr:uid="{00000000-0005-0000-0000-000028970000}"/>
    <cellStyle name="Percent 3 2 2 3 3 2 2 2" xfId="35349" xr:uid="{00000000-0005-0000-0000-000029970000}"/>
    <cellStyle name="Percent 3 2 2 3 3 2 3" xfId="21581" xr:uid="{00000000-0005-0000-0000-00002A970000}"/>
    <cellStyle name="Percent 3 2 2 3 3 2 3 2" xfId="41501" xr:uid="{00000000-0005-0000-0000-00002B970000}"/>
    <cellStyle name="Percent 3 2 2 3 3 2 4" xfId="29196" xr:uid="{00000000-0005-0000-0000-00002C970000}"/>
    <cellStyle name="Percent 3 2 2 3 3 3" xfId="12363" xr:uid="{00000000-0005-0000-0000-00002D970000}"/>
    <cellStyle name="Percent 3 2 2 3 3 3 2" xfId="32283" xr:uid="{00000000-0005-0000-0000-00002E970000}"/>
    <cellStyle name="Percent 3 2 2 3 3 4" xfId="18515" xr:uid="{00000000-0005-0000-0000-00002F970000}"/>
    <cellStyle name="Percent 3 2 2 3 3 4 2" xfId="38435" xr:uid="{00000000-0005-0000-0000-000030970000}"/>
    <cellStyle name="Percent 3 2 2 3 3 5" xfId="26130" xr:uid="{00000000-0005-0000-0000-000031970000}"/>
    <cellStyle name="Percent 3 2 2 3 4" xfId="7701" xr:uid="{00000000-0005-0000-0000-000032970000}"/>
    <cellStyle name="Percent 3 2 2 3 4 2" xfId="13895" xr:uid="{00000000-0005-0000-0000-000033970000}"/>
    <cellStyle name="Percent 3 2 2 3 4 2 2" xfId="33815" xr:uid="{00000000-0005-0000-0000-000034970000}"/>
    <cellStyle name="Percent 3 2 2 3 4 3" xfId="20047" xr:uid="{00000000-0005-0000-0000-000035970000}"/>
    <cellStyle name="Percent 3 2 2 3 4 3 2" xfId="39967" xr:uid="{00000000-0005-0000-0000-000036970000}"/>
    <cellStyle name="Percent 3 2 2 3 4 4" xfId="27662" xr:uid="{00000000-0005-0000-0000-000037970000}"/>
    <cellStyle name="Percent 3 2 2 3 5" xfId="10829" xr:uid="{00000000-0005-0000-0000-000038970000}"/>
    <cellStyle name="Percent 3 2 2 3 5 2" xfId="30749" xr:uid="{00000000-0005-0000-0000-000039970000}"/>
    <cellStyle name="Percent 3 2 2 3 6" xfId="16981" xr:uid="{00000000-0005-0000-0000-00003A970000}"/>
    <cellStyle name="Percent 3 2 2 3 6 2" xfId="36901" xr:uid="{00000000-0005-0000-0000-00003B970000}"/>
    <cellStyle name="Percent 3 2 2 3 7" xfId="24596" xr:uid="{00000000-0005-0000-0000-00003C970000}"/>
    <cellStyle name="Percent 3 2 2 4" xfId="4255" xr:uid="{00000000-0005-0000-0000-00003D970000}"/>
    <cellStyle name="Percent 3 2 2 4 2" xfId="5295" xr:uid="{00000000-0005-0000-0000-00003E970000}"/>
    <cellStyle name="Percent 3 2 2 4 2 2" xfId="6920" xr:uid="{00000000-0005-0000-0000-00003F970000}"/>
    <cellStyle name="Percent 3 2 2 4 2 2 2" xfId="10006" xr:uid="{00000000-0005-0000-0000-000040970000}"/>
    <cellStyle name="Percent 3 2 2 4 2 2 2 2" xfId="16199" xr:uid="{00000000-0005-0000-0000-000041970000}"/>
    <cellStyle name="Percent 3 2 2 4 2 2 2 2 2" xfId="36119" xr:uid="{00000000-0005-0000-0000-000042970000}"/>
    <cellStyle name="Percent 3 2 2 4 2 2 2 3" xfId="22351" xr:uid="{00000000-0005-0000-0000-000043970000}"/>
    <cellStyle name="Percent 3 2 2 4 2 2 2 3 2" xfId="42271" xr:uid="{00000000-0005-0000-0000-000044970000}"/>
    <cellStyle name="Percent 3 2 2 4 2 2 2 4" xfId="29966" xr:uid="{00000000-0005-0000-0000-000045970000}"/>
    <cellStyle name="Percent 3 2 2 4 2 2 3" xfId="13133" xr:uid="{00000000-0005-0000-0000-000046970000}"/>
    <cellStyle name="Percent 3 2 2 4 2 2 3 2" xfId="33053" xr:uid="{00000000-0005-0000-0000-000047970000}"/>
    <cellStyle name="Percent 3 2 2 4 2 2 4" xfId="19285" xr:uid="{00000000-0005-0000-0000-000048970000}"/>
    <cellStyle name="Percent 3 2 2 4 2 2 4 2" xfId="39205" xr:uid="{00000000-0005-0000-0000-000049970000}"/>
    <cellStyle name="Percent 3 2 2 4 2 2 5" xfId="26900" xr:uid="{00000000-0005-0000-0000-00004A970000}"/>
    <cellStyle name="Percent 3 2 2 4 2 3" xfId="8471" xr:uid="{00000000-0005-0000-0000-00004B970000}"/>
    <cellStyle name="Percent 3 2 2 4 2 3 2" xfId="14665" xr:uid="{00000000-0005-0000-0000-00004C970000}"/>
    <cellStyle name="Percent 3 2 2 4 2 3 2 2" xfId="34585" xr:uid="{00000000-0005-0000-0000-00004D970000}"/>
    <cellStyle name="Percent 3 2 2 4 2 3 3" xfId="20817" xr:uid="{00000000-0005-0000-0000-00004E970000}"/>
    <cellStyle name="Percent 3 2 2 4 2 3 3 2" xfId="40737" xr:uid="{00000000-0005-0000-0000-00004F970000}"/>
    <cellStyle name="Percent 3 2 2 4 2 3 4" xfId="28432" xr:uid="{00000000-0005-0000-0000-000050970000}"/>
    <cellStyle name="Percent 3 2 2 4 2 4" xfId="11599" xr:uid="{00000000-0005-0000-0000-000051970000}"/>
    <cellStyle name="Percent 3 2 2 4 2 4 2" xfId="31519" xr:uid="{00000000-0005-0000-0000-000052970000}"/>
    <cellStyle name="Percent 3 2 2 4 2 5" xfId="17751" xr:uid="{00000000-0005-0000-0000-000053970000}"/>
    <cellStyle name="Percent 3 2 2 4 2 5 2" xfId="37671" xr:uid="{00000000-0005-0000-0000-000054970000}"/>
    <cellStyle name="Percent 3 2 2 4 2 6" xfId="25366" xr:uid="{00000000-0005-0000-0000-000055970000}"/>
    <cellStyle name="Percent 3 2 2 4 3" xfId="6145" xr:uid="{00000000-0005-0000-0000-000056970000}"/>
    <cellStyle name="Percent 3 2 2 4 3 2" xfId="9237" xr:uid="{00000000-0005-0000-0000-000057970000}"/>
    <cellStyle name="Percent 3 2 2 4 3 2 2" xfId="15430" xr:uid="{00000000-0005-0000-0000-000058970000}"/>
    <cellStyle name="Percent 3 2 2 4 3 2 2 2" xfId="35350" xr:uid="{00000000-0005-0000-0000-000059970000}"/>
    <cellStyle name="Percent 3 2 2 4 3 2 3" xfId="21582" xr:uid="{00000000-0005-0000-0000-00005A970000}"/>
    <cellStyle name="Percent 3 2 2 4 3 2 3 2" xfId="41502" xr:uid="{00000000-0005-0000-0000-00005B970000}"/>
    <cellStyle name="Percent 3 2 2 4 3 2 4" xfId="29197" xr:uid="{00000000-0005-0000-0000-00005C970000}"/>
    <cellStyle name="Percent 3 2 2 4 3 3" xfId="12364" xr:uid="{00000000-0005-0000-0000-00005D970000}"/>
    <cellStyle name="Percent 3 2 2 4 3 3 2" xfId="32284" xr:uid="{00000000-0005-0000-0000-00005E970000}"/>
    <cellStyle name="Percent 3 2 2 4 3 4" xfId="18516" xr:uid="{00000000-0005-0000-0000-00005F970000}"/>
    <cellStyle name="Percent 3 2 2 4 3 4 2" xfId="38436" xr:uid="{00000000-0005-0000-0000-000060970000}"/>
    <cellStyle name="Percent 3 2 2 4 3 5" xfId="26131" xr:uid="{00000000-0005-0000-0000-000061970000}"/>
    <cellStyle name="Percent 3 2 2 4 4" xfId="7702" xr:uid="{00000000-0005-0000-0000-000062970000}"/>
    <cellStyle name="Percent 3 2 2 4 4 2" xfId="13896" xr:uid="{00000000-0005-0000-0000-000063970000}"/>
    <cellStyle name="Percent 3 2 2 4 4 2 2" xfId="33816" xr:uid="{00000000-0005-0000-0000-000064970000}"/>
    <cellStyle name="Percent 3 2 2 4 4 3" xfId="20048" xr:uid="{00000000-0005-0000-0000-000065970000}"/>
    <cellStyle name="Percent 3 2 2 4 4 3 2" xfId="39968" xr:uid="{00000000-0005-0000-0000-000066970000}"/>
    <cellStyle name="Percent 3 2 2 4 4 4" xfId="27663" xr:uid="{00000000-0005-0000-0000-000067970000}"/>
    <cellStyle name="Percent 3 2 2 4 5" xfId="10830" xr:uid="{00000000-0005-0000-0000-000068970000}"/>
    <cellStyle name="Percent 3 2 2 4 5 2" xfId="30750" xr:uid="{00000000-0005-0000-0000-000069970000}"/>
    <cellStyle name="Percent 3 2 2 4 6" xfId="16982" xr:uid="{00000000-0005-0000-0000-00006A970000}"/>
    <cellStyle name="Percent 3 2 2 4 6 2" xfId="36902" xr:uid="{00000000-0005-0000-0000-00006B970000}"/>
    <cellStyle name="Percent 3 2 2 4 7" xfId="24597" xr:uid="{00000000-0005-0000-0000-00006C970000}"/>
    <cellStyle name="Percent 3 2 2 5" xfId="4256" xr:uid="{00000000-0005-0000-0000-00006D970000}"/>
    <cellStyle name="Percent 3 2 2 5 2" xfId="5296" xr:uid="{00000000-0005-0000-0000-00006E970000}"/>
    <cellStyle name="Percent 3 2 2 5 2 2" xfId="6921" xr:uid="{00000000-0005-0000-0000-00006F970000}"/>
    <cellStyle name="Percent 3 2 2 5 2 2 2" xfId="10007" xr:uid="{00000000-0005-0000-0000-000070970000}"/>
    <cellStyle name="Percent 3 2 2 5 2 2 2 2" xfId="16200" xr:uid="{00000000-0005-0000-0000-000071970000}"/>
    <cellStyle name="Percent 3 2 2 5 2 2 2 2 2" xfId="36120" xr:uid="{00000000-0005-0000-0000-000072970000}"/>
    <cellStyle name="Percent 3 2 2 5 2 2 2 3" xfId="22352" xr:uid="{00000000-0005-0000-0000-000073970000}"/>
    <cellStyle name="Percent 3 2 2 5 2 2 2 3 2" xfId="42272" xr:uid="{00000000-0005-0000-0000-000074970000}"/>
    <cellStyle name="Percent 3 2 2 5 2 2 2 4" xfId="29967" xr:uid="{00000000-0005-0000-0000-000075970000}"/>
    <cellStyle name="Percent 3 2 2 5 2 2 3" xfId="13134" xr:uid="{00000000-0005-0000-0000-000076970000}"/>
    <cellStyle name="Percent 3 2 2 5 2 2 3 2" xfId="33054" xr:uid="{00000000-0005-0000-0000-000077970000}"/>
    <cellStyle name="Percent 3 2 2 5 2 2 4" xfId="19286" xr:uid="{00000000-0005-0000-0000-000078970000}"/>
    <cellStyle name="Percent 3 2 2 5 2 2 4 2" xfId="39206" xr:uid="{00000000-0005-0000-0000-000079970000}"/>
    <cellStyle name="Percent 3 2 2 5 2 2 5" xfId="26901" xr:uid="{00000000-0005-0000-0000-00007A970000}"/>
    <cellStyle name="Percent 3 2 2 5 2 3" xfId="8472" xr:uid="{00000000-0005-0000-0000-00007B970000}"/>
    <cellStyle name="Percent 3 2 2 5 2 3 2" xfId="14666" xr:uid="{00000000-0005-0000-0000-00007C970000}"/>
    <cellStyle name="Percent 3 2 2 5 2 3 2 2" xfId="34586" xr:uid="{00000000-0005-0000-0000-00007D970000}"/>
    <cellStyle name="Percent 3 2 2 5 2 3 3" xfId="20818" xr:uid="{00000000-0005-0000-0000-00007E970000}"/>
    <cellStyle name="Percent 3 2 2 5 2 3 3 2" xfId="40738" xr:uid="{00000000-0005-0000-0000-00007F970000}"/>
    <cellStyle name="Percent 3 2 2 5 2 3 4" xfId="28433" xr:uid="{00000000-0005-0000-0000-000080970000}"/>
    <cellStyle name="Percent 3 2 2 5 2 4" xfId="11600" xr:uid="{00000000-0005-0000-0000-000081970000}"/>
    <cellStyle name="Percent 3 2 2 5 2 4 2" xfId="31520" xr:uid="{00000000-0005-0000-0000-000082970000}"/>
    <cellStyle name="Percent 3 2 2 5 2 5" xfId="17752" xr:uid="{00000000-0005-0000-0000-000083970000}"/>
    <cellStyle name="Percent 3 2 2 5 2 5 2" xfId="37672" xr:uid="{00000000-0005-0000-0000-000084970000}"/>
    <cellStyle name="Percent 3 2 2 5 2 6" xfId="25367" xr:uid="{00000000-0005-0000-0000-000085970000}"/>
    <cellStyle name="Percent 3 2 2 5 3" xfId="6146" xr:uid="{00000000-0005-0000-0000-000086970000}"/>
    <cellStyle name="Percent 3 2 2 5 3 2" xfId="9238" xr:uid="{00000000-0005-0000-0000-000087970000}"/>
    <cellStyle name="Percent 3 2 2 5 3 2 2" xfId="15431" xr:uid="{00000000-0005-0000-0000-000088970000}"/>
    <cellStyle name="Percent 3 2 2 5 3 2 2 2" xfId="35351" xr:uid="{00000000-0005-0000-0000-000089970000}"/>
    <cellStyle name="Percent 3 2 2 5 3 2 3" xfId="21583" xr:uid="{00000000-0005-0000-0000-00008A970000}"/>
    <cellStyle name="Percent 3 2 2 5 3 2 3 2" xfId="41503" xr:uid="{00000000-0005-0000-0000-00008B970000}"/>
    <cellStyle name="Percent 3 2 2 5 3 2 4" xfId="29198" xr:uid="{00000000-0005-0000-0000-00008C970000}"/>
    <cellStyle name="Percent 3 2 2 5 3 3" xfId="12365" xr:uid="{00000000-0005-0000-0000-00008D970000}"/>
    <cellStyle name="Percent 3 2 2 5 3 3 2" xfId="32285" xr:uid="{00000000-0005-0000-0000-00008E970000}"/>
    <cellStyle name="Percent 3 2 2 5 3 4" xfId="18517" xr:uid="{00000000-0005-0000-0000-00008F970000}"/>
    <cellStyle name="Percent 3 2 2 5 3 4 2" xfId="38437" xr:uid="{00000000-0005-0000-0000-000090970000}"/>
    <cellStyle name="Percent 3 2 2 5 3 5" xfId="26132" xr:uid="{00000000-0005-0000-0000-000091970000}"/>
    <cellStyle name="Percent 3 2 2 5 4" xfId="7703" xr:uid="{00000000-0005-0000-0000-000092970000}"/>
    <cellStyle name="Percent 3 2 2 5 4 2" xfId="13897" xr:uid="{00000000-0005-0000-0000-000093970000}"/>
    <cellStyle name="Percent 3 2 2 5 4 2 2" xfId="33817" xr:uid="{00000000-0005-0000-0000-000094970000}"/>
    <cellStyle name="Percent 3 2 2 5 4 3" xfId="20049" xr:uid="{00000000-0005-0000-0000-000095970000}"/>
    <cellStyle name="Percent 3 2 2 5 4 3 2" xfId="39969" xr:uid="{00000000-0005-0000-0000-000096970000}"/>
    <cellStyle name="Percent 3 2 2 5 4 4" xfId="27664" xr:uid="{00000000-0005-0000-0000-000097970000}"/>
    <cellStyle name="Percent 3 2 2 5 5" xfId="10831" xr:uid="{00000000-0005-0000-0000-000098970000}"/>
    <cellStyle name="Percent 3 2 2 5 5 2" xfId="30751" xr:uid="{00000000-0005-0000-0000-000099970000}"/>
    <cellStyle name="Percent 3 2 2 5 6" xfId="16983" xr:uid="{00000000-0005-0000-0000-00009A970000}"/>
    <cellStyle name="Percent 3 2 2 5 6 2" xfId="36903" xr:uid="{00000000-0005-0000-0000-00009B970000}"/>
    <cellStyle name="Percent 3 2 2 5 7" xfId="24598" xr:uid="{00000000-0005-0000-0000-00009C970000}"/>
    <cellStyle name="Percent 3 2 20" xfId="4257" xr:uid="{00000000-0005-0000-0000-00009D970000}"/>
    <cellStyle name="Percent 3 2 20 2" xfId="5297" xr:uid="{00000000-0005-0000-0000-00009E970000}"/>
    <cellStyle name="Percent 3 2 20 2 2" xfId="6922" xr:uid="{00000000-0005-0000-0000-00009F970000}"/>
    <cellStyle name="Percent 3 2 20 2 2 2" xfId="10008" xr:uid="{00000000-0005-0000-0000-0000A0970000}"/>
    <cellStyle name="Percent 3 2 20 2 2 2 2" xfId="16201" xr:uid="{00000000-0005-0000-0000-0000A1970000}"/>
    <cellStyle name="Percent 3 2 20 2 2 2 2 2" xfId="36121" xr:uid="{00000000-0005-0000-0000-0000A2970000}"/>
    <cellStyle name="Percent 3 2 20 2 2 2 3" xfId="22353" xr:uid="{00000000-0005-0000-0000-0000A3970000}"/>
    <cellStyle name="Percent 3 2 20 2 2 2 3 2" xfId="42273" xr:uid="{00000000-0005-0000-0000-0000A4970000}"/>
    <cellStyle name="Percent 3 2 20 2 2 2 4" xfId="29968" xr:uid="{00000000-0005-0000-0000-0000A5970000}"/>
    <cellStyle name="Percent 3 2 20 2 2 3" xfId="13135" xr:uid="{00000000-0005-0000-0000-0000A6970000}"/>
    <cellStyle name="Percent 3 2 20 2 2 3 2" xfId="33055" xr:uid="{00000000-0005-0000-0000-0000A7970000}"/>
    <cellStyle name="Percent 3 2 20 2 2 4" xfId="19287" xr:uid="{00000000-0005-0000-0000-0000A8970000}"/>
    <cellStyle name="Percent 3 2 20 2 2 4 2" xfId="39207" xr:uid="{00000000-0005-0000-0000-0000A9970000}"/>
    <cellStyle name="Percent 3 2 20 2 2 5" xfId="26902" xr:uid="{00000000-0005-0000-0000-0000AA970000}"/>
    <cellStyle name="Percent 3 2 20 2 3" xfId="8473" xr:uid="{00000000-0005-0000-0000-0000AB970000}"/>
    <cellStyle name="Percent 3 2 20 2 3 2" xfId="14667" xr:uid="{00000000-0005-0000-0000-0000AC970000}"/>
    <cellStyle name="Percent 3 2 20 2 3 2 2" xfId="34587" xr:uid="{00000000-0005-0000-0000-0000AD970000}"/>
    <cellStyle name="Percent 3 2 20 2 3 3" xfId="20819" xr:uid="{00000000-0005-0000-0000-0000AE970000}"/>
    <cellStyle name="Percent 3 2 20 2 3 3 2" xfId="40739" xr:uid="{00000000-0005-0000-0000-0000AF970000}"/>
    <cellStyle name="Percent 3 2 20 2 3 4" xfId="28434" xr:uid="{00000000-0005-0000-0000-0000B0970000}"/>
    <cellStyle name="Percent 3 2 20 2 4" xfId="11601" xr:uid="{00000000-0005-0000-0000-0000B1970000}"/>
    <cellStyle name="Percent 3 2 20 2 4 2" xfId="31521" xr:uid="{00000000-0005-0000-0000-0000B2970000}"/>
    <cellStyle name="Percent 3 2 20 2 5" xfId="17753" xr:uid="{00000000-0005-0000-0000-0000B3970000}"/>
    <cellStyle name="Percent 3 2 20 2 5 2" xfId="37673" xr:uid="{00000000-0005-0000-0000-0000B4970000}"/>
    <cellStyle name="Percent 3 2 20 2 6" xfId="25368" xr:uid="{00000000-0005-0000-0000-0000B5970000}"/>
    <cellStyle name="Percent 3 2 20 3" xfId="6147" xr:uid="{00000000-0005-0000-0000-0000B6970000}"/>
    <cellStyle name="Percent 3 2 20 3 2" xfId="9239" xr:uid="{00000000-0005-0000-0000-0000B7970000}"/>
    <cellStyle name="Percent 3 2 20 3 2 2" xfId="15432" xr:uid="{00000000-0005-0000-0000-0000B8970000}"/>
    <cellStyle name="Percent 3 2 20 3 2 2 2" xfId="35352" xr:uid="{00000000-0005-0000-0000-0000B9970000}"/>
    <cellStyle name="Percent 3 2 20 3 2 3" xfId="21584" xr:uid="{00000000-0005-0000-0000-0000BA970000}"/>
    <cellStyle name="Percent 3 2 20 3 2 3 2" xfId="41504" xr:uid="{00000000-0005-0000-0000-0000BB970000}"/>
    <cellStyle name="Percent 3 2 20 3 2 4" xfId="29199" xr:uid="{00000000-0005-0000-0000-0000BC970000}"/>
    <cellStyle name="Percent 3 2 20 3 3" xfId="12366" xr:uid="{00000000-0005-0000-0000-0000BD970000}"/>
    <cellStyle name="Percent 3 2 20 3 3 2" xfId="32286" xr:uid="{00000000-0005-0000-0000-0000BE970000}"/>
    <cellStyle name="Percent 3 2 20 3 4" xfId="18518" xr:uid="{00000000-0005-0000-0000-0000BF970000}"/>
    <cellStyle name="Percent 3 2 20 3 4 2" xfId="38438" xr:uid="{00000000-0005-0000-0000-0000C0970000}"/>
    <cellStyle name="Percent 3 2 20 3 5" xfId="26133" xr:uid="{00000000-0005-0000-0000-0000C1970000}"/>
    <cellStyle name="Percent 3 2 20 4" xfId="7704" xr:uid="{00000000-0005-0000-0000-0000C2970000}"/>
    <cellStyle name="Percent 3 2 20 4 2" xfId="13898" xr:uid="{00000000-0005-0000-0000-0000C3970000}"/>
    <cellStyle name="Percent 3 2 20 4 2 2" xfId="33818" xr:uid="{00000000-0005-0000-0000-0000C4970000}"/>
    <cellStyle name="Percent 3 2 20 4 3" xfId="20050" xr:uid="{00000000-0005-0000-0000-0000C5970000}"/>
    <cellStyle name="Percent 3 2 20 4 3 2" xfId="39970" xr:uid="{00000000-0005-0000-0000-0000C6970000}"/>
    <cellStyle name="Percent 3 2 20 4 4" xfId="27665" xr:uid="{00000000-0005-0000-0000-0000C7970000}"/>
    <cellStyle name="Percent 3 2 20 5" xfId="10832" xr:uid="{00000000-0005-0000-0000-0000C8970000}"/>
    <cellStyle name="Percent 3 2 20 5 2" xfId="30752" xr:uid="{00000000-0005-0000-0000-0000C9970000}"/>
    <cellStyle name="Percent 3 2 20 6" xfId="16984" xr:uid="{00000000-0005-0000-0000-0000CA970000}"/>
    <cellStyle name="Percent 3 2 20 6 2" xfId="36904" xr:uid="{00000000-0005-0000-0000-0000CB970000}"/>
    <cellStyle name="Percent 3 2 20 7" xfId="24599" xr:uid="{00000000-0005-0000-0000-0000CC970000}"/>
    <cellStyle name="Percent 3 2 21" xfId="4258" xr:uid="{00000000-0005-0000-0000-0000CD970000}"/>
    <cellStyle name="Percent 3 2 21 2" xfId="4259" xr:uid="{00000000-0005-0000-0000-0000CE970000}"/>
    <cellStyle name="Percent 3 2 21 2 2" xfId="5298" xr:uid="{00000000-0005-0000-0000-0000CF970000}"/>
    <cellStyle name="Percent 3 2 21 2 2 2" xfId="6923" xr:uid="{00000000-0005-0000-0000-0000D0970000}"/>
    <cellStyle name="Percent 3 2 21 2 2 2 2" xfId="10009" xr:uid="{00000000-0005-0000-0000-0000D1970000}"/>
    <cellStyle name="Percent 3 2 21 2 2 2 2 2" xfId="16202" xr:uid="{00000000-0005-0000-0000-0000D2970000}"/>
    <cellStyle name="Percent 3 2 21 2 2 2 2 2 2" xfId="36122" xr:uid="{00000000-0005-0000-0000-0000D3970000}"/>
    <cellStyle name="Percent 3 2 21 2 2 2 2 3" xfId="22354" xr:uid="{00000000-0005-0000-0000-0000D4970000}"/>
    <cellStyle name="Percent 3 2 21 2 2 2 2 3 2" xfId="42274" xr:uid="{00000000-0005-0000-0000-0000D5970000}"/>
    <cellStyle name="Percent 3 2 21 2 2 2 2 4" xfId="29969" xr:uid="{00000000-0005-0000-0000-0000D6970000}"/>
    <cellStyle name="Percent 3 2 21 2 2 2 3" xfId="13136" xr:uid="{00000000-0005-0000-0000-0000D7970000}"/>
    <cellStyle name="Percent 3 2 21 2 2 2 3 2" xfId="33056" xr:uid="{00000000-0005-0000-0000-0000D8970000}"/>
    <cellStyle name="Percent 3 2 21 2 2 2 4" xfId="19288" xr:uid="{00000000-0005-0000-0000-0000D9970000}"/>
    <cellStyle name="Percent 3 2 21 2 2 2 4 2" xfId="39208" xr:uid="{00000000-0005-0000-0000-0000DA970000}"/>
    <cellStyle name="Percent 3 2 21 2 2 2 5" xfId="26903" xr:uid="{00000000-0005-0000-0000-0000DB970000}"/>
    <cellStyle name="Percent 3 2 21 2 2 3" xfId="8474" xr:uid="{00000000-0005-0000-0000-0000DC970000}"/>
    <cellStyle name="Percent 3 2 21 2 2 3 2" xfId="14668" xr:uid="{00000000-0005-0000-0000-0000DD970000}"/>
    <cellStyle name="Percent 3 2 21 2 2 3 2 2" xfId="34588" xr:uid="{00000000-0005-0000-0000-0000DE970000}"/>
    <cellStyle name="Percent 3 2 21 2 2 3 3" xfId="20820" xr:uid="{00000000-0005-0000-0000-0000DF970000}"/>
    <cellStyle name="Percent 3 2 21 2 2 3 3 2" xfId="40740" xr:uid="{00000000-0005-0000-0000-0000E0970000}"/>
    <cellStyle name="Percent 3 2 21 2 2 3 4" xfId="28435" xr:uid="{00000000-0005-0000-0000-0000E1970000}"/>
    <cellStyle name="Percent 3 2 21 2 2 4" xfId="11602" xr:uid="{00000000-0005-0000-0000-0000E2970000}"/>
    <cellStyle name="Percent 3 2 21 2 2 4 2" xfId="31522" xr:uid="{00000000-0005-0000-0000-0000E3970000}"/>
    <cellStyle name="Percent 3 2 21 2 2 5" xfId="17754" xr:uid="{00000000-0005-0000-0000-0000E4970000}"/>
    <cellStyle name="Percent 3 2 21 2 2 5 2" xfId="37674" xr:uid="{00000000-0005-0000-0000-0000E5970000}"/>
    <cellStyle name="Percent 3 2 21 2 2 6" xfId="25369" xr:uid="{00000000-0005-0000-0000-0000E6970000}"/>
    <cellStyle name="Percent 3 2 21 2 3" xfId="6148" xr:uid="{00000000-0005-0000-0000-0000E7970000}"/>
    <cellStyle name="Percent 3 2 21 2 3 2" xfId="9240" xr:uid="{00000000-0005-0000-0000-0000E8970000}"/>
    <cellStyle name="Percent 3 2 21 2 3 2 2" xfId="15433" xr:uid="{00000000-0005-0000-0000-0000E9970000}"/>
    <cellStyle name="Percent 3 2 21 2 3 2 2 2" xfId="35353" xr:uid="{00000000-0005-0000-0000-0000EA970000}"/>
    <cellStyle name="Percent 3 2 21 2 3 2 3" xfId="21585" xr:uid="{00000000-0005-0000-0000-0000EB970000}"/>
    <cellStyle name="Percent 3 2 21 2 3 2 3 2" xfId="41505" xr:uid="{00000000-0005-0000-0000-0000EC970000}"/>
    <cellStyle name="Percent 3 2 21 2 3 2 4" xfId="29200" xr:uid="{00000000-0005-0000-0000-0000ED970000}"/>
    <cellStyle name="Percent 3 2 21 2 3 3" xfId="12367" xr:uid="{00000000-0005-0000-0000-0000EE970000}"/>
    <cellStyle name="Percent 3 2 21 2 3 3 2" xfId="32287" xr:uid="{00000000-0005-0000-0000-0000EF970000}"/>
    <cellStyle name="Percent 3 2 21 2 3 4" xfId="18519" xr:uid="{00000000-0005-0000-0000-0000F0970000}"/>
    <cellStyle name="Percent 3 2 21 2 3 4 2" xfId="38439" xr:uid="{00000000-0005-0000-0000-0000F1970000}"/>
    <cellStyle name="Percent 3 2 21 2 3 5" xfId="26134" xr:uid="{00000000-0005-0000-0000-0000F2970000}"/>
    <cellStyle name="Percent 3 2 21 2 4" xfId="7705" xr:uid="{00000000-0005-0000-0000-0000F3970000}"/>
    <cellStyle name="Percent 3 2 21 2 4 2" xfId="13899" xr:uid="{00000000-0005-0000-0000-0000F4970000}"/>
    <cellStyle name="Percent 3 2 21 2 4 2 2" xfId="33819" xr:uid="{00000000-0005-0000-0000-0000F5970000}"/>
    <cellStyle name="Percent 3 2 21 2 4 3" xfId="20051" xr:uid="{00000000-0005-0000-0000-0000F6970000}"/>
    <cellStyle name="Percent 3 2 21 2 4 3 2" xfId="39971" xr:uid="{00000000-0005-0000-0000-0000F7970000}"/>
    <cellStyle name="Percent 3 2 21 2 4 4" xfId="27666" xr:uid="{00000000-0005-0000-0000-0000F8970000}"/>
    <cellStyle name="Percent 3 2 21 2 5" xfId="10833" xr:uid="{00000000-0005-0000-0000-0000F9970000}"/>
    <cellStyle name="Percent 3 2 21 2 5 2" xfId="30753" xr:uid="{00000000-0005-0000-0000-0000FA970000}"/>
    <cellStyle name="Percent 3 2 21 2 6" xfId="16985" xr:uid="{00000000-0005-0000-0000-0000FB970000}"/>
    <cellStyle name="Percent 3 2 21 2 6 2" xfId="36905" xr:uid="{00000000-0005-0000-0000-0000FC970000}"/>
    <cellStyle name="Percent 3 2 21 2 7" xfId="24600" xr:uid="{00000000-0005-0000-0000-0000FD970000}"/>
    <cellStyle name="Percent 3 2 21 3" xfId="4260" xr:uid="{00000000-0005-0000-0000-0000FE970000}"/>
    <cellStyle name="Percent 3 2 21 4" xfId="4261" xr:uid="{00000000-0005-0000-0000-0000FF970000}"/>
    <cellStyle name="Percent 3 2 22" xfId="4262" xr:uid="{00000000-0005-0000-0000-000000980000}"/>
    <cellStyle name="Percent 3 2 23" xfId="5282" xr:uid="{00000000-0005-0000-0000-000001980000}"/>
    <cellStyle name="Percent 3 2 23 2" xfId="6907" xr:uid="{00000000-0005-0000-0000-000002980000}"/>
    <cellStyle name="Percent 3 2 23 2 2" xfId="9993" xr:uid="{00000000-0005-0000-0000-000003980000}"/>
    <cellStyle name="Percent 3 2 23 2 2 2" xfId="16186" xr:uid="{00000000-0005-0000-0000-000004980000}"/>
    <cellStyle name="Percent 3 2 23 2 2 2 2" xfId="36106" xr:uid="{00000000-0005-0000-0000-000005980000}"/>
    <cellStyle name="Percent 3 2 23 2 2 3" xfId="22338" xr:uid="{00000000-0005-0000-0000-000006980000}"/>
    <cellStyle name="Percent 3 2 23 2 2 3 2" xfId="42258" xr:uid="{00000000-0005-0000-0000-000007980000}"/>
    <cellStyle name="Percent 3 2 23 2 2 4" xfId="29953" xr:uid="{00000000-0005-0000-0000-000008980000}"/>
    <cellStyle name="Percent 3 2 23 2 3" xfId="13120" xr:uid="{00000000-0005-0000-0000-000009980000}"/>
    <cellStyle name="Percent 3 2 23 2 3 2" xfId="33040" xr:uid="{00000000-0005-0000-0000-00000A980000}"/>
    <cellStyle name="Percent 3 2 23 2 4" xfId="19272" xr:uid="{00000000-0005-0000-0000-00000B980000}"/>
    <cellStyle name="Percent 3 2 23 2 4 2" xfId="39192" xr:uid="{00000000-0005-0000-0000-00000C980000}"/>
    <cellStyle name="Percent 3 2 23 2 5" xfId="26887" xr:uid="{00000000-0005-0000-0000-00000D980000}"/>
    <cellStyle name="Percent 3 2 23 3" xfId="8458" xr:uid="{00000000-0005-0000-0000-00000E980000}"/>
    <cellStyle name="Percent 3 2 23 3 2" xfId="14652" xr:uid="{00000000-0005-0000-0000-00000F980000}"/>
    <cellStyle name="Percent 3 2 23 3 2 2" xfId="34572" xr:uid="{00000000-0005-0000-0000-000010980000}"/>
    <cellStyle name="Percent 3 2 23 3 3" xfId="20804" xr:uid="{00000000-0005-0000-0000-000011980000}"/>
    <cellStyle name="Percent 3 2 23 3 3 2" xfId="40724" xr:uid="{00000000-0005-0000-0000-000012980000}"/>
    <cellStyle name="Percent 3 2 23 3 4" xfId="28419" xr:uid="{00000000-0005-0000-0000-000013980000}"/>
    <cellStyle name="Percent 3 2 23 4" xfId="11586" xr:uid="{00000000-0005-0000-0000-000014980000}"/>
    <cellStyle name="Percent 3 2 23 4 2" xfId="31506" xr:uid="{00000000-0005-0000-0000-000015980000}"/>
    <cellStyle name="Percent 3 2 23 5" xfId="17738" xr:uid="{00000000-0005-0000-0000-000016980000}"/>
    <cellStyle name="Percent 3 2 23 5 2" xfId="37658" xr:uid="{00000000-0005-0000-0000-000017980000}"/>
    <cellStyle name="Percent 3 2 23 6" xfId="25353" xr:uid="{00000000-0005-0000-0000-000018980000}"/>
    <cellStyle name="Percent 3 2 24" xfId="6132" xr:uid="{00000000-0005-0000-0000-000019980000}"/>
    <cellStyle name="Percent 3 2 24 2" xfId="9224" xr:uid="{00000000-0005-0000-0000-00001A980000}"/>
    <cellStyle name="Percent 3 2 24 2 2" xfId="15417" xr:uid="{00000000-0005-0000-0000-00001B980000}"/>
    <cellStyle name="Percent 3 2 24 2 2 2" xfId="35337" xr:uid="{00000000-0005-0000-0000-00001C980000}"/>
    <cellStyle name="Percent 3 2 24 2 3" xfId="21569" xr:uid="{00000000-0005-0000-0000-00001D980000}"/>
    <cellStyle name="Percent 3 2 24 2 3 2" xfId="41489" xr:uid="{00000000-0005-0000-0000-00001E980000}"/>
    <cellStyle name="Percent 3 2 24 2 4" xfId="29184" xr:uid="{00000000-0005-0000-0000-00001F980000}"/>
    <cellStyle name="Percent 3 2 24 3" xfId="12351" xr:uid="{00000000-0005-0000-0000-000020980000}"/>
    <cellStyle name="Percent 3 2 24 3 2" xfId="32271" xr:uid="{00000000-0005-0000-0000-000021980000}"/>
    <cellStyle name="Percent 3 2 24 4" xfId="18503" xr:uid="{00000000-0005-0000-0000-000022980000}"/>
    <cellStyle name="Percent 3 2 24 4 2" xfId="38423" xr:uid="{00000000-0005-0000-0000-000023980000}"/>
    <cellStyle name="Percent 3 2 24 5" xfId="26118" xr:uid="{00000000-0005-0000-0000-000024980000}"/>
    <cellStyle name="Percent 3 2 25" xfId="7689" xr:uid="{00000000-0005-0000-0000-000025980000}"/>
    <cellStyle name="Percent 3 2 25 2" xfId="13883" xr:uid="{00000000-0005-0000-0000-000026980000}"/>
    <cellStyle name="Percent 3 2 25 2 2" xfId="33803" xr:uid="{00000000-0005-0000-0000-000027980000}"/>
    <cellStyle name="Percent 3 2 25 3" xfId="20035" xr:uid="{00000000-0005-0000-0000-000028980000}"/>
    <cellStyle name="Percent 3 2 25 3 2" xfId="39955" xr:uid="{00000000-0005-0000-0000-000029980000}"/>
    <cellStyle name="Percent 3 2 25 4" xfId="27650" xr:uid="{00000000-0005-0000-0000-00002A980000}"/>
    <cellStyle name="Percent 3 2 26" xfId="10817" xr:uid="{00000000-0005-0000-0000-00002B980000}"/>
    <cellStyle name="Percent 3 2 26 2" xfId="30737" xr:uid="{00000000-0005-0000-0000-00002C980000}"/>
    <cellStyle name="Percent 3 2 27" xfId="16969" xr:uid="{00000000-0005-0000-0000-00002D980000}"/>
    <cellStyle name="Percent 3 2 27 2" xfId="36889" xr:uid="{00000000-0005-0000-0000-00002E980000}"/>
    <cellStyle name="Percent 3 2 28" xfId="4241" xr:uid="{00000000-0005-0000-0000-00002F980000}"/>
    <cellStyle name="Percent 3 2 28 2" xfId="24584" xr:uid="{00000000-0005-0000-0000-000030980000}"/>
    <cellStyle name="Percent 3 2 3" xfId="4263" xr:uid="{00000000-0005-0000-0000-000031980000}"/>
    <cellStyle name="Percent 3 2 3 10" xfId="16986" xr:uid="{00000000-0005-0000-0000-000032980000}"/>
    <cellStyle name="Percent 3 2 3 10 2" xfId="36906" xr:uid="{00000000-0005-0000-0000-000033980000}"/>
    <cellStyle name="Percent 3 2 3 11" xfId="24601" xr:uid="{00000000-0005-0000-0000-000034980000}"/>
    <cellStyle name="Percent 3 2 3 2" xfId="4264" xr:uid="{00000000-0005-0000-0000-000035980000}"/>
    <cellStyle name="Percent 3 2 3 2 2" xfId="5300" xr:uid="{00000000-0005-0000-0000-000036980000}"/>
    <cellStyle name="Percent 3 2 3 2 2 2" xfId="6925" xr:uid="{00000000-0005-0000-0000-000037980000}"/>
    <cellStyle name="Percent 3 2 3 2 2 2 2" xfId="10011" xr:uid="{00000000-0005-0000-0000-000038980000}"/>
    <cellStyle name="Percent 3 2 3 2 2 2 2 2" xfId="16204" xr:uid="{00000000-0005-0000-0000-000039980000}"/>
    <cellStyle name="Percent 3 2 3 2 2 2 2 2 2" xfId="36124" xr:uid="{00000000-0005-0000-0000-00003A980000}"/>
    <cellStyle name="Percent 3 2 3 2 2 2 2 3" xfId="22356" xr:uid="{00000000-0005-0000-0000-00003B980000}"/>
    <cellStyle name="Percent 3 2 3 2 2 2 2 3 2" xfId="42276" xr:uid="{00000000-0005-0000-0000-00003C980000}"/>
    <cellStyle name="Percent 3 2 3 2 2 2 2 4" xfId="29971" xr:uid="{00000000-0005-0000-0000-00003D980000}"/>
    <cellStyle name="Percent 3 2 3 2 2 2 3" xfId="13138" xr:uid="{00000000-0005-0000-0000-00003E980000}"/>
    <cellStyle name="Percent 3 2 3 2 2 2 3 2" xfId="33058" xr:uid="{00000000-0005-0000-0000-00003F980000}"/>
    <cellStyle name="Percent 3 2 3 2 2 2 4" xfId="19290" xr:uid="{00000000-0005-0000-0000-000040980000}"/>
    <cellStyle name="Percent 3 2 3 2 2 2 4 2" xfId="39210" xr:uid="{00000000-0005-0000-0000-000041980000}"/>
    <cellStyle name="Percent 3 2 3 2 2 2 5" xfId="26905" xr:uid="{00000000-0005-0000-0000-000042980000}"/>
    <cellStyle name="Percent 3 2 3 2 2 3" xfId="8476" xr:uid="{00000000-0005-0000-0000-000043980000}"/>
    <cellStyle name="Percent 3 2 3 2 2 3 2" xfId="14670" xr:uid="{00000000-0005-0000-0000-000044980000}"/>
    <cellStyle name="Percent 3 2 3 2 2 3 2 2" xfId="34590" xr:uid="{00000000-0005-0000-0000-000045980000}"/>
    <cellStyle name="Percent 3 2 3 2 2 3 3" xfId="20822" xr:uid="{00000000-0005-0000-0000-000046980000}"/>
    <cellStyle name="Percent 3 2 3 2 2 3 3 2" xfId="40742" xr:uid="{00000000-0005-0000-0000-000047980000}"/>
    <cellStyle name="Percent 3 2 3 2 2 3 4" xfId="28437" xr:uid="{00000000-0005-0000-0000-000048980000}"/>
    <cellStyle name="Percent 3 2 3 2 2 4" xfId="11604" xr:uid="{00000000-0005-0000-0000-000049980000}"/>
    <cellStyle name="Percent 3 2 3 2 2 4 2" xfId="31524" xr:uid="{00000000-0005-0000-0000-00004A980000}"/>
    <cellStyle name="Percent 3 2 3 2 2 5" xfId="17756" xr:uid="{00000000-0005-0000-0000-00004B980000}"/>
    <cellStyle name="Percent 3 2 3 2 2 5 2" xfId="37676" xr:uid="{00000000-0005-0000-0000-00004C980000}"/>
    <cellStyle name="Percent 3 2 3 2 2 6" xfId="25371" xr:uid="{00000000-0005-0000-0000-00004D980000}"/>
    <cellStyle name="Percent 3 2 3 2 3" xfId="6152" xr:uid="{00000000-0005-0000-0000-00004E980000}"/>
    <cellStyle name="Percent 3 2 3 2 3 2" xfId="9242" xr:uid="{00000000-0005-0000-0000-00004F980000}"/>
    <cellStyle name="Percent 3 2 3 2 3 2 2" xfId="15435" xr:uid="{00000000-0005-0000-0000-000050980000}"/>
    <cellStyle name="Percent 3 2 3 2 3 2 2 2" xfId="35355" xr:uid="{00000000-0005-0000-0000-000051980000}"/>
    <cellStyle name="Percent 3 2 3 2 3 2 3" xfId="21587" xr:uid="{00000000-0005-0000-0000-000052980000}"/>
    <cellStyle name="Percent 3 2 3 2 3 2 3 2" xfId="41507" xr:uid="{00000000-0005-0000-0000-000053980000}"/>
    <cellStyle name="Percent 3 2 3 2 3 2 4" xfId="29202" xr:uid="{00000000-0005-0000-0000-000054980000}"/>
    <cellStyle name="Percent 3 2 3 2 3 3" xfId="12369" xr:uid="{00000000-0005-0000-0000-000055980000}"/>
    <cellStyle name="Percent 3 2 3 2 3 3 2" xfId="32289" xr:uid="{00000000-0005-0000-0000-000056980000}"/>
    <cellStyle name="Percent 3 2 3 2 3 4" xfId="18521" xr:uid="{00000000-0005-0000-0000-000057980000}"/>
    <cellStyle name="Percent 3 2 3 2 3 4 2" xfId="38441" xr:uid="{00000000-0005-0000-0000-000058980000}"/>
    <cellStyle name="Percent 3 2 3 2 3 5" xfId="26136" xr:uid="{00000000-0005-0000-0000-000059980000}"/>
    <cellStyle name="Percent 3 2 3 2 4" xfId="7707" xr:uid="{00000000-0005-0000-0000-00005A980000}"/>
    <cellStyle name="Percent 3 2 3 2 4 2" xfId="13901" xr:uid="{00000000-0005-0000-0000-00005B980000}"/>
    <cellStyle name="Percent 3 2 3 2 4 2 2" xfId="33821" xr:uid="{00000000-0005-0000-0000-00005C980000}"/>
    <cellStyle name="Percent 3 2 3 2 4 3" xfId="20053" xr:uid="{00000000-0005-0000-0000-00005D980000}"/>
    <cellStyle name="Percent 3 2 3 2 4 3 2" xfId="39973" xr:uid="{00000000-0005-0000-0000-00005E980000}"/>
    <cellStyle name="Percent 3 2 3 2 4 4" xfId="27668" xr:uid="{00000000-0005-0000-0000-00005F980000}"/>
    <cellStyle name="Percent 3 2 3 2 5" xfId="10835" xr:uid="{00000000-0005-0000-0000-000060980000}"/>
    <cellStyle name="Percent 3 2 3 2 5 2" xfId="30755" xr:uid="{00000000-0005-0000-0000-000061980000}"/>
    <cellStyle name="Percent 3 2 3 2 6" xfId="16987" xr:uid="{00000000-0005-0000-0000-000062980000}"/>
    <cellStyle name="Percent 3 2 3 2 6 2" xfId="36907" xr:uid="{00000000-0005-0000-0000-000063980000}"/>
    <cellStyle name="Percent 3 2 3 2 7" xfId="24602" xr:uid="{00000000-0005-0000-0000-000064980000}"/>
    <cellStyle name="Percent 3 2 3 3" xfId="4265" xr:uid="{00000000-0005-0000-0000-000065980000}"/>
    <cellStyle name="Percent 3 2 3 3 2" xfId="5301" xr:uid="{00000000-0005-0000-0000-000066980000}"/>
    <cellStyle name="Percent 3 2 3 3 2 2" xfId="6926" xr:uid="{00000000-0005-0000-0000-000067980000}"/>
    <cellStyle name="Percent 3 2 3 3 2 2 2" xfId="10012" xr:uid="{00000000-0005-0000-0000-000068980000}"/>
    <cellStyle name="Percent 3 2 3 3 2 2 2 2" xfId="16205" xr:uid="{00000000-0005-0000-0000-000069980000}"/>
    <cellStyle name="Percent 3 2 3 3 2 2 2 2 2" xfId="36125" xr:uid="{00000000-0005-0000-0000-00006A980000}"/>
    <cellStyle name="Percent 3 2 3 3 2 2 2 3" xfId="22357" xr:uid="{00000000-0005-0000-0000-00006B980000}"/>
    <cellStyle name="Percent 3 2 3 3 2 2 2 3 2" xfId="42277" xr:uid="{00000000-0005-0000-0000-00006C980000}"/>
    <cellStyle name="Percent 3 2 3 3 2 2 2 4" xfId="29972" xr:uid="{00000000-0005-0000-0000-00006D980000}"/>
    <cellStyle name="Percent 3 2 3 3 2 2 3" xfId="13139" xr:uid="{00000000-0005-0000-0000-00006E980000}"/>
    <cellStyle name="Percent 3 2 3 3 2 2 3 2" xfId="33059" xr:uid="{00000000-0005-0000-0000-00006F980000}"/>
    <cellStyle name="Percent 3 2 3 3 2 2 4" xfId="19291" xr:uid="{00000000-0005-0000-0000-000070980000}"/>
    <cellStyle name="Percent 3 2 3 3 2 2 4 2" xfId="39211" xr:uid="{00000000-0005-0000-0000-000071980000}"/>
    <cellStyle name="Percent 3 2 3 3 2 2 5" xfId="26906" xr:uid="{00000000-0005-0000-0000-000072980000}"/>
    <cellStyle name="Percent 3 2 3 3 2 3" xfId="8477" xr:uid="{00000000-0005-0000-0000-000073980000}"/>
    <cellStyle name="Percent 3 2 3 3 2 3 2" xfId="14671" xr:uid="{00000000-0005-0000-0000-000074980000}"/>
    <cellStyle name="Percent 3 2 3 3 2 3 2 2" xfId="34591" xr:uid="{00000000-0005-0000-0000-000075980000}"/>
    <cellStyle name="Percent 3 2 3 3 2 3 3" xfId="20823" xr:uid="{00000000-0005-0000-0000-000076980000}"/>
    <cellStyle name="Percent 3 2 3 3 2 3 3 2" xfId="40743" xr:uid="{00000000-0005-0000-0000-000077980000}"/>
    <cellStyle name="Percent 3 2 3 3 2 3 4" xfId="28438" xr:uid="{00000000-0005-0000-0000-000078980000}"/>
    <cellStyle name="Percent 3 2 3 3 2 4" xfId="11605" xr:uid="{00000000-0005-0000-0000-000079980000}"/>
    <cellStyle name="Percent 3 2 3 3 2 4 2" xfId="31525" xr:uid="{00000000-0005-0000-0000-00007A980000}"/>
    <cellStyle name="Percent 3 2 3 3 2 5" xfId="17757" xr:uid="{00000000-0005-0000-0000-00007B980000}"/>
    <cellStyle name="Percent 3 2 3 3 2 5 2" xfId="37677" xr:uid="{00000000-0005-0000-0000-00007C980000}"/>
    <cellStyle name="Percent 3 2 3 3 2 6" xfId="25372" xr:uid="{00000000-0005-0000-0000-00007D980000}"/>
    <cellStyle name="Percent 3 2 3 3 3" xfId="6153" xr:uid="{00000000-0005-0000-0000-00007E980000}"/>
    <cellStyle name="Percent 3 2 3 3 3 2" xfId="9243" xr:uid="{00000000-0005-0000-0000-00007F980000}"/>
    <cellStyle name="Percent 3 2 3 3 3 2 2" xfId="15436" xr:uid="{00000000-0005-0000-0000-000080980000}"/>
    <cellStyle name="Percent 3 2 3 3 3 2 2 2" xfId="35356" xr:uid="{00000000-0005-0000-0000-000081980000}"/>
    <cellStyle name="Percent 3 2 3 3 3 2 3" xfId="21588" xr:uid="{00000000-0005-0000-0000-000082980000}"/>
    <cellStyle name="Percent 3 2 3 3 3 2 3 2" xfId="41508" xr:uid="{00000000-0005-0000-0000-000083980000}"/>
    <cellStyle name="Percent 3 2 3 3 3 2 4" xfId="29203" xr:uid="{00000000-0005-0000-0000-000084980000}"/>
    <cellStyle name="Percent 3 2 3 3 3 3" xfId="12370" xr:uid="{00000000-0005-0000-0000-000085980000}"/>
    <cellStyle name="Percent 3 2 3 3 3 3 2" xfId="32290" xr:uid="{00000000-0005-0000-0000-000086980000}"/>
    <cellStyle name="Percent 3 2 3 3 3 4" xfId="18522" xr:uid="{00000000-0005-0000-0000-000087980000}"/>
    <cellStyle name="Percent 3 2 3 3 3 4 2" xfId="38442" xr:uid="{00000000-0005-0000-0000-000088980000}"/>
    <cellStyle name="Percent 3 2 3 3 3 5" xfId="26137" xr:uid="{00000000-0005-0000-0000-000089980000}"/>
    <cellStyle name="Percent 3 2 3 3 4" xfId="7708" xr:uid="{00000000-0005-0000-0000-00008A980000}"/>
    <cellStyle name="Percent 3 2 3 3 4 2" xfId="13902" xr:uid="{00000000-0005-0000-0000-00008B980000}"/>
    <cellStyle name="Percent 3 2 3 3 4 2 2" xfId="33822" xr:uid="{00000000-0005-0000-0000-00008C980000}"/>
    <cellStyle name="Percent 3 2 3 3 4 3" xfId="20054" xr:uid="{00000000-0005-0000-0000-00008D980000}"/>
    <cellStyle name="Percent 3 2 3 3 4 3 2" xfId="39974" xr:uid="{00000000-0005-0000-0000-00008E980000}"/>
    <cellStyle name="Percent 3 2 3 3 4 4" xfId="27669" xr:uid="{00000000-0005-0000-0000-00008F980000}"/>
    <cellStyle name="Percent 3 2 3 3 5" xfId="10836" xr:uid="{00000000-0005-0000-0000-000090980000}"/>
    <cellStyle name="Percent 3 2 3 3 5 2" xfId="30756" xr:uid="{00000000-0005-0000-0000-000091980000}"/>
    <cellStyle name="Percent 3 2 3 3 6" xfId="16988" xr:uid="{00000000-0005-0000-0000-000092980000}"/>
    <cellStyle name="Percent 3 2 3 3 6 2" xfId="36908" xr:uid="{00000000-0005-0000-0000-000093980000}"/>
    <cellStyle name="Percent 3 2 3 3 7" xfId="24603" xr:uid="{00000000-0005-0000-0000-000094980000}"/>
    <cellStyle name="Percent 3 2 3 4" xfId="4266" xr:uid="{00000000-0005-0000-0000-000095980000}"/>
    <cellStyle name="Percent 3 2 3 4 2" xfId="5302" xr:uid="{00000000-0005-0000-0000-000096980000}"/>
    <cellStyle name="Percent 3 2 3 4 2 2" xfId="6927" xr:uid="{00000000-0005-0000-0000-000097980000}"/>
    <cellStyle name="Percent 3 2 3 4 2 2 2" xfId="10013" xr:uid="{00000000-0005-0000-0000-000098980000}"/>
    <cellStyle name="Percent 3 2 3 4 2 2 2 2" xfId="16206" xr:uid="{00000000-0005-0000-0000-000099980000}"/>
    <cellStyle name="Percent 3 2 3 4 2 2 2 2 2" xfId="36126" xr:uid="{00000000-0005-0000-0000-00009A980000}"/>
    <cellStyle name="Percent 3 2 3 4 2 2 2 3" xfId="22358" xr:uid="{00000000-0005-0000-0000-00009B980000}"/>
    <cellStyle name="Percent 3 2 3 4 2 2 2 3 2" xfId="42278" xr:uid="{00000000-0005-0000-0000-00009C980000}"/>
    <cellStyle name="Percent 3 2 3 4 2 2 2 4" xfId="29973" xr:uid="{00000000-0005-0000-0000-00009D980000}"/>
    <cellStyle name="Percent 3 2 3 4 2 2 3" xfId="13140" xr:uid="{00000000-0005-0000-0000-00009E980000}"/>
    <cellStyle name="Percent 3 2 3 4 2 2 3 2" xfId="33060" xr:uid="{00000000-0005-0000-0000-00009F980000}"/>
    <cellStyle name="Percent 3 2 3 4 2 2 4" xfId="19292" xr:uid="{00000000-0005-0000-0000-0000A0980000}"/>
    <cellStyle name="Percent 3 2 3 4 2 2 4 2" xfId="39212" xr:uid="{00000000-0005-0000-0000-0000A1980000}"/>
    <cellStyle name="Percent 3 2 3 4 2 2 5" xfId="26907" xr:uid="{00000000-0005-0000-0000-0000A2980000}"/>
    <cellStyle name="Percent 3 2 3 4 2 3" xfId="8478" xr:uid="{00000000-0005-0000-0000-0000A3980000}"/>
    <cellStyle name="Percent 3 2 3 4 2 3 2" xfId="14672" xr:uid="{00000000-0005-0000-0000-0000A4980000}"/>
    <cellStyle name="Percent 3 2 3 4 2 3 2 2" xfId="34592" xr:uid="{00000000-0005-0000-0000-0000A5980000}"/>
    <cellStyle name="Percent 3 2 3 4 2 3 3" xfId="20824" xr:uid="{00000000-0005-0000-0000-0000A6980000}"/>
    <cellStyle name="Percent 3 2 3 4 2 3 3 2" xfId="40744" xr:uid="{00000000-0005-0000-0000-0000A7980000}"/>
    <cellStyle name="Percent 3 2 3 4 2 3 4" xfId="28439" xr:uid="{00000000-0005-0000-0000-0000A8980000}"/>
    <cellStyle name="Percent 3 2 3 4 2 4" xfId="11606" xr:uid="{00000000-0005-0000-0000-0000A9980000}"/>
    <cellStyle name="Percent 3 2 3 4 2 4 2" xfId="31526" xr:uid="{00000000-0005-0000-0000-0000AA980000}"/>
    <cellStyle name="Percent 3 2 3 4 2 5" xfId="17758" xr:uid="{00000000-0005-0000-0000-0000AB980000}"/>
    <cellStyle name="Percent 3 2 3 4 2 5 2" xfId="37678" xr:uid="{00000000-0005-0000-0000-0000AC980000}"/>
    <cellStyle name="Percent 3 2 3 4 2 6" xfId="25373" xr:uid="{00000000-0005-0000-0000-0000AD980000}"/>
    <cellStyle name="Percent 3 2 3 4 3" xfId="6154" xr:uid="{00000000-0005-0000-0000-0000AE980000}"/>
    <cellStyle name="Percent 3 2 3 4 3 2" xfId="9244" xr:uid="{00000000-0005-0000-0000-0000AF980000}"/>
    <cellStyle name="Percent 3 2 3 4 3 2 2" xfId="15437" xr:uid="{00000000-0005-0000-0000-0000B0980000}"/>
    <cellStyle name="Percent 3 2 3 4 3 2 2 2" xfId="35357" xr:uid="{00000000-0005-0000-0000-0000B1980000}"/>
    <cellStyle name="Percent 3 2 3 4 3 2 3" xfId="21589" xr:uid="{00000000-0005-0000-0000-0000B2980000}"/>
    <cellStyle name="Percent 3 2 3 4 3 2 3 2" xfId="41509" xr:uid="{00000000-0005-0000-0000-0000B3980000}"/>
    <cellStyle name="Percent 3 2 3 4 3 2 4" xfId="29204" xr:uid="{00000000-0005-0000-0000-0000B4980000}"/>
    <cellStyle name="Percent 3 2 3 4 3 3" xfId="12371" xr:uid="{00000000-0005-0000-0000-0000B5980000}"/>
    <cellStyle name="Percent 3 2 3 4 3 3 2" xfId="32291" xr:uid="{00000000-0005-0000-0000-0000B6980000}"/>
    <cellStyle name="Percent 3 2 3 4 3 4" xfId="18523" xr:uid="{00000000-0005-0000-0000-0000B7980000}"/>
    <cellStyle name="Percent 3 2 3 4 3 4 2" xfId="38443" xr:uid="{00000000-0005-0000-0000-0000B8980000}"/>
    <cellStyle name="Percent 3 2 3 4 3 5" xfId="26138" xr:uid="{00000000-0005-0000-0000-0000B9980000}"/>
    <cellStyle name="Percent 3 2 3 4 4" xfId="7709" xr:uid="{00000000-0005-0000-0000-0000BA980000}"/>
    <cellStyle name="Percent 3 2 3 4 4 2" xfId="13903" xr:uid="{00000000-0005-0000-0000-0000BB980000}"/>
    <cellStyle name="Percent 3 2 3 4 4 2 2" xfId="33823" xr:uid="{00000000-0005-0000-0000-0000BC980000}"/>
    <cellStyle name="Percent 3 2 3 4 4 3" xfId="20055" xr:uid="{00000000-0005-0000-0000-0000BD980000}"/>
    <cellStyle name="Percent 3 2 3 4 4 3 2" xfId="39975" xr:uid="{00000000-0005-0000-0000-0000BE980000}"/>
    <cellStyle name="Percent 3 2 3 4 4 4" xfId="27670" xr:uid="{00000000-0005-0000-0000-0000BF980000}"/>
    <cellStyle name="Percent 3 2 3 4 5" xfId="10837" xr:uid="{00000000-0005-0000-0000-0000C0980000}"/>
    <cellStyle name="Percent 3 2 3 4 5 2" xfId="30757" xr:uid="{00000000-0005-0000-0000-0000C1980000}"/>
    <cellStyle name="Percent 3 2 3 4 6" xfId="16989" xr:uid="{00000000-0005-0000-0000-0000C2980000}"/>
    <cellStyle name="Percent 3 2 3 4 6 2" xfId="36909" xr:uid="{00000000-0005-0000-0000-0000C3980000}"/>
    <cellStyle name="Percent 3 2 3 4 7" xfId="24604" xr:uid="{00000000-0005-0000-0000-0000C4980000}"/>
    <cellStyle name="Percent 3 2 3 5" xfId="4267" xr:uid="{00000000-0005-0000-0000-0000C5980000}"/>
    <cellStyle name="Percent 3 2 3 5 2" xfId="5303" xr:uid="{00000000-0005-0000-0000-0000C6980000}"/>
    <cellStyle name="Percent 3 2 3 5 2 2" xfId="6928" xr:uid="{00000000-0005-0000-0000-0000C7980000}"/>
    <cellStyle name="Percent 3 2 3 5 2 2 2" xfId="10014" xr:uid="{00000000-0005-0000-0000-0000C8980000}"/>
    <cellStyle name="Percent 3 2 3 5 2 2 2 2" xfId="16207" xr:uid="{00000000-0005-0000-0000-0000C9980000}"/>
    <cellStyle name="Percent 3 2 3 5 2 2 2 2 2" xfId="36127" xr:uid="{00000000-0005-0000-0000-0000CA980000}"/>
    <cellStyle name="Percent 3 2 3 5 2 2 2 3" xfId="22359" xr:uid="{00000000-0005-0000-0000-0000CB980000}"/>
    <cellStyle name="Percent 3 2 3 5 2 2 2 3 2" xfId="42279" xr:uid="{00000000-0005-0000-0000-0000CC980000}"/>
    <cellStyle name="Percent 3 2 3 5 2 2 2 4" xfId="29974" xr:uid="{00000000-0005-0000-0000-0000CD980000}"/>
    <cellStyle name="Percent 3 2 3 5 2 2 3" xfId="13141" xr:uid="{00000000-0005-0000-0000-0000CE980000}"/>
    <cellStyle name="Percent 3 2 3 5 2 2 3 2" xfId="33061" xr:uid="{00000000-0005-0000-0000-0000CF980000}"/>
    <cellStyle name="Percent 3 2 3 5 2 2 4" xfId="19293" xr:uid="{00000000-0005-0000-0000-0000D0980000}"/>
    <cellStyle name="Percent 3 2 3 5 2 2 4 2" xfId="39213" xr:uid="{00000000-0005-0000-0000-0000D1980000}"/>
    <cellStyle name="Percent 3 2 3 5 2 2 5" xfId="26908" xr:uid="{00000000-0005-0000-0000-0000D2980000}"/>
    <cellStyle name="Percent 3 2 3 5 2 3" xfId="8479" xr:uid="{00000000-0005-0000-0000-0000D3980000}"/>
    <cellStyle name="Percent 3 2 3 5 2 3 2" xfId="14673" xr:uid="{00000000-0005-0000-0000-0000D4980000}"/>
    <cellStyle name="Percent 3 2 3 5 2 3 2 2" xfId="34593" xr:uid="{00000000-0005-0000-0000-0000D5980000}"/>
    <cellStyle name="Percent 3 2 3 5 2 3 3" xfId="20825" xr:uid="{00000000-0005-0000-0000-0000D6980000}"/>
    <cellStyle name="Percent 3 2 3 5 2 3 3 2" xfId="40745" xr:uid="{00000000-0005-0000-0000-0000D7980000}"/>
    <cellStyle name="Percent 3 2 3 5 2 3 4" xfId="28440" xr:uid="{00000000-0005-0000-0000-0000D8980000}"/>
    <cellStyle name="Percent 3 2 3 5 2 4" xfId="11607" xr:uid="{00000000-0005-0000-0000-0000D9980000}"/>
    <cellStyle name="Percent 3 2 3 5 2 4 2" xfId="31527" xr:uid="{00000000-0005-0000-0000-0000DA980000}"/>
    <cellStyle name="Percent 3 2 3 5 2 5" xfId="17759" xr:uid="{00000000-0005-0000-0000-0000DB980000}"/>
    <cellStyle name="Percent 3 2 3 5 2 5 2" xfId="37679" xr:uid="{00000000-0005-0000-0000-0000DC980000}"/>
    <cellStyle name="Percent 3 2 3 5 2 6" xfId="25374" xr:uid="{00000000-0005-0000-0000-0000DD980000}"/>
    <cellStyle name="Percent 3 2 3 5 3" xfId="6155" xr:uid="{00000000-0005-0000-0000-0000DE980000}"/>
    <cellStyle name="Percent 3 2 3 5 3 2" xfId="9245" xr:uid="{00000000-0005-0000-0000-0000DF980000}"/>
    <cellStyle name="Percent 3 2 3 5 3 2 2" xfId="15438" xr:uid="{00000000-0005-0000-0000-0000E0980000}"/>
    <cellStyle name="Percent 3 2 3 5 3 2 2 2" xfId="35358" xr:uid="{00000000-0005-0000-0000-0000E1980000}"/>
    <cellStyle name="Percent 3 2 3 5 3 2 3" xfId="21590" xr:uid="{00000000-0005-0000-0000-0000E2980000}"/>
    <cellStyle name="Percent 3 2 3 5 3 2 3 2" xfId="41510" xr:uid="{00000000-0005-0000-0000-0000E3980000}"/>
    <cellStyle name="Percent 3 2 3 5 3 2 4" xfId="29205" xr:uid="{00000000-0005-0000-0000-0000E4980000}"/>
    <cellStyle name="Percent 3 2 3 5 3 3" xfId="12372" xr:uid="{00000000-0005-0000-0000-0000E5980000}"/>
    <cellStyle name="Percent 3 2 3 5 3 3 2" xfId="32292" xr:uid="{00000000-0005-0000-0000-0000E6980000}"/>
    <cellStyle name="Percent 3 2 3 5 3 4" xfId="18524" xr:uid="{00000000-0005-0000-0000-0000E7980000}"/>
    <cellStyle name="Percent 3 2 3 5 3 4 2" xfId="38444" xr:uid="{00000000-0005-0000-0000-0000E8980000}"/>
    <cellStyle name="Percent 3 2 3 5 3 5" xfId="26139" xr:uid="{00000000-0005-0000-0000-0000E9980000}"/>
    <cellStyle name="Percent 3 2 3 5 4" xfId="7710" xr:uid="{00000000-0005-0000-0000-0000EA980000}"/>
    <cellStyle name="Percent 3 2 3 5 4 2" xfId="13904" xr:uid="{00000000-0005-0000-0000-0000EB980000}"/>
    <cellStyle name="Percent 3 2 3 5 4 2 2" xfId="33824" xr:uid="{00000000-0005-0000-0000-0000EC980000}"/>
    <cellStyle name="Percent 3 2 3 5 4 3" xfId="20056" xr:uid="{00000000-0005-0000-0000-0000ED980000}"/>
    <cellStyle name="Percent 3 2 3 5 4 3 2" xfId="39976" xr:uid="{00000000-0005-0000-0000-0000EE980000}"/>
    <cellStyle name="Percent 3 2 3 5 4 4" xfId="27671" xr:uid="{00000000-0005-0000-0000-0000EF980000}"/>
    <cellStyle name="Percent 3 2 3 5 5" xfId="10838" xr:uid="{00000000-0005-0000-0000-0000F0980000}"/>
    <cellStyle name="Percent 3 2 3 5 5 2" xfId="30758" xr:uid="{00000000-0005-0000-0000-0000F1980000}"/>
    <cellStyle name="Percent 3 2 3 5 6" xfId="16990" xr:uid="{00000000-0005-0000-0000-0000F2980000}"/>
    <cellStyle name="Percent 3 2 3 5 6 2" xfId="36910" xr:uid="{00000000-0005-0000-0000-0000F3980000}"/>
    <cellStyle name="Percent 3 2 3 5 7" xfId="24605" xr:uid="{00000000-0005-0000-0000-0000F4980000}"/>
    <cellStyle name="Percent 3 2 3 6" xfId="5299" xr:uid="{00000000-0005-0000-0000-0000F5980000}"/>
    <cellStyle name="Percent 3 2 3 6 2" xfId="6924" xr:uid="{00000000-0005-0000-0000-0000F6980000}"/>
    <cellStyle name="Percent 3 2 3 6 2 2" xfId="10010" xr:uid="{00000000-0005-0000-0000-0000F7980000}"/>
    <cellStyle name="Percent 3 2 3 6 2 2 2" xfId="16203" xr:uid="{00000000-0005-0000-0000-0000F8980000}"/>
    <cellStyle name="Percent 3 2 3 6 2 2 2 2" xfId="36123" xr:uid="{00000000-0005-0000-0000-0000F9980000}"/>
    <cellStyle name="Percent 3 2 3 6 2 2 3" xfId="22355" xr:uid="{00000000-0005-0000-0000-0000FA980000}"/>
    <cellStyle name="Percent 3 2 3 6 2 2 3 2" xfId="42275" xr:uid="{00000000-0005-0000-0000-0000FB980000}"/>
    <cellStyle name="Percent 3 2 3 6 2 2 4" xfId="29970" xr:uid="{00000000-0005-0000-0000-0000FC980000}"/>
    <cellStyle name="Percent 3 2 3 6 2 3" xfId="13137" xr:uid="{00000000-0005-0000-0000-0000FD980000}"/>
    <cellStyle name="Percent 3 2 3 6 2 3 2" xfId="33057" xr:uid="{00000000-0005-0000-0000-0000FE980000}"/>
    <cellStyle name="Percent 3 2 3 6 2 4" xfId="19289" xr:uid="{00000000-0005-0000-0000-0000FF980000}"/>
    <cellStyle name="Percent 3 2 3 6 2 4 2" xfId="39209" xr:uid="{00000000-0005-0000-0000-000000990000}"/>
    <cellStyle name="Percent 3 2 3 6 2 5" xfId="26904" xr:uid="{00000000-0005-0000-0000-000001990000}"/>
    <cellStyle name="Percent 3 2 3 6 3" xfId="8475" xr:uid="{00000000-0005-0000-0000-000002990000}"/>
    <cellStyle name="Percent 3 2 3 6 3 2" xfId="14669" xr:uid="{00000000-0005-0000-0000-000003990000}"/>
    <cellStyle name="Percent 3 2 3 6 3 2 2" xfId="34589" xr:uid="{00000000-0005-0000-0000-000004990000}"/>
    <cellStyle name="Percent 3 2 3 6 3 3" xfId="20821" xr:uid="{00000000-0005-0000-0000-000005990000}"/>
    <cellStyle name="Percent 3 2 3 6 3 3 2" xfId="40741" xr:uid="{00000000-0005-0000-0000-000006990000}"/>
    <cellStyle name="Percent 3 2 3 6 3 4" xfId="28436" xr:uid="{00000000-0005-0000-0000-000007990000}"/>
    <cellStyle name="Percent 3 2 3 6 4" xfId="11603" xr:uid="{00000000-0005-0000-0000-000008990000}"/>
    <cellStyle name="Percent 3 2 3 6 4 2" xfId="31523" xr:uid="{00000000-0005-0000-0000-000009990000}"/>
    <cellStyle name="Percent 3 2 3 6 5" xfId="17755" xr:uid="{00000000-0005-0000-0000-00000A990000}"/>
    <cellStyle name="Percent 3 2 3 6 5 2" xfId="37675" xr:uid="{00000000-0005-0000-0000-00000B990000}"/>
    <cellStyle name="Percent 3 2 3 6 6" xfId="25370" xr:uid="{00000000-0005-0000-0000-00000C990000}"/>
    <cellStyle name="Percent 3 2 3 7" xfId="6151" xr:uid="{00000000-0005-0000-0000-00000D990000}"/>
    <cellStyle name="Percent 3 2 3 7 2" xfId="9241" xr:uid="{00000000-0005-0000-0000-00000E990000}"/>
    <cellStyle name="Percent 3 2 3 7 2 2" xfId="15434" xr:uid="{00000000-0005-0000-0000-00000F990000}"/>
    <cellStyle name="Percent 3 2 3 7 2 2 2" xfId="35354" xr:uid="{00000000-0005-0000-0000-000010990000}"/>
    <cellStyle name="Percent 3 2 3 7 2 3" xfId="21586" xr:uid="{00000000-0005-0000-0000-000011990000}"/>
    <cellStyle name="Percent 3 2 3 7 2 3 2" xfId="41506" xr:uid="{00000000-0005-0000-0000-000012990000}"/>
    <cellStyle name="Percent 3 2 3 7 2 4" xfId="29201" xr:uid="{00000000-0005-0000-0000-000013990000}"/>
    <cellStyle name="Percent 3 2 3 7 3" xfId="12368" xr:uid="{00000000-0005-0000-0000-000014990000}"/>
    <cellStyle name="Percent 3 2 3 7 3 2" xfId="32288" xr:uid="{00000000-0005-0000-0000-000015990000}"/>
    <cellStyle name="Percent 3 2 3 7 4" xfId="18520" xr:uid="{00000000-0005-0000-0000-000016990000}"/>
    <cellStyle name="Percent 3 2 3 7 4 2" xfId="38440" xr:uid="{00000000-0005-0000-0000-000017990000}"/>
    <cellStyle name="Percent 3 2 3 7 5" xfId="26135" xr:uid="{00000000-0005-0000-0000-000018990000}"/>
    <cellStyle name="Percent 3 2 3 8" xfId="7706" xr:uid="{00000000-0005-0000-0000-000019990000}"/>
    <cellStyle name="Percent 3 2 3 8 2" xfId="13900" xr:uid="{00000000-0005-0000-0000-00001A990000}"/>
    <cellStyle name="Percent 3 2 3 8 2 2" xfId="33820" xr:uid="{00000000-0005-0000-0000-00001B990000}"/>
    <cellStyle name="Percent 3 2 3 8 3" xfId="20052" xr:uid="{00000000-0005-0000-0000-00001C990000}"/>
    <cellStyle name="Percent 3 2 3 8 3 2" xfId="39972" xr:uid="{00000000-0005-0000-0000-00001D990000}"/>
    <cellStyle name="Percent 3 2 3 8 4" xfId="27667" xr:uid="{00000000-0005-0000-0000-00001E990000}"/>
    <cellStyle name="Percent 3 2 3 9" xfId="10834" xr:uid="{00000000-0005-0000-0000-00001F990000}"/>
    <cellStyle name="Percent 3 2 3 9 2" xfId="30754" xr:uid="{00000000-0005-0000-0000-000020990000}"/>
    <cellStyle name="Percent 3 2 4" xfId="4268" xr:uid="{00000000-0005-0000-0000-000021990000}"/>
    <cellStyle name="Percent 3 2 4 2" xfId="4269" xr:uid="{00000000-0005-0000-0000-000022990000}"/>
    <cellStyle name="Percent 3 2 4 2 2" xfId="5305" xr:uid="{00000000-0005-0000-0000-000023990000}"/>
    <cellStyle name="Percent 3 2 4 2 2 2" xfId="6930" xr:uid="{00000000-0005-0000-0000-000024990000}"/>
    <cellStyle name="Percent 3 2 4 2 2 2 2" xfId="10016" xr:uid="{00000000-0005-0000-0000-000025990000}"/>
    <cellStyle name="Percent 3 2 4 2 2 2 2 2" xfId="16209" xr:uid="{00000000-0005-0000-0000-000026990000}"/>
    <cellStyle name="Percent 3 2 4 2 2 2 2 2 2" xfId="36129" xr:uid="{00000000-0005-0000-0000-000027990000}"/>
    <cellStyle name="Percent 3 2 4 2 2 2 2 3" xfId="22361" xr:uid="{00000000-0005-0000-0000-000028990000}"/>
    <cellStyle name="Percent 3 2 4 2 2 2 2 3 2" xfId="42281" xr:uid="{00000000-0005-0000-0000-000029990000}"/>
    <cellStyle name="Percent 3 2 4 2 2 2 2 4" xfId="29976" xr:uid="{00000000-0005-0000-0000-00002A990000}"/>
    <cellStyle name="Percent 3 2 4 2 2 2 3" xfId="13143" xr:uid="{00000000-0005-0000-0000-00002B990000}"/>
    <cellStyle name="Percent 3 2 4 2 2 2 3 2" xfId="33063" xr:uid="{00000000-0005-0000-0000-00002C990000}"/>
    <cellStyle name="Percent 3 2 4 2 2 2 4" xfId="19295" xr:uid="{00000000-0005-0000-0000-00002D990000}"/>
    <cellStyle name="Percent 3 2 4 2 2 2 4 2" xfId="39215" xr:uid="{00000000-0005-0000-0000-00002E990000}"/>
    <cellStyle name="Percent 3 2 4 2 2 2 5" xfId="26910" xr:uid="{00000000-0005-0000-0000-00002F990000}"/>
    <cellStyle name="Percent 3 2 4 2 2 3" xfId="8481" xr:uid="{00000000-0005-0000-0000-000030990000}"/>
    <cellStyle name="Percent 3 2 4 2 2 3 2" xfId="14675" xr:uid="{00000000-0005-0000-0000-000031990000}"/>
    <cellStyle name="Percent 3 2 4 2 2 3 2 2" xfId="34595" xr:uid="{00000000-0005-0000-0000-000032990000}"/>
    <cellStyle name="Percent 3 2 4 2 2 3 3" xfId="20827" xr:uid="{00000000-0005-0000-0000-000033990000}"/>
    <cellStyle name="Percent 3 2 4 2 2 3 3 2" xfId="40747" xr:uid="{00000000-0005-0000-0000-000034990000}"/>
    <cellStyle name="Percent 3 2 4 2 2 3 4" xfId="28442" xr:uid="{00000000-0005-0000-0000-000035990000}"/>
    <cellStyle name="Percent 3 2 4 2 2 4" xfId="11609" xr:uid="{00000000-0005-0000-0000-000036990000}"/>
    <cellStyle name="Percent 3 2 4 2 2 4 2" xfId="31529" xr:uid="{00000000-0005-0000-0000-000037990000}"/>
    <cellStyle name="Percent 3 2 4 2 2 5" xfId="17761" xr:uid="{00000000-0005-0000-0000-000038990000}"/>
    <cellStyle name="Percent 3 2 4 2 2 5 2" xfId="37681" xr:uid="{00000000-0005-0000-0000-000039990000}"/>
    <cellStyle name="Percent 3 2 4 2 2 6" xfId="25376" xr:uid="{00000000-0005-0000-0000-00003A990000}"/>
    <cellStyle name="Percent 3 2 4 2 3" xfId="6157" xr:uid="{00000000-0005-0000-0000-00003B990000}"/>
    <cellStyle name="Percent 3 2 4 2 3 2" xfId="9247" xr:uid="{00000000-0005-0000-0000-00003C990000}"/>
    <cellStyle name="Percent 3 2 4 2 3 2 2" xfId="15440" xr:uid="{00000000-0005-0000-0000-00003D990000}"/>
    <cellStyle name="Percent 3 2 4 2 3 2 2 2" xfId="35360" xr:uid="{00000000-0005-0000-0000-00003E990000}"/>
    <cellStyle name="Percent 3 2 4 2 3 2 3" xfId="21592" xr:uid="{00000000-0005-0000-0000-00003F990000}"/>
    <cellStyle name="Percent 3 2 4 2 3 2 3 2" xfId="41512" xr:uid="{00000000-0005-0000-0000-000040990000}"/>
    <cellStyle name="Percent 3 2 4 2 3 2 4" xfId="29207" xr:uid="{00000000-0005-0000-0000-000041990000}"/>
    <cellStyle name="Percent 3 2 4 2 3 3" xfId="12374" xr:uid="{00000000-0005-0000-0000-000042990000}"/>
    <cellStyle name="Percent 3 2 4 2 3 3 2" xfId="32294" xr:uid="{00000000-0005-0000-0000-000043990000}"/>
    <cellStyle name="Percent 3 2 4 2 3 4" xfId="18526" xr:uid="{00000000-0005-0000-0000-000044990000}"/>
    <cellStyle name="Percent 3 2 4 2 3 4 2" xfId="38446" xr:uid="{00000000-0005-0000-0000-000045990000}"/>
    <cellStyle name="Percent 3 2 4 2 3 5" xfId="26141" xr:uid="{00000000-0005-0000-0000-000046990000}"/>
    <cellStyle name="Percent 3 2 4 2 4" xfId="7712" xr:uid="{00000000-0005-0000-0000-000047990000}"/>
    <cellStyle name="Percent 3 2 4 2 4 2" xfId="13906" xr:uid="{00000000-0005-0000-0000-000048990000}"/>
    <cellStyle name="Percent 3 2 4 2 4 2 2" xfId="33826" xr:uid="{00000000-0005-0000-0000-000049990000}"/>
    <cellStyle name="Percent 3 2 4 2 4 3" xfId="20058" xr:uid="{00000000-0005-0000-0000-00004A990000}"/>
    <cellStyle name="Percent 3 2 4 2 4 3 2" xfId="39978" xr:uid="{00000000-0005-0000-0000-00004B990000}"/>
    <cellStyle name="Percent 3 2 4 2 4 4" xfId="27673" xr:uid="{00000000-0005-0000-0000-00004C990000}"/>
    <cellStyle name="Percent 3 2 4 2 5" xfId="10840" xr:uid="{00000000-0005-0000-0000-00004D990000}"/>
    <cellStyle name="Percent 3 2 4 2 5 2" xfId="30760" xr:uid="{00000000-0005-0000-0000-00004E990000}"/>
    <cellStyle name="Percent 3 2 4 2 6" xfId="16992" xr:uid="{00000000-0005-0000-0000-00004F990000}"/>
    <cellStyle name="Percent 3 2 4 2 6 2" xfId="36912" xr:uid="{00000000-0005-0000-0000-000050990000}"/>
    <cellStyle name="Percent 3 2 4 2 7" xfId="24607" xr:uid="{00000000-0005-0000-0000-000051990000}"/>
    <cellStyle name="Percent 3 2 4 3" xfId="5304" xr:uid="{00000000-0005-0000-0000-000052990000}"/>
    <cellStyle name="Percent 3 2 4 3 2" xfId="6929" xr:uid="{00000000-0005-0000-0000-000053990000}"/>
    <cellStyle name="Percent 3 2 4 3 2 2" xfId="10015" xr:uid="{00000000-0005-0000-0000-000054990000}"/>
    <cellStyle name="Percent 3 2 4 3 2 2 2" xfId="16208" xr:uid="{00000000-0005-0000-0000-000055990000}"/>
    <cellStyle name="Percent 3 2 4 3 2 2 2 2" xfId="36128" xr:uid="{00000000-0005-0000-0000-000056990000}"/>
    <cellStyle name="Percent 3 2 4 3 2 2 3" xfId="22360" xr:uid="{00000000-0005-0000-0000-000057990000}"/>
    <cellStyle name="Percent 3 2 4 3 2 2 3 2" xfId="42280" xr:uid="{00000000-0005-0000-0000-000058990000}"/>
    <cellStyle name="Percent 3 2 4 3 2 2 4" xfId="29975" xr:uid="{00000000-0005-0000-0000-000059990000}"/>
    <cellStyle name="Percent 3 2 4 3 2 3" xfId="13142" xr:uid="{00000000-0005-0000-0000-00005A990000}"/>
    <cellStyle name="Percent 3 2 4 3 2 3 2" xfId="33062" xr:uid="{00000000-0005-0000-0000-00005B990000}"/>
    <cellStyle name="Percent 3 2 4 3 2 4" xfId="19294" xr:uid="{00000000-0005-0000-0000-00005C990000}"/>
    <cellStyle name="Percent 3 2 4 3 2 4 2" xfId="39214" xr:uid="{00000000-0005-0000-0000-00005D990000}"/>
    <cellStyle name="Percent 3 2 4 3 2 5" xfId="26909" xr:uid="{00000000-0005-0000-0000-00005E990000}"/>
    <cellStyle name="Percent 3 2 4 3 3" xfId="8480" xr:uid="{00000000-0005-0000-0000-00005F990000}"/>
    <cellStyle name="Percent 3 2 4 3 3 2" xfId="14674" xr:uid="{00000000-0005-0000-0000-000060990000}"/>
    <cellStyle name="Percent 3 2 4 3 3 2 2" xfId="34594" xr:uid="{00000000-0005-0000-0000-000061990000}"/>
    <cellStyle name="Percent 3 2 4 3 3 3" xfId="20826" xr:uid="{00000000-0005-0000-0000-000062990000}"/>
    <cellStyle name="Percent 3 2 4 3 3 3 2" xfId="40746" xr:uid="{00000000-0005-0000-0000-000063990000}"/>
    <cellStyle name="Percent 3 2 4 3 3 4" xfId="28441" xr:uid="{00000000-0005-0000-0000-000064990000}"/>
    <cellStyle name="Percent 3 2 4 3 4" xfId="11608" xr:uid="{00000000-0005-0000-0000-000065990000}"/>
    <cellStyle name="Percent 3 2 4 3 4 2" xfId="31528" xr:uid="{00000000-0005-0000-0000-000066990000}"/>
    <cellStyle name="Percent 3 2 4 3 5" xfId="17760" xr:uid="{00000000-0005-0000-0000-000067990000}"/>
    <cellStyle name="Percent 3 2 4 3 5 2" xfId="37680" xr:uid="{00000000-0005-0000-0000-000068990000}"/>
    <cellStyle name="Percent 3 2 4 3 6" xfId="25375" xr:uid="{00000000-0005-0000-0000-000069990000}"/>
    <cellStyle name="Percent 3 2 4 4" xfId="6156" xr:uid="{00000000-0005-0000-0000-00006A990000}"/>
    <cellStyle name="Percent 3 2 4 4 2" xfId="9246" xr:uid="{00000000-0005-0000-0000-00006B990000}"/>
    <cellStyle name="Percent 3 2 4 4 2 2" xfId="15439" xr:uid="{00000000-0005-0000-0000-00006C990000}"/>
    <cellStyle name="Percent 3 2 4 4 2 2 2" xfId="35359" xr:uid="{00000000-0005-0000-0000-00006D990000}"/>
    <cellStyle name="Percent 3 2 4 4 2 3" xfId="21591" xr:uid="{00000000-0005-0000-0000-00006E990000}"/>
    <cellStyle name="Percent 3 2 4 4 2 3 2" xfId="41511" xr:uid="{00000000-0005-0000-0000-00006F990000}"/>
    <cellStyle name="Percent 3 2 4 4 2 4" xfId="29206" xr:uid="{00000000-0005-0000-0000-000070990000}"/>
    <cellStyle name="Percent 3 2 4 4 3" xfId="12373" xr:uid="{00000000-0005-0000-0000-000071990000}"/>
    <cellStyle name="Percent 3 2 4 4 3 2" xfId="32293" xr:uid="{00000000-0005-0000-0000-000072990000}"/>
    <cellStyle name="Percent 3 2 4 4 4" xfId="18525" xr:uid="{00000000-0005-0000-0000-000073990000}"/>
    <cellStyle name="Percent 3 2 4 4 4 2" xfId="38445" xr:uid="{00000000-0005-0000-0000-000074990000}"/>
    <cellStyle name="Percent 3 2 4 4 5" xfId="26140" xr:uid="{00000000-0005-0000-0000-000075990000}"/>
    <cellStyle name="Percent 3 2 4 5" xfId="7711" xr:uid="{00000000-0005-0000-0000-000076990000}"/>
    <cellStyle name="Percent 3 2 4 5 2" xfId="13905" xr:uid="{00000000-0005-0000-0000-000077990000}"/>
    <cellStyle name="Percent 3 2 4 5 2 2" xfId="33825" xr:uid="{00000000-0005-0000-0000-000078990000}"/>
    <cellStyle name="Percent 3 2 4 5 3" xfId="20057" xr:uid="{00000000-0005-0000-0000-000079990000}"/>
    <cellStyle name="Percent 3 2 4 5 3 2" xfId="39977" xr:uid="{00000000-0005-0000-0000-00007A990000}"/>
    <cellStyle name="Percent 3 2 4 5 4" xfId="27672" xr:uid="{00000000-0005-0000-0000-00007B990000}"/>
    <cellStyle name="Percent 3 2 4 6" xfId="10839" xr:uid="{00000000-0005-0000-0000-00007C990000}"/>
    <cellStyle name="Percent 3 2 4 6 2" xfId="30759" xr:uid="{00000000-0005-0000-0000-00007D990000}"/>
    <cellStyle name="Percent 3 2 4 7" xfId="16991" xr:uid="{00000000-0005-0000-0000-00007E990000}"/>
    <cellStyle name="Percent 3 2 4 7 2" xfId="36911" xr:uid="{00000000-0005-0000-0000-00007F990000}"/>
    <cellStyle name="Percent 3 2 4 8" xfId="24606" xr:uid="{00000000-0005-0000-0000-000080990000}"/>
    <cellStyle name="Percent 3 2 5" xfId="4270" xr:uid="{00000000-0005-0000-0000-000081990000}"/>
    <cellStyle name="Percent 3 2 5 2" xfId="4271" xr:uid="{00000000-0005-0000-0000-000082990000}"/>
    <cellStyle name="Percent 3 2 5 2 2" xfId="5307" xr:uid="{00000000-0005-0000-0000-000083990000}"/>
    <cellStyle name="Percent 3 2 5 2 2 2" xfId="6932" xr:uid="{00000000-0005-0000-0000-000084990000}"/>
    <cellStyle name="Percent 3 2 5 2 2 2 2" xfId="10018" xr:uid="{00000000-0005-0000-0000-000085990000}"/>
    <cellStyle name="Percent 3 2 5 2 2 2 2 2" xfId="16211" xr:uid="{00000000-0005-0000-0000-000086990000}"/>
    <cellStyle name="Percent 3 2 5 2 2 2 2 2 2" xfId="36131" xr:uid="{00000000-0005-0000-0000-000087990000}"/>
    <cellStyle name="Percent 3 2 5 2 2 2 2 3" xfId="22363" xr:uid="{00000000-0005-0000-0000-000088990000}"/>
    <cellStyle name="Percent 3 2 5 2 2 2 2 3 2" xfId="42283" xr:uid="{00000000-0005-0000-0000-000089990000}"/>
    <cellStyle name="Percent 3 2 5 2 2 2 2 4" xfId="29978" xr:uid="{00000000-0005-0000-0000-00008A990000}"/>
    <cellStyle name="Percent 3 2 5 2 2 2 3" xfId="13145" xr:uid="{00000000-0005-0000-0000-00008B990000}"/>
    <cellStyle name="Percent 3 2 5 2 2 2 3 2" xfId="33065" xr:uid="{00000000-0005-0000-0000-00008C990000}"/>
    <cellStyle name="Percent 3 2 5 2 2 2 4" xfId="19297" xr:uid="{00000000-0005-0000-0000-00008D990000}"/>
    <cellStyle name="Percent 3 2 5 2 2 2 4 2" xfId="39217" xr:uid="{00000000-0005-0000-0000-00008E990000}"/>
    <cellStyle name="Percent 3 2 5 2 2 2 5" xfId="26912" xr:uid="{00000000-0005-0000-0000-00008F990000}"/>
    <cellStyle name="Percent 3 2 5 2 2 3" xfId="8483" xr:uid="{00000000-0005-0000-0000-000090990000}"/>
    <cellStyle name="Percent 3 2 5 2 2 3 2" xfId="14677" xr:uid="{00000000-0005-0000-0000-000091990000}"/>
    <cellStyle name="Percent 3 2 5 2 2 3 2 2" xfId="34597" xr:uid="{00000000-0005-0000-0000-000092990000}"/>
    <cellStyle name="Percent 3 2 5 2 2 3 3" xfId="20829" xr:uid="{00000000-0005-0000-0000-000093990000}"/>
    <cellStyle name="Percent 3 2 5 2 2 3 3 2" xfId="40749" xr:uid="{00000000-0005-0000-0000-000094990000}"/>
    <cellStyle name="Percent 3 2 5 2 2 3 4" xfId="28444" xr:uid="{00000000-0005-0000-0000-000095990000}"/>
    <cellStyle name="Percent 3 2 5 2 2 4" xfId="11611" xr:uid="{00000000-0005-0000-0000-000096990000}"/>
    <cellStyle name="Percent 3 2 5 2 2 4 2" xfId="31531" xr:uid="{00000000-0005-0000-0000-000097990000}"/>
    <cellStyle name="Percent 3 2 5 2 2 5" xfId="17763" xr:uid="{00000000-0005-0000-0000-000098990000}"/>
    <cellStyle name="Percent 3 2 5 2 2 5 2" xfId="37683" xr:uid="{00000000-0005-0000-0000-000099990000}"/>
    <cellStyle name="Percent 3 2 5 2 2 6" xfId="25378" xr:uid="{00000000-0005-0000-0000-00009A990000}"/>
    <cellStyle name="Percent 3 2 5 2 3" xfId="6159" xr:uid="{00000000-0005-0000-0000-00009B990000}"/>
    <cellStyle name="Percent 3 2 5 2 3 2" xfId="9249" xr:uid="{00000000-0005-0000-0000-00009C990000}"/>
    <cellStyle name="Percent 3 2 5 2 3 2 2" xfId="15442" xr:uid="{00000000-0005-0000-0000-00009D990000}"/>
    <cellStyle name="Percent 3 2 5 2 3 2 2 2" xfId="35362" xr:uid="{00000000-0005-0000-0000-00009E990000}"/>
    <cellStyle name="Percent 3 2 5 2 3 2 3" xfId="21594" xr:uid="{00000000-0005-0000-0000-00009F990000}"/>
    <cellStyle name="Percent 3 2 5 2 3 2 3 2" xfId="41514" xr:uid="{00000000-0005-0000-0000-0000A0990000}"/>
    <cellStyle name="Percent 3 2 5 2 3 2 4" xfId="29209" xr:uid="{00000000-0005-0000-0000-0000A1990000}"/>
    <cellStyle name="Percent 3 2 5 2 3 3" xfId="12376" xr:uid="{00000000-0005-0000-0000-0000A2990000}"/>
    <cellStyle name="Percent 3 2 5 2 3 3 2" xfId="32296" xr:uid="{00000000-0005-0000-0000-0000A3990000}"/>
    <cellStyle name="Percent 3 2 5 2 3 4" xfId="18528" xr:uid="{00000000-0005-0000-0000-0000A4990000}"/>
    <cellStyle name="Percent 3 2 5 2 3 4 2" xfId="38448" xr:uid="{00000000-0005-0000-0000-0000A5990000}"/>
    <cellStyle name="Percent 3 2 5 2 3 5" xfId="26143" xr:uid="{00000000-0005-0000-0000-0000A6990000}"/>
    <cellStyle name="Percent 3 2 5 2 4" xfId="7714" xr:uid="{00000000-0005-0000-0000-0000A7990000}"/>
    <cellStyle name="Percent 3 2 5 2 4 2" xfId="13908" xr:uid="{00000000-0005-0000-0000-0000A8990000}"/>
    <cellStyle name="Percent 3 2 5 2 4 2 2" xfId="33828" xr:uid="{00000000-0005-0000-0000-0000A9990000}"/>
    <cellStyle name="Percent 3 2 5 2 4 3" xfId="20060" xr:uid="{00000000-0005-0000-0000-0000AA990000}"/>
    <cellStyle name="Percent 3 2 5 2 4 3 2" xfId="39980" xr:uid="{00000000-0005-0000-0000-0000AB990000}"/>
    <cellStyle name="Percent 3 2 5 2 4 4" xfId="27675" xr:uid="{00000000-0005-0000-0000-0000AC990000}"/>
    <cellStyle name="Percent 3 2 5 2 5" xfId="10842" xr:uid="{00000000-0005-0000-0000-0000AD990000}"/>
    <cellStyle name="Percent 3 2 5 2 5 2" xfId="30762" xr:uid="{00000000-0005-0000-0000-0000AE990000}"/>
    <cellStyle name="Percent 3 2 5 2 6" xfId="16994" xr:uid="{00000000-0005-0000-0000-0000AF990000}"/>
    <cellStyle name="Percent 3 2 5 2 6 2" xfId="36914" xr:uid="{00000000-0005-0000-0000-0000B0990000}"/>
    <cellStyle name="Percent 3 2 5 2 7" xfId="24609" xr:uid="{00000000-0005-0000-0000-0000B1990000}"/>
    <cellStyle name="Percent 3 2 5 3" xfId="5306" xr:uid="{00000000-0005-0000-0000-0000B2990000}"/>
    <cellStyle name="Percent 3 2 5 3 2" xfId="6931" xr:uid="{00000000-0005-0000-0000-0000B3990000}"/>
    <cellStyle name="Percent 3 2 5 3 2 2" xfId="10017" xr:uid="{00000000-0005-0000-0000-0000B4990000}"/>
    <cellStyle name="Percent 3 2 5 3 2 2 2" xfId="16210" xr:uid="{00000000-0005-0000-0000-0000B5990000}"/>
    <cellStyle name="Percent 3 2 5 3 2 2 2 2" xfId="36130" xr:uid="{00000000-0005-0000-0000-0000B6990000}"/>
    <cellStyle name="Percent 3 2 5 3 2 2 3" xfId="22362" xr:uid="{00000000-0005-0000-0000-0000B7990000}"/>
    <cellStyle name="Percent 3 2 5 3 2 2 3 2" xfId="42282" xr:uid="{00000000-0005-0000-0000-0000B8990000}"/>
    <cellStyle name="Percent 3 2 5 3 2 2 4" xfId="29977" xr:uid="{00000000-0005-0000-0000-0000B9990000}"/>
    <cellStyle name="Percent 3 2 5 3 2 3" xfId="13144" xr:uid="{00000000-0005-0000-0000-0000BA990000}"/>
    <cellStyle name="Percent 3 2 5 3 2 3 2" xfId="33064" xr:uid="{00000000-0005-0000-0000-0000BB990000}"/>
    <cellStyle name="Percent 3 2 5 3 2 4" xfId="19296" xr:uid="{00000000-0005-0000-0000-0000BC990000}"/>
    <cellStyle name="Percent 3 2 5 3 2 4 2" xfId="39216" xr:uid="{00000000-0005-0000-0000-0000BD990000}"/>
    <cellStyle name="Percent 3 2 5 3 2 5" xfId="26911" xr:uid="{00000000-0005-0000-0000-0000BE990000}"/>
    <cellStyle name="Percent 3 2 5 3 3" xfId="8482" xr:uid="{00000000-0005-0000-0000-0000BF990000}"/>
    <cellStyle name="Percent 3 2 5 3 3 2" xfId="14676" xr:uid="{00000000-0005-0000-0000-0000C0990000}"/>
    <cellStyle name="Percent 3 2 5 3 3 2 2" xfId="34596" xr:uid="{00000000-0005-0000-0000-0000C1990000}"/>
    <cellStyle name="Percent 3 2 5 3 3 3" xfId="20828" xr:uid="{00000000-0005-0000-0000-0000C2990000}"/>
    <cellStyle name="Percent 3 2 5 3 3 3 2" xfId="40748" xr:uid="{00000000-0005-0000-0000-0000C3990000}"/>
    <cellStyle name="Percent 3 2 5 3 3 4" xfId="28443" xr:uid="{00000000-0005-0000-0000-0000C4990000}"/>
    <cellStyle name="Percent 3 2 5 3 4" xfId="11610" xr:uid="{00000000-0005-0000-0000-0000C5990000}"/>
    <cellStyle name="Percent 3 2 5 3 4 2" xfId="31530" xr:uid="{00000000-0005-0000-0000-0000C6990000}"/>
    <cellStyle name="Percent 3 2 5 3 5" xfId="17762" xr:uid="{00000000-0005-0000-0000-0000C7990000}"/>
    <cellStyle name="Percent 3 2 5 3 5 2" xfId="37682" xr:uid="{00000000-0005-0000-0000-0000C8990000}"/>
    <cellStyle name="Percent 3 2 5 3 6" xfId="25377" xr:uid="{00000000-0005-0000-0000-0000C9990000}"/>
    <cellStyle name="Percent 3 2 5 4" xfId="6158" xr:uid="{00000000-0005-0000-0000-0000CA990000}"/>
    <cellStyle name="Percent 3 2 5 4 2" xfId="9248" xr:uid="{00000000-0005-0000-0000-0000CB990000}"/>
    <cellStyle name="Percent 3 2 5 4 2 2" xfId="15441" xr:uid="{00000000-0005-0000-0000-0000CC990000}"/>
    <cellStyle name="Percent 3 2 5 4 2 2 2" xfId="35361" xr:uid="{00000000-0005-0000-0000-0000CD990000}"/>
    <cellStyle name="Percent 3 2 5 4 2 3" xfId="21593" xr:uid="{00000000-0005-0000-0000-0000CE990000}"/>
    <cellStyle name="Percent 3 2 5 4 2 3 2" xfId="41513" xr:uid="{00000000-0005-0000-0000-0000CF990000}"/>
    <cellStyle name="Percent 3 2 5 4 2 4" xfId="29208" xr:uid="{00000000-0005-0000-0000-0000D0990000}"/>
    <cellStyle name="Percent 3 2 5 4 3" xfId="12375" xr:uid="{00000000-0005-0000-0000-0000D1990000}"/>
    <cellStyle name="Percent 3 2 5 4 3 2" xfId="32295" xr:uid="{00000000-0005-0000-0000-0000D2990000}"/>
    <cellStyle name="Percent 3 2 5 4 4" xfId="18527" xr:uid="{00000000-0005-0000-0000-0000D3990000}"/>
    <cellStyle name="Percent 3 2 5 4 4 2" xfId="38447" xr:uid="{00000000-0005-0000-0000-0000D4990000}"/>
    <cellStyle name="Percent 3 2 5 4 5" xfId="26142" xr:uid="{00000000-0005-0000-0000-0000D5990000}"/>
    <cellStyle name="Percent 3 2 5 5" xfId="7713" xr:uid="{00000000-0005-0000-0000-0000D6990000}"/>
    <cellStyle name="Percent 3 2 5 5 2" xfId="13907" xr:uid="{00000000-0005-0000-0000-0000D7990000}"/>
    <cellStyle name="Percent 3 2 5 5 2 2" xfId="33827" xr:uid="{00000000-0005-0000-0000-0000D8990000}"/>
    <cellStyle name="Percent 3 2 5 5 3" xfId="20059" xr:uid="{00000000-0005-0000-0000-0000D9990000}"/>
    <cellStyle name="Percent 3 2 5 5 3 2" xfId="39979" xr:uid="{00000000-0005-0000-0000-0000DA990000}"/>
    <cellStyle name="Percent 3 2 5 5 4" xfId="27674" xr:uid="{00000000-0005-0000-0000-0000DB990000}"/>
    <cellStyle name="Percent 3 2 5 6" xfId="10841" xr:uid="{00000000-0005-0000-0000-0000DC990000}"/>
    <cellStyle name="Percent 3 2 5 6 2" xfId="30761" xr:uid="{00000000-0005-0000-0000-0000DD990000}"/>
    <cellStyle name="Percent 3 2 5 7" xfId="16993" xr:uid="{00000000-0005-0000-0000-0000DE990000}"/>
    <cellStyle name="Percent 3 2 5 7 2" xfId="36913" xr:uid="{00000000-0005-0000-0000-0000DF990000}"/>
    <cellStyle name="Percent 3 2 5 8" xfId="24608" xr:uid="{00000000-0005-0000-0000-0000E0990000}"/>
    <cellStyle name="Percent 3 2 6" xfId="4272" xr:uid="{00000000-0005-0000-0000-0000E1990000}"/>
    <cellStyle name="Percent 3 2 6 2" xfId="4273" xr:uid="{00000000-0005-0000-0000-0000E2990000}"/>
    <cellStyle name="Percent 3 2 6 2 2" xfId="5309" xr:uid="{00000000-0005-0000-0000-0000E3990000}"/>
    <cellStyle name="Percent 3 2 6 2 2 2" xfId="6934" xr:uid="{00000000-0005-0000-0000-0000E4990000}"/>
    <cellStyle name="Percent 3 2 6 2 2 2 2" xfId="10020" xr:uid="{00000000-0005-0000-0000-0000E5990000}"/>
    <cellStyle name="Percent 3 2 6 2 2 2 2 2" xfId="16213" xr:uid="{00000000-0005-0000-0000-0000E6990000}"/>
    <cellStyle name="Percent 3 2 6 2 2 2 2 2 2" xfId="36133" xr:uid="{00000000-0005-0000-0000-0000E7990000}"/>
    <cellStyle name="Percent 3 2 6 2 2 2 2 3" xfId="22365" xr:uid="{00000000-0005-0000-0000-0000E8990000}"/>
    <cellStyle name="Percent 3 2 6 2 2 2 2 3 2" xfId="42285" xr:uid="{00000000-0005-0000-0000-0000E9990000}"/>
    <cellStyle name="Percent 3 2 6 2 2 2 2 4" xfId="29980" xr:uid="{00000000-0005-0000-0000-0000EA990000}"/>
    <cellStyle name="Percent 3 2 6 2 2 2 3" xfId="13147" xr:uid="{00000000-0005-0000-0000-0000EB990000}"/>
    <cellStyle name="Percent 3 2 6 2 2 2 3 2" xfId="33067" xr:uid="{00000000-0005-0000-0000-0000EC990000}"/>
    <cellStyle name="Percent 3 2 6 2 2 2 4" xfId="19299" xr:uid="{00000000-0005-0000-0000-0000ED990000}"/>
    <cellStyle name="Percent 3 2 6 2 2 2 4 2" xfId="39219" xr:uid="{00000000-0005-0000-0000-0000EE990000}"/>
    <cellStyle name="Percent 3 2 6 2 2 2 5" xfId="26914" xr:uid="{00000000-0005-0000-0000-0000EF990000}"/>
    <cellStyle name="Percent 3 2 6 2 2 3" xfId="8485" xr:uid="{00000000-0005-0000-0000-0000F0990000}"/>
    <cellStyle name="Percent 3 2 6 2 2 3 2" xfId="14679" xr:uid="{00000000-0005-0000-0000-0000F1990000}"/>
    <cellStyle name="Percent 3 2 6 2 2 3 2 2" xfId="34599" xr:uid="{00000000-0005-0000-0000-0000F2990000}"/>
    <cellStyle name="Percent 3 2 6 2 2 3 3" xfId="20831" xr:uid="{00000000-0005-0000-0000-0000F3990000}"/>
    <cellStyle name="Percent 3 2 6 2 2 3 3 2" xfId="40751" xr:uid="{00000000-0005-0000-0000-0000F4990000}"/>
    <cellStyle name="Percent 3 2 6 2 2 3 4" xfId="28446" xr:uid="{00000000-0005-0000-0000-0000F5990000}"/>
    <cellStyle name="Percent 3 2 6 2 2 4" xfId="11613" xr:uid="{00000000-0005-0000-0000-0000F6990000}"/>
    <cellStyle name="Percent 3 2 6 2 2 4 2" xfId="31533" xr:uid="{00000000-0005-0000-0000-0000F7990000}"/>
    <cellStyle name="Percent 3 2 6 2 2 5" xfId="17765" xr:uid="{00000000-0005-0000-0000-0000F8990000}"/>
    <cellStyle name="Percent 3 2 6 2 2 5 2" xfId="37685" xr:uid="{00000000-0005-0000-0000-0000F9990000}"/>
    <cellStyle name="Percent 3 2 6 2 2 6" xfId="25380" xr:uid="{00000000-0005-0000-0000-0000FA990000}"/>
    <cellStyle name="Percent 3 2 6 2 3" xfId="6161" xr:uid="{00000000-0005-0000-0000-0000FB990000}"/>
    <cellStyle name="Percent 3 2 6 2 3 2" xfId="9251" xr:uid="{00000000-0005-0000-0000-0000FC990000}"/>
    <cellStyle name="Percent 3 2 6 2 3 2 2" xfId="15444" xr:uid="{00000000-0005-0000-0000-0000FD990000}"/>
    <cellStyle name="Percent 3 2 6 2 3 2 2 2" xfId="35364" xr:uid="{00000000-0005-0000-0000-0000FE990000}"/>
    <cellStyle name="Percent 3 2 6 2 3 2 3" xfId="21596" xr:uid="{00000000-0005-0000-0000-0000FF990000}"/>
    <cellStyle name="Percent 3 2 6 2 3 2 3 2" xfId="41516" xr:uid="{00000000-0005-0000-0000-0000009A0000}"/>
    <cellStyle name="Percent 3 2 6 2 3 2 4" xfId="29211" xr:uid="{00000000-0005-0000-0000-0000019A0000}"/>
    <cellStyle name="Percent 3 2 6 2 3 3" xfId="12378" xr:uid="{00000000-0005-0000-0000-0000029A0000}"/>
    <cellStyle name="Percent 3 2 6 2 3 3 2" xfId="32298" xr:uid="{00000000-0005-0000-0000-0000039A0000}"/>
    <cellStyle name="Percent 3 2 6 2 3 4" xfId="18530" xr:uid="{00000000-0005-0000-0000-0000049A0000}"/>
    <cellStyle name="Percent 3 2 6 2 3 4 2" xfId="38450" xr:uid="{00000000-0005-0000-0000-0000059A0000}"/>
    <cellStyle name="Percent 3 2 6 2 3 5" xfId="26145" xr:uid="{00000000-0005-0000-0000-0000069A0000}"/>
    <cellStyle name="Percent 3 2 6 2 4" xfId="7716" xr:uid="{00000000-0005-0000-0000-0000079A0000}"/>
    <cellStyle name="Percent 3 2 6 2 4 2" xfId="13910" xr:uid="{00000000-0005-0000-0000-0000089A0000}"/>
    <cellStyle name="Percent 3 2 6 2 4 2 2" xfId="33830" xr:uid="{00000000-0005-0000-0000-0000099A0000}"/>
    <cellStyle name="Percent 3 2 6 2 4 3" xfId="20062" xr:uid="{00000000-0005-0000-0000-00000A9A0000}"/>
    <cellStyle name="Percent 3 2 6 2 4 3 2" xfId="39982" xr:uid="{00000000-0005-0000-0000-00000B9A0000}"/>
    <cellStyle name="Percent 3 2 6 2 4 4" xfId="27677" xr:uid="{00000000-0005-0000-0000-00000C9A0000}"/>
    <cellStyle name="Percent 3 2 6 2 5" xfId="10844" xr:uid="{00000000-0005-0000-0000-00000D9A0000}"/>
    <cellStyle name="Percent 3 2 6 2 5 2" xfId="30764" xr:uid="{00000000-0005-0000-0000-00000E9A0000}"/>
    <cellStyle name="Percent 3 2 6 2 6" xfId="16996" xr:uid="{00000000-0005-0000-0000-00000F9A0000}"/>
    <cellStyle name="Percent 3 2 6 2 6 2" xfId="36916" xr:uid="{00000000-0005-0000-0000-0000109A0000}"/>
    <cellStyle name="Percent 3 2 6 2 7" xfId="24611" xr:uid="{00000000-0005-0000-0000-0000119A0000}"/>
    <cellStyle name="Percent 3 2 6 3" xfId="5308" xr:uid="{00000000-0005-0000-0000-0000129A0000}"/>
    <cellStyle name="Percent 3 2 6 3 2" xfId="6933" xr:uid="{00000000-0005-0000-0000-0000139A0000}"/>
    <cellStyle name="Percent 3 2 6 3 2 2" xfId="10019" xr:uid="{00000000-0005-0000-0000-0000149A0000}"/>
    <cellStyle name="Percent 3 2 6 3 2 2 2" xfId="16212" xr:uid="{00000000-0005-0000-0000-0000159A0000}"/>
    <cellStyle name="Percent 3 2 6 3 2 2 2 2" xfId="36132" xr:uid="{00000000-0005-0000-0000-0000169A0000}"/>
    <cellStyle name="Percent 3 2 6 3 2 2 3" xfId="22364" xr:uid="{00000000-0005-0000-0000-0000179A0000}"/>
    <cellStyle name="Percent 3 2 6 3 2 2 3 2" xfId="42284" xr:uid="{00000000-0005-0000-0000-0000189A0000}"/>
    <cellStyle name="Percent 3 2 6 3 2 2 4" xfId="29979" xr:uid="{00000000-0005-0000-0000-0000199A0000}"/>
    <cellStyle name="Percent 3 2 6 3 2 3" xfId="13146" xr:uid="{00000000-0005-0000-0000-00001A9A0000}"/>
    <cellStyle name="Percent 3 2 6 3 2 3 2" xfId="33066" xr:uid="{00000000-0005-0000-0000-00001B9A0000}"/>
    <cellStyle name="Percent 3 2 6 3 2 4" xfId="19298" xr:uid="{00000000-0005-0000-0000-00001C9A0000}"/>
    <cellStyle name="Percent 3 2 6 3 2 4 2" xfId="39218" xr:uid="{00000000-0005-0000-0000-00001D9A0000}"/>
    <cellStyle name="Percent 3 2 6 3 2 5" xfId="26913" xr:uid="{00000000-0005-0000-0000-00001E9A0000}"/>
    <cellStyle name="Percent 3 2 6 3 3" xfId="8484" xr:uid="{00000000-0005-0000-0000-00001F9A0000}"/>
    <cellStyle name="Percent 3 2 6 3 3 2" xfId="14678" xr:uid="{00000000-0005-0000-0000-0000209A0000}"/>
    <cellStyle name="Percent 3 2 6 3 3 2 2" xfId="34598" xr:uid="{00000000-0005-0000-0000-0000219A0000}"/>
    <cellStyle name="Percent 3 2 6 3 3 3" xfId="20830" xr:uid="{00000000-0005-0000-0000-0000229A0000}"/>
    <cellStyle name="Percent 3 2 6 3 3 3 2" xfId="40750" xr:uid="{00000000-0005-0000-0000-0000239A0000}"/>
    <cellStyle name="Percent 3 2 6 3 3 4" xfId="28445" xr:uid="{00000000-0005-0000-0000-0000249A0000}"/>
    <cellStyle name="Percent 3 2 6 3 4" xfId="11612" xr:uid="{00000000-0005-0000-0000-0000259A0000}"/>
    <cellStyle name="Percent 3 2 6 3 4 2" xfId="31532" xr:uid="{00000000-0005-0000-0000-0000269A0000}"/>
    <cellStyle name="Percent 3 2 6 3 5" xfId="17764" xr:uid="{00000000-0005-0000-0000-0000279A0000}"/>
    <cellStyle name="Percent 3 2 6 3 5 2" xfId="37684" xr:uid="{00000000-0005-0000-0000-0000289A0000}"/>
    <cellStyle name="Percent 3 2 6 3 6" xfId="25379" xr:uid="{00000000-0005-0000-0000-0000299A0000}"/>
    <cellStyle name="Percent 3 2 6 4" xfId="6160" xr:uid="{00000000-0005-0000-0000-00002A9A0000}"/>
    <cellStyle name="Percent 3 2 6 4 2" xfId="9250" xr:uid="{00000000-0005-0000-0000-00002B9A0000}"/>
    <cellStyle name="Percent 3 2 6 4 2 2" xfId="15443" xr:uid="{00000000-0005-0000-0000-00002C9A0000}"/>
    <cellStyle name="Percent 3 2 6 4 2 2 2" xfId="35363" xr:uid="{00000000-0005-0000-0000-00002D9A0000}"/>
    <cellStyle name="Percent 3 2 6 4 2 3" xfId="21595" xr:uid="{00000000-0005-0000-0000-00002E9A0000}"/>
    <cellStyle name="Percent 3 2 6 4 2 3 2" xfId="41515" xr:uid="{00000000-0005-0000-0000-00002F9A0000}"/>
    <cellStyle name="Percent 3 2 6 4 2 4" xfId="29210" xr:uid="{00000000-0005-0000-0000-0000309A0000}"/>
    <cellStyle name="Percent 3 2 6 4 3" xfId="12377" xr:uid="{00000000-0005-0000-0000-0000319A0000}"/>
    <cellStyle name="Percent 3 2 6 4 3 2" xfId="32297" xr:uid="{00000000-0005-0000-0000-0000329A0000}"/>
    <cellStyle name="Percent 3 2 6 4 4" xfId="18529" xr:uid="{00000000-0005-0000-0000-0000339A0000}"/>
    <cellStyle name="Percent 3 2 6 4 4 2" xfId="38449" xr:uid="{00000000-0005-0000-0000-0000349A0000}"/>
    <cellStyle name="Percent 3 2 6 4 5" xfId="26144" xr:uid="{00000000-0005-0000-0000-0000359A0000}"/>
    <cellStyle name="Percent 3 2 6 5" xfId="7715" xr:uid="{00000000-0005-0000-0000-0000369A0000}"/>
    <cellStyle name="Percent 3 2 6 5 2" xfId="13909" xr:uid="{00000000-0005-0000-0000-0000379A0000}"/>
    <cellStyle name="Percent 3 2 6 5 2 2" xfId="33829" xr:uid="{00000000-0005-0000-0000-0000389A0000}"/>
    <cellStyle name="Percent 3 2 6 5 3" xfId="20061" xr:uid="{00000000-0005-0000-0000-0000399A0000}"/>
    <cellStyle name="Percent 3 2 6 5 3 2" xfId="39981" xr:uid="{00000000-0005-0000-0000-00003A9A0000}"/>
    <cellStyle name="Percent 3 2 6 5 4" xfId="27676" xr:uid="{00000000-0005-0000-0000-00003B9A0000}"/>
    <cellStyle name="Percent 3 2 6 6" xfId="10843" xr:uid="{00000000-0005-0000-0000-00003C9A0000}"/>
    <cellStyle name="Percent 3 2 6 6 2" xfId="30763" xr:uid="{00000000-0005-0000-0000-00003D9A0000}"/>
    <cellStyle name="Percent 3 2 6 7" xfId="16995" xr:uid="{00000000-0005-0000-0000-00003E9A0000}"/>
    <cellStyle name="Percent 3 2 6 7 2" xfId="36915" xr:uid="{00000000-0005-0000-0000-00003F9A0000}"/>
    <cellStyle name="Percent 3 2 6 8" xfId="24610" xr:uid="{00000000-0005-0000-0000-0000409A0000}"/>
    <cellStyle name="Percent 3 2 7" xfId="4274" xr:uid="{00000000-0005-0000-0000-0000419A0000}"/>
    <cellStyle name="Percent 3 2 7 2" xfId="5310" xr:uid="{00000000-0005-0000-0000-0000429A0000}"/>
    <cellStyle name="Percent 3 2 7 2 2" xfId="6935" xr:uid="{00000000-0005-0000-0000-0000439A0000}"/>
    <cellStyle name="Percent 3 2 7 2 2 2" xfId="10021" xr:uid="{00000000-0005-0000-0000-0000449A0000}"/>
    <cellStyle name="Percent 3 2 7 2 2 2 2" xfId="16214" xr:uid="{00000000-0005-0000-0000-0000459A0000}"/>
    <cellStyle name="Percent 3 2 7 2 2 2 2 2" xfId="36134" xr:uid="{00000000-0005-0000-0000-0000469A0000}"/>
    <cellStyle name="Percent 3 2 7 2 2 2 3" xfId="22366" xr:uid="{00000000-0005-0000-0000-0000479A0000}"/>
    <cellStyle name="Percent 3 2 7 2 2 2 3 2" xfId="42286" xr:uid="{00000000-0005-0000-0000-0000489A0000}"/>
    <cellStyle name="Percent 3 2 7 2 2 2 4" xfId="29981" xr:uid="{00000000-0005-0000-0000-0000499A0000}"/>
    <cellStyle name="Percent 3 2 7 2 2 3" xfId="13148" xr:uid="{00000000-0005-0000-0000-00004A9A0000}"/>
    <cellStyle name="Percent 3 2 7 2 2 3 2" xfId="33068" xr:uid="{00000000-0005-0000-0000-00004B9A0000}"/>
    <cellStyle name="Percent 3 2 7 2 2 4" xfId="19300" xr:uid="{00000000-0005-0000-0000-00004C9A0000}"/>
    <cellStyle name="Percent 3 2 7 2 2 4 2" xfId="39220" xr:uid="{00000000-0005-0000-0000-00004D9A0000}"/>
    <cellStyle name="Percent 3 2 7 2 2 5" xfId="26915" xr:uid="{00000000-0005-0000-0000-00004E9A0000}"/>
    <cellStyle name="Percent 3 2 7 2 3" xfId="8486" xr:uid="{00000000-0005-0000-0000-00004F9A0000}"/>
    <cellStyle name="Percent 3 2 7 2 3 2" xfId="14680" xr:uid="{00000000-0005-0000-0000-0000509A0000}"/>
    <cellStyle name="Percent 3 2 7 2 3 2 2" xfId="34600" xr:uid="{00000000-0005-0000-0000-0000519A0000}"/>
    <cellStyle name="Percent 3 2 7 2 3 3" xfId="20832" xr:uid="{00000000-0005-0000-0000-0000529A0000}"/>
    <cellStyle name="Percent 3 2 7 2 3 3 2" xfId="40752" xr:uid="{00000000-0005-0000-0000-0000539A0000}"/>
    <cellStyle name="Percent 3 2 7 2 3 4" xfId="28447" xr:uid="{00000000-0005-0000-0000-0000549A0000}"/>
    <cellStyle name="Percent 3 2 7 2 4" xfId="11614" xr:uid="{00000000-0005-0000-0000-0000559A0000}"/>
    <cellStyle name="Percent 3 2 7 2 4 2" xfId="31534" xr:uid="{00000000-0005-0000-0000-0000569A0000}"/>
    <cellStyle name="Percent 3 2 7 2 5" xfId="17766" xr:uid="{00000000-0005-0000-0000-0000579A0000}"/>
    <cellStyle name="Percent 3 2 7 2 5 2" xfId="37686" xr:uid="{00000000-0005-0000-0000-0000589A0000}"/>
    <cellStyle name="Percent 3 2 7 2 6" xfId="25381" xr:uid="{00000000-0005-0000-0000-0000599A0000}"/>
    <cellStyle name="Percent 3 2 7 3" xfId="6162" xr:uid="{00000000-0005-0000-0000-00005A9A0000}"/>
    <cellStyle name="Percent 3 2 7 3 2" xfId="9252" xr:uid="{00000000-0005-0000-0000-00005B9A0000}"/>
    <cellStyle name="Percent 3 2 7 3 2 2" xfId="15445" xr:uid="{00000000-0005-0000-0000-00005C9A0000}"/>
    <cellStyle name="Percent 3 2 7 3 2 2 2" xfId="35365" xr:uid="{00000000-0005-0000-0000-00005D9A0000}"/>
    <cellStyle name="Percent 3 2 7 3 2 3" xfId="21597" xr:uid="{00000000-0005-0000-0000-00005E9A0000}"/>
    <cellStyle name="Percent 3 2 7 3 2 3 2" xfId="41517" xr:uid="{00000000-0005-0000-0000-00005F9A0000}"/>
    <cellStyle name="Percent 3 2 7 3 2 4" xfId="29212" xr:uid="{00000000-0005-0000-0000-0000609A0000}"/>
    <cellStyle name="Percent 3 2 7 3 3" xfId="12379" xr:uid="{00000000-0005-0000-0000-0000619A0000}"/>
    <cellStyle name="Percent 3 2 7 3 3 2" xfId="32299" xr:uid="{00000000-0005-0000-0000-0000629A0000}"/>
    <cellStyle name="Percent 3 2 7 3 4" xfId="18531" xr:uid="{00000000-0005-0000-0000-0000639A0000}"/>
    <cellStyle name="Percent 3 2 7 3 4 2" xfId="38451" xr:uid="{00000000-0005-0000-0000-0000649A0000}"/>
    <cellStyle name="Percent 3 2 7 3 5" xfId="26146" xr:uid="{00000000-0005-0000-0000-0000659A0000}"/>
    <cellStyle name="Percent 3 2 7 4" xfId="7717" xr:uid="{00000000-0005-0000-0000-0000669A0000}"/>
    <cellStyle name="Percent 3 2 7 4 2" xfId="13911" xr:uid="{00000000-0005-0000-0000-0000679A0000}"/>
    <cellStyle name="Percent 3 2 7 4 2 2" xfId="33831" xr:uid="{00000000-0005-0000-0000-0000689A0000}"/>
    <cellStyle name="Percent 3 2 7 4 3" xfId="20063" xr:uid="{00000000-0005-0000-0000-0000699A0000}"/>
    <cellStyle name="Percent 3 2 7 4 3 2" xfId="39983" xr:uid="{00000000-0005-0000-0000-00006A9A0000}"/>
    <cellStyle name="Percent 3 2 7 4 4" xfId="27678" xr:uid="{00000000-0005-0000-0000-00006B9A0000}"/>
    <cellStyle name="Percent 3 2 7 5" xfId="10845" xr:uid="{00000000-0005-0000-0000-00006C9A0000}"/>
    <cellStyle name="Percent 3 2 7 5 2" xfId="30765" xr:uid="{00000000-0005-0000-0000-00006D9A0000}"/>
    <cellStyle name="Percent 3 2 7 6" xfId="16997" xr:uid="{00000000-0005-0000-0000-00006E9A0000}"/>
    <cellStyle name="Percent 3 2 7 6 2" xfId="36917" xr:uid="{00000000-0005-0000-0000-00006F9A0000}"/>
    <cellStyle name="Percent 3 2 7 7" xfId="24612" xr:uid="{00000000-0005-0000-0000-0000709A0000}"/>
    <cellStyle name="Percent 3 2 8" xfId="4275" xr:uid="{00000000-0005-0000-0000-0000719A0000}"/>
    <cellStyle name="Percent 3 2 8 2" xfId="5311" xr:uid="{00000000-0005-0000-0000-0000729A0000}"/>
    <cellStyle name="Percent 3 2 8 2 2" xfId="6936" xr:uid="{00000000-0005-0000-0000-0000739A0000}"/>
    <cellStyle name="Percent 3 2 8 2 2 2" xfId="10022" xr:uid="{00000000-0005-0000-0000-0000749A0000}"/>
    <cellStyle name="Percent 3 2 8 2 2 2 2" xfId="16215" xr:uid="{00000000-0005-0000-0000-0000759A0000}"/>
    <cellStyle name="Percent 3 2 8 2 2 2 2 2" xfId="36135" xr:uid="{00000000-0005-0000-0000-0000769A0000}"/>
    <cellStyle name="Percent 3 2 8 2 2 2 3" xfId="22367" xr:uid="{00000000-0005-0000-0000-0000779A0000}"/>
    <cellStyle name="Percent 3 2 8 2 2 2 3 2" xfId="42287" xr:uid="{00000000-0005-0000-0000-0000789A0000}"/>
    <cellStyle name="Percent 3 2 8 2 2 2 4" xfId="29982" xr:uid="{00000000-0005-0000-0000-0000799A0000}"/>
    <cellStyle name="Percent 3 2 8 2 2 3" xfId="13149" xr:uid="{00000000-0005-0000-0000-00007A9A0000}"/>
    <cellStyle name="Percent 3 2 8 2 2 3 2" xfId="33069" xr:uid="{00000000-0005-0000-0000-00007B9A0000}"/>
    <cellStyle name="Percent 3 2 8 2 2 4" xfId="19301" xr:uid="{00000000-0005-0000-0000-00007C9A0000}"/>
    <cellStyle name="Percent 3 2 8 2 2 4 2" xfId="39221" xr:uid="{00000000-0005-0000-0000-00007D9A0000}"/>
    <cellStyle name="Percent 3 2 8 2 2 5" xfId="26916" xr:uid="{00000000-0005-0000-0000-00007E9A0000}"/>
    <cellStyle name="Percent 3 2 8 2 3" xfId="8487" xr:uid="{00000000-0005-0000-0000-00007F9A0000}"/>
    <cellStyle name="Percent 3 2 8 2 3 2" xfId="14681" xr:uid="{00000000-0005-0000-0000-0000809A0000}"/>
    <cellStyle name="Percent 3 2 8 2 3 2 2" xfId="34601" xr:uid="{00000000-0005-0000-0000-0000819A0000}"/>
    <cellStyle name="Percent 3 2 8 2 3 3" xfId="20833" xr:uid="{00000000-0005-0000-0000-0000829A0000}"/>
    <cellStyle name="Percent 3 2 8 2 3 3 2" xfId="40753" xr:uid="{00000000-0005-0000-0000-0000839A0000}"/>
    <cellStyle name="Percent 3 2 8 2 3 4" xfId="28448" xr:uid="{00000000-0005-0000-0000-0000849A0000}"/>
    <cellStyle name="Percent 3 2 8 2 4" xfId="11615" xr:uid="{00000000-0005-0000-0000-0000859A0000}"/>
    <cellStyle name="Percent 3 2 8 2 4 2" xfId="31535" xr:uid="{00000000-0005-0000-0000-0000869A0000}"/>
    <cellStyle name="Percent 3 2 8 2 5" xfId="17767" xr:uid="{00000000-0005-0000-0000-0000879A0000}"/>
    <cellStyle name="Percent 3 2 8 2 5 2" xfId="37687" xr:uid="{00000000-0005-0000-0000-0000889A0000}"/>
    <cellStyle name="Percent 3 2 8 2 6" xfId="25382" xr:uid="{00000000-0005-0000-0000-0000899A0000}"/>
    <cellStyle name="Percent 3 2 8 3" xfId="6163" xr:uid="{00000000-0005-0000-0000-00008A9A0000}"/>
    <cellStyle name="Percent 3 2 8 3 2" xfId="9253" xr:uid="{00000000-0005-0000-0000-00008B9A0000}"/>
    <cellStyle name="Percent 3 2 8 3 2 2" xfId="15446" xr:uid="{00000000-0005-0000-0000-00008C9A0000}"/>
    <cellStyle name="Percent 3 2 8 3 2 2 2" xfId="35366" xr:uid="{00000000-0005-0000-0000-00008D9A0000}"/>
    <cellStyle name="Percent 3 2 8 3 2 3" xfId="21598" xr:uid="{00000000-0005-0000-0000-00008E9A0000}"/>
    <cellStyle name="Percent 3 2 8 3 2 3 2" xfId="41518" xr:uid="{00000000-0005-0000-0000-00008F9A0000}"/>
    <cellStyle name="Percent 3 2 8 3 2 4" xfId="29213" xr:uid="{00000000-0005-0000-0000-0000909A0000}"/>
    <cellStyle name="Percent 3 2 8 3 3" xfId="12380" xr:uid="{00000000-0005-0000-0000-0000919A0000}"/>
    <cellStyle name="Percent 3 2 8 3 3 2" xfId="32300" xr:uid="{00000000-0005-0000-0000-0000929A0000}"/>
    <cellStyle name="Percent 3 2 8 3 4" xfId="18532" xr:uid="{00000000-0005-0000-0000-0000939A0000}"/>
    <cellStyle name="Percent 3 2 8 3 4 2" xfId="38452" xr:uid="{00000000-0005-0000-0000-0000949A0000}"/>
    <cellStyle name="Percent 3 2 8 3 5" xfId="26147" xr:uid="{00000000-0005-0000-0000-0000959A0000}"/>
    <cellStyle name="Percent 3 2 8 4" xfId="7718" xr:uid="{00000000-0005-0000-0000-0000969A0000}"/>
    <cellStyle name="Percent 3 2 8 4 2" xfId="13912" xr:uid="{00000000-0005-0000-0000-0000979A0000}"/>
    <cellStyle name="Percent 3 2 8 4 2 2" xfId="33832" xr:uid="{00000000-0005-0000-0000-0000989A0000}"/>
    <cellStyle name="Percent 3 2 8 4 3" xfId="20064" xr:uid="{00000000-0005-0000-0000-0000999A0000}"/>
    <cellStyle name="Percent 3 2 8 4 3 2" xfId="39984" xr:uid="{00000000-0005-0000-0000-00009A9A0000}"/>
    <cellStyle name="Percent 3 2 8 4 4" xfId="27679" xr:uid="{00000000-0005-0000-0000-00009B9A0000}"/>
    <cellStyle name="Percent 3 2 8 5" xfId="10846" xr:uid="{00000000-0005-0000-0000-00009C9A0000}"/>
    <cellStyle name="Percent 3 2 8 5 2" xfId="30766" xr:uid="{00000000-0005-0000-0000-00009D9A0000}"/>
    <cellStyle name="Percent 3 2 8 6" xfId="16998" xr:uid="{00000000-0005-0000-0000-00009E9A0000}"/>
    <cellStyle name="Percent 3 2 8 6 2" xfId="36918" xr:uid="{00000000-0005-0000-0000-00009F9A0000}"/>
    <cellStyle name="Percent 3 2 8 7" xfId="24613" xr:uid="{00000000-0005-0000-0000-0000A09A0000}"/>
    <cellStyle name="Percent 3 2 9" xfId="4276" xr:uid="{00000000-0005-0000-0000-0000A19A0000}"/>
    <cellStyle name="Percent 3 2 9 2" xfId="5312" xr:uid="{00000000-0005-0000-0000-0000A29A0000}"/>
    <cellStyle name="Percent 3 2 9 2 2" xfId="6937" xr:uid="{00000000-0005-0000-0000-0000A39A0000}"/>
    <cellStyle name="Percent 3 2 9 2 2 2" xfId="10023" xr:uid="{00000000-0005-0000-0000-0000A49A0000}"/>
    <cellStyle name="Percent 3 2 9 2 2 2 2" xfId="16216" xr:uid="{00000000-0005-0000-0000-0000A59A0000}"/>
    <cellStyle name="Percent 3 2 9 2 2 2 2 2" xfId="36136" xr:uid="{00000000-0005-0000-0000-0000A69A0000}"/>
    <cellStyle name="Percent 3 2 9 2 2 2 3" xfId="22368" xr:uid="{00000000-0005-0000-0000-0000A79A0000}"/>
    <cellStyle name="Percent 3 2 9 2 2 2 3 2" xfId="42288" xr:uid="{00000000-0005-0000-0000-0000A89A0000}"/>
    <cellStyle name="Percent 3 2 9 2 2 2 4" xfId="29983" xr:uid="{00000000-0005-0000-0000-0000A99A0000}"/>
    <cellStyle name="Percent 3 2 9 2 2 3" xfId="13150" xr:uid="{00000000-0005-0000-0000-0000AA9A0000}"/>
    <cellStyle name="Percent 3 2 9 2 2 3 2" xfId="33070" xr:uid="{00000000-0005-0000-0000-0000AB9A0000}"/>
    <cellStyle name="Percent 3 2 9 2 2 4" xfId="19302" xr:uid="{00000000-0005-0000-0000-0000AC9A0000}"/>
    <cellStyle name="Percent 3 2 9 2 2 4 2" xfId="39222" xr:uid="{00000000-0005-0000-0000-0000AD9A0000}"/>
    <cellStyle name="Percent 3 2 9 2 2 5" xfId="26917" xr:uid="{00000000-0005-0000-0000-0000AE9A0000}"/>
    <cellStyle name="Percent 3 2 9 2 3" xfId="8488" xr:uid="{00000000-0005-0000-0000-0000AF9A0000}"/>
    <cellStyle name="Percent 3 2 9 2 3 2" xfId="14682" xr:uid="{00000000-0005-0000-0000-0000B09A0000}"/>
    <cellStyle name="Percent 3 2 9 2 3 2 2" xfId="34602" xr:uid="{00000000-0005-0000-0000-0000B19A0000}"/>
    <cellStyle name="Percent 3 2 9 2 3 3" xfId="20834" xr:uid="{00000000-0005-0000-0000-0000B29A0000}"/>
    <cellStyle name="Percent 3 2 9 2 3 3 2" xfId="40754" xr:uid="{00000000-0005-0000-0000-0000B39A0000}"/>
    <cellStyle name="Percent 3 2 9 2 3 4" xfId="28449" xr:uid="{00000000-0005-0000-0000-0000B49A0000}"/>
    <cellStyle name="Percent 3 2 9 2 4" xfId="11616" xr:uid="{00000000-0005-0000-0000-0000B59A0000}"/>
    <cellStyle name="Percent 3 2 9 2 4 2" xfId="31536" xr:uid="{00000000-0005-0000-0000-0000B69A0000}"/>
    <cellStyle name="Percent 3 2 9 2 5" xfId="17768" xr:uid="{00000000-0005-0000-0000-0000B79A0000}"/>
    <cellStyle name="Percent 3 2 9 2 5 2" xfId="37688" xr:uid="{00000000-0005-0000-0000-0000B89A0000}"/>
    <cellStyle name="Percent 3 2 9 2 6" xfId="25383" xr:uid="{00000000-0005-0000-0000-0000B99A0000}"/>
    <cellStyle name="Percent 3 2 9 3" xfId="6164" xr:uid="{00000000-0005-0000-0000-0000BA9A0000}"/>
    <cellStyle name="Percent 3 2 9 3 2" xfId="9254" xr:uid="{00000000-0005-0000-0000-0000BB9A0000}"/>
    <cellStyle name="Percent 3 2 9 3 2 2" xfId="15447" xr:uid="{00000000-0005-0000-0000-0000BC9A0000}"/>
    <cellStyle name="Percent 3 2 9 3 2 2 2" xfId="35367" xr:uid="{00000000-0005-0000-0000-0000BD9A0000}"/>
    <cellStyle name="Percent 3 2 9 3 2 3" xfId="21599" xr:uid="{00000000-0005-0000-0000-0000BE9A0000}"/>
    <cellStyle name="Percent 3 2 9 3 2 3 2" xfId="41519" xr:uid="{00000000-0005-0000-0000-0000BF9A0000}"/>
    <cellStyle name="Percent 3 2 9 3 2 4" xfId="29214" xr:uid="{00000000-0005-0000-0000-0000C09A0000}"/>
    <cellStyle name="Percent 3 2 9 3 3" xfId="12381" xr:uid="{00000000-0005-0000-0000-0000C19A0000}"/>
    <cellStyle name="Percent 3 2 9 3 3 2" xfId="32301" xr:uid="{00000000-0005-0000-0000-0000C29A0000}"/>
    <cellStyle name="Percent 3 2 9 3 4" xfId="18533" xr:uid="{00000000-0005-0000-0000-0000C39A0000}"/>
    <cellStyle name="Percent 3 2 9 3 4 2" xfId="38453" xr:uid="{00000000-0005-0000-0000-0000C49A0000}"/>
    <cellStyle name="Percent 3 2 9 3 5" xfId="26148" xr:uid="{00000000-0005-0000-0000-0000C59A0000}"/>
    <cellStyle name="Percent 3 2 9 4" xfId="7719" xr:uid="{00000000-0005-0000-0000-0000C69A0000}"/>
    <cellStyle name="Percent 3 2 9 4 2" xfId="13913" xr:uid="{00000000-0005-0000-0000-0000C79A0000}"/>
    <cellStyle name="Percent 3 2 9 4 2 2" xfId="33833" xr:uid="{00000000-0005-0000-0000-0000C89A0000}"/>
    <cellStyle name="Percent 3 2 9 4 3" xfId="20065" xr:uid="{00000000-0005-0000-0000-0000C99A0000}"/>
    <cellStyle name="Percent 3 2 9 4 3 2" xfId="39985" xr:uid="{00000000-0005-0000-0000-0000CA9A0000}"/>
    <cellStyle name="Percent 3 2 9 4 4" xfId="27680" xr:uid="{00000000-0005-0000-0000-0000CB9A0000}"/>
    <cellStyle name="Percent 3 2 9 5" xfId="10847" xr:uid="{00000000-0005-0000-0000-0000CC9A0000}"/>
    <cellStyle name="Percent 3 2 9 5 2" xfId="30767" xr:uid="{00000000-0005-0000-0000-0000CD9A0000}"/>
    <cellStyle name="Percent 3 2 9 6" xfId="16999" xr:uid="{00000000-0005-0000-0000-0000CE9A0000}"/>
    <cellStyle name="Percent 3 2 9 6 2" xfId="36919" xr:uid="{00000000-0005-0000-0000-0000CF9A0000}"/>
    <cellStyle name="Percent 3 2 9 7" xfId="24614" xr:uid="{00000000-0005-0000-0000-0000D09A0000}"/>
    <cellStyle name="Percent 3 20" xfId="424" xr:uid="{00000000-0005-0000-0000-0000D19A0000}"/>
    <cellStyle name="Percent 3 20 2" xfId="5313" xr:uid="{00000000-0005-0000-0000-0000D29A0000}"/>
    <cellStyle name="Percent 3 20 2 2" xfId="6938" xr:uid="{00000000-0005-0000-0000-0000D39A0000}"/>
    <cellStyle name="Percent 3 20 2 2 2" xfId="10024" xr:uid="{00000000-0005-0000-0000-0000D49A0000}"/>
    <cellStyle name="Percent 3 20 2 2 2 2" xfId="16217" xr:uid="{00000000-0005-0000-0000-0000D59A0000}"/>
    <cellStyle name="Percent 3 20 2 2 2 2 2" xfId="36137" xr:uid="{00000000-0005-0000-0000-0000D69A0000}"/>
    <cellStyle name="Percent 3 20 2 2 2 3" xfId="22369" xr:uid="{00000000-0005-0000-0000-0000D79A0000}"/>
    <cellStyle name="Percent 3 20 2 2 2 3 2" xfId="42289" xr:uid="{00000000-0005-0000-0000-0000D89A0000}"/>
    <cellStyle name="Percent 3 20 2 2 2 4" xfId="29984" xr:uid="{00000000-0005-0000-0000-0000D99A0000}"/>
    <cellStyle name="Percent 3 20 2 2 3" xfId="13151" xr:uid="{00000000-0005-0000-0000-0000DA9A0000}"/>
    <cellStyle name="Percent 3 20 2 2 3 2" xfId="33071" xr:uid="{00000000-0005-0000-0000-0000DB9A0000}"/>
    <cellStyle name="Percent 3 20 2 2 4" xfId="19303" xr:uid="{00000000-0005-0000-0000-0000DC9A0000}"/>
    <cellStyle name="Percent 3 20 2 2 4 2" xfId="39223" xr:uid="{00000000-0005-0000-0000-0000DD9A0000}"/>
    <cellStyle name="Percent 3 20 2 2 5" xfId="26918" xr:uid="{00000000-0005-0000-0000-0000DE9A0000}"/>
    <cellStyle name="Percent 3 20 2 3" xfId="8489" xr:uid="{00000000-0005-0000-0000-0000DF9A0000}"/>
    <cellStyle name="Percent 3 20 2 3 2" xfId="14683" xr:uid="{00000000-0005-0000-0000-0000E09A0000}"/>
    <cellStyle name="Percent 3 20 2 3 2 2" xfId="34603" xr:uid="{00000000-0005-0000-0000-0000E19A0000}"/>
    <cellStyle name="Percent 3 20 2 3 3" xfId="20835" xr:uid="{00000000-0005-0000-0000-0000E29A0000}"/>
    <cellStyle name="Percent 3 20 2 3 3 2" xfId="40755" xr:uid="{00000000-0005-0000-0000-0000E39A0000}"/>
    <cellStyle name="Percent 3 20 2 3 4" xfId="28450" xr:uid="{00000000-0005-0000-0000-0000E49A0000}"/>
    <cellStyle name="Percent 3 20 2 4" xfId="11617" xr:uid="{00000000-0005-0000-0000-0000E59A0000}"/>
    <cellStyle name="Percent 3 20 2 4 2" xfId="31537" xr:uid="{00000000-0005-0000-0000-0000E69A0000}"/>
    <cellStyle name="Percent 3 20 2 5" xfId="17769" xr:uid="{00000000-0005-0000-0000-0000E79A0000}"/>
    <cellStyle name="Percent 3 20 2 5 2" xfId="37689" xr:uid="{00000000-0005-0000-0000-0000E89A0000}"/>
    <cellStyle name="Percent 3 20 2 6" xfId="25384" xr:uid="{00000000-0005-0000-0000-0000E99A0000}"/>
    <cellStyle name="Percent 3 20 3" xfId="6165" xr:uid="{00000000-0005-0000-0000-0000EA9A0000}"/>
    <cellStyle name="Percent 3 20 3 2" xfId="9255" xr:uid="{00000000-0005-0000-0000-0000EB9A0000}"/>
    <cellStyle name="Percent 3 20 3 2 2" xfId="15448" xr:uid="{00000000-0005-0000-0000-0000EC9A0000}"/>
    <cellStyle name="Percent 3 20 3 2 2 2" xfId="35368" xr:uid="{00000000-0005-0000-0000-0000ED9A0000}"/>
    <cellStyle name="Percent 3 20 3 2 3" xfId="21600" xr:uid="{00000000-0005-0000-0000-0000EE9A0000}"/>
    <cellStyle name="Percent 3 20 3 2 3 2" xfId="41520" xr:uid="{00000000-0005-0000-0000-0000EF9A0000}"/>
    <cellStyle name="Percent 3 20 3 2 4" xfId="29215" xr:uid="{00000000-0005-0000-0000-0000F09A0000}"/>
    <cellStyle name="Percent 3 20 3 3" xfId="12382" xr:uid="{00000000-0005-0000-0000-0000F19A0000}"/>
    <cellStyle name="Percent 3 20 3 3 2" xfId="32302" xr:uid="{00000000-0005-0000-0000-0000F29A0000}"/>
    <cellStyle name="Percent 3 20 3 4" xfId="18534" xr:uid="{00000000-0005-0000-0000-0000F39A0000}"/>
    <cellStyle name="Percent 3 20 3 4 2" xfId="38454" xr:uid="{00000000-0005-0000-0000-0000F49A0000}"/>
    <cellStyle name="Percent 3 20 3 5" xfId="26149" xr:uid="{00000000-0005-0000-0000-0000F59A0000}"/>
    <cellStyle name="Percent 3 20 4" xfId="7720" xr:uid="{00000000-0005-0000-0000-0000F69A0000}"/>
    <cellStyle name="Percent 3 20 4 2" xfId="13914" xr:uid="{00000000-0005-0000-0000-0000F79A0000}"/>
    <cellStyle name="Percent 3 20 4 2 2" xfId="33834" xr:uid="{00000000-0005-0000-0000-0000F89A0000}"/>
    <cellStyle name="Percent 3 20 4 3" xfId="20066" xr:uid="{00000000-0005-0000-0000-0000F99A0000}"/>
    <cellStyle name="Percent 3 20 4 3 2" xfId="39986" xr:uid="{00000000-0005-0000-0000-0000FA9A0000}"/>
    <cellStyle name="Percent 3 20 4 4" xfId="27681" xr:uid="{00000000-0005-0000-0000-0000FB9A0000}"/>
    <cellStyle name="Percent 3 20 5" xfId="10848" xr:uid="{00000000-0005-0000-0000-0000FC9A0000}"/>
    <cellStyle name="Percent 3 20 5 2" xfId="30768" xr:uid="{00000000-0005-0000-0000-0000FD9A0000}"/>
    <cellStyle name="Percent 3 20 6" xfId="17000" xr:uid="{00000000-0005-0000-0000-0000FE9A0000}"/>
    <cellStyle name="Percent 3 20 6 2" xfId="36920" xr:uid="{00000000-0005-0000-0000-0000FF9A0000}"/>
    <cellStyle name="Percent 3 20 7" xfId="4277" xr:uid="{00000000-0005-0000-0000-0000009B0000}"/>
    <cellStyle name="Percent 3 20 7 2" xfId="24615" xr:uid="{00000000-0005-0000-0000-0000019B0000}"/>
    <cellStyle name="Percent 3 21" xfId="451" xr:uid="{00000000-0005-0000-0000-0000029B0000}"/>
    <cellStyle name="Percent 3 21 2" xfId="5314" xr:uid="{00000000-0005-0000-0000-0000039B0000}"/>
    <cellStyle name="Percent 3 21 2 2" xfId="6939" xr:uid="{00000000-0005-0000-0000-0000049B0000}"/>
    <cellStyle name="Percent 3 21 2 2 2" xfId="10025" xr:uid="{00000000-0005-0000-0000-0000059B0000}"/>
    <cellStyle name="Percent 3 21 2 2 2 2" xfId="16218" xr:uid="{00000000-0005-0000-0000-0000069B0000}"/>
    <cellStyle name="Percent 3 21 2 2 2 2 2" xfId="36138" xr:uid="{00000000-0005-0000-0000-0000079B0000}"/>
    <cellStyle name="Percent 3 21 2 2 2 3" xfId="22370" xr:uid="{00000000-0005-0000-0000-0000089B0000}"/>
    <cellStyle name="Percent 3 21 2 2 2 3 2" xfId="42290" xr:uid="{00000000-0005-0000-0000-0000099B0000}"/>
    <cellStyle name="Percent 3 21 2 2 2 4" xfId="29985" xr:uid="{00000000-0005-0000-0000-00000A9B0000}"/>
    <cellStyle name="Percent 3 21 2 2 3" xfId="13152" xr:uid="{00000000-0005-0000-0000-00000B9B0000}"/>
    <cellStyle name="Percent 3 21 2 2 3 2" xfId="33072" xr:uid="{00000000-0005-0000-0000-00000C9B0000}"/>
    <cellStyle name="Percent 3 21 2 2 4" xfId="19304" xr:uid="{00000000-0005-0000-0000-00000D9B0000}"/>
    <cellStyle name="Percent 3 21 2 2 4 2" xfId="39224" xr:uid="{00000000-0005-0000-0000-00000E9B0000}"/>
    <cellStyle name="Percent 3 21 2 2 5" xfId="26919" xr:uid="{00000000-0005-0000-0000-00000F9B0000}"/>
    <cellStyle name="Percent 3 21 2 3" xfId="8490" xr:uid="{00000000-0005-0000-0000-0000109B0000}"/>
    <cellStyle name="Percent 3 21 2 3 2" xfId="14684" xr:uid="{00000000-0005-0000-0000-0000119B0000}"/>
    <cellStyle name="Percent 3 21 2 3 2 2" xfId="34604" xr:uid="{00000000-0005-0000-0000-0000129B0000}"/>
    <cellStyle name="Percent 3 21 2 3 3" xfId="20836" xr:uid="{00000000-0005-0000-0000-0000139B0000}"/>
    <cellStyle name="Percent 3 21 2 3 3 2" xfId="40756" xr:uid="{00000000-0005-0000-0000-0000149B0000}"/>
    <cellStyle name="Percent 3 21 2 3 4" xfId="28451" xr:uid="{00000000-0005-0000-0000-0000159B0000}"/>
    <cellStyle name="Percent 3 21 2 4" xfId="11618" xr:uid="{00000000-0005-0000-0000-0000169B0000}"/>
    <cellStyle name="Percent 3 21 2 4 2" xfId="31538" xr:uid="{00000000-0005-0000-0000-0000179B0000}"/>
    <cellStyle name="Percent 3 21 2 5" xfId="17770" xr:uid="{00000000-0005-0000-0000-0000189B0000}"/>
    <cellStyle name="Percent 3 21 2 5 2" xfId="37690" xr:uid="{00000000-0005-0000-0000-0000199B0000}"/>
    <cellStyle name="Percent 3 21 2 6" xfId="25385" xr:uid="{00000000-0005-0000-0000-00001A9B0000}"/>
    <cellStyle name="Percent 3 21 3" xfId="6166" xr:uid="{00000000-0005-0000-0000-00001B9B0000}"/>
    <cellStyle name="Percent 3 21 3 2" xfId="9256" xr:uid="{00000000-0005-0000-0000-00001C9B0000}"/>
    <cellStyle name="Percent 3 21 3 2 2" xfId="15449" xr:uid="{00000000-0005-0000-0000-00001D9B0000}"/>
    <cellStyle name="Percent 3 21 3 2 2 2" xfId="35369" xr:uid="{00000000-0005-0000-0000-00001E9B0000}"/>
    <cellStyle name="Percent 3 21 3 2 3" xfId="21601" xr:uid="{00000000-0005-0000-0000-00001F9B0000}"/>
    <cellStyle name="Percent 3 21 3 2 3 2" xfId="41521" xr:uid="{00000000-0005-0000-0000-0000209B0000}"/>
    <cellStyle name="Percent 3 21 3 2 4" xfId="29216" xr:uid="{00000000-0005-0000-0000-0000219B0000}"/>
    <cellStyle name="Percent 3 21 3 3" xfId="12383" xr:uid="{00000000-0005-0000-0000-0000229B0000}"/>
    <cellStyle name="Percent 3 21 3 3 2" xfId="32303" xr:uid="{00000000-0005-0000-0000-0000239B0000}"/>
    <cellStyle name="Percent 3 21 3 4" xfId="18535" xr:uid="{00000000-0005-0000-0000-0000249B0000}"/>
    <cellStyle name="Percent 3 21 3 4 2" xfId="38455" xr:uid="{00000000-0005-0000-0000-0000259B0000}"/>
    <cellStyle name="Percent 3 21 3 5" xfId="26150" xr:uid="{00000000-0005-0000-0000-0000269B0000}"/>
    <cellStyle name="Percent 3 21 4" xfId="7721" xr:uid="{00000000-0005-0000-0000-0000279B0000}"/>
    <cellStyle name="Percent 3 21 4 2" xfId="13915" xr:uid="{00000000-0005-0000-0000-0000289B0000}"/>
    <cellStyle name="Percent 3 21 4 2 2" xfId="33835" xr:uid="{00000000-0005-0000-0000-0000299B0000}"/>
    <cellStyle name="Percent 3 21 4 3" xfId="20067" xr:uid="{00000000-0005-0000-0000-00002A9B0000}"/>
    <cellStyle name="Percent 3 21 4 3 2" xfId="39987" xr:uid="{00000000-0005-0000-0000-00002B9B0000}"/>
    <cellStyle name="Percent 3 21 4 4" xfId="27682" xr:uid="{00000000-0005-0000-0000-00002C9B0000}"/>
    <cellStyle name="Percent 3 21 5" xfId="10849" xr:uid="{00000000-0005-0000-0000-00002D9B0000}"/>
    <cellStyle name="Percent 3 21 5 2" xfId="30769" xr:uid="{00000000-0005-0000-0000-00002E9B0000}"/>
    <cellStyle name="Percent 3 21 6" xfId="17001" xr:uid="{00000000-0005-0000-0000-00002F9B0000}"/>
    <cellStyle name="Percent 3 21 6 2" xfId="36921" xr:uid="{00000000-0005-0000-0000-0000309B0000}"/>
    <cellStyle name="Percent 3 21 7" xfId="4278" xr:uid="{00000000-0005-0000-0000-0000319B0000}"/>
    <cellStyle name="Percent 3 21 7 2" xfId="24616" xr:uid="{00000000-0005-0000-0000-0000329B0000}"/>
    <cellStyle name="Percent 3 22" xfId="441" xr:uid="{00000000-0005-0000-0000-0000339B0000}"/>
    <cellStyle name="Percent 3 22 2" xfId="10118" xr:uid="{00000000-0005-0000-0000-0000349B0000}"/>
    <cellStyle name="Percent 3 23" xfId="349" xr:uid="{00000000-0005-0000-0000-0000359B0000}"/>
    <cellStyle name="Percent 3 24" xfId="561" xr:uid="{00000000-0005-0000-0000-0000369B0000}"/>
    <cellStyle name="Percent 3 25" xfId="587" xr:uid="{00000000-0005-0000-0000-0000379B0000}"/>
    <cellStyle name="Percent 3 26" xfId="593" xr:uid="{00000000-0005-0000-0000-0000389B0000}"/>
    <cellStyle name="Percent 3 27" xfId="621" xr:uid="{00000000-0005-0000-0000-0000399B0000}"/>
    <cellStyle name="Percent 3 28" xfId="647" xr:uid="{00000000-0005-0000-0000-00003A9B0000}"/>
    <cellStyle name="Percent 3 29" xfId="672" xr:uid="{00000000-0005-0000-0000-00003B9B0000}"/>
    <cellStyle name="Percent 3 3" xfId="32" xr:uid="{00000000-0005-0000-0000-00003C9B0000}"/>
    <cellStyle name="Percent 3 3 2" xfId="125" xr:uid="{00000000-0005-0000-0000-00003D9B0000}"/>
    <cellStyle name="Percent 3 3 2 2" xfId="5315" xr:uid="{00000000-0005-0000-0000-00003E9B0000}"/>
    <cellStyle name="Percent 3 3 2 2 2" xfId="6940" xr:uid="{00000000-0005-0000-0000-00003F9B0000}"/>
    <cellStyle name="Percent 3 3 2 2 2 2" xfId="10026" xr:uid="{00000000-0005-0000-0000-0000409B0000}"/>
    <cellStyle name="Percent 3 3 2 2 2 2 2" xfId="16219" xr:uid="{00000000-0005-0000-0000-0000419B0000}"/>
    <cellStyle name="Percent 3 3 2 2 2 2 2 2" xfId="36139" xr:uid="{00000000-0005-0000-0000-0000429B0000}"/>
    <cellStyle name="Percent 3 3 2 2 2 2 3" xfId="22371" xr:uid="{00000000-0005-0000-0000-0000439B0000}"/>
    <cellStyle name="Percent 3 3 2 2 2 2 3 2" xfId="42291" xr:uid="{00000000-0005-0000-0000-0000449B0000}"/>
    <cellStyle name="Percent 3 3 2 2 2 2 4" xfId="29986" xr:uid="{00000000-0005-0000-0000-0000459B0000}"/>
    <cellStyle name="Percent 3 3 2 2 2 3" xfId="13153" xr:uid="{00000000-0005-0000-0000-0000469B0000}"/>
    <cellStyle name="Percent 3 3 2 2 2 3 2" xfId="33073" xr:uid="{00000000-0005-0000-0000-0000479B0000}"/>
    <cellStyle name="Percent 3 3 2 2 2 4" xfId="19305" xr:uid="{00000000-0005-0000-0000-0000489B0000}"/>
    <cellStyle name="Percent 3 3 2 2 2 4 2" xfId="39225" xr:uid="{00000000-0005-0000-0000-0000499B0000}"/>
    <cellStyle name="Percent 3 3 2 2 2 5" xfId="26920" xr:uid="{00000000-0005-0000-0000-00004A9B0000}"/>
    <cellStyle name="Percent 3 3 2 2 3" xfId="8491" xr:uid="{00000000-0005-0000-0000-00004B9B0000}"/>
    <cellStyle name="Percent 3 3 2 2 3 2" xfId="14685" xr:uid="{00000000-0005-0000-0000-00004C9B0000}"/>
    <cellStyle name="Percent 3 3 2 2 3 2 2" xfId="34605" xr:uid="{00000000-0005-0000-0000-00004D9B0000}"/>
    <cellStyle name="Percent 3 3 2 2 3 3" xfId="20837" xr:uid="{00000000-0005-0000-0000-00004E9B0000}"/>
    <cellStyle name="Percent 3 3 2 2 3 3 2" xfId="40757" xr:uid="{00000000-0005-0000-0000-00004F9B0000}"/>
    <cellStyle name="Percent 3 3 2 2 3 4" xfId="28452" xr:uid="{00000000-0005-0000-0000-0000509B0000}"/>
    <cellStyle name="Percent 3 3 2 2 4" xfId="11619" xr:uid="{00000000-0005-0000-0000-0000519B0000}"/>
    <cellStyle name="Percent 3 3 2 2 4 2" xfId="31539" xr:uid="{00000000-0005-0000-0000-0000529B0000}"/>
    <cellStyle name="Percent 3 3 2 2 5" xfId="17771" xr:uid="{00000000-0005-0000-0000-0000539B0000}"/>
    <cellStyle name="Percent 3 3 2 2 5 2" xfId="37691" xr:uid="{00000000-0005-0000-0000-0000549B0000}"/>
    <cellStyle name="Percent 3 3 2 2 6" xfId="25386" xr:uid="{00000000-0005-0000-0000-0000559B0000}"/>
    <cellStyle name="Percent 3 3 2 3" xfId="6167" xr:uid="{00000000-0005-0000-0000-0000569B0000}"/>
    <cellStyle name="Percent 3 3 2 3 2" xfId="9257" xr:uid="{00000000-0005-0000-0000-0000579B0000}"/>
    <cellStyle name="Percent 3 3 2 3 2 2" xfId="15450" xr:uid="{00000000-0005-0000-0000-0000589B0000}"/>
    <cellStyle name="Percent 3 3 2 3 2 2 2" xfId="35370" xr:uid="{00000000-0005-0000-0000-0000599B0000}"/>
    <cellStyle name="Percent 3 3 2 3 2 3" xfId="21602" xr:uid="{00000000-0005-0000-0000-00005A9B0000}"/>
    <cellStyle name="Percent 3 3 2 3 2 3 2" xfId="41522" xr:uid="{00000000-0005-0000-0000-00005B9B0000}"/>
    <cellStyle name="Percent 3 3 2 3 2 4" xfId="29217" xr:uid="{00000000-0005-0000-0000-00005C9B0000}"/>
    <cellStyle name="Percent 3 3 2 3 3" xfId="12384" xr:uid="{00000000-0005-0000-0000-00005D9B0000}"/>
    <cellStyle name="Percent 3 3 2 3 3 2" xfId="32304" xr:uid="{00000000-0005-0000-0000-00005E9B0000}"/>
    <cellStyle name="Percent 3 3 2 3 4" xfId="18536" xr:uid="{00000000-0005-0000-0000-00005F9B0000}"/>
    <cellStyle name="Percent 3 3 2 3 4 2" xfId="38456" xr:uid="{00000000-0005-0000-0000-0000609B0000}"/>
    <cellStyle name="Percent 3 3 2 3 5" xfId="26151" xr:uid="{00000000-0005-0000-0000-0000619B0000}"/>
    <cellStyle name="Percent 3 3 2 4" xfId="7722" xr:uid="{00000000-0005-0000-0000-0000629B0000}"/>
    <cellStyle name="Percent 3 3 2 4 2" xfId="13916" xr:uid="{00000000-0005-0000-0000-0000639B0000}"/>
    <cellStyle name="Percent 3 3 2 4 2 2" xfId="33836" xr:uid="{00000000-0005-0000-0000-0000649B0000}"/>
    <cellStyle name="Percent 3 3 2 4 3" xfId="20068" xr:uid="{00000000-0005-0000-0000-0000659B0000}"/>
    <cellStyle name="Percent 3 3 2 4 3 2" xfId="39988" xr:uid="{00000000-0005-0000-0000-0000669B0000}"/>
    <cellStyle name="Percent 3 3 2 4 4" xfId="27683" xr:uid="{00000000-0005-0000-0000-0000679B0000}"/>
    <cellStyle name="Percent 3 3 2 5" xfId="10850" xr:uid="{00000000-0005-0000-0000-0000689B0000}"/>
    <cellStyle name="Percent 3 3 2 5 2" xfId="30770" xr:uid="{00000000-0005-0000-0000-0000699B0000}"/>
    <cellStyle name="Percent 3 3 2 6" xfId="17002" xr:uid="{00000000-0005-0000-0000-00006A9B0000}"/>
    <cellStyle name="Percent 3 3 2 6 2" xfId="36922" xr:uid="{00000000-0005-0000-0000-00006B9B0000}"/>
    <cellStyle name="Percent 3 3 2 7" xfId="4280" xr:uid="{00000000-0005-0000-0000-00006C9B0000}"/>
    <cellStyle name="Percent 3 3 2 7 2" xfId="24617" xr:uid="{00000000-0005-0000-0000-00006D9B0000}"/>
    <cellStyle name="Percent 3 3 3" xfId="4281" xr:uid="{00000000-0005-0000-0000-00006E9B0000}"/>
    <cellStyle name="Percent 3 3 3 2" xfId="5316" xr:uid="{00000000-0005-0000-0000-00006F9B0000}"/>
    <cellStyle name="Percent 3 3 3 2 2" xfId="6941" xr:uid="{00000000-0005-0000-0000-0000709B0000}"/>
    <cellStyle name="Percent 3 3 3 2 2 2" xfId="10027" xr:uid="{00000000-0005-0000-0000-0000719B0000}"/>
    <cellStyle name="Percent 3 3 3 2 2 2 2" xfId="16220" xr:uid="{00000000-0005-0000-0000-0000729B0000}"/>
    <cellStyle name="Percent 3 3 3 2 2 2 2 2" xfId="36140" xr:uid="{00000000-0005-0000-0000-0000739B0000}"/>
    <cellStyle name="Percent 3 3 3 2 2 2 3" xfId="22372" xr:uid="{00000000-0005-0000-0000-0000749B0000}"/>
    <cellStyle name="Percent 3 3 3 2 2 2 3 2" xfId="42292" xr:uid="{00000000-0005-0000-0000-0000759B0000}"/>
    <cellStyle name="Percent 3 3 3 2 2 2 4" xfId="29987" xr:uid="{00000000-0005-0000-0000-0000769B0000}"/>
    <cellStyle name="Percent 3 3 3 2 2 3" xfId="13154" xr:uid="{00000000-0005-0000-0000-0000779B0000}"/>
    <cellStyle name="Percent 3 3 3 2 2 3 2" xfId="33074" xr:uid="{00000000-0005-0000-0000-0000789B0000}"/>
    <cellStyle name="Percent 3 3 3 2 2 4" xfId="19306" xr:uid="{00000000-0005-0000-0000-0000799B0000}"/>
    <cellStyle name="Percent 3 3 3 2 2 4 2" xfId="39226" xr:uid="{00000000-0005-0000-0000-00007A9B0000}"/>
    <cellStyle name="Percent 3 3 3 2 2 5" xfId="26921" xr:uid="{00000000-0005-0000-0000-00007B9B0000}"/>
    <cellStyle name="Percent 3 3 3 2 3" xfId="8492" xr:uid="{00000000-0005-0000-0000-00007C9B0000}"/>
    <cellStyle name="Percent 3 3 3 2 3 2" xfId="14686" xr:uid="{00000000-0005-0000-0000-00007D9B0000}"/>
    <cellStyle name="Percent 3 3 3 2 3 2 2" xfId="34606" xr:uid="{00000000-0005-0000-0000-00007E9B0000}"/>
    <cellStyle name="Percent 3 3 3 2 3 3" xfId="20838" xr:uid="{00000000-0005-0000-0000-00007F9B0000}"/>
    <cellStyle name="Percent 3 3 3 2 3 3 2" xfId="40758" xr:uid="{00000000-0005-0000-0000-0000809B0000}"/>
    <cellStyle name="Percent 3 3 3 2 3 4" xfId="28453" xr:uid="{00000000-0005-0000-0000-0000819B0000}"/>
    <cellStyle name="Percent 3 3 3 2 4" xfId="11620" xr:uid="{00000000-0005-0000-0000-0000829B0000}"/>
    <cellStyle name="Percent 3 3 3 2 4 2" xfId="31540" xr:uid="{00000000-0005-0000-0000-0000839B0000}"/>
    <cellStyle name="Percent 3 3 3 2 5" xfId="17772" xr:uid="{00000000-0005-0000-0000-0000849B0000}"/>
    <cellStyle name="Percent 3 3 3 2 5 2" xfId="37692" xr:uid="{00000000-0005-0000-0000-0000859B0000}"/>
    <cellStyle name="Percent 3 3 3 2 6" xfId="25387" xr:uid="{00000000-0005-0000-0000-0000869B0000}"/>
    <cellStyle name="Percent 3 3 3 3" xfId="6168" xr:uid="{00000000-0005-0000-0000-0000879B0000}"/>
    <cellStyle name="Percent 3 3 3 3 2" xfId="9258" xr:uid="{00000000-0005-0000-0000-0000889B0000}"/>
    <cellStyle name="Percent 3 3 3 3 2 2" xfId="15451" xr:uid="{00000000-0005-0000-0000-0000899B0000}"/>
    <cellStyle name="Percent 3 3 3 3 2 2 2" xfId="35371" xr:uid="{00000000-0005-0000-0000-00008A9B0000}"/>
    <cellStyle name="Percent 3 3 3 3 2 3" xfId="21603" xr:uid="{00000000-0005-0000-0000-00008B9B0000}"/>
    <cellStyle name="Percent 3 3 3 3 2 3 2" xfId="41523" xr:uid="{00000000-0005-0000-0000-00008C9B0000}"/>
    <cellStyle name="Percent 3 3 3 3 2 4" xfId="29218" xr:uid="{00000000-0005-0000-0000-00008D9B0000}"/>
    <cellStyle name="Percent 3 3 3 3 3" xfId="12385" xr:uid="{00000000-0005-0000-0000-00008E9B0000}"/>
    <cellStyle name="Percent 3 3 3 3 3 2" xfId="32305" xr:uid="{00000000-0005-0000-0000-00008F9B0000}"/>
    <cellStyle name="Percent 3 3 3 3 4" xfId="18537" xr:uid="{00000000-0005-0000-0000-0000909B0000}"/>
    <cellStyle name="Percent 3 3 3 3 4 2" xfId="38457" xr:uid="{00000000-0005-0000-0000-0000919B0000}"/>
    <cellStyle name="Percent 3 3 3 3 5" xfId="26152" xr:uid="{00000000-0005-0000-0000-0000929B0000}"/>
    <cellStyle name="Percent 3 3 3 4" xfId="7723" xr:uid="{00000000-0005-0000-0000-0000939B0000}"/>
    <cellStyle name="Percent 3 3 3 4 2" xfId="13917" xr:uid="{00000000-0005-0000-0000-0000949B0000}"/>
    <cellStyle name="Percent 3 3 3 4 2 2" xfId="33837" xr:uid="{00000000-0005-0000-0000-0000959B0000}"/>
    <cellStyle name="Percent 3 3 3 4 3" xfId="20069" xr:uid="{00000000-0005-0000-0000-0000969B0000}"/>
    <cellStyle name="Percent 3 3 3 4 3 2" xfId="39989" xr:uid="{00000000-0005-0000-0000-0000979B0000}"/>
    <cellStyle name="Percent 3 3 3 4 4" xfId="27684" xr:uid="{00000000-0005-0000-0000-0000989B0000}"/>
    <cellStyle name="Percent 3 3 3 5" xfId="10851" xr:uid="{00000000-0005-0000-0000-0000999B0000}"/>
    <cellStyle name="Percent 3 3 3 5 2" xfId="30771" xr:uid="{00000000-0005-0000-0000-00009A9B0000}"/>
    <cellStyle name="Percent 3 3 3 6" xfId="17003" xr:uid="{00000000-0005-0000-0000-00009B9B0000}"/>
    <cellStyle name="Percent 3 3 3 6 2" xfId="36923" xr:uid="{00000000-0005-0000-0000-00009C9B0000}"/>
    <cellStyle name="Percent 3 3 3 7" xfId="24618" xr:uid="{00000000-0005-0000-0000-00009D9B0000}"/>
    <cellStyle name="Percent 3 3 4" xfId="4282" xr:uid="{00000000-0005-0000-0000-00009E9B0000}"/>
    <cellStyle name="Percent 3 3 4 2" xfId="5317" xr:uid="{00000000-0005-0000-0000-00009F9B0000}"/>
    <cellStyle name="Percent 3 3 4 2 2" xfId="6942" xr:uid="{00000000-0005-0000-0000-0000A09B0000}"/>
    <cellStyle name="Percent 3 3 4 2 2 2" xfId="10028" xr:uid="{00000000-0005-0000-0000-0000A19B0000}"/>
    <cellStyle name="Percent 3 3 4 2 2 2 2" xfId="16221" xr:uid="{00000000-0005-0000-0000-0000A29B0000}"/>
    <cellStyle name="Percent 3 3 4 2 2 2 2 2" xfId="36141" xr:uid="{00000000-0005-0000-0000-0000A39B0000}"/>
    <cellStyle name="Percent 3 3 4 2 2 2 3" xfId="22373" xr:uid="{00000000-0005-0000-0000-0000A49B0000}"/>
    <cellStyle name="Percent 3 3 4 2 2 2 3 2" xfId="42293" xr:uid="{00000000-0005-0000-0000-0000A59B0000}"/>
    <cellStyle name="Percent 3 3 4 2 2 2 4" xfId="29988" xr:uid="{00000000-0005-0000-0000-0000A69B0000}"/>
    <cellStyle name="Percent 3 3 4 2 2 3" xfId="13155" xr:uid="{00000000-0005-0000-0000-0000A79B0000}"/>
    <cellStyle name="Percent 3 3 4 2 2 3 2" xfId="33075" xr:uid="{00000000-0005-0000-0000-0000A89B0000}"/>
    <cellStyle name="Percent 3 3 4 2 2 4" xfId="19307" xr:uid="{00000000-0005-0000-0000-0000A99B0000}"/>
    <cellStyle name="Percent 3 3 4 2 2 4 2" xfId="39227" xr:uid="{00000000-0005-0000-0000-0000AA9B0000}"/>
    <cellStyle name="Percent 3 3 4 2 2 5" xfId="26922" xr:uid="{00000000-0005-0000-0000-0000AB9B0000}"/>
    <cellStyle name="Percent 3 3 4 2 3" xfId="8493" xr:uid="{00000000-0005-0000-0000-0000AC9B0000}"/>
    <cellStyle name="Percent 3 3 4 2 3 2" xfId="14687" xr:uid="{00000000-0005-0000-0000-0000AD9B0000}"/>
    <cellStyle name="Percent 3 3 4 2 3 2 2" xfId="34607" xr:uid="{00000000-0005-0000-0000-0000AE9B0000}"/>
    <cellStyle name="Percent 3 3 4 2 3 3" xfId="20839" xr:uid="{00000000-0005-0000-0000-0000AF9B0000}"/>
    <cellStyle name="Percent 3 3 4 2 3 3 2" xfId="40759" xr:uid="{00000000-0005-0000-0000-0000B09B0000}"/>
    <cellStyle name="Percent 3 3 4 2 3 4" xfId="28454" xr:uid="{00000000-0005-0000-0000-0000B19B0000}"/>
    <cellStyle name="Percent 3 3 4 2 4" xfId="11621" xr:uid="{00000000-0005-0000-0000-0000B29B0000}"/>
    <cellStyle name="Percent 3 3 4 2 4 2" xfId="31541" xr:uid="{00000000-0005-0000-0000-0000B39B0000}"/>
    <cellStyle name="Percent 3 3 4 2 5" xfId="17773" xr:uid="{00000000-0005-0000-0000-0000B49B0000}"/>
    <cellStyle name="Percent 3 3 4 2 5 2" xfId="37693" xr:uid="{00000000-0005-0000-0000-0000B59B0000}"/>
    <cellStyle name="Percent 3 3 4 2 6" xfId="25388" xr:uid="{00000000-0005-0000-0000-0000B69B0000}"/>
    <cellStyle name="Percent 3 3 4 3" xfId="6169" xr:uid="{00000000-0005-0000-0000-0000B79B0000}"/>
    <cellStyle name="Percent 3 3 4 3 2" xfId="9259" xr:uid="{00000000-0005-0000-0000-0000B89B0000}"/>
    <cellStyle name="Percent 3 3 4 3 2 2" xfId="15452" xr:uid="{00000000-0005-0000-0000-0000B99B0000}"/>
    <cellStyle name="Percent 3 3 4 3 2 2 2" xfId="35372" xr:uid="{00000000-0005-0000-0000-0000BA9B0000}"/>
    <cellStyle name="Percent 3 3 4 3 2 3" xfId="21604" xr:uid="{00000000-0005-0000-0000-0000BB9B0000}"/>
    <cellStyle name="Percent 3 3 4 3 2 3 2" xfId="41524" xr:uid="{00000000-0005-0000-0000-0000BC9B0000}"/>
    <cellStyle name="Percent 3 3 4 3 2 4" xfId="29219" xr:uid="{00000000-0005-0000-0000-0000BD9B0000}"/>
    <cellStyle name="Percent 3 3 4 3 3" xfId="12386" xr:uid="{00000000-0005-0000-0000-0000BE9B0000}"/>
    <cellStyle name="Percent 3 3 4 3 3 2" xfId="32306" xr:uid="{00000000-0005-0000-0000-0000BF9B0000}"/>
    <cellStyle name="Percent 3 3 4 3 4" xfId="18538" xr:uid="{00000000-0005-0000-0000-0000C09B0000}"/>
    <cellStyle name="Percent 3 3 4 3 4 2" xfId="38458" xr:uid="{00000000-0005-0000-0000-0000C19B0000}"/>
    <cellStyle name="Percent 3 3 4 3 5" xfId="26153" xr:uid="{00000000-0005-0000-0000-0000C29B0000}"/>
    <cellStyle name="Percent 3 3 4 4" xfId="7724" xr:uid="{00000000-0005-0000-0000-0000C39B0000}"/>
    <cellStyle name="Percent 3 3 4 4 2" xfId="13918" xr:uid="{00000000-0005-0000-0000-0000C49B0000}"/>
    <cellStyle name="Percent 3 3 4 4 2 2" xfId="33838" xr:uid="{00000000-0005-0000-0000-0000C59B0000}"/>
    <cellStyle name="Percent 3 3 4 4 3" xfId="20070" xr:uid="{00000000-0005-0000-0000-0000C69B0000}"/>
    <cellStyle name="Percent 3 3 4 4 3 2" xfId="39990" xr:uid="{00000000-0005-0000-0000-0000C79B0000}"/>
    <cellStyle name="Percent 3 3 4 4 4" xfId="27685" xr:uid="{00000000-0005-0000-0000-0000C89B0000}"/>
    <cellStyle name="Percent 3 3 4 5" xfId="10852" xr:uid="{00000000-0005-0000-0000-0000C99B0000}"/>
    <cellStyle name="Percent 3 3 4 5 2" xfId="30772" xr:uid="{00000000-0005-0000-0000-0000CA9B0000}"/>
    <cellStyle name="Percent 3 3 4 6" xfId="17004" xr:uid="{00000000-0005-0000-0000-0000CB9B0000}"/>
    <cellStyle name="Percent 3 3 4 6 2" xfId="36924" xr:uid="{00000000-0005-0000-0000-0000CC9B0000}"/>
    <cellStyle name="Percent 3 3 4 7" xfId="24619" xr:uid="{00000000-0005-0000-0000-0000CD9B0000}"/>
    <cellStyle name="Percent 3 3 5" xfId="4283" xr:uid="{00000000-0005-0000-0000-0000CE9B0000}"/>
    <cellStyle name="Percent 3 3 5 2" xfId="5318" xr:uid="{00000000-0005-0000-0000-0000CF9B0000}"/>
    <cellStyle name="Percent 3 3 5 2 2" xfId="6943" xr:uid="{00000000-0005-0000-0000-0000D09B0000}"/>
    <cellStyle name="Percent 3 3 5 2 2 2" xfId="10029" xr:uid="{00000000-0005-0000-0000-0000D19B0000}"/>
    <cellStyle name="Percent 3 3 5 2 2 2 2" xfId="16222" xr:uid="{00000000-0005-0000-0000-0000D29B0000}"/>
    <cellStyle name="Percent 3 3 5 2 2 2 2 2" xfId="36142" xr:uid="{00000000-0005-0000-0000-0000D39B0000}"/>
    <cellStyle name="Percent 3 3 5 2 2 2 3" xfId="22374" xr:uid="{00000000-0005-0000-0000-0000D49B0000}"/>
    <cellStyle name="Percent 3 3 5 2 2 2 3 2" xfId="42294" xr:uid="{00000000-0005-0000-0000-0000D59B0000}"/>
    <cellStyle name="Percent 3 3 5 2 2 2 4" xfId="29989" xr:uid="{00000000-0005-0000-0000-0000D69B0000}"/>
    <cellStyle name="Percent 3 3 5 2 2 3" xfId="13156" xr:uid="{00000000-0005-0000-0000-0000D79B0000}"/>
    <cellStyle name="Percent 3 3 5 2 2 3 2" xfId="33076" xr:uid="{00000000-0005-0000-0000-0000D89B0000}"/>
    <cellStyle name="Percent 3 3 5 2 2 4" xfId="19308" xr:uid="{00000000-0005-0000-0000-0000D99B0000}"/>
    <cellStyle name="Percent 3 3 5 2 2 4 2" xfId="39228" xr:uid="{00000000-0005-0000-0000-0000DA9B0000}"/>
    <cellStyle name="Percent 3 3 5 2 2 5" xfId="26923" xr:uid="{00000000-0005-0000-0000-0000DB9B0000}"/>
    <cellStyle name="Percent 3 3 5 2 3" xfId="8494" xr:uid="{00000000-0005-0000-0000-0000DC9B0000}"/>
    <cellStyle name="Percent 3 3 5 2 3 2" xfId="14688" xr:uid="{00000000-0005-0000-0000-0000DD9B0000}"/>
    <cellStyle name="Percent 3 3 5 2 3 2 2" xfId="34608" xr:uid="{00000000-0005-0000-0000-0000DE9B0000}"/>
    <cellStyle name="Percent 3 3 5 2 3 3" xfId="20840" xr:uid="{00000000-0005-0000-0000-0000DF9B0000}"/>
    <cellStyle name="Percent 3 3 5 2 3 3 2" xfId="40760" xr:uid="{00000000-0005-0000-0000-0000E09B0000}"/>
    <cellStyle name="Percent 3 3 5 2 3 4" xfId="28455" xr:uid="{00000000-0005-0000-0000-0000E19B0000}"/>
    <cellStyle name="Percent 3 3 5 2 4" xfId="11622" xr:uid="{00000000-0005-0000-0000-0000E29B0000}"/>
    <cellStyle name="Percent 3 3 5 2 4 2" xfId="31542" xr:uid="{00000000-0005-0000-0000-0000E39B0000}"/>
    <cellStyle name="Percent 3 3 5 2 5" xfId="17774" xr:uid="{00000000-0005-0000-0000-0000E49B0000}"/>
    <cellStyle name="Percent 3 3 5 2 5 2" xfId="37694" xr:uid="{00000000-0005-0000-0000-0000E59B0000}"/>
    <cellStyle name="Percent 3 3 5 2 6" xfId="25389" xr:uid="{00000000-0005-0000-0000-0000E69B0000}"/>
    <cellStyle name="Percent 3 3 5 3" xfId="6170" xr:uid="{00000000-0005-0000-0000-0000E79B0000}"/>
    <cellStyle name="Percent 3 3 5 3 2" xfId="9260" xr:uid="{00000000-0005-0000-0000-0000E89B0000}"/>
    <cellStyle name="Percent 3 3 5 3 2 2" xfId="15453" xr:uid="{00000000-0005-0000-0000-0000E99B0000}"/>
    <cellStyle name="Percent 3 3 5 3 2 2 2" xfId="35373" xr:uid="{00000000-0005-0000-0000-0000EA9B0000}"/>
    <cellStyle name="Percent 3 3 5 3 2 3" xfId="21605" xr:uid="{00000000-0005-0000-0000-0000EB9B0000}"/>
    <cellStyle name="Percent 3 3 5 3 2 3 2" xfId="41525" xr:uid="{00000000-0005-0000-0000-0000EC9B0000}"/>
    <cellStyle name="Percent 3 3 5 3 2 4" xfId="29220" xr:uid="{00000000-0005-0000-0000-0000ED9B0000}"/>
    <cellStyle name="Percent 3 3 5 3 3" xfId="12387" xr:uid="{00000000-0005-0000-0000-0000EE9B0000}"/>
    <cellStyle name="Percent 3 3 5 3 3 2" xfId="32307" xr:uid="{00000000-0005-0000-0000-0000EF9B0000}"/>
    <cellStyle name="Percent 3 3 5 3 4" xfId="18539" xr:uid="{00000000-0005-0000-0000-0000F09B0000}"/>
    <cellStyle name="Percent 3 3 5 3 4 2" xfId="38459" xr:uid="{00000000-0005-0000-0000-0000F19B0000}"/>
    <cellStyle name="Percent 3 3 5 3 5" xfId="26154" xr:uid="{00000000-0005-0000-0000-0000F29B0000}"/>
    <cellStyle name="Percent 3 3 5 4" xfId="7725" xr:uid="{00000000-0005-0000-0000-0000F39B0000}"/>
    <cellStyle name="Percent 3 3 5 4 2" xfId="13919" xr:uid="{00000000-0005-0000-0000-0000F49B0000}"/>
    <cellStyle name="Percent 3 3 5 4 2 2" xfId="33839" xr:uid="{00000000-0005-0000-0000-0000F59B0000}"/>
    <cellStyle name="Percent 3 3 5 4 3" xfId="20071" xr:uid="{00000000-0005-0000-0000-0000F69B0000}"/>
    <cellStyle name="Percent 3 3 5 4 3 2" xfId="39991" xr:uid="{00000000-0005-0000-0000-0000F79B0000}"/>
    <cellStyle name="Percent 3 3 5 4 4" xfId="27686" xr:uid="{00000000-0005-0000-0000-0000F89B0000}"/>
    <cellStyle name="Percent 3 3 5 5" xfId="10853" xr:uid="{00000000-0005-0000-0000-0000F99B0000}"/>
    <cellStyle name="Percent 3 3 5 5 2" xfId="30773" xr:uid="{00000000-0005-0000-0000-0000FA9B0000}"/>
    <cellStyle name="Percent 3 3 5 6" xfId="17005" xr:uid="{00000000-0005-0000-0000-0000FB9B0000}"/>
    <cellStyle name="Percent 3 3 5 6 2" xfId="36925" xr:uid="{00000000-0005-0000-0000-0000FC9B0000}"/>
    <cellStyle name="Percent 3 3 5 7" xfId="24620" xr:uid="{00000000-0005-0000-0000-0000FD9B0000}"/>
    <cellStyle name="Percent 3 3 6" xfId="10141" xr:uid="{00000000-0005-0000-0000-0000FE9B0000}"/>
    <cellStyle name="Percent 3 3 7" xfId="4279" xr:uid="{00000000-0005-0000-0000-0000FF9B0000}"/>
    <cellStyle name="Percent 3 30" xfId="731" xr:uid="{00000000-0005-0000-0000-0000009C0000}"/>
    <cellStyle name="Percent 3 31" xfId="733" xr:uid="{00000000-0005-0000-0000-0000019C0000}"/>
    <cellStyle name="Percent 3 31 2" xfId="23615" xr:uid="{00000000-0005-0000-0000-0000029C0000}"/>
    <cellStyle name="Percent 3 32" xfId="22698" xr:uid="{00000000-0005-0000-0000-0000039C0000}"/>
    <cellStyle name="Percent 3 32 2" xfId="42609" xr:uid="{00000000-0005-0000-0000-0000049C0000}"/>
    <cellStyle name="Percent 3 33" xfId="23001" xr:uid="{00000000-0005-0000-0000-0000059C0000}"/>
    <cellStyle name="Percent 3 33 2" xfId="42912" xr:uid="{00000000-0005-0000-0000-0000069C0000}"/>
    <cellStyle name="Percent 3 34" xfId="23324" xr:uid="{00000000-0005-0000-0000-0000079C0000}"/>
    <cellStyle name="Percent 3 4" xfId="92" xr:uid="{00000000-0005-0000-0000-0000089C0000}"/>
    <cellStyle name="Percent 3 4 10" xfId="17006" xr:uid="{00000000-0005-0000-0000-0000099C0000}"/>
    <cellStyle name="Percent 3 4 10 2" xfId="36926" xr:uid="{00000000-0005-0000-0000-00000A9C0000}"/>
    <cellStyle name="Percent 3 4 11" xfId="4284" xr:uid="{00000000-0005-0000-0000-00000B9C0000}"/>
    <cellStyle name="Percent 3 4 11 2" xfId="24621" xr:uid="{00000000-0005-0000-0000-00000C9C0000}"/>
    <cellStyle name="Percent 3 4 2" xfId="149" xr:uid="{00000000-0005-0000-0000-00000D9C0000}"/>
    <cellStyle name="Percent 3 4 2 2" xfId="5320" xr:uid="{00000000-0005-0000-0000-00000E9C0000}"/>
    <cellStyle name="Percent 3 4 2 2 2" xfId="6945" xr:uid="{00000000-0005-0000-0000-00000F9C0000}"/>
    <cellStyle name="Percent 3 4 2 2 2 2" xfId="10031" xr:uid="{00000000-0005-0000-0000-0000109C0000}"/>
    <cellStyle name="Percent 3 4 2 2 2 2 2" xfId="16224" xr:uid="{00000000-0005-0000-0000-0000119C0000}"/>
    <cellStyle name="Percent 3 4 2 2 2 2 2 2" xfId="36144" xr:uid="{00000000-0005-0000-0000-0000129C0000}"/>
    <cellStyle name="Percent 3 4 2 2 2 2 3" xfId="22376" xr:uid="{00000000-0005-0000-0000-0000139C0000}"/>
    <cellStyle name="Percent 3 4 2 2 2 2 3 2" xfId="42296" xr:uid="{00000000-0005-0000-0000-0000149C0000}"/>
    <cellStyle name="Percent 3 4 2 2 2 2 4" xfId="29991" xr:uid="{00000000-0005-0000-0000-0000159C0000}"/>
    <cellStyle name="Percent 3 4 2 2 2 3" xfId="13158" xr:uid="{00000000-0005-0000-0000-0000169C0000}"/>
    <cellStyle name="Percent 3 4 2 2 2 3 2" xfId="33078" xr:uid="{00000000-0005-0000-0000-0000179C0000}"/>
    <cellStyle name="Percent 3 4 2 2 2 4" xfId="19310" xr:uid="{00000000-0005-0000-0000-0000189C0000}"/>
    <cellStyle name="Percent 3 4 2 2 2 4 2" xfId="39230" xr:uid="{00000000-0005-0000-0000-0000199C0000}"/>
    <cellStyle name="Percent 3 4 2 2 2 5" xfId="26925" xr:uid="{00000000-0005-0000-0000-00001A9C0000}"/>
    <cellStyle name="Percent 3 4 2 2 3" xfId="8496" xr:uid="{00000000-0005-0000-0000-00001B9C0000}"/>
    <cellStyle name="Percent 3 4 2 2 3 2" xfId="14690" xr:uid="{00000000-0005-0000-0000-00001C9C0000}"/>
    <cellStyle name="Percent 3 4 2 2 3 2 2" xfId="34610" xr:uid="{00000000-0005-0000-0000-00001D9C0000}"/>
    <cellStyle name="Percent 3 4 2 2 3 3" xfId="20842" xr:uid="{00000000-0005-0000-0000-00001E9C0000}"/>
    <cellStyle name="Percent 3 4 2 2 3 3 2" xfId="40762" xr:uid="{00000000-0005-0000-0000-00001F9C0000}"/>
    <cellStyle name="Percent 3 4 2 2 3 4" xfId="28457" xr:uid="{00000000-0005-0000-0000-0000209C0000}"/>
    <cellStyle name="Percent 3 4 2 2 4" xfId="11624" xr:uid="{00000000-0005-0000-0000-0000219C0000}"/>
    <cellStyle name="Percent 3 4 2 2 4 2" xfId="31544" xr:uid="{00000000-0005-0000-0000-0000229C0000}"/>
    <cellStyle name="Percent 3 4 2 2 5" xfId="17776" xr:uid="{00000000-0005-0000-0000-0000239C0000}"/>
    <cellStyle name="Percent 3 4 2 2 5 2" xfId="37696" xr:uid="{00000000-0005-0000-0000-0000249C0000}"/>
    <cellStyle name="Percent 3 4 2 2 6" xfId="25391" xr:uid="{00000000-0005-0000-0000-0000259C0000}"/>
    <cellStyle name="Percent 3 4 2 3" xfId="6172" xr:uid="{00000000-0005-0000-0000-0000269C0000}"/>
    <cellStyle name="Percent 3 4 2 3 2" xfId="9262" xr:uid="{00000000-0005-0000-0000-0000279C0000}"/>
    <cellStyle name="Percent 3 4 2 3 2 2" xfId="15455" xr:uid="{00000000-0005-0000-0000-0000289C0000}"/>
    <cellStyle name="Percent 3 4 2 3 2 2 2" xfId="35375" xr:uid="{00000000-0005-0000-0000-0000299C0000}"/>
    <cellStyle name="Percent 3 4 2 3 2 3" xfId="21607" xr:uid="{00000000-0005-0000-0000-00002A9C0000}"/>
    <cellStyle name="Percent 3 4 2 3 2 3 2" xfId="41527" xr:uid="{00000000-0005-0000-0000-00002B9C0000}"/>
    <cellStyle name="Percent 3 4 2 3 2 4" xfId="29222" xr:uid="{00000000-0005-0000-0000-00002C9C0000}"/>
    <cellStyle name="Percent 3 4 2 3 3" xfId="12389" xr:uid="{00000000-0005-0000-0000-00002D9C0000}"/>
    <cellStyle name="Percent 3 4 2 3 3 2" xfId="32309" xr:uid="{00000000-0005-0000-0000-00002E9C0000}"/>
    <cellStyle name="Percent 3 4 2 3 4" xfId="18541" xr:uid="{00000000-0005-0000-0000-00002F9C0000}"/>
    <cellStyle name="Percent 3 4 2 3 4 2" xfId="38461" xr:uid="{00000000-0005-0000-0000-0000309C0000}"/>
    <cellStyle name="Percent 3 4 2 3 5" xfId="26156" xr:uid="{00000000-0005-0000-0000-0000319C0000}"/>
    <cellStyle name="Percent 3 4 2 4" xfId="7727" xr:uid="{00000000-0005-0000-0000-0000329C0000}"/>
    <cellStyle name="Percent 3 4 2 4 2" xfId="13921" xr:uid="{00000000-0005-0000-0000-0000339C0000}"/>
    <cellStyle name="Percent 3 4 2 4 2 2" xfId="33841" xr:uid="{00000000-0005-0000-0000-0000349C0000}"/>
    <cellStyle name="Percent 3 4 2 4 3" xfId="20073" xr:uid="{00000000-0005-0000-0000-0000359C0000}"/>
    <cellStyle name="Percent 3 4 2 4 3 2" xfId="39993" xr:uid="{00000000-0005-0000-0000-0000369C0000}"/>
    <cellStyle name="Percent 3 4 2 4 4" xfId="27688" xr:uid="{00000000-0005-0000-0000-0000379C0000}"/>
    <cellStyle name="Percent 3 4 2 5" xfId="10855" xr:uid="{00000000-0005-0000-0000-0000389C0000}"/>
    <cellStyle name="Percent 3 4 2 5 2" xfId="30775" xr:uid="{00000000-0005-0000-0000-0000399C0000}"/>
    <cellStyle name="Percent 3 4 2 6" xfId="17007" xr:uid="{00000000-0005-0000-0000-00003A9C0000}"/>
    <cellStyle name="Percent 3 4 2 6 2" xfId="36927" xr:uid="{00000000-0005-0000-0000-00003B9C0000}"/>
    <cellStyle name="Percent 3 4 2 7" xfId="4285" xr:uid="{00000000-0005-0000-0000-00003C9C0000}"/>
    <cellStyle name="Percent 3 4 2 7 2" xfId="24622" xr:uid="{00000000-0005-0000-0000-00003D9C0000}"/>
    <cellStyle name="Percent 3 4 3" xfId="4286" xr:uid="{00000000-0005-0000-0000-00003E9C0000}"/>
    <cellStyle name="Percent 3 4 3 2" xfId="5321" xr:uid="{00000000-0005-0000-0000-00003F9C0000}"/>
    <cellStyle name="Percent 3 4 3 2 2" xfId="6946" xr:uid="{00000000-0005-0000-0000-0000409C0000}"/>
    <cellStyle name="Percent 3 4 3 2 2 2" xfId="10032" xr:uid="{00000000-0005-0000-0000-0000419C0000}"/>
    <cellStyle name="Percent 3 4 3 2 2 2 2" xfId="16225" xr:uid="{00000000-0005-0000-0000-0000429C0000}"/>
    <cellStyle name="Percent 3 4 3 2 2 2 2 2" xfId="36145" xr:uid="{00000000-0005-0000-0000-0000439C0000}"/>
    <cellStyle name="Percent 3 4 3 2 2 2 3" xfId="22377" xr:uid="{00000000-0005-0000-0000-0000449C0000}"/>
    <cellStyle name="Percent 3 4 3 2 2 2 3 2" xfId="42297" xr:uid="{00000000-0005-0000-0000-0000459C0000}"/>
    <cellStyle name="Percent 3 4 3 2 2 2 4" xfId="29992" xr:uid="{00000000-0005-0000-0000-0000469C0000}"/>
    <cellStyle name="Percent 3 4 3 2 2 3" xfId="13159" xr:uid="{00000000-0005-0000-0000-0000479C0000}"/>
    <cellStyle name="Percent 3 4 3 2 2 3 2" xfId="33079" xr:uid="{00000000-0005-0000-0000-0000489C0000}"/>
    <cellStyle name="Percent 3 4 3 2 2 4" xfId="19311" xr:uid="{00000000-0005-0000-0000-0000499C0000}"/>
    <cellStyle name="Percent 3 4 3 2 2 4 2" xfId="39231" xr:uid="{00000000-0005-0000-0000-00004A9C0000}"/>
    <cellStyle name="Percent 3 4 3 2 2 5" xfId="26926" xr:uid="{00000000-0005-0000-0000-00004B9C0000}"/>
    <cellStyle name="Percent 3 4 3 2 3" xfId="8497" xr:uid="{00000000-0005-0000-0000-00004C9C0000}"/>
    <cellStyle name="Percent 3 4 3 2 3 2" xfId="14691" xr:uid="{00000000-0005-0000-0000-00004D9C0000}"/>
    <cellStyle name="Percent 3 4 3 2 3 2 2" xfId="34611" xr:uid="{00000000-0005-0000-0000-00004E9C0000}"/>
    <cellStyle name="Percent 3 4 3 2 3 3" xfId="20843" xr:uid="{00000000-0005-0000-0000-00004F9C0000}"/>
    <cellStyle name="Percent 3 4 3 2 3 3 2" xfId="40763" xr:uid="{00000000-0005-0000-0000-0000509C0000}"/>
    <cellStyle name="Percent 3 4 3 2 3 4" xfId="28458" xr:uid="{00000000-0005-0000-0000-0000519C0000}"/>
    <cellStyle name="Percent 3 4 3 2 4" xfId="11625" xr:uid="{00000000-0005-0000-0000-0000529C0000}"/>
    <cellStyle name="Percent 3 4 3 2 4 2" xfId="31545" xr:uid="{00000000-0005-0000-0000-0000539C0000}"/>
    <cellStyle name="Percent 3 4 3 2 5" xfId="17777" xr:uid="{00000000-0005-0000-0000-0000549C0000}"/>
    <cellStyle name="Percent 3 4 3 2 5 2" xfId="37697" xr:uid="{00000000-0005-0000-0000-0000559C0000}"/>
    <cellStyle name="Percent 3 4 3 2 6" xfId="25392" xr:uid="{00000000-0005-0000-0000-0000569C0000}"/>
    <cellStyle name="Percent 3 4 3 3" xfId="6173" xr:uid="{00000000-0005-0000-0000-0000579C0000}"/>
    <cellStyle name="Percent 3 4 3 3 2" xfId="9263" xr:uid="{00000000-0005-0000-0000-0000589C0000}"/>
    <cellStyle name="Percent 3 4 3 3 2 2" xfId="15456" xr:uid="{00000000-0005-0000-0000-0000599C0000}"/>
    <cellStyle name="Percent 3 4 3 3 2 2 2" xfId="35376" xr:uid="{00000000-0005-0000-0000-00005A9C0000}"/>
    <cellStyle name="Percent 3 4 3 3 2 3" xfId="21608" xr:uid="{00000000-0005-0000-0000-00005B9C0000}"/>
    <cellStyle name="Percent 3 4 3 3 2 3 2" xfId="41528" xr:uid="{00000000-0005-0000-0000-00005C9C0000}"/>
    <cellStyle name="Percent 3 4 3 3 2 4" xfId="29223" xr:uid="{00000000-0005-0000-0000-00005D9C0000}"/>
    <cellStyle name="Percent 3 4 3 3 3" xfId="12390" xr:uid="{00000000-0005-0000-0000-00005E9C0000}"/>
    <cellStyle name="Percent 3 4 3 3 3 2" xfId="32310" xr:uid="{00000000-0005-0000-0000-00005F9C0000}"/>
    <cellStyle name="Percent 3 4 3 3 4" xfId="18542" xr:uid="{00000000-0005-0000-0000-0000609C0000}"/>
    <cellStyle name="Percent 3 4 3 3 4 2" xfId="38462" xr:uid="{00000000-0005-0000-0000-0000619C0000}"/>
    <cellStyle name="Percent 3 4 3 3 5" xfId="26157" xr:uid="{00000000-0005-0000-0000-0000629C0000}"/>
    <cellStyle name="Percent 3 4 3 4" xfId="7728" xr:uid="{00000000-0005-0000-0000-0000639C0000}"/>
    <cellStyle name="Percent 3 4 3 4 2" xfId="13922" xr:uid="{00000000-0005-0000-0000-0000649C0000}"/>
    <cellStyle name="Percent 3 4 3 4 2 2" xfId="33842" xr:uid="{00000000-0005-0000-0000-0000659C0000}"/>
    <cellStyle name="Percent 3 4 3 4 3" xfId="20074" xr:uid="{00000000-0005-0000-0000-0000669C0000}"/>
    <cellStyle name="Percent 3 4 3 4 3 2" xfId="39994" xr:uid="{00000000-0005-0000-0000-0000679C0000}"/>
    <cellStyle name="Percent 3 4 3 4 4" xfId="27689" xr:uid="{00000000-0005-0000-0000-0000689C0000}"/>
    <cellStyle name="Percent 3 4 3 5" xfId="10856" xr:uid="{00000000-0005-0000-0000-0000699C0000}"/>
    <cellStyle name="Percent 3 4 3 5 2" xfId="30776" xr:uid="{00000000-0005-0000-0000-00006A9C0000}"/>
    <cellStyle name="Percent 3 4 3 6" xfId="17008" xr:uid="{00000000-0005-0000-0000-00006B9C0000}"/>
    <cellStyle name="Percent 3 4 3 6 2" xfId="36928" xr:uid="{00000000-0005-0000-0000-00006C9C0000}"/>
    <cellStyle name="Percent 3 4 3 7" xfId="24623" xr:uid="{00000000-0005-0000-0000-00006D9C0000}"/>
    <cellStyle name="Percent 3 4 4" xfId="4287" xr:uid="{00000000-0005-0000-0000-00006E9C0000}"/>
    <cellStyle name="Percent 3 4 4 2" xfId="5322" xr:uid="{00000000-0005-0000-0000-00006F9C0000}"/>
    <cellStyle name="Percent 3 4 4 2 2" xfId="6947" xr:uid="{00000000-0005-0000-0000-0000709C0000}"/>
    <cellStyle name="Percent 3 4 4 2 2 2" xfId="10033" xr:uid="{00000000-0005-0000-0000-0000719C0000}"/>
    <cellStyle name="Percent 3 4 4 2 2 2 2" xfId="16226" xr:uid="{00000000-0005-0000-0000-0000729C0000}"/>
    <cellStyle name="Percent 3 4 4 2 2 2 2 2" xfId="36146" xr:uid="{00000000-0005-0000-0000-0000739C0000}"/>
    <cellStyle name="Percent 3 4 4 2 2 2 3" xfId="22378" xr:uid="{00000000-0005-0000-0000-0000749C0000}"/>
    <cellStyle name="Percent 3 4 4 2 2 2 3 2" xfId="42298" xr:uid="{00000000-0005-0000-0000-0000759C0000}"/>
    <cellStyle name="Percent 3 4 4 2 2 2 4" xfId="29993" xr:uid="{00000000-0005-0000-0000-0000769C0000}"/>
    <cellStyle name="Percent 3 4 4 2 2 3" xfId="13160" xr:uid="{00000000-0005-0000-0000-0000779C0000}"/>
    <cellStyle name="Percent 3 4 4 2 2 3 2" xfId="33080" xr:uid="{00000000-0005-0000-0000-0000789C0000}"/>
    <cellStyle name="Percent 3 4 4 2 2 4" xfId="19312" xr:uid="{00000000-0005-0000-0000-0000799C0000}"/>
    <cellStyle name="Percent 3 4 4 2 2 4 2" xfId="39232" xr:uid="{00000000-0005-0000-0000-00007A9C0000}"/>
    <cellStyle name="Percent 3 4 4 2 2 5" xfId="26927" xr:uid="{00000000-0005-0000-0000-00007B9C0000}"/>
    <cellStyle name="Percent 3 4 4 2 3" xfId="8498" xr:uid="{00000000-0005-0000-0000-00007C9C0000}"/>
    <cellStyle name="Percent 3 4 4 2 3 2" xfId="14692" xr:uid="{00000000-0005-0000-0000-00007D9C0000}"/>
    <cellStyle name="Percent 3 4 4 2 3 2 2" xfId="34612" xr:uid="{00000000-0005-0000-0000-00007E9C0000}"/>
    <cellStyle name="Percent 3 4 4 2 3 3" xfId="20844" xr:uid="{00000000-0005-0000-0000-00007F9C0000}"/>
    <cellStyle name="Percent 3 4 4 2 3 3 2" xfId="40764" xr:uid="{00000000-0005-0000-0000-0000809C0000}"/>
    <cellStyle name="Percent 3 4 4 2 3 4" xfId="28459" xr:uid="{00000000-0005-0000-0000-0000819C0000}"/>
    <cellStyle name="Percent 3 4 4 2 4" xfId="11626" xr:uid="{00000000-0005-0000-0000-0000829C0000}"/>
    <cellStyle name="Percent 3 4 4 2 4 2" xfId="31546" xr:uid="{00000000-0005-0000-0000-0000839C0000}"/>
    <cellStyle name="Percent 3 4 4 2 5" xfId="17778" xr:uid="{00000000-0005-0000-0000-0000849C0000}"/>
    <cellStyle name="Percent 3 4 4 2 5 2" xfId="37698" xr:uid="{00000000-0005-0000-0000-0000859C0000}"/>
    <cellStyle name="Percent 3 4 4 2 6" xfId="25393" xr:uid="{00000000-0005-0000-0000-0000869C0000}"/>
    <cellStyle name="Percent 3 4 4 3" xfId="6174" xr:uid="{00000000-0005-0000-0000-0000879C0000}"/>
    <cellStyle name="Percent 3 4 4 3 2" xfId="9264" xr:uid="{00000000-0005-0000-0000-0000889C0000}"/>
    <cellStyle name="Percent 3 4 4 3 2 2" xfId="15457" xr:uid="{00000000-0005-0000-0000-0000899C0000}"/>
    <cellStyle name="Percent 3 4 4 3 2 2 2" xfId="35377" xr:uid="{00000000-0005-0000-0000-00008A9C0000}"/>
    <cellStyle name="Percent 3 4 4 3 2 3" xfId="21609" xr:uid="{00000000-0005-0000-0000-00008B9C0000}"/>
    <cellStyle name="Percent 3 4 4 3 2 3 2" xfId="41529" xr:uid="{00000000-0005-0000-0000-00008C9C0000}"/>
    <cellStyle name="Percent 3 4 4 3 2 4" xfId="29224" xr:uid="{00000000-0005-0000-0000-00008D9C0000}"/>
    <cellStyle name="Percent 3 4 4 3 3" xfId="12391" xr:uid="{00000000-0005-0000-0000-00008E9C0000}"/>
    <cellStyle name="Percent 3 4 4 3 3 2" xfId="32311" xr:uid="{00000000-0005-0000-0000-00008F9C0000}"/>
    <cellStyle name="Percent 3 4 4 3 4" xfId="18543" xr:uid="{00000000-0005-0000-0000-0000909C0000}"/>
    <cellStyle name="Percent 3 4 4 3 4 2" xfId="38463" xr:uid="{00000000-0005-0000-0000-0000919C0000}"/>
    <cellStyle name="Percent 3 4 4 3 5" xfId="26158" xr:uid="{00000000-0005-0000-0000-0000929C0000}"/>
    <cellStyle name="Percent 3 4 4 4" xfId="7729" xr:uid="{00000000-0005-0000-0000-0000939C0000}"/>
    <cellStyle name="Percent 3 4 4 4 2" xfId="13923" xr:uid="{00000000-0005-0000-0000-0000949C0000}"/>
    <cellStyle name="Percent 3 4 4 4 2 2" xfId="33843" xr:uid="{00000000-0005-0000-0000-0000959C0000}"/>
    <cellStyle name="Percent 3 4 4 4 3" xfId="20075" xr:uid="{00000000-0005-0000-0000-0000969C0000}"/>
    <cellStyle name="Percent 3 4 4 4 3 2" xfId="39995" xr:uid="{00000000-0005-0000-0000-0000979C0000}"/>
    <cellStyle name="Percent 3 4 4 4 4" xfId="27690" xr:uid="{00000000-0005-0000-0000-0000989C0000}"/>
    <cellStyle name="Percent 3 4 4 5" xfId="10857" xr:uid="{00000000-0005-0000-0000-0000999C0000}"/>
    <cellStyle name="Percent 3 4 4 5 2" xfId="30777" xr:uid="{00000000-0005-0000-0000-00009A9C0000}"/>
    <cellStyle name="Percent 3 4 4 6" xfId="17009" xr:uid="{00000000-0005-0000-0000-00009B9C0000}"/>
    <cellStyle name="Percent 3 4 4 6 2" xfId="36929" xr:uid="{00000000-0005-0000-0000-00009C9C0000}"/>
    <cellStyle name="Percent 3 4 4 7" xfId="24624" xr:uid="{00000000-0005-0000-0000-00009D9C0000}"/>
    <cellStyle name="Percent 3 4 5" xfId="4288" xr:uid="{00000000-0005-0000-0000-00009E9C0000}"/>
    <cellStyle name="Percent 3 4 5 2" xfId="5323" xr:uid="{00000000-0005-0000-0000-00009F9C0000}"/>
    <cellStyle name="Percent 3 4 5 2 2" xfId="6948" xr:uid="{00000000-0005-0000-0000-0000A09C0000}"/>
    <cellStyle name="Percent 3 4 5 2 2 2" xfId="10034" xr:uid="{00000000-0005-0000-0000-0000A19C0000}"/>
    <cellStyle name="Percent 3 4 5 2 2 2 2" xfId="16227" xr:uid="{00000000-0005-0000-0000-0000A29C0000}"/>
    <cellStyle name="Percent 3 4 5 2 2 2 2 2" xfId="36147" xr:uid="{00000000-0005-0000-0000-0000A39C0000}"/>
    <cellStyle name="Percent 3 4 5 2 2 2 3" xfId="22379" xr:uid="{00000000-0005-0000-0000-0000A49C0000}"/>
    <cellStyle name="Percent 3 4 5 2 2 2 3 2" xfId="42299" xr:uid="{00000000-0005-0000-0000-0000A59C0000}"/>
    <cellStyle name="Percent 3 4 5 2 2 2 4" xfId="29994" xr:uid="{00000000-0005-0000-0000-0000A69C0000}"/>
    <cellStyle name="Percent 3 4 5 2 2 3" xfId="13161" xr:uid="{00000000-0005-0000-0000-0000A79C0000}"/>
    <cellStyle name="Percent 3 4 5 2 2 3 2" xfId="33081" xr:uid="{00000000-0005-0000-0000-0000A89C0000}"/>
    <cellStyle name="Percent 3 4 5 2 2 4" xfId="19313" xr:uid="{00000000-0005-0000-0000-0000A99C0000}"/>
    <cellStyle name="Percent 3 4 5 2 2 4 2" xfId="39233" xr:uid="{00000000-0005-0000-0000-0000AA9C0000}"/>
    <cellStyle name="Percent 3 4 5 2 2 5" xfId="26928" xr:uid="{00000000-0005-0000-0000-0000AB9C0000}"/>
    <cellStyle name="Percent 3 4 5 2 3" xfId="8499" xr:uid="{00000000-0005-0000-0000-0000AC9C0000}"/>
    <cellStyle name="Percent 3 4 5 2 3 2" xfId="14693" xr:uid="{00000000-0005-0000-0000-0000AD9C0000}"/>
    <cellStyle name="Percent 3 4 5 2 3 2 2" xfId="34613" xr:uid="{00000000-0005-0000-0000-0000AE9C0000}"/>
    <cellStyle name="Percent 3 4 5 2 3 3" xfId="20845" xr:uid="{00000000-0005-0000-0000-0000AF9C0000}"/>
    <cellStyle name="Percent 3 4 5 2 3 3 2" xfId="40765" xr:uid="{00000000-0005-0000-0000-0000B09C0000}"/>
    <cellStyle name="Percent 3 4 5 2 3 4" xfId="28460" xr:uid="{00000000-0005-0000-0000-0000B19C0000}"/>
    <cellStyle name="Percent 3 4 5 2 4" xfId="11627" xr:uid="{00000000-0005-0000-0000-0000B29C0000}"/>
    <cellStyle name="Percent 3 4 5 2 4 2" xfId="31547" xr:uid="{00000000-0005-0000-0000-0000B39C0000}"/>
    <cellStyle name="Percent 3 4 5 2 5" xfId="17779" xr:uid="{00000000-0005-0000-0000-0000B49C0000}"/>
    <cellStyle name="Percent 3 4 5 2 5 2" xfId="37699" xr:uid="{00000000-0005-0000-0000-0000B59C0000}"/>
    <cellStyle name="Percent 3 4 5 2 6" xfId="25394" xr:uid="{00000000-0005-0000-0000-0000B69C0000}"/>
    <cellStyle name="Percent 3 4 5 3" xfId="6175" xr:uid="{00000000-0005-0000-0000-0000B79C0000}"/>
    <cellStyle name="Percent 3 4 5 3 2" xfId="9265" xr:uid="{00000000-0005-0000-0000-0000B89C0000}"/>
    <cellStyle name="Percent 3 4 5 3 2 2" xfId="15458" xr:uid="{00000000-0005-0000-0000-0000B99C0000}"/>
    <cellStyle name="Percent 3 4 5 3 2 2 2" xfId="35378" xr:uid="{00000000-0005-0000-0000-0000BA9C0000}"/>
    <cellStyle name="Percent 3 4 5 3 2 3" xfId="21610" xr:uid="{00000000-0005-0000-0000-0000BB9C0000}"/>
    <cellStyle name="Percent 3 4 5 3 2 3 2" xfId="41530" xr:uid="{00000000-0005-0000-0000-0000BC9C0000}"/>
    <cellStyle name="Percent 3 4 5 3 2 4" xfId="29225" xr:uid="{00000000-0005-0000-0000-0000BD9C0000}"/>
    <cellStyle name="Percent 3 4 5 3 3" xfId="12392" xr:uid="{00000000-0005-0000-0000-0000BE9C0000}"/>
    <cellStyle name="Percent 3 4 5 3 3 2" xfId="32312" xr:uid="{00000000-0005-0000-0000-0000BF9C0000}"/>
    <cellStyle name="Percent 3 4 5 3 4" xfId="18544" xr:uid="{00000000-0005-0000-0000-0000C09C0000}"/>
    <cellStyle name="Percent 3 4 5 3 4 2" xfId="38464" xr:uid="{00000000-0005-0000-0000-0000C19C0000}"/>
    <cellStyle name="Percent 3 4 5 3 5" xfId="26159" xr:uid="{00000000-0005-0000-0000-0000C29C0000}"/>
    <cellStyle name="Percent 3 4 5 4" xfId="7730" xr:uid="{00000000-0005-0000-0000-0000C39C0000}"/>
    <cellStyle name="Percent 3 4 5 4 2" xfId="13924" xr:uid="{00000000-0005-0000-0000-0000C49C0000}"/>
    <cellStyle name="Percent 3 4 5 4 2 2" xfId="33844" xr:uid="{00000000-0005-0000-0000-0000C59C0000}"/>
    <cellStyle name="Percent 3 4 5 4 3" xfId="20076" xr:uid="{00000000-0005-0000-0000-0000C69C0000}"/>
    <cellStyle name="Percent 3 4 5 4 3 2" xfId="39996" xr:uid="{00000000-0005-0000-0000-0000C79C0000}"/>
    <cellStyle name="Percent 3 4 5 4 4" xfId="27691" xr:uid="{00000000-0005-0000-0000-0000C89C0000}"/>
    <cellStyle name="Percent 3 4 5 5" xfId="10858" xr:uid="{00000000-0005-0000-0000-0000C99C0000}"/>
    <cellStyle name="Percent 3 4 5 5 2" xfId="30778" xr:uid="{00000000-0005-0000-0000-0000CA9C0000}"/>
    <cellStyle name="Percent 3 4 5 6" xfId="17010" xr:uid="{00000000-0005-0000-0000-0000CB9C0000}"/>
    <cellStyle name="Percent 3 4 5 6 2" xfId="36930" xr:uid="{00000000-0005-0000-0000-0000CC9C0000}"/>
    <cellStyle name="Percent 3 4 5 7" xfId="24625" xr:uid="{00000000-0005-0000-0000-0000CD9C0000}"/>
    <cellStyle name="Percent 3 4 6" xfId="5319" xr:uid="{00000000-0005-0000-0000-0000CE9C0000}"/>
    <cellStyle name="Percent 3 4 6 2" xfId="6944" xr:uid="{00000000-0005-0000-0000-0000CF9C0000}"/>
    <cellStyle name="Percent 3 4 6 2 2" xfId="10030" xr:uid="{00000000-0005-0000-0000-0000D09C0000}"/>
    <cellStyle name="Percent 3 4 6 2 2 2" xfId="16223" xr:uid="{00000000-0005-0000-0000-0000D19C0000}"/>
    <cellStyle name="Percent 3 4 6 2 2 2 2" xfId="36143" xr:uid="{00000000-0005-0000-0000-0000D29C0000}"/>
    <cellStyle name="Percent 3 4 6 2 2 3" xfId="22375" xr:uid="{00000000-0005-0000-0000-0000D39C0000}"/>
    <cellStyle name="Percent 3 4 6 2 2 3 2" xfId="42295" xr:uid="{00000000-0005-0000-0000-0000D49C0000}"/>
    <cellStyle name="Percent 3 4 6 2 2 4" xfId="29990" xr:uid="{00000000-0005-0000-0000-0000D59C0000}"/>
    <cellStyle name="Percent 3 4 6 2 3" xfId="13157" xr:uid="{00000000-0005-0000-0000-0000D69C0000}"/>
    <cellStyle name="Percent 3 4 6 2 3 2" xfId="33077" xr:uid="{00000000-0005-0000-0000-0000D79C0000}"/>
    <cellStyle name="Percent 3 4 6 2 4" xfId="19309" xr:uid="{00000000-0005-0000-0000-0000D89C0000}"/>
    <cellStyle name="Percent 3 4 6 2 4 2" xfId="39229" xr:uid="{00000000-0005-0000-0000-0000D99C0000}"/>
    <cellStyle name="Percent 3 4 6 2 5" xfId="26924" xr:uid="{00000000-0005-0000-0000-0000DA9C0000}"/>
    <cellStyle name="Percent 3 4 6 3" xfId="8495" xr:uid="{00000000-0005-0000-0000-0000DB9C0000}"/>
    <cellStyle name="Percent 3 4 6 3 2" xfId="14689" xr:uid="{00000000-0005-0000-0000-0000DC9C0000}"/>
    <cellStyle name="Percent 3 4 6 3 2 2" xfId="34609" xr:uid="{00000000-0005-0000-0000-0000DD9C0000}"/>
    <cellStyle name="Percent 3 4 6 3 3" xfId="20841" xr:uid="{00000000-0005-0000-0000-0000DE9C0000}"/>
    <cellStyle name="Percent 3 4 6 3 3 2" xfId="40761" xr:uid="{00000000-0005-0000-0000-0000DF9C0000}"/>
    <cellStyle name="Percent 3 4 6 3 4" xfId="28456" xr:uid="{00000000-0005-0000-0000-0000E09C0000}"/>
    <cellStyle name="Percent 3 4 6 4" xfId="11623" xr:uid="{00000000-0005-0000-0000-0000E19C0000}"/>
    <cellStyle name="Percent 3 4 6 4 2" xfId="31543" xr:uid="{00000000-0005-0000-0000-0000E29C0000}"/>
    <cellStyle name="Percent 3 4 6 5" xfId="17775" xr:uid="{00000000-0005-0000-0000-0000E39C0000}"/>
    <cellStyle name="Percent 3 4 6 5 2" xfId="37695" xr:uid="{00000000-0005-0000-0000-0000E49C0000}"/>
    <cellStyle name="Percent 3 4 6 6" xfId="25390" xr:uid="{00000000-0005-0000-0000-0000E59C0000}"/>
    <cellStyle name="Percent 3 4 7" xfId="6171" xr:uid="{00000000-0005-0000-0000-0000E69C0000}"/>
    <cellStyle name="Percent 3 4 7 2" xfId="9261" xr:uid="{00000000-0005-0000-0000-0000E79C0000}"/>
    <cellStyle name="Percent 3 4 7 2 2" xfId="15454" xr:uid="{00000000-0005-0000-0000-0000E89C0000}"/>
    <cellStyle name="Percent 3 4 7 2 2 2" xfId="35374" xr:uid="{00000000-0005-0000-0000-0000E99C0000}"/>
    <cellStyle name="Percent 3 4 7 2 3" xfId="21606" xr:uid="{00000000-0005-0000-0000-0000EA9C0000}"/>
    <cellStyle name="Percent 3 4 7 2 3 2" xfId="41526" xr:uid="{00000000-0005-0000-0000-0000EB9C0000}"/>
    <cellStyle name="Percent 3 4 7 2 4" xfId="29221" xr:uid="{00000000-0005-0000-0000-0000EC9C0000}"/>
    <cellStyle name="Percent 3 4 7 3" xfId="12388" xr:uid="{00000000-0005-0000-0000-0000ED9C0000}"/>
    <cellStyle name="Percent 3 4 7 3 2" xfId="32308" xr:uid="{00000000-0005-0000-0000-0000EE9C0000}"/>
    <cellStyle name="Percent 3 4 7 4" xfId="18540" xr:uid="{00000000-0005-0000-0000-0000EF9C0000}"/>
    <cellStyle name="Percent 3 4 7 4 2" xfId="38460" xr:uid="{00000000-0005-0000-0000-0000F09C0000}"/>
    <cellStyle name="Percent 3 4 7 5" xfId="26155" xr:uid="{00000000-0005-0000-0000-0000F19C0000}"/>
    <cellStyle name="Percent 3 4 8" xfId="7726" xr:uid="{00000000-0005-0000-0000-0000F29C0000}"/>
    <cellStyle name="Percent 3 4 8 2" xfId="13920" xr:uid="{00000000-0005-0000-0000-0000F39C0000}"/>
    <cellStyle name="Percent 3 4 8 2 2" xfId="33840" xr:uid="{00000000-0005-0000-0000-0000F49C0000}"/>
    <cellStyle name="Percent 3 4 8 3" xfId="20072" xr:uid="{00000000-0005-0000-0000-0000F59C0000}"/>
    <cellStyle name="Percent 3 4 8 3 2" xfId="39992" xr:uid="{00000000-0005-0000-0000-0000F69C0000}"/>
    <cellStyle name="Percent 3 4 8 4" xfId="27687" xr:uid="{00000000-0005-0000-0000-0000F79C0000}"/>
    <cellStyle name="Percent 3 4 9" xfId="10854" xr:uid="{00000000-0005-0000-0000-0000F89C0000}"/>
    <cellStyle name="Percent 3 4 9 2" xfId="30774" xr:uid="{00000000-0005-0000-0000-0000F99C0000}"/>
    <cellStyle name="Percent 3 5" xfId="121" xr:uid="{00000000-0005-0000-0000-0000FA9C0000}"/>
    <cellStyle name="Percent 3 5 2" xfId="4290" xr:uid="{00000000-0005-0000-0000-0000FB9C0000}"/>
    <cellStyle name="Percent 3 5 2 2" xfId="5325" xr:uid="{00000000-0005-0000-0000-0000FC9C0000}"/>
    <cellStyle name="Percent 3 5 2 2 2" xfId="6950" xr:uid="{00000000-0005-0000-0000-0000FD9C0000}"/>
    <cellStyle name="Percent 3 5 2 2 2 2" xfId="10036" xr:uid="{00000000-0005-0000-0000-0000FE9C0000}"/>
    <cellStyle name="Percent 3 5 2 2 2 2 2" xfId="16229" xr:uid="{00000000-0005-0000-0000-0000FF9C0000}"/>
    <cellStyle name="Percent 3 5 2 2 2 2 2 2" xfId="36149" xr:uid="{00000000-0005-0000-0000-0000009D0000}"/>
    <cellStyle name="Percent 3 5 2 2 2 2 3" xfId="22381" xr:uid="{00000000-0005-0000-0000-0000019D0000}"/>
    <cellStyle name="Percent 3 5 2 2 2 2 3 2" xfId="42301" xr:uid="{00000000-0005-0000-0000-0000029D0000}"/>
    <cellStyle name="Percent 3 5 2 2 2 2 4" xfId="29996" xr:uid="{00000000-0005-0000-0000-0000039D0000}"/>
    <cellStyle name="Percent 3 5 2 2 2 3" xfId="13163" xr:uid="{00000000-0005-0000-0000-0000049D0000}"/>
    <cellStyle name="Percent 3 5 2 2 2 3 2" xfId="33083" xr:uid="{00000000-0005-0000-0000-0000059D0000}"/>
    <cellStyle name="Percent 3 5 2 2 2 4" xfId="19315" xr:uid="{00000000-0005-0000-0000-0000069D0000}"/>
    <cellStyle name="Percent 3 5 2 2 2 4 2" xfId="39235" xr:uid="{00000000-0005-0000-0000-0000079D0000}"/>
    <cellStyle name="Percent 3 5 2 2 2 5" xfId="26930" xr:uid="{00000000-0005-0000-0000-0000089D0000}"/>
    <cellStyle name="Percent 3 5 2 2 3" xfId="8501" xr:uid="{00000000-0005-0000-0000-0000099D0000}"/>
    <cellStyle name="Percent 3 5 2 2 3 2" xfId="14695" xr:uid="{00000000-0005-0000-0000-00000A9D0000}"/>
    <cellStyle name="Percent 3 5 2 2 3 2 2" xfId="34615" xr:uid="{00000000-0005-0000-0000-00000B9D0000}"/>
    <cellStyle name="Percent 3 5 2 2 3 3" xfId="20847" xr:uid="{00000000-0005-0000-0000-00000C9D0000}"/>
    <cellStyle name="Percent 3 5 2 2 3 3 2" xfId="40767" xr:uid="{00000000-0005-0000-0000-00000D9D0000}"/>
    <cellStyle name="Percent 3 5 2 2 3 4" xfId="28462" xr:uid="{00000000-0005-0000-0000-00000E9D0000}"/>
    <cellStyle name="Percent 3 5 2 2 4" xfId="11629" xr:uid="{00000000-0005-0000-0000-00000F9D0000}"/>
    <cellStyle name="Percent 3 5 2 2 4 2" xfId="31549" xr:uid="{00000000-0005-0000-0000-0000109D0000}"/>
    <cellStyle name="Percent 3 5 2 2 5" xfId="17781" xr:uid="{00000000-0005-0000-0000-0000119D0000}"/>
    <cellStyle name="Percent 3 5 2 2 5 2" xfId="37701" xr:uid="{00000000-0005-0000-0000-0000129D0000}"/>
    <cellStyle name="Percent 3 5 2 2 6" xfId="25396" xr:uid="{00000000-0005-0000-0000-0000139D0000}"/>
    <cellStyle name="Percent 3 5 2 3" xfId="6177" xr:uid="{00000000-0005-0000-0000-0000149D0000}"/>
    <cellStyle name="Percent 3 5 2 3 2" xfId="9267" xr:uid="{00000000-0005-0000-0000-0000159D0000}"/>
    <cellStyle name="Percent 3 5 2 3 2 2" xfId="15460" xr:uid="{00000000-0005-0000-0000-0000169D0000}"/>
    <cellStyle name="Percent 3 5 2 3 2 2 2" xfId="35380" xr:uid="{00000000-0005-0000-0000-0000179D0000}"/>
    <cellStyle name="Percent 3 5 2 3 2 3" xfId="21612" xr:uid="{00000000-0005-0000-0000-0000189D0000}"/>
    <cellStyle name="Percent 3 5 2 3 2 3 2" xfId="41532" xr:uid="{00000000-0005-0000-0000-0000199D0000}"/>
    <cellStyle name="Percent 3 5 2 3 2 4" xfId="29227" xr:uid="{00000000-0005-0000-0000-00001A9D0000}"/>
    <cellStyle name="Percent 3 5 2 3 3" xfId="12394" xr:uid="{00000000-0005-0000-0000-00001B9D0000}"/>
    <cellStyle name="Percent 3 5 2 3 3 2" xfId="32314" xr:uid="{00000000-0005-0000-0000-00001C9D0000}"/>
    <cellStyle name="Percent 3 5 2 3 4" xfId="18546" xr:uid="{00000000-0005-0000-0000-00001D9D0000}"/>
    <cellStyle name="Percent 3 5 2 3 4 2" xfId="38466" xr:uid="{00000000-0005-0000-0000-00001E9D0000}"/>
    <cellStyle name="Percent 3 5 2 3 5" xfId="26161" xr:uid="{00000000-0005-0000-0000-00001F9D0000}"/>
    <cellStyle name="Percent 3 5 2 4" xfId="7732" xr:uid="{00000000-0005-0000-0000-0000209D0000}"/>
    <cellStyle name="Percent 3 5 2 4 2" xfId="13926" xr:uid="{00000000-0005-0000-0000-0000219D0000}"/>
    <cellStyle name="Percent 3 5 2 4 2 2" xfId="33846" xr:uid="{00000000-0005-0000-0000-0000229D0000}"/>
    <cellStyle name="Percent 3 5 2 4 3" xfId="20078" xr:uid="{00000000-0005-0000-0000-0000239D0000}"/>
    <cellStyle name="Percent 3 5 2 4 3 2" xfId="39998" xr:uid="{00000000-0005-0000-0000-0000249D0000}"/>
    <cellStyle name="Percent 3 5 2 4 4" xfId="27693" xr:uid="{00000000-0005-0000-0000-0000259D0000}"/>
    <cellStyle name="Percent 3 5 2 5" xfId="10860" xr:uid="{00000000-0005-0000-0000-0000269D0000}"/>
    <cellStyle name="Percent 3 5 2 5 2" xfId="30780" xr:uid="{00000000-0005-0000-0000-0000279D0000}"/>
    <cellStyle name="Percent 3 5 2 6" xfId="17012" xr:uid="{00000000-0005-0000-0000-0000289D0000}"/>
    <cellStyle name="Percent 3 5 2 6 2" xfId="36932" xr:uid="{00000000-0005-0000-0000-0000299D0000}"/>
    <cellStyle name="Percent 3 5 2 7" xfId="24627" xr:uid="{00000000-0005-0000-0000-00002A9D0000}"/>
    <cellStyle name="Percent 3 5 3" xfId="5324" xr:uid="{00000000-0005-0000-0000-00002B9D0000}"/>
    <cellStyle name="Percent 3 5 3 2" xfId="6949" xr:uid="{00000000-0005-0000-0000-00002C9D0000}"/>
    <cellStyle name="Percent 3 5 3 2 2" xfId="10035" xr:uid="{00000000-0005-0000-0000-00002D9D0000}"/>
    <cellStyle name="Percent 3 5 3 2 2 2" xfId="16228" xr:uid="{00000000-0005-0000-0000-00002E9D0000}"/>
    <cellStyle name="Percent 3 5 3 2 2 2 2" xfId="36148" xr:uid="{00000000-0005-0000-0000-00002F9D0000}"/>
    <cellStyle name="Percent 3 5 3 2 2 3" xfId="22380" xr:uid="{00000000-0005-0000-0000-0000309D0000}"/>
    <cellStyle name="Percent 3 5 3 2 2 3 2" xfId="42300" xr:uid="{00000000-0005-0000-0000-0000319D0000}"/>
    <cellStyle name="Percent 3 5 3 2 2 4" xfId="29995" xr:uid="{00000000-0005-0000-0000-0000329D0000}"/>
    <cellStyle name="Percent 3 5 3 2 3" xfId="13162" xr:uid="{00000000-0005-0000-0000-0000339D0000}"/>
    <cellStyle name="Percent 3 5 3 2 3 2" xfId="33082" xr:uid="{00000000-0005-0000-0000-0000349D0000}"/>
    <cellStyle name="Percent 3 5 3 2 4" xfId="19314" xr:uid="{00000000-0005-0000-0000-0000359D0000}"/>
    <cellStyle name="Percent 3 5 3 2 4 2" xfId="39234" xr:uid="{00000000-0005-0000-0000-0000369D0000}"/>
    <cellStyle name="Percent 3 5 3 2 5" xfId="26929" xr:uid="{00000000-0005-0000-0000-0000379D0000}"/>
    <cellStyle name="Percent 3 5 3 3" xfId="8500" xr:uid="{00000000-0005-0000-0000-0000389D0000}"/>
    <cellStyle name="Percent 3 5 3 3 2" xfId="14694" xr:uid="{00000000-0005-0000-0000-0000399D0000}"/>
    <cellStyle name="Percent 3 5 3 3 2 2" xfId="34614" xr:uid="{00000000-0005-0000-0000-00003A9D0000}"/>
    <cellStyle name="Percent 3 5 3 3 3" xfId="20846" xr:uid="{00000000-0005-0000-0000-00003B9D0000}"/>
    <cellStyle name="Percent 3 5 3 3 3 2" xfId="40766" xr:uid="{00000000-0005-0000-0000-00003C9D0000}"/>
    <cellStyle name="Percent 3 5 3 3 4" xfId="28461" xr:uid="{00000000-0005-0000-0000-00003D9D0000}"/>
    <cellStyle name="Percent 3 5 3 4" xfId="11628" xr:uid="{00000000-0005-0000-0000-00003E9D0000}"/>
    <cellStyle name="Percent 3 5 3 4 2" xfId="31548" xr:uid="{00000000-0005-0000-0000-00003F9D0000}"/>
    <cellStyle name="Percent 3 5 3 5" xfId="17780" xr:uid="{00000000-0005-0000-0000-0000409D0000}"/>
    <cellStyle name="Percent 3 5 3 5 2" xfId="37700" xr:uid="{00000000-0005-0000-0000-0000419D0000}"/>
    <cellStyle name="Percent 3 5 3 6" xfId="25395" xr:uid="{00000000-0005-0000-0000-0000429D0000}"/>
    <cellStyle name="Percent 3 5 4" xfId="6176" xr:uid="{00000000-0005-0000-0000-0000439D0000}"/>
    <cellStyle name="Percent 3 5 4 2" xfId="9266" xr:uid="{00000000-0005-0000-0000-0000449D0000}"/>
    <cellStyle name="Percent 3 5 4 2 2" xfId="15459" xr:uid="{00000000-0005-0000-0000-0000459D0000}"/>
    <cellStyle name="Percent 3 5 4 2 2 2" xfId="35379" xr:uid="{00000000-0005-0000-0000-0000469D0000}"/>
    <cellStyle name="Percent 3 5 4 2 3" xfId="21611" xr:uid="{00000000-0005-0000-0000-0000479D0000}"/>
    <cellStyle name="Percent 3 5 4 2 3 2" xfId="41531" xr:uid="{00000000-0005-0000-0000-0000489D0000}"/>
    <cellStyle name="Percent 3 5 4 2 4" xfId="29226" xr:uid="{00000000-0005-0000-0000-0000499D0000}"/>
    <cellStyle name="Percent 3 5 4 3" xfId="12393" xr:uid="{00000000-0005-0000-0000-00004A9D0000}"/>
    <cellStyle name="Percent 3 5 4 3 2" xfId="32313" xr:uid="{00000000-0005-0000-0000-00004B9D0000}"/>
    <cellStyle name="Percent 3 5 4 4" xfId="18545" xr:uid="{00000000-0005-0000-0000-00004C9D0000}"/>
    <cellStyle name="Percent 3 5 4 4 2" xfId="38465" xr:uid="{00000000-0005-0000-0000-00004D9D0000}"/>
    <cellStyle name="Percent 3 5 4 5" xfId="26160" xr:uid="{00000000-0005-0000-0000-00004E9D0000}"/>
    <cellStyle name="Percent 3 5 5" xfId="7731" xr:uid="{00000000-0005-0000-0000-00004F9D0000}"/>
    <cellStyle name="Percent 3 5 5 2" xfId="13925" xr:uid="{00000000-0005-0000-0000-0000509D0000}"/>
    <cellStyle name="Percent 3 5 5 2 2" xfId="33845" xr:uid="{00000000-0005-0000-0000-0000519D0000}"/>
    <cellStyle name="Percent 3 5 5 3" xfId="20077" xr:uid="{00000000-0005-0000-0000-0000529D0000}"/>
    <cellStyle name="Percent 3 5 5 3 2" xfId="39997" xr:uid="{00000000-0005-0000-0000-0000539D0000}"/>
    <cellStyle name="Percent 3 5 5 4" xfId="27692" xr:uid="{00000000-0005-0000-0000-0000549D0000}"/>
    <cellStyle name="Percent 3 5 6" xfId="10859" xr:uid="{00000000-0005-0000-0000-0000559D0000}"/>
    <cellStyle name="Percent 3 5 6 2" xfId="30779" xr:uid="{00000000-0005-0000-0000-0000569D0000}"/>
    <cellStyle name="Percent 3 5 7" xfId="17011" xr:uid="{00000000-0005-0000-0000-0000579D0000}"/>
    <cellStyle name="Percent 3 5 7 2" xfId="36931" xr:uid="{00000000-0005-0000-0000-0000589D0000}"/>
    <cellStyle name="Percent 3 5 8" xfId="4289" xr:uid="{00000000-0005-0000-0000-0000599D0000}"/>
    <cellStyle name="Percent 3 5 8 2" xfId="24626" xr:uid="{00000000-0005-0000-0000-00005A9D0000}"/>
    <cellStyle name="Percent 3 6" xfId="156" xr:uid="{00000000-0005-0000-0000-00005B9D0000}"/>
    <cellStyle name="Percent 3 6 2" xfId="4292" xr:uid="{00000000-0005-0000-0000-00005C9D0000}"/>
    <cellStyle name="Percent 3 6 2 2" xfId="5327" xr:uid="{00000000-0005-0000-0000-00005D9D0000}"/>
    <cellStyle name="Percent 3 6 2 2 2" xfId="6952" xr:uid="{00000000-0005-0000-0000-00005E9D0000}"/>
    <cellStyle name="Percent 3 6 2 2 2 2" xfId="10038" xr:uid="{00000000-0005-0000-0000-00005F9D0000}"/>
    <cellStyle name="Percent 3 6 2 2 2 2 2" xfId="16231" xr:uid="{00000000-0005-0000-0000-0000609D0000}"/>
    <cellStyle name="Percent 3 6 2 2 2 2 2 2" xfId="36151" xr:uid="{00000000-0005-0000-0000-0000619D0000}"/>
    <cellStyle name="Percent 3 6 2 2 2 2 3" xfId="22383" xr:uid="{00000000-0005-0000-0000-0000629D0000}"/>
    <cellStyle name="Percent 3 6 2 2 2 2 3 2" xfId="42303" xr:uid="{00000000-0005-0000-0000-0000639D0000}"/>
    <cellStyle name="Percent 3 6 2 2 2 2 4" xfId="29998" xr:uid="{00000000-0005-0000-0000-0000649D0000}"/>
    <cellStyle name="Percent 3 6 2 2 2 3" xfId="13165" xr:uid="{00000000-0005-0000-0000-0000659D0000}"/>
    <cellStyle name="Percent 3 6 2 2 2 3 2" xfId="33085" xr:uid="{00000000-0005-0000-0000-0000669D0000}"/>
    <cellStyle name="Percent 3 6 2 2 2 4" xfId="19317" xr:uid="{00000000-0005-0000-0000-0000679D0000}"/>
    <cellStyle name="Percent 3 6 2 2 2 4 2" xfId="39237" xr:uid="{00000000-0005-0000-0000-0000689D0000}"/>
    <cellStyle name="Percent 3 6 2 2 2 5" xfId="26932" xr:uid="{00000000-0005-0000-0000-0000699D0000}"/>
    <cellStyle name="Percent 3 6 2 2 3" xfId="8503" xr:uid="{00000000-0005-0000-0000-00006A9D0000}"/>
    <cellStyle name="Percent 3 6 2 2 3 2" xfId="14697" xr:uid="{00000000-0005-0000-0000-00006B9D0000}"/>
    <cellStyle name="Percent 3 6 2 2 3 2 2" xfId="34617" xr:uid="{00000000-0005-0000-0000-00006C9D0000}"/>
    <cellStyle name="Percent 3 6 2 2 3 3" xfId="20849" xr:uid="{00000000-0005-0000-0000-00006D9D0000}"/>
    <cellStyle name="Percent 3 6 2 2 3 3 2" xfId="40769" xr:uid="{00000000-0005-0000-0000-00006E9D0000}"/>
    <cellStyle name="Percent 3 6 2 2 3 4" xfId="28464" xr:uid="{00000000-0005-0000-0000-00006F9D0000}"/>
    <cellStyle name="Percent 3 6 2 2 4" xfId="11631" xr:uid="{00000000-0005-0000-0000-0000709D0000}"/>
    <cellStyle name="Percent 3 6 2 2 4 2" xfId="31551" xr:uid="{00000000-0005-0000-0000-0000719D0000}"/>
    <cellStyle name="Percent 3 6 2 2 5" xfId="17783" xr:uid="{00000000-0005-0000-0000-0000729D0000}"/>
    <cellStyle name="Percent 3 6 2 2 5 2" xfId="37703" xr:uid="{00000000-0005-0000-0000-0000739D0000}"/>
    <cellStyle name="Percent 3 6 2 2 6" xfId="25398" xr:uid="{00000000-0005-0000-0000-0000749D0000}"/>
    <cellStyle name="Percent 3 6 2 3" xfId="6179" xr:uid="{00000000-0005-0000-0000-0000759D0000}"/>
    <cellStyle name="Percent 3 6 2 3 2" xfId="9269" xr:uid="{00000000-0005-0000-0000-0000769D0000}"/>
    <cellStyle name="Percent 3 6 2 3 2 2" xfId="15462" xr:uid="{00000000-0005-0000-0000-0000779D0000}"/>
    <cellStyle name="Percent 3 6 2 3 2 2 2" xfId="35382" xr:uid="{00000000-0005-0000-0000-0000789D0000}"/>
    <cellStyle name="Percent 3 6 2 3 2 3" xfId="21614" xr:uid="{00000000-0005-0000-0000-0000799D0000}"/>
    <cellStyle name="Percent 3 6 2 3 2 3 2" xfId="41534" xr:uid="{00000000-0005-0000-0000-00007A9D0000}"/>
    <cellStyle name="Percent 3 6 2 3 2 4" xfId="29229" xr:uid="{00000000-0005-0000-0000-00007B9D0000}"/>
    <cellStyle name="Percent 3 6 2 3 3" xfId="12396" xr:uid="{00000000-0005-0000-0000-00007C9D0000}"/>
    <cellStyle name="Percent 3 6 2 3 3 2" xfId="32316" xr:uid="{00000000-0005-0000-0000-00007D9D0000}"/>
    <cellStyle name="Percent 3 6 2 3 4" xfId="18548" xr:uid="{00000000-0005-0000-0000-00007E9D0000}"/>
    <cellStyle name="Percent 3 6 2 3 4 2" xfId="38468" xr:uid="{00000000-0005-0000-0000-00007F9D0000}"/>
    <cellStyle name="Percent 3 6 2 3 5" xfId="26163" xr:uid="{00000000-0005-0000-0000-0000809D0000}"/>
    <cellStyle name="Percent 3 6 2 4" xfId="7734" xr:uid="{00000000-0005-0000-0000-0000819D0000}"/>
    <cellStyle name="Percent 3 6 2 4 2" xfId="13928" xr:uid="{00000000-0005-0000-0000-0000829D0000}"/>
    <cellStyle name="Percent 3 6 2 4 2 2" xfId="33848" xr:uid="{00000000-0005-0000-0000-0000839D0000}"/>
    <cellStyle name="Percent 3 6 2 4 3" xfId="20080" xr:uid="{00000000-0005-0000-0000-0000849D0000}"/>
    <cellStyle name="Percent 3 6 2 4 3 2" xfId="40000" xr:uid="{00000000-0005-0000-0000-0000859D0000}"/>
    <cellStyle name="Percent 3 6 2 4 4" xfId="27695" xr:uid="{00000000-0005-0000-0000-0000869D0000}"/>
    <cellStyle name="Percent 3 6 2 5" xfId="10862" xr:uid="{00000000-0005-0000-0000-0000879D0000}"/>
    <cellStyle name="Percent 3 6 2 5 2" xfId="30782" xr:uid="{00000000-0005-0000-0000-0000889D0000}"/>
    <cellStyle name="Percent 3 6 2 6" xfId="17014" xr:uid="{00000000-0005-0000-0000-0000899D0000}"/>
    <cellStyle name="Percent 3 6 2 6 2" xfId="36934" xr:uid="{00000000-0005-0000-0000-00008A9D0000}"/>
    <cellStyle name="Percent 3 6 2 7" xfId="24629" xr:uid="{00000000-0005-0000-0000-00008B9D0000}"/>
    <cellStyle name="Percent 3 6 3" xfId="5326" xr:uid="{00000000-0005-0000-0000-00008C9D0000}"/>
    <cellStyle name="Percent 3 6 3 2" xfId="6951" xr:uid="{00000000-0005-0000-0000-00008D9D0000}"/>
    <cellStyle name="Percent 3 6 3 2 2" xfId="10037" xr:uid="{00000000-0005-0000-0000-00008E9D0000}"/>
    <cellStyle name="Percent 3 6 3 2 2 2" xfId="16230" xr:uid="{00000000-0005-0000-0000-00008F9D0000}"/>
    <cellStyle name="Percent 3 6 3 2 2 2 2" xfId="36150" xr:uid="{00000000-0005-0000-0000-0000909D0000}"/>
    <cellStyle name="Percent 3 6 3 2 2 3" xfId="22382" xr:uid="{00000000-0005-0000-0000-0000919D0000}"/>
    <cellStyle name="Percent 3 6 3 2 2 3 2" xfId="42302" xr:uid="{00000000-0005-0000-0000-0000929D0000}"/>
    <cellStyle name="Percent 3 6 3 2 2 4" xfId="29997" xr:uid="{00000000-0005-0000-0000-0000939D0000}"/>
    <cellStyle name="Percent 3 6 3 2 3" xfId="13164" xr:uid="{00000000-0005-0000-0000-0000949D0000}"/>
    <cellStyle name="Percent 3 6 3 2 3 2" xfId="33084" xr:uid="{00000000-0005-0000-0000-0000959D0000}"/>
    <cellStyle name="Percent 3 6 3 2 4" xfId="19316" xr:uid="{00000000-0005-0000-0000-0000969D0000}"/>
    <cellStyle name="Percent 3 6 3 2 4 2" xfId="39236" xr:uid="{00000000-0005-0000-0000-0000979D0000}"/>
    <cellStyle name="Percent 3 6 3 2 5" xfId="26931" xr:uid="{00000000-0005-0000-0000-0000989D0000}"/>
    <cellStyle name="Percent 3 6 3 3" xfId="8502" xr:uid="{00000000-0005-0000-0000-0000999D0000}"/>
    <cellStyle name="Percent 3 6 3 3 2" xfId="14696" xr:uid="{00000000-0005-0000-0000-00009A9D0000}"/>
    <cellStyle name="Percent 3 6 3 3 2 2" xfId="34616" xr:uid="{00000000-0005-0000-0000-00009B9D0000}"/>
    <cellStyle name="Percent 3 6 3 3 3" xfId="20848" xr:uid="{00000000-0005-0000-0000-00009C9D0000}"/>
    <cellStyle name="Percent 3 6 3 3 3 2" xfId="40768" xr:uid="{00000000-0005-0000-0000-00009D9D0000}"/>
    <cellStyle name="Percent 3 6 3 3 4" xfId="28463" xr:uid="{00000000-0005-0000-0000-00009E9D0000}"/>
    <cellStyle name="Percent 3 6 3 4" xfId="11630" xr:uid="{00000000-0005-0000-0000-00009F9D0000}"/>
    <cellStyle name="Percent 3 6 3 4 2" xfId="31550" xr:uid="{00000000-0005-0000-0000-0000A09D0000}"/>
    <cellStyle name="Percent 3 6 3 5" xfId="17782" xr:uid="{00000000-0005-0000-0000-0000A19D0000}"/>
    <cellStyle name="Percent 3 6 3 5 2" xfId="37702" xr:uid="{00000000-0005-0000-0000-0000A29D0000}"/>
    <cellStyle name="Percent 3 6 3 6" xfId="25397" xr:uid="{00000000-0005-0000-0000-0000A39D0000}"/>
    <cellStyle name="Percent 3 6 4" xfId="6178" xr:uid="{00000000-0005-0000-0000-0000A49D0000}"/>
    <cellStyle name="Percent 3 6 4 2" xfId="9268" xr:uid="{00000000-0005-0000-0000-0000A59D0000}"/>
    <cellStyle name="Percent 3 6 4 2 2" xfId="15461" xr:uid="{00000000-0005-0000-0000-0000A69D0000}"/>
    <cellStyle name="Percent 3 6 4 2 2 2" xfId="35381" xr:uid="{00000000-0005-0000-0000-0000A79D0000}"/>
    <cellStyle name="Percent 3 6 4 2 3" xfId="21613" xr:uid="{00000000-0005-0000-0000-0000A89D0000}"/>
    <cellStyle name="Percent 3 6 4 2 3 2" xfId="41533" xr:uid="{00000000-0005-0000-0000-0000A99D0000}"/>
    <cellStyle name="Percent 3 6 4 2 4" xfId="29228" xr:uid="{00000000-0005-0000-0000-0000AA9D0000}"/>
    <cellStyle name="Percent 3 6 4 3" xfId="12395" xr:uid="{00000000-0005-0000-0000-0000AB9D0000}"/>
    <cellStyle name="Percent 3 6 4 3 2" xfId="32315" xr:uid="{00000000-0005-0000-0000-0000AC9D0000}"/>
    <cellStyle name="Percent 3 6 4 4" xfId="18547" xr:uid="{00000000-0005-0000-0000-0000AD9D0000}"/>
    <cellStyle name="Percent 3 6 4 4 2" xfId="38467" xr:uid="{00000000-0005-0000-0000-0000AE9D0000}"/>
    <cellStyle name="Percent 3 6 4 5" xfId="26162" xr:uid="{00000000-0005-0000-0000-0000AF9D0000}"/>
    <cellStyle name="Percent 3 6 5" xfId="7733" xr:uid="{00000000-0005-0000-0000-0000B09D0000}"/>
    <cellStyle name="Percent 3 6 5 2" xfId="13927" xr:uid="{00000000-0005-0000-0000-0000B19D0000}"/>
    <cellStyle name="Percent 3 6 5 2 2" xfId="33847" xr:uid="{00000000-0005-0000-0000-0000B29D0000}"/>
    <cellStyle name="Percent 3 6 5 3" xfId="20079" xr:uid="{00000000-0005-0000-0000-0000B39D0000}"/>
    <cellStyle name="Percent 3 6 5 3 2" xfId="39999" xr:uid="{00000000-0005-0000-0000-0000B49D0000}"/>
    <cellStyle name="Percent 3 6 5 4" xfId="27694" xr:uid="{00000000-0005-0000-0000-0000B59D0000}"/>
    <cellStyle name="Percent 3 6 6" xfId="10861" xr:uid="{00000000-0005-0000-0000-0000B69D0000}"/>
    <cellStyle name="Percent 3 6 6 2" xfId="30781" xr:uid="{00000000-0005-0000-0000-0000B79D0000}"/>
    <cellStyle name="Percent 3 6 7" xfId="17013" xr:uid="{00000000-0005-0000-0000-0000B89D0000}"/>
    <cellStyle name="Percent 3 6 7 2" xfId="36933" xr:uid="{00000000-0005-0000-0000-0000B99D0000}"/>
    <cellStyle name="Percent 3 6 8" xfId="4291" xr:uid="{00000000-0005-0000-0000-0000BA9D0000}"/>
    <cellStyle name="Percent 3 6 8 2" xfId="24628" xr:uid="{00000000-0005-0000-0000-0000BB9D0000}"/>
    <cellStyle name="Percent 3 7" xfId="183" xr:uid="{00000000-0005-0000-0000-0000BC9D0000}"/>
    <cellStyle name="Percent 3 7 2" xfId="4294" xr:uid="{00000000-0005-0000-0000-0000BD9D0000}"/>
    <cellStyle name="Percent 3 7 2 2" xfId="5329" xr:uid="{00000000-0005-0000-0000-0000BE9D0000}"/>
    <cellStyle name="Percent 3 7 2 2 2" xfId="6954" xr:uid="{00000000-0005-0000-0000-0000BF9D0000}"/>
    <cellStyle name="Percent 3 7 2 2 2 2" xfId="10040" xr:uid="{00000000-0005-0000-0000-0000C09D0000}"/>
    <cellStyle name="Percent 3 7 2 2 2 2 2" xfId="16233" xr:uid="{00000000-0005-0000-0000-0000C19D0000}"/>
    <cellStyle name="Percent 3 7 2 2 2 2 2 2" xfId="36153" xr:uid="{00000000-0005-0000-0000-0000C29D0000}"/>
    <cellStyle name="Percent 3 7 2 2 2 2 3" xfId="22385" xr:uid="{00000000-0005-0000-0000-0000C39D0000}"/>
    <cellStyle name="Percent 3 7 2 2 2 2 3 2" xfId="42305" xr:uid="{00000000-0005-0000-0000-0000C49D0000}"/>
    <cellStyle name="Percent 3 7 2 2 2 2 4" xfId="30000" xr:uid="{00000000-0005-0000-0000-0000C59D0000}"/>
    <cellStyle name="Percent 3 7 2 2 2 3" xfId="13167" xr:uid="{00000000-0005-0000-0000-0000C69D0000}"/>
    <cellStyle name="Percent 3 7 2 2 2 3 2" xfId="33087" xr:uid="{00000000-0005-0000-0000-0000C79D0000}"/>
    <cellStyle name="Percent 3 7 2 2 2 4" xfId="19319" xr:uid="{00000000-0005-0000-0000-0000C89D0000}"/>
    <cellStyle name="Percent 3 7 2 2 2 4 2" xfId="39239" xr:uid="{00000000-0005-0000-0000-0000C99D0000}"/>
    <cellStyle name="Percent 3 7 2 2 2 5" xfId="26934" xr:uid="{00000000-0005-0000-0000-0000CA9D0000}"/>
    <cellStyle name="Percent 3 7 2 2 3" xfId="8505" xr:uid="{00000000-0005-0000-0000-0000CB9D0000}"/>
    <cellStyle name="Percent 3 7 2 2 3 2" xfId="14699" xr:uid="{00000000-0005-0000-0000-0000CC9D0000}"/>
    <cellStyle name="Percent 3 7 2 2 3 2 2" xfId="34619" xr:uid="{00000000-0005-0000-0000-0000CD9D0000}"/>
    <cellStyle name="Percent 3 7 2 2 3 3" xfId="20851" xr:uid="{00000000-0005-0000-0000-0000CE9D0000}"/>
    <cellStyle name="Percent 3 7 2 2 3 3 2" xfId="40771" xr:uid="{00000000-0005-0000-0000-0000CF9D0000}"/>
    <cellStyle name="Percent 3 7 2 2 3 4" xfId="28466" xr:uid="{00000000-0005-0000-0000-0000D09D0000}"/>
    <cellStyle name="Percent 3 7 2 2 4" xfId="11633" xr:uid="{00000000-0005-0000-0000-0000D19D0000}"/>
    <cellStyle name="Percent 3 7 2 2 4 2" xfId="31553" xr:uid="{00000000-0005-0000-0000-0000D29D0000}"/>
    <cellStyle name="Percent 3 7 2 2 5" xfId="17785" xr:uid="{00000000-0005-0000-0000-0000D39D0000}"/>
    <cellStyle name="Percent 3 7 2 2 5 2" xfId="37705" xr:uid="{00000000-0005-0000-0000-0000D49D0000}"/>
    <cellStyle name="Percent 3 7 2 2 6" xfId="25400" xr:uid="{00000000-0005-0000-0000-0000D59D0000}"/>
    <cellStyle name="Percent 3 7 2 3" xfId="6181" xr:uid="{00000000-0005-0000-0000-0000D69D0000}"/>
    <cellStyle name="Percent 3 7 2 3 2" xfId="9271" xr:uid="{00000000-0005-0000-0000-0000D79D0000}"/>
    <cellStyle name="Percent 3 7 2 3 2 2" xfId="15464" xr:uid="{00000000-0005-0000-0000-0000D89D0000}"/>
    <cellStyle name="Percent 3 7 2 3 2 2 2" xfId="35384" xr:uid="{00000000-0005-0000-0000-0000D99D0000}"/>
    <cellStyle name="Percent 3 7 2 3 2 3" xfId="21616" xr:uid="{00000000-0005-0000-0000-0000DA9D0000}"/>
    <cellStyle name="Percent 3 7 2 3 2 3 2" xfId="41536" xr:uid="{00000000-0005-0000-0000-0000DB9D0000}"/>
    <cellStyle name="Percent 3 7 2 3 2 4" xfId="29231" xr:uid="{00000000-0005-0000-0000-0000DC9D0000}"/>
    <cellStyle name="Percent 3 7 2 3 3" xfId="12398" xr:uid="{00000000-0005-0000-0000-0000DD9D0000}"/>
    <cellStyle name="Percent 3 7 2 3 3 2" xfId="32318" xr:uid="{00000000-0005-0000-0000-0000DE9D0000}"/>
    <cellStyle name="Percent 3 7 2 3 4" xfId="18550" xr:uid="{00000000-0005-0000-0000-0000DF9D0000}"/>
    <cellStyle name="Percent 3 7 2 3 4 2" xfId="38470" xr:uid="{00000000-0005-0000-0000-0000E09D0000}"/>
    <cellStyle name="Percent 3 7 2 3 5" xfId="26165" xr:uid="{00000000-0005-0000-0000-0000E19D0000}"/>
    <cellStyle name="Percent 3 7 2 4" xfId="7736" xr:uid="{00000000-0005-0000-0000-0000E29D0000}"/>
    <cellStyle name="Percent 3 7 2 4 2" xfId="13930" xr:uid="{00000000-0005-0000-0000-0000E39D0000}"/>
    <cellStyle name="Percent 3 7 2 4 2 2" xfId="33850" xr:uid="{00000000-0005-0000-0000-0000E49D0000}"/>
    <cellStyle name="Percent 3 7 2 4 3" xfId="20082" xr:uid="{00000000-0005-0000-0000-0000E59D0000}"/>
    <cellStyle name="Percent 3 7 2 4 3 2" xfId="40002" xr:uid="{00000000-0005-0000-0000-0000E69D0000}"/>
    <cellStyle name="Percent 3 7 2 4 4" xfId="27697" xr:uid="{00000000-0005-0000-0000-0000E79D0000}"/>
    <cellStyle name="Percent 3 7 2 5" xfId="10864" xr:uid="{00000000-0005-0000-0000-0000E89D0000}"/>
    <cellStyle name="Percent 3 7 2 5 2" xfId="30784" xr:uid="{00000000-0005-0000-0000-0000E99D0000}"/>
    <cellStyle name="Percent 3 7 2 6" xfId="17016" xr:uid="{00000000-0005-0000-0000-0000EA9D0000}"/>
    <cellStyle name="Percent 3 7 2 6 2" xfId="36936" xr:uid="{00000000-0005-0000-0000-0000EB9D0000}"/>
    <cellStyle name="Percent 3 7 2 7" xfId="24631" xr:uid="{00000000-0005-0000-0000-0000EC9D0000}"/>
    <cellStyle name="Percent 3 7 3" xfId="5328" xr:uid="{00000000-0005-0000-0000-0000ED9D0000}"/>
    <cellStyle name="Percent 3 7 3 2" xfId="6953" xr:uid="{00000000-0005-0000-0000-0000EE9D0000}"/>
    <cellStyle name="Percent 3 7 3 2 2" xfId="10039" xr:uid="{00000000-0005-0000-0000-0000EF9D0000}"/>
    <cellStyle name="Percent 3 7 3 2 2 2" xfId="16232" xr:uid="{00000000-0005-0000-0000-0000F09D0000}"/>
    <cellStyle name="Percent 3 7 3 2 2 2 2" xfId="36152" xr:uid="{00000000-0005-0000-0000-0000F19D0000}"/>
    <cellStyle name="Percent 3 7 3 2 2 3" xfId="22384" xr:uid="{00000000-0005-0000-0000-0000F29D0000}"/>
    <cellStyle name="Percent 3 7 3 2 2 3 2" xfId="42304" xr:uid="{00000000-0005-0000-0000-0000F39D0000}"/>
    <cellStyle name="Percent 3 7 3 2 2 4" xfId="29999" xr:uid="{00000000-0005-0000-0000-0000F49D0000}"/>
    <cellStyle name="Percent 3 7 3 2 3" xfId="13166" xr:uid="{00000000-0005-0000-0000-0000F59D0000}"/>
    <cellStyle name="Percent 3 7 3 2 3 2" xfId="33086" xr:uid="{00000000-0005-0000-0000-0000F69D0000}"/>
    <cellStyle name="Percent 3 7 3 2 4" xfId="19318" xr:uid="{00000000-0005-0000-0000-0000F79D0000}"/>
    <cellStyle name="Percent 3 7 3 2 4 2" xfId="39238" xr:uid="{00000000-0005-0000-0000-0000F89D0000}"/>
    <cellStyle name="Percent 3 7 3 2 5" xfId="26933" xr:uid="{00000000-0005-0000-0000-0000F99D0000}"/>
    <cellStyle name="Percent 3 7 3 3" xfId="8504" xr:uid="{00000000-0005-0000-0000-0000FA9D0000}"/>
    <cellStyle name="Percent 3 7 3 3 2" xfId="14698" xr:uid="{00000000-0005-0000-0000-0000FB9D0000}"/>
    <cellStyle name="Percent 3 7 3 3 2 2" xfId="34618" xr:uid="{00000000-0005-0000-0000-0000FC9D0000}"/>
    <cellStyle name="Percent 3 7 3 3 3" xfId="20850" xr:uid="{00000000-0005-0000-0000-0000FD9D0000}"/>
    <cellStyle name="Percent 3 7 3 3 3 2" xfId="40770" xr:uid="{00000000-0005-0000-0000-0000FE9D0000}"/>
    <cellStyle name="Percent 3 7 3 3 4" xfId="28465" xr:uid="{00000000-0005-0000-0000-0000FF9D0000}"/>
    <cellStyle name="Percent 3 7 3 4" xfId="11632" xr:uid="{00000000-0005-0000-0000-0000009E0000}"/>
    <cellStyle name="Percent 3 7 3 4 2" xfId="31552" xr:uid="{00000000-0005-0000-0000-0000019E0000}"/>
    <cellStyle name="Percent 3 7 3 5" xfId="17784" xr:uid="{00000000-0005-0000-0000-0000029E0000}"/>
    <cellStyle name="Percent 3 7 3 5 2" xfId="37704" xr:uid="{00000000-0005-0000-0000-0000039E0000}"/>
    <cellStyle name="Percent 3 7 3 6" xfId="25399" xr:uid="{00000000-0005-0000-0000-0000049E0000}"/>
    <cellStyle name="Percent 3 7 4" xfId="6180" xr:uid="{00000000-0005-0000-0000-0000059E0000}"/>
    <cellStyle name="Percent 3 7 4 2" xfId="9270" xr:uid="{00000000-0005-0000-0000-0000069E0000}"/>
    <cellStyle name="Percent 3 7 4 2 2" xfId="15463" xr:uid="{00000000-0005-0000-0000-0000079E0000}"/>
    <cellStyle name="Percent 3 7 4 2 2 2" xfId="35383" xr:uid="{00000000-0005-0000-0000-0000089E0000}"/>
    <cellStyle name="Percent 3 7 4 2 3" xfId="21615" xr:uid="{00000000-0005-0000-0000-0000099E0000}"/>
    <cellStyle name="Percent 3 7 4 2 3 2" xfId="41535" xr:uid="{00000000-0005-0000-0000-00000A9E0000}"/>
    <cellStyle name="Percent 3 7 4 2 4" xfId="29230" xr:uid="{00000000-0005-0000-0000-00000B9E0000}"/>
    <cellStyle name="Percent 3 7 4 3" xfId="12397" xr:uid="{00000000-0005-0000-0000-00000C9E0000}"/>
    <cellStyle name="Percent 3 7 4 3 2" xfId="32317" xr:uid="{00000000-0005-0000-0000-00000D9E0000}"/>
    <cellStyle name="Percent 3 7 4 4" xfId="18549" xr:uid="{00000000-0005-0000-0000-00000E9E0000}"/>
    <cellStyle name="Percent 3 7 4 4 2" xfId="38469" xr:uid="{00000000-0005-0000-0000-00000F9E0000}"/>
    <cellStyle name="Percent 3 7 4 5" xfId="26164" xr:uid="{00000000-0005-0000-0000-0000109E0000}"/>
    <cellStyle name="Percent 3 7 5" xfId="7735" xr:uid="{00000000-0005-0000-0000-0000119E0000}"/>
    <cellStyle name="Percent 3 7 5 2" xfId="13929" xr:uid="{00000000-0005-0000-0000-0000129E0000}"/>
    <cellStyle name="Percent 3 7 5 2 2" xfId="33849" xr:uid="{00000000-0005-0000-0000-0000139E0000}"/>
    <cellStyle name="Percent 3 7 5 3" xfId="20081" xr:uid="{00000000-0005-0000-0000-0000149E0000}"/>
    <cellStyle name="Percent 3 7 5 3 2" xfId="40001" xr:uid="{00000000-0005-0000-0000-0000159E0000}"/>
    <cellStyle name="Percent 3 7 5 4" xfId="27696" xr:uid="{00000000-0005-0000-0000-0000169E0000}"/>
    <cellStyle name="Percent 3 7 6" xfId="10863" xr:uid="{00000000-0005-0000-0000-0000179E0000}"/>
    <cellStyle name="Percent 3 7 6 2" xfId="30783" xr:uid="{00000000-0005-0000-0000-0000189E0000}"/>
    <cellStyle name="Percent 3 7 7" xfId="17015" xr:uid="{00000000-0005-0000-0000-0000199E0000}"/>
    <cellStyle name="Percent 3 7 7 2" xfId="36935" xr:uid="{00000000-0005-0000-0000-00001A9E0000}"/>
    <cellStyle name="Percent 3 7 8" xfId="4293" xr:uid="{00000000-0005-0000-0000-00001B9E0000}"/>
    <cellStyle name="Percent 3 7 8 2" xfId="24630" xr:uid="{00000000-0005-0000-0000-00001C9E0000}"/>
    <cellStyle name="Percent 3 8" xfId="192" xr:uid="{00000000-0005-0000-0000-00001D9E0000}"/>
    <cellStyle name="Percent 3 8 2" xfId="5330" xr:uid="{00000000-0005-0000-0000-00001E9E0000}"/>
    <cellStyle name="Percent 3 8 2 2" xfId="6955" xr:uid="{00000000-0005-0000-0000-00001F9E0000}"/>
    <cellStyle name="Percent 3 8 2 2 2" xfId="10041" xr:uid="{00000000-0005-0000-0000-0000209E0000}"/>
    <cellStyle name="Percent 3 8 2 2 2 2" xfId="16234" xr:uid="{00000000-0005-0000-0000-0000219E0000}"/>
    <cellStyle name="Percent 3 8 2 2 2 2 2" xfId="36154" xr:uid="{00000000-0005-0000-0000-0000229E0000}"/>
    <cellStyle name="Percent 3 8 2 2 2 3" xfId="22386" xr:uid="{00000000-0005-0000-0000-0000239E0000}"/>
    <cellStyle name="Percent 3 8 2 2 2 3 2" xfId="42306" xr:uid="{00000000-0005-0000-0000-0000249E0000}"/>
    <cellStyle name="Percent 3 8 2 2 2 4" xfId="30001" xr:uid="{00000000-0005-0000-0000-0000259E0000}"/>
    <cellStyle name="Percent 3 8 2 2 3" xfId="13168" xr:uid="{00000000-0005-0000-0000-0000269E0000}"/>
    <cellStyle name="Percent 3 8 2 2 3 2" xfId="33088" xr:uid="{00000000-0005-0000-0000-0000279E0000}"/>
    <cellStyle name="Percent 3 8 2 2 4" xfId="19320" xr:uid="{00000000-0005-0000-0000-0000289E0000}"/>
    <cellStyle name="Percent 3 8 2 2 4 2" xfId="39240" xr:uid="{00000000-0005-0000-0000-0000299E0000}"/>
    <cellStyle name="Percent 3 8 2 2 5" xfId="26935" xr:uid="{00000000-0005-0000-0000-00002A9E0000}"/>
    <cellStyle name="Percent 3 8 2 3" xfId="8506" xr:uid="{00000000-0005-0000-0000-00002B9E0000}"/>
    <cellStyle name="Percent 3 8 2 3 2" xfId="14700" xr:uid="{00000000-0005-0000-0000-00002C9E0000}"/>
    <cellStyle name="Percent 3 8 2 3 2 2" xfId="34620" xr:uid="{00000000-0005-0000-0000-00002D9E0000}"/>
    <cellStyle name="Percent 3 8 2 3 3" xfId="20852" xr:uid="{00000000-0005-0000-0000-00002E9E0000}"/>
    <cellStyle name="Percent 3 8 2 3 3 2" xfId="40772" xr:uid="{00000000-0005-0000-0000-00002F9E0000}"/>
    <cellStyle name="Percent 3 8 2 3 4" xfId="28467" xr:uid="{00000000-0005-0000-0000-0000309E0000}"/>
    <cellStyle name="Percent 3 8 2 4" xfId="11634" xr:uid="{00000000-0005-0000-0000-0000319E0000}"/>
    <cellStyle name="Percent 3 8 2 4 2" xfId="31554" xr:uid="{00000000-0005-0000-0000-0000329E0000}"/>
    <cellStyle name="Percent 3 8 2 5" xfId="17786" xr:uid="{00000000-0005-0000-0000-0000339E0000}"/>
    <cellStyle name="Percent 3 8 2 5 2" xfId="37706" xr:uid="{00000000-0005-0000-0000-0000349E0000}"/>
    <cellStyle name="Percent 3 8 2 6" xfId="25401" xr:uid="{00000000-0005-0000-0000-0000359E0000}"/>
    <cellStyle name="Percent 3 8 3" xfId="6182" xr:uid="{00000000-0005-0000-0000-0000369E0000}"/>
    <cellStyle name="Percent 3 8 3 2" xfId="9272" xr:uid="{00000000-0005-0000-0000-0000379E0000}"/>
    <cellStyle name="Percent 3 8 3 2 2" xfId="15465" xr:uid="{00000000-0005-0000-0000-0000389E0000}"/>
    <cellStyle name="Percent 3 8 3 2 2 2" xfId="35385" xr:uid="{00000000-0005-0000-0000-0000399E0000}"/>
    <cellStyle name="Percent 3 8 3 2 3" xfId="21617" xr:uid="{00000000-0005-0000-0000-00003A9E0000}"/>
    <cellStyle name="Percent 3 8 3 2 3 2" xfId="41537" xr:uid="{00000000-0005-0000-0000-00003B9E0000}"/>
    <cellStyle name="Percent 3 8 3 2 4" xfId="29232" xr:uid="{00000000-0005-0000-0000-00003C9E0000}"/>
    <cellStyle name="Percent 3 8 3 3" xfId="12399" xr:uid="{00000000-0005-0000-0000-00003D9E0000}"/>
    <cellStyle name="Percent 3 8 3 3 2" xfId="32319" xr:uid="{00000000-0005-0000-0000-00003E9E0000}"/>
    <cellStyle name="Percent 3 8 3 4" xfId="18551" xr:uid="{00000000-0005-0000-0000-00003F9E0000}"/>
    <cellStyle name="Percent 3 8 3 4 2" xfId="38471" xr:uid="{00000000-0005-0000-0000-0000409E0000}"/>
    <cellStyle name="Percent 3 8 3 5" xfId="26166" xr:uid="{00000000-0005-0000-0000-0000419E0000}"/>
    <cellStyle name="Percent 3 8 4" xfId="7737" xr:uid="{00000000-0005-0000-0000-0000429E0000}"/>
    <cellStyle name="Percent 3 8 4 2" xfId="13931" xr:uid="{00000000-0005-0000-0000-0000439E0000}"/>
    <cellStyle name="Percent 3 8 4 2 2" xfId="33851" xr:uid="{00000000-0005-0000-0000-0000449E0000}"/>
    <cellStyle name="Percent 3 8 4 3" xfId="20083" xr:uid="{00000000-0005-0000-0000-0000459E0000}"/>
    <cellStyle name="Percent 3 8 4 3 2" xfId="40003" xr:uid="{00000000-0005-0000-0000-0000469E0000}"/>
    <cellStyle name="Percent 3 8 4 4" xfId="27698" xr:uid="{00000000-0005-0000-0000-0000479E0000}"/>
    <cellStyle name="Percent 3 8 5" xfId="10865" xr:uid="{00000000-0005-0000-0000-0000489E0000}"/>
    <cellStyle name="Percent 3 8 5 2" xfId="30785" xr:uid="{00000000-0005-0000-0000-0000499E0000}"/>
    <cellStyle name="Percent 3 8 6" xfId="17017" xr:uid="{00000000-0005-0000-0000-00004A9E0000}"/>
    <cellStyle name="Percent 3 8 6 2" xfId="36937" xr:uid="{00000000-0005-0000-0000-00004B9E0000}"/>
    <cellStyle name="Percent 3 8 7" xfId="4295" xr:uid="{00000000-0005-0000-0000-00004C9E0000}"/>
    <cellStyle name="Percent 3 8 7 2" xfId="24632" xr:uid="{00000000-0005-0000-0000-00004D9E0000}"/>
    <cellStyle name="Percent 3 9" xfId="228" xr:uid="{00000000-0005-0000-0000-00004E9E0000}"/>
    <cellStyle name="Percent 3 9 2" xfId="5331" xr:uid="{00000000-0005-0000-0000-00004F9E0000}"/>
    <cellStyle name="Percent 3 9 2 2" xfId="6956" xr:uid="{00000000-0005-0000-0000-0000509E0000}"/>
    <cellStyle name="Percent 3 9 2 2 2" xfId="10042" xr:uid="{00000000-0005-0000-0000-0000519E0000}"/>
    <cellStyle name="Percent 3 9 2 2 2 2" xfId="16235" xr:uid="{00000000-0005-0000-0000-0000529E0000}"/>
    <cellStyle name="Percent 3 9 2 2 2 2 2" xfId="36155" xr:uid="{00000000-0005-0000-0000-0000539E0000}"/>
    <cellStyle name="Percent 3 9 2 2 2 3" xfId="22387" xr:uid="{00000000-0005-0000-0000-0000549E0000}"/>
    <cellStyle name="Percent 3 9 2 2 2 3 2" xfId="42307" xr:uid="{00000000-0005-0000-0000-0000559E0000}"/>
    <cellStyle name="Percent 3 9 2 2 2 4" xfId="30002" xr:uid="{00000000-0005-0000-0000-0000569E0000}"/>
    <cellStyle name="Percent 3 9 2 2 3" xfId="13169" xr:uid="{00000000-0005-0000-0000-0000579E0000}"/>
    <cellStyle name="Percent 3 9 2 2 3 2" xfId="33089" xr:uid="{00000000-0005-0000-0000-0000589E0000}"/>
    <cellStyle name="Percent 3 9 2 2 4" xfId="19321" xr:uid="{00000000-0005-0000-0000-0000599E0000}"/>
    <cellStyle name="Percent 3 9 2 2 4 2" xfId="39241" xr:uid="{00000000-0005-0000-0000-00005A9E0000}"/>
    <cellStyle name="Percent 3 9 2 2 5" xfId="26936" xr:uid="{00000000-0005-0000-0000-00005B9E0000}"/>
    <cellStyle name="Percent 3 9 2 3" xfId="8507" xr:uid="{00000000-0005-0000-0000-00005C9E0000}"/>
    <cellStyle name="Percent 3 9 2 3 2" xfId="14701" xr:uid="{00000000-0005-0000-0000-00005D9E0000}"/>
    <cellStyle name="Percent 3 9 2 3 2 2" xfId="34621" xr:uid="{00000000-0005-0000-0000-00005E9E0000}"/>
    <cellStyle name="Percent 3 9 2 3 3" xfId="20853" xr:uid="{00000000-0005-0000-0000-00005F9E0000}"/>
    <cellStyle name="Percent 3 9 2 3 3 2" xfId="40773" xr:uid="{00000000-0005-0000-0000-0000609E0000}"/>
    <cellStyle name="Percent 3 9 2 3 4" xfId="28468" xr:uid="{00000000-0005-0000-0000-0000619E0000}"/>
    <cellStyle name="Percent 3 9 2 4" xfId="11635" xr:uid="{00000000-0005-0000-0000-0000629E0000}"/>
    <cellStyle name="Percent 3 9 2 4 2" xfId="31555" xr:uid="{00000000-0005-0000-0000-0000639E0000}"/>
    <cellStyle name="Percent 3 9 2 5" xfId="17787" xr:uid="{00000000-0005-0000-0000-0000649E0000}"/>
    <cellStyle name="Percent 3 9 2 5 2" xfId="37707" xr:uid="{00000000-0005-0000-0000-0000659E0000}"/>
    <cellStyle name="Percent 3 9 2 6" xfId="25402" xr:uid="{00000000-0005-0000-0000-0000669E0000}"/>
    <cellStyle name="Percent 3 9 3" xfId="6183" xr:uid="{00000000-0005-0000-0000-0000679E0000}"/>
    <cellStyle name="Percent 3 9 3 2" xfId="9273" xr:uid="{00000000-0005-0000-0000-0000689E0000}"/>
    <cellStyle name="Percent 3 9 3 2 2" xfId="15466" xr:uid="{00000000-0005-0000-0000-0000699E0000}"/>
    <cellStyle name="Percent 3 9 3 2 2 2" xfId="35386" xr:uid="{00000000-0005-0000-0000-00006A9E0000}"/>
    <cellStyle name="Percent 3 9 3 2 3" xfId="21618" xr:uid="{00000000-0005-0000-0000-00006B9E0000}"/>
    <cellStyle name="Percent 3 9 3 2 3 2" xfId="41538" xr:uid="{00000000-0005-0000-0000-00006C9E0000}"/>
    <cellStyle name="Percent 3 9 3 2 4" xfId="29233" xr:uid="{00000000-0005-0000-0000-00006D9E0000}"/>
    <cellStyle name="Percent 3 9 3 3" xfId="12400" xr:uid="{00000000-0005-0000-0000-00006E9E0000}"/>
    <cellStyle name="Percent 3 9 3 3 2" xfId="32320" xr:uid="{00000000-0005-0000-0000-00006F9E0000}"/>
    <cellStyle name="Percent 3 9 3 4" xfId="18552" xr:uid="{00000000-0005-0000-0000-0000709E0000}"/>
    <cellStyle name="Percent 3 9 3 4 2" xfId="38472" xr:uid="{00000000-0005-0000-0000-0000719E0000}"/>
    <cellStyle name="Percent 3 9 3 5" xfId="26167" xr:uid="{00000000-0005-0000-0000-0000729E0000}"/>
    <cellStyle name="Percent 3 9 4" xfId="7738" xr:uid="{00000000-0005-0000-0000-0000739E0000}"/>
    <cellStyle name="Percent 3 9 4 2" xfId="13932" xr:uid="{00000000-0005-0000-0000-0000749E0000}"/>
    <cellStyle name="Percent 3 9 4 2 2" xfId="33852" xr:uid="{00000000-0005-0000-0000-0000759E0000}"/>
    <cellStyle name="Percent 3 9 4 3" xfId="20084" xr:uid="{00000000-0005-0000-0000-0000769E0000}"/>
    <cellStyle name="Percent 3 9 4 3 2" xfId="40004" xr:uid="{00000000-0005-0000-0000-0000779E0000}"/>
    <cellStyle name="Percent 3 9 4 4" xfId="27699" xr:uid="{00000000-0005-0000-0000-0000789E0000}"/>
    <cellStyle name="Percent 3 9 5" xfId="10866" xr:uid="{00000000-0005-0000-0000-0000799E0000}"/>
    <cellStyle name="Percent 3 9 5 2" xfId="30786" xr:uid="{00000000-0005-0000-0000-00007A9E0000}"/>
    <cellStyle name="Percent 3 9 6" xfId="17018" xr:uid="{00000000-0005-0000-0000-00007B9E0000}"/>
    <cellStyle name="Percent 3 9 6 2" xfId="36938" xr:uid="{00000000-0005-0000-0000-00007C9E0000}"/>
    <cellStyle name="Percent 3 9 7" xfId="4296" xr:uid="{00000000-0005-0000-0000-00007D9E0000}"/>
    <cellStyle name="Percent 3 9 7 2" xfId="24633" xr:uid="{00000000-0005-0000-0000-00007E9E0000}"/>
    <cellStyle name="Percent 30" xfId="4297" xr:uid="{00000000-0005-0000-0000-00007F9E0000}"/>
    <cellStyle name="Percent 30 2" xfId="4298" xr:uid="{00000000-0005-0000-0000-0000809E0000}"/>
    <cellStyle name="Percent 30 2 2" xfId="4299" xr:uid="{00000000-0005-0000-0000-0000819E0000}"/>
    <cellStyle name="Percent 30 2 2 2" xfId="5333" xr:uid="{00000000-0005-0000-0000-0000829E0000}"/>
    <cellStyle name="Percent 30 2 2 2 2" xfId="6958" xr:uid="{00000000-0005-0000-0000-0000839E0000}"/>
    <cellStyle name="Percent 30 2 2 2 2 2" xfId="10044" xr:uid="{00000000-0005-0000-0000-0000849E0000}"/>
    <cellStyle name="Percent 30 2 2 2 2 2 2" xfId="16237" xr:uid="{00000000-0005-0000-0000-0000859E0000}"/>
    <cellStyle name="Percent 30 2 2 2 2 2 2 2" xfId="36157" xr:uid="{00000000-0005-0000-0000-0000869E0000}"/>
    <cellStyle name="Percent 30 2 2 2 2 2 3" xfId="22389" xr:uid="{00000000-0005-0000-0000-0000879E0000}"/>
    <cellStyle name="Percent 30 2 2 2 2 2 3 2" xfId="42309" xr:uid="{00000000-0005-0000-0000-0000889E0000}"/>
    <cellStyle name="Percent 30 2 2 2 2 2 4" xfId="30004" xr:uid="{00000000-0005-0000-0000-0000899E0000}"/>
    <cellStyle name="Percent 30 2 2 2 2 3" xfId="13171" xr:uid="{00000000-0005-0000-0000-00008A9E0000}"/>
    <cellStyle name="Percent 30 2 2 2 2 3 2" xfId="33091" xr:uid="{00000000-0005-0000-0000-00008B9E0000}"/>
    <cellStyle name="Percent 30 2 2 2 2 4" xfId="19323" xr:uid="{00000000-0005-0000-0000-00008C9E0000}"/>
    <cellStyle name="Percent 30 2 2 2 2 4 2" xfId="39243" xr:uid="{00000000-0005-0000-0000-00008D9E0000}"/>
    <cellStyle name="Percent 30 2 2 2 2 5" xfId="26938" xr:uid="{00000000-0005-0000-0000-00008E9E0000}"/>
    <cellStyle name="Percent 30 2 2 2 3" xfId="8509" xr:uid="{00000000-0005-0000-0000-00008F9E0000}"/>
    <cellStyle name="Percent 30 2 2 2 3 2" xfId="14703" xr:uid="{00000000-0005-0000-0000-0000909E0000}"/>
    <cellStyle name="Percent 30 2 2 2 3 2 2" xfId="34623" xr:uid="{00000000-0005-0000-0000-0000919E0000}"/>
    <cellStyle name="Percent 30 2 2 2 3 3" xfId="20855" xr:uid="{00000000-0005-0000-0000-0000929E0000}"/>
    <cellStyle name="Percent 30 2 2 2 3 3 2" xfId="40775" xr:uid="{00000000-0005-0000-0000-0000939E0000}"/>
    <cellStyle name="Percent 30 2 2 2 3 4" xfId="28470" xr:uid="{00000000-0005-0000-0000-0000949E0000}"/>
    <cellStyle name="Percent 30 2 2 2 4" xfId="11637" xr:uid="{00000000-0005-0000-0000-0000959E0000}"/>
    <cellStyle name="Percent 30 2 2 2 4 2" xfId="31557" xr:uid="{00000000-0005-0000-0000-0000969E0000}"/>
    <cellStyle name="Percent 30 2 2 2 5" xfId="17789" xr:uid="{00000000-0005-0000-0000-0000979E0000}"/>
    <cellStyle name="Percent 30 2 2 2 5 2" xfId="37709" xr:uid="{00000000-0005-0000-0000-0000989E0000}"/>
    <cellStyle name="Percent 30 2 2 2 6" xfId="25404" xr:uid="{00000000-0005-0000-0000-0000999E0000}"/>
    <cellStyle name="Percent 30 2 2 3" xfId="6186" xr:uid="{00000000-0005-0000-0000-00009A9E0000}"/>
    <cellStyle name="Percent 30 2 2 3 2" xfId="9275" xr:uid="{00000000-0005-0000-0000-00009B9E0000}"/>
    <cellStyle name="Percent 30 2 2 3 2 2" xfId="15468" xr:uid="{00000000-0005-0000-0000-00009C9E0000}"/>
    <cellStyle name="Percent 30 2 2 3 2 2 2" xfId="35388" xr:uid="{00000000-0005-0000-0000-00009D9E0000}"/>
    <cellStyle name="Percent 30 2 2 3 2 3" xfId="21620" xr:uid="{00000000-0005-0000-0000-00009E9E0000}"/>
    <cellStyle name="Percent 30 2 2 3 2 3 2" xfId="41540" xr:uid="{00000000-0005-0000-0000-00009F9E0000}"/>
    <cellStyle name="Percent 30 2 2 3 2 4" xfId="29235" xr:uid="{00000000-0005-0000-0000-0000A09E0000}"/>
    <cellStyle name="Percent 30 2 2 3 3" xfId="12402" xr:uid="{00000000-0005-0000-0000-0000A19E0000}"/>
    <cellStyle name="Percent 30 2 2 3 3 2" xfId="32322" xr:uid="{00000000-0005-0000-0000-0000A29E0000}"/>
    <cellStyle name="Percent 30 2 2 3 4" xfId="18554" xr:uid="{00000000-0005-0000-0000-0000A39E0000}"/>
    <cellStyle name="Percent 30 2 2 3 4 2" xfId="38474" xr:uid="{00000000-0005-0000-0000-0000A49E0000}"/>
    <cellStyle name="Percent 30 2 2 3 5" xfId="26169" xr:uid="{00000000-0005-0000-0000-0000A59E0000}"/>
    <cellStyle name="Percent 30 2 2 4" xfId="7740" xr:uid="{00000000-0005-0000-0000-0000A69E0000}"/>
    <cellStyle name="Percent 30 2 2 4 2" xfId="13934" xr:uid="{00000000-0005-0000-0000-0000A79E0000}"/>
    <cellStyle name="Percent 30 2 2 4 2 2" xfId="33854" xr:uid="{00000000-0005-0000-0000-0000A89E0000}"/>
    <cellStyle name="Percent 30 2 2 4 3" xfId="20086" xr:uid="{00000000-0005-0000-0000-0000A99E0000}"/>
    <cellStyle name="Percent 30 2 2 4 3 2" xfId="40006" xr:uid="{00000000-0005-0000-0000-0000AA9E0000}"/>
    <cellStyle name="Percent 30 2 2 4 4" xfId="27701" xr:uid="{00000000-0005-0000-0000-0000AB9E0000}"/>
    <cellStyle name="Percent 30 2 2 5" xfId="10868" xr:uid="{00000000-0005-0000-0000-0000AC9E0000}"/>
    <cellStyle name="Percent 30 2 2 5 2" xfId="30788" xr:uid="{00000000-0005-0000-0000-0000AD9E0000}"/>
    <cellStyle name="Percent 30 2 2 6" xfId="17020" xr:uid="{00000000-0005-0000-0000-0000AE9E0000}"/>
    <cellStyle name="Percent 30 2 2 6 2" xfId="36940" xr:uid="{00000000-0005-0000-0000-0000AF9E0000}"/>
    <cellStyle name="Percent 30 2 2 7" xfId="24635" xr:uid="{00000000-0005-0000-0000-0000B09E0000}"/>
    <cellStyle name="Percent 30 2 3" xfId="5332" xr:uid="{00000000-0005-0000-0000-0000B19E0000}"/>
    <cellStyle name="Percent 30 2 3 2" xfId="6957" xr:uid="{00000000-0005-0000-0000-0000B29E0000}"/>
    <cellStyle name="Percent 30 2 3 2 2" xfId="10043" xr:uid="{00000000-0005-0000-0000-0000B39E0000}"/>
    <cellStyle name="Percent 30 2 3 2 2 2" xfId="16236" xr:uid="{00000000-0005-0000-0000-0000B49E0000}"/>
    <cellStyle name="Percent 30 2 3 2 2 2 2" xfId="36156" xr:uid="{00000000-0005-0000-0000-0000B59E0000}"/>
    <cellStyle name="Percent 30 2 3 2 2 3" xfId="22388" xr:uid="{00000000-0005-0000-0000-0000B69E0000}"/>
    <cellStyle name="Percent 30 2 3 2 2 3 2" xfId="42308" xr:uid="{00000000-0005-0000-0000-0000B79E0000}"/>
    <cellStyle name="Percent 30 2 3 2 2 4" xfId="30003" xr:uid="{00000000-0005-0000-0000-0000B89E0000}"/>
    <cellStyle name="Percent 30 2 3 2 3" xfId="13170" xr:uid="{00000000-0005-0000-0000-0000B99E0000}"/>
    <cellStyle name="Percent 30 2 3 2 3 2" xfId="33090" xr:uid="{00000000-0005-0000-0000-0000BA9E0000}"/>
    <cellStyle name="Percent 30 2 3 2 4" xfId="19322" xr:uid="{00000000-0005-0000-0000-0000BB9E0000}"/>
    <cellStyle name="Percent 30 2 3 2 4 2" xfId="39242" xr:uid="{00000000-0005-0000-0000-0000BC9E0000}"/>
    <cellStyle name="Percent 30 2 3 2 5" xfId="26937" xr:uid="{00000000-0005-0000-0000-0000BD9E0000}"/>
    <cellStyle name="Percent 30 2 3 3" xfId="8508" xr:uid="{00000000-0005-0000-0000-0000BE9E0000}"/>
    <cellStyle name="Percent 30 2 3 3 2" xfId="14702" xr:uid="{00000000-0005-0000-0000-0000BF9E0000}"/>
    <cellStyle name="Percent 30 2 3 3 2 2" xfId="34622" xr:uid="{00000000-0005-0000-0000-0000C09E0000}"/>
    <cellStyle name="Percent 30 2 3 3 3" xfId="20854" xr:uid="{00000000-0005-0000-0000-0000C19E0000}"/>
    <cellStyle name="Percent 30 2 3 3 3 2" xfId="40774" xr:uid="{00000000-0005-0000-0000-0000C29E0000}"/>
    <cellStyle name="Percent 30 2 3 3 4" xfId="28469" xr:uid="{00000000-0005-0000-0000-0000C39E0000}"/>
    <cellStyle name="Percent 30 2 3 4" xfId="11636" xr:uid="{00000000-0005-0000-0000-0000C49E0000}"/>
    <cellStyle name="Percent 30 2 3 4 2" xfId="31556" xr:uid="{00000000-0005-0000-0000-0000C59E0000}"/>
    <cellStyle name="Percent 30 2 3 5" xfId="17788" xr:uid="{00000000-0005-0000-0000-0000C69E0000}"/>
    <cellStyle name="Percent 30 2 3 5 2" xfId="37708" xr:uid="{00000000-0005-0000-0000-0000C79E0000}"/>
    <cellStyle name="Percent 30 2 3 6" xfId="25403" xr:uid="{00000000-0005-0000-0000-0000C89E0000}"/>
    <cellStyle name="Percent 30 2 4" xfId="6185" xr:uid="{00000000-0005-0000-0000-0000C99E0000}"/>
    <cellStyle name="Percent 30 2 4 2" xfId="9274" xr:uid="{00000000-0005-0000-0000-0000CA9E0000}"/>
    <cellStyle name="Percent 30 2 4 2 2" xfId="15467" xr:uid="{00000000-0005-0000-0000-0000CB9E0000}"/>
    <cellStyle name="Percent 30 2 4 2 2 2" xfId="35387" xr:uid="{00000000-0005-0000-0000-0000CC9E0000}"/>
    <cellStyle name="Percent 30 2 4 2 3" xfId="21619" xr:uid="{00000000-0005-0000-0000-0000CD9E0000}"/>
    <cellStyle name="Percent 30 2 4 2 3 2" xfId="41539" xr:uid="{00000000-0005-0000-0000-0000CE9E0000}"/>
    <cellStyle name="Percent 30 2 4 2 4" xfId="29234" xr:uid="{00000000-0005-0000-0000-0000CF9E0000}"/>
    <cellStyle name="Percent 30 2 4 3" xfId="12401" xr:uid="{00000000-0005-0000-0000-0000D09E0000}"/>
    <cellStyle name="Percent 30 2 4 3 2" xfId="32321" xr:uid="{00000000-0005-0000-0000-0000D19E0000}"/>
    <cellStyle name="Percent 30 2 4 4" xfId="18553" xr:uid="{00000000-0005-0000-0000-0000D29E0000}"/>
    <cellStyle name="Percent 30 2 4 4 2" xfId="38473" xr:uid="{00000000-0005-0000-0000-0000D39E0000}"/>
    <cellStyle name="Percent 30 2 4 5" xfId="26168" xr:uid="{00000000-0005-0000-0000-0000D49E0000}"/>
    <cellStyle name="Percent 30 2 5" xfId="7739" xr:uid="{00000000-0005-0000-0000-0000D59E0000}"/>
    <cellStyle name="Percent 30 2 5 2" xfId="13933" xr:uid="{00000000-0005-0000-0000-0000D69E0000}"/>
    <cellStyle name="Percent 30 2 5 2 2" xfId="33853" xr:uid="{00000000-0005-0000-0000-0000D79E0000}"/>
    <cellStyle name="Percent 30 2 5 3" xfId="20085" xr:uid="{00000000-0005-0000-0000-0000D89E0000}"/>
    <cellStyle name="Percent 30 2 5 3 2" xfId="40005" xr:uid="{00000000-0005-0000-0000-0000D99E0000}"/>
    <cellStyle name="Percent 30 2 5 4" xfId="27700" xr:uid="{00000000-0005-0000-0000-0000DA9E0000}"/>
    <cellStyle name="Percent 30 2 6" xfId="10867" xr:uid="{00000000-0005-0000-0000-0000DB9E0000}"/>
    <cellStyle name="Percent 30 2 6 2" xfId="30787" xr:uid="{00000000-0005-0000-0000-0000DC9E0000}"/>
    <cellStyle name="Percent 30 2 7" xfId="17019" xr:uid="{00000000-0005-0000-0000-0000DD9E0000}"/>
    <cellStyle name="Percent 30 2 7 2" xfId="36939" xr:uid="{00000000-0005-0000-0000-0000DE9E0000}"/>
    <cellStyle name="Percent 30 2 8" xfId="24634" xr:uid="{00000000-0005-0000-0000-0000DF9E0000}"/>
    <cellStyle name="Percent 30 3" xfId="4300" xr:uid="{00000000-0005-0000-0000-0000E09E0000}"/>
    <cellStyle name="Percent 30 3 2" xfId="4301" xr:uid="{00000000-0005-0000-0000-0000E19E0000}"/>
    <cellStyle name="Percent 30 3 2 2" xfId="5335" xr:uid="{00000000-0005-0000-0000-0000E29E0000}"/>
    <cellStyle name="Percent 30 3 2 2 2" xfId="6960" xr:uid="{00000000-0005-0000-0000-0000E39E0000}"/>
    <cellStyle name="Percent 30 3 2 2 2 2" xfId="10046" xr:uid="{00000000-0005-0000-0000-0000E49E0000}"/>
    <cellStyle name="Percent 30 3 2 2 2 2 2" xfId="16239" xr:uid="{00000000-0005-0000-0000-0000E59E0000}"/>
    <cellStyle name="Percent 30 3 2 2 2 2 2 2" xfId="36159" xr:uid="{00000000-0005-0000-0000-0000E69E0000}"/>
    <cellStyle name="Percent 30 3 2 2 2 2 3" xfId="22391" xr:uid="{00000000-0005-0000-0000-0000E79E0000}"/>
    <cellStyle name="Percent 30 3 2 2 2 2 3 2" xfId="42311" xr:uid="{00000000-0005-0000-0000-0000E89E0000}"/>
    <cellStyle name="Percent 30 3 2 2 2 2 4" xfId="30006" xr:uid="{00000000-0005-0000-0000-0000E99E0000}"/>
    <cellStyle name="Percent 30 3 2 2 2 3" xfId="13173" xr:uid="{00000000-0005-0000-0000-0000EA9E0000}"/>
    <cellStyle name="Percent 30 3 2 2 2 3 2" xfId="33093" xr:uid="{00000000-0005-0000-0000-0000EB9E0000}"/>
    <cellStyle name="Percent 30 3 2 2 2 4" xfId="19325" xr:uid="{00000000-0005-0000-0000-0000EC9E0000}"/>
    <cellStyle name="Percent 30 3 2 2 2 4 2" xfId="39245" xr:uid="{00000000-0005-0000-0000-0000ED9E0000}"/>
    <cellStyle name="Percent 30 3 2 2 2 5" xfId="26940" xr:uid="{00000000-0005-0000-0000-0000EE9E0000}"/>
    <cellStyle name="Percent 30 3 2 2 3" xfId="8511" xr:uid="{00000000-0005-0000-0000-0000EF9E0000}"/>
    <cellStyle name="Percent 30 3 2 2 3 2" xfId="14705" xr:uid="{00000000-0005-0000-0000-0000F09E0000}"/>
    <cellStyle name="Percent 30 3 2 2 3 2 2" xfId="34625" xr:uid="{00000000-0005-0000-0000-0000F19E0000}"/>
    <cellStyle name="Percent 30 3 2 2 3 3" xfId="20857" xr:uid="{00000000-0005-0000-0000-0000F29E0000}"/>
    <cellStyle name="Percent 30 3 2 2 3 3 2" xfId="40777" xr:uid="{00000000-0005-0000-0000-0000F39E0000}"/>
    <cellStyle name="Percent 30 3 2 2 3 4" xfId="28472" xr:uid="{00000000-0005-0000-0000-0000F49E0000}"/>
    <cellStyle name="Percent 30 3 2 2 4" xfId="11639" xr:uid="{00000000-0005-0000-0000-0000F59E0000}"/>
    <cellStyle name="Percent 30 3 2 2 4 2" xfId="31559" xr:uid="{00000000-0005-0000-0000-0000F69E0000}"/>
    <cellStyle name="Percent 30 3 2 2 5" xfId="17791" xr:uid="{00000000-0005-0000-0000-0000F79E0000}"/>
    <cellStyle name="Percent 30 3 2 2 5 2" xfId="37711" xr:uid="{00000000-0005-0000-0000-0000F89E0000}"/>
    <cellStyle name="Percent 30 3 2 2 6" xfId="25406" xr:uid="{00000000-0005-0000-0000-0000F99E0000}"/>
    <cellStyle name="Percent 30 3 2 3" xfId="6188" xr:uid="{00000000-0005-0000-0000-0000FA9E0000}"/>
    <cellStyle name="Percent 30 3 2 3 2" xfId="9277" xr:uid="{00000000-0005-0000-0000-0000FB9E0000}"/>
    <cellStyle name="Percent 30 3 2 3 2 2" xfId="15470" xr:uid="{00000000-0005-0000-0000-0000FC9E0000}"/>
    <cellStyle name="Percent 30 3 2 3 2 2 2" xfId="35390" xr:uid="{00000000-0005-0000-0000-0000FD9E0000}"/>
    <cellStyle name="Percent 30 3 2 3 2 3" xfId="21622" xr:uid="{00000000-0005-0000-0000-0000FE9E0000}"/>
    <cellStyle name="Percent 30 3 2 3 2 3 2" xfId="41542" xr:uid="{00000000-0005-0000-0000-0000FF9E0000}"/>
    <cellStyle name="Percent 30 3 2 3 2 4" xfId="29237" xr:uid="{00000000-0005-0000-0000-0000009F0000}"/>
    <cellStyle name="Percent 30 3 2 3 3" xfId="12404" xr:uid="{00000000-0005-0000-0000-0000019F0000}"/>
    <cellStyle name="Percent 30 3 2 3 3 2" xfId="32324" xr:uid="{00000000-0005-0000-0000-0000029F0000}"/>
    <cellStyle name="Percent 30 3 2 3 4" xfId="18556" xr:uid="{00000000-0005-0000-0000-0000039F0000}"/>
    <cellStyle name="Percent 30 3 2 3 4 2" xfId="38476" xr:uid="{00000000-0005-0000-0000-0000049F0000}"/>
    <cellStyle name="Percent 30 3 2 3 5" xfId="26171" xr:uid="{00000000-0005-0000-0000-0000059F0000}"/>
    <cellStyle name="Percent 30 3 2 4" xfId="7742" xr:uid="{00000000-0005-0000-0000-0000069F0000}"/>
    <cellStyle name="Percent 30 3 2 4 2" xfId="13936" xr:uid="{00000000-0005-0000-0000-0000079F0000}"/>
    <cellStyle name="Percent 30 3 2 4 2 2" xfId="33856" xr:uid="{00000000-0005-0000-0000-0000089F0000}"/>
    <cellStyle name="Percent 30 3 2 4 3" xfId="20088" xr:uid="{00000000-0005-0000-0000-0000099F0000}"/>
    <cellStyle name="Percent 30 3 2 4 3 2" xfId="40008" xr:uid="{00000000-0005-0000-0000-00000A9F0000}"/>
    <cellStyle name="Percent 30 3 2 4 4" xfId="27703" xr:uid="{00000000-0005-0000-0000-00000B9F0000}"/>
    <cellStyle name="Percent 30 3 2 5" xfId="10870" xr:uid="{00000000-0005-0000-0000-00000C9F0000}"/>
    <cellStyle name="Percent 30 3 2 5 2" xfId="30790" xr:uid="{00000000-0005-0000-0000-00000D9F0000}"/>
    <cellStyle name="Percent 30 3 2 6" xfId="17022" xr:uid="{00000000-0005-0000-0000-00000E9F0000}"/>
    <cellStyle name="Percent 30 3 2 6 2" xfId="36942" xr:uid="{00000000-0005-0000-0000-00000F9F0000}"/>
    <cellStyle name="Percent 30 3 2 7" xfId="24637" xr:uid="{00000000-0005-0000-0000-0000109F0000}"/>
    <cellStyle name="Percent 30 3 3" xfId="5334" xr:uid="{00000000-0005-0000-0000-0000119F0000}"/>
    <cellStyle name="Percent 30 3 3 2" xfId="6959" xr:uid="{00000000-0005-0000-0000-0000129F0000}"/>
    <cellStyle name="Percent 30 3 3 2 2" xfId="10045" xr:uid="{00000000-0005-0000-0000-0000139F0000}"/>
    <cellStyle name="Percent 30 3 3 2 2 2" xfId="16238" xr:uid="{00000000-0005-0000-0000-0000149F0000}"/>
    <cellStyle name="Percent 30 3 3 2 2 2 2" xfId="36158" xr:uid="{00000000-0005-0000-0000-0000159F0000}"/>
    <cellStyle name="Percent 30 3 3 2 2 3" xfId="22390" xr:uid="{00000000-0005-0000-0000-0000169F0000}"/>
    <cellStyle name="Percent 30 3 3 2 2 3 2" xfId="42310" xr:uid="{00000000-0005-0000-0000-0000179F0000}"/>
    <cellStyle name="Percent 30 3 3 2 2 4" xfId="30005" xr:uid="{00000000-0005-0000-0000-0000189F0000}"/>
    <cellStyle name="Percent 30 3 3 2 3" xfId="13172" xr:uid="{00000000-0005-0000-0000-0000199F0000}"/>
    <cellStyle name="Percent 30 3 3 2 3 2" xfId="33092" xr:uid="{00000000-0005-0000-0000-00001A9F0000}"/>
    <cellStyle name="Percent 30 3 3 2 4" xfId="19324" xr:uid="{00000000-0005-0000-0000-00001B9F0000}"/>
    <cellStyle name="Percent 30 3 3 2 4 2" xfId="39244" xr:uid="{00000000-0005-0000-0000-00001C9F0000}"/>
    <cellStyle name="Percent 30 3 3 2 5" xfId="26939" xr:uid="{00000000-0005-0000-0000-00001D9F0000}"/>
    <cellStyle name="Percent 30 3 3 3" xfId="8510" xr:uid="{00000000-0005-0000-0000-00001E9F0000}"/>
    <cellStyle name="Percent 30 3 3 3 2" xfId="14704" xr:uid="{00000000-0005-0000-0000-00001F9F0000}"/>
    <cellStyle name="Percent 30 3 3 3 2 2" xfId="34624" xr:uid="{00000000-0005-0000-0000-0000209F0000}"/>
    <cellStyle name="Percent 30 3 3 3 3" xfId="20856" xr:uid="{00000000-0005-0000-0000-0000219F0000}"/>
    <cellStyle name="Percent 30 3 3 3 3 2" xfId="40776" xr:uid="{00000000-0005-0000-0000-0000229F0000}"/>
    <cellStyle name="Percent 30 3 3 3 4" xfId="28471" xr:uid="{00000000-0005-0000-0000-0000239F0000}"/>
    <cellStyle name="Percent 30 3 3 4" xfId="11638" xr:uid="{00000000-0005-0000-0000-0000249F0000}"/>
    <cellStyle name="Percent 30 3 3 4 2" xfId="31558" xr:uid="{00000000-0005-0000-0000-0000259F0000}"/>
    <cellStyle name="Percent 30 3 3 5" xfId="17790" xr:uid="{00000000-0005-0000-0000-0000269F0000}"/>
    <cellStyle name="Percent 30 3 3 5 2" xfId="37710" xr:uid="{00000000-0005-0000-0000-0000279F0000}"/>
    <cellStyle name="Percent 30 3 3 6" xfId="25405" xr:uid="{00000000-0005-0000-0000-0000289F0000}"/>
    <cellStyle name="Percent 30 3 4" xfId="6187" xr:uid="{00000000-0005-0000-0000-0000299F0000}"/>
    <cellStyle name="Percent 30 3 4 2" xfId="9276" xr:uid="{00000000-0005-0000-0000-00002A9F0000}"/>
    <cellStyle name="Percent 30 3 4 2 2" xfId="15469" xr:uid="{00000000-0005-0000-0000-00002B9F0000}"/>
    <cellStyle name="Percent 30 3 4 2 2 2" xfId="35389" xr:uid="{00000000-0005-0000-0000-00002C9F0000}"/>
    <cellStyle name="Percent 30 3 4 2 3" xfId="21621" xr:uid="{00000000-0005-0000-0000-00002D9F0000}"/>
    <cellStyle name="Percent 30 3 4 2 3 2" xfId="41541" xr:uid="{00000000-0005-0000-0000-00002E9F0000}"/>
    <cellStyle name="Percent 30 3 4 2 4" xfId="29236" xr:uid="{00000000-0005-0000-0000-00002F9F0000}"/>
    <cellStyle name="Percent 30 3 4 3" xfId="12403" xr:uid="{00000000-0005-0000-0000-0000309F0000}"/>
    <cellStyle name="Percent 30 3 4 3 2" xfId="32323" xr:uid="{00000000-0005-0000-0000-0000319F0000}"/>
    <cellStyle name="Percent 30 3 4 4" xfId="18555" xr:uid="{00000000-0005-0000-0000-0000329F0000}"/>
    <cellStyle name="Percent 30 3 4 4 2" xfId="38475" xr:uid="{00000000-0005-0000-0000-0000339F0000}"/>
    <cellStyle name="Percent 30 3 4 5" xfId="26170" xr:uid="{00000000-0005-0000-0000-0000349F0000}"/>
    <cellStyle name="Percent 30 3 5" xfId="7741" xr:uid="{00000000-0005-0000-0000-0000359F0000}"/>
    <cellStyle name="Percent 30 3 5 2" xfId="13935" xr:uid="{00000000-0005-0000-0000-0000369F0000}"/>
    <cellStyle name="Percent 30 3 5 2 2" xfId="33855" xr:uid="{00000000-0005-0000-0000-0000379F0000}"/>
    <cellStyle name="Percent 30 3 5 3" xfId="20087" xr:uid="{00000000-0005-0000-0000-0000389F0000}"/>
    <cellStyle name="Percent 30 3 5 3 2" xfId="40007" xr:uid="{00000000-0005-0000-0000-0000399F0000}"/>
    <cellStyle name="Percent 30 3 5 4" xfId="27702" xr:uid="{00000000-0005-0000-0000-00003A9F0000}"/>
    <cellStyle name="Percent 30 3 6" xfId="10869" xr:uid="{00000000-0005-0000-0000-00003B9F0000}"/>
    <cellStyle name="Percent 30 3 6 2" xfId="30789" xr:uid="{00000000-0005-0000-0000-00003C9F0000}"/>
    <cellStyle name="Percent 30 3 7" xfId="17021" xr:uid="{00000000-0005-0000-0000-00003D9F0000}"/>
    <cellStyle name="Percent 30 3 7 2" xfId="36941" xr:uid="{00000000-0005-0000-0000-00003E9F0000}"/>
    <cellStyle name="Percent 30 3 8" xfId="24636" xr:uid="{00000000-0005-0000-0000-00003F9F0000}"/>
    <cellStyle name="Percent 30 4" xfId="4302" xr:uid="{00000000-0005-0000-0000-0000409F0000}"/>
    <cellStyle name="Percent 30 4 2" xfId="4303" xr:uid="{00000000-0005-0000-0000-0000419F0000}"/>
    <cellStyle name="Percent 30 4 2 2" xfId="5336" xr:uid="{00000000-0005-0000-0000-0000429F0000}"/>
    <cellStyle name="Percent 30 4 2 2 2" xfId="6961" xr:uid="{00000000-0005-0000-0000-0000439F0000}"/>
    <cellStyle name="Percent 30 4 2 2 2 2" xfId="10047" xr:uid="{00000000-0005-0000-0000-0000449F0000}"/>
    <cellStyle name="Percent 30 4 2 2 2 2 2" xfId="16240" xr:uid="{00000000-0005-0000-0000-0000459F0000}"/>
    <cellStyle name="Percent 30 4 2 2 2 2 2 2" xfId="36160" xr:uid="{00000000-0005-0000-0000-0000469F0000}"/>
    <cellStyle name="Percent 30 4 2 2 2 2 3" xfId="22392" xr:uid="{00000000-0005-0000-0000-0000479F0000}"/>
    <cellStyle name="Percent 30 4 2 2 2 2 3 2" xfId="42312" xr:uid="{00000000-0005-0000-0000-0000489F0000}"/>
    <cellStyle name="Percent 30 4 2 2 2 2 4" xfId="30007" xr:uid="{00000000-0005-0000-0000-0000499F0000}"/>
    <cellStyle name="Percent 30 4 2 2 2 3" xfId="13174" xr:uid="{00000000-0005-0000-0000-00004A9F0000}"/>
    <cellStyle name="Percent 30 4 2 2 2 3 2" xfId="33094" xr:uid="{00000000-0005-0000-0000-00004B9F0000}"/>
    <cellStyle name="Percent 30 4 2 2 2 4" xfId="19326" xr:uid="{00000000-0005-0000-0000-00004C9F0000}"/>
    <cellStyle name="Percent 30 4 2 2 2 4 2" xfId="39246" xr:uid="{00000000-0005-0000-0000-00004D9F0000}"/>
    <cellStyle name="Percent 30 4 2 2 2 5" xfId="26941" xr:uid="{00000000-0005-0000-0000-00004E9F0000}"/>
    <cellStyle name="Percent 30 4 2 2 3" xfId="8512" xr:uid="{00000000-0005-0000-0000-00004F9F0000}"/>
    <cellStyle name="Percent 30 4 2 2 3 2" xfId="14706" xr:uid="{00000000-0005-0000-0000-0000509F0000}"/>
    <cellStyle name="Percent 30 4 2 2 3 2 2" xfId="34626" xr:uid="{00000000-0005-0000-0000-0000519F0000}"/>
    <cellStyle name="Percent 30 4 2 2 3 3" xfId="20858" xr:uid="{00000000-0005-0000-0000-0000529F0000}"/>
    <cellStyle name="Percent 30 4 2 2 3 3 2" xfId="40778" xr:uid="{00000000-0005-0000-0000-0000539F0000}"/>
    <cellStyle name="Percent 30 4 2 2 3 4" xfId="28473" xr:uid="{00000000-0005-0000-0000-0000549F0000}"/>
    <cellStyle name="Percent 30 4 2 2 4" xfId="11640" xr:uid="{00000000-0005-0000-0000-0000559F0000}"/>
    <cellStyle name="Percent 30 4 2 2 4 2" xfId="31560" xr:uid="{00000000-0005-0000-0000-0000569F0000}"/>
    <cellStyle name="Percent 30 4 2 2 5" xfId="17792" xr:uid="{00000000-0005-0000-0000-0000579F0000}"/>
    <cellStyle name="Percent 30 4 2 2 5 2" xfId="37712" xr:uid="{00000000-0005-0000-0000-0000589F0000}"/>
    <cellStyle name="Percent 30 4 2 2 6" xfId="25407" xr:uid="{00000000-0005-0000-0000-0000599F0000}"/>
    <cellStyle name="Percent 30 4 2 3" xfId="6189" xr:uid="{00000000-0005-0000-0000-00005A9F0000}"/>
    <cellStyle name="Percent 30 4 2 3 2" xfId="9278" xr:uid="{00000000-0005-0000-0000-00005B9F0000}"/>
    <cellStyle name="Percent 30 4 2 3 2 2" xfId="15471" xr:uid="{00000000-0005-0000-0000-00005C9F0000}"/>
    <cellStyle name="Percent 30 4 2 3 2 2 2" xfId="35391" xr:uid="{00000000-0005-0000-0000-00005D9F0000}"/>
    <cellStyle name="Percent 30 4 2 3 2 3" xfId="21623" xr:uid="{00000000-0005-0000-0000-00005E9F0000}"/>
    <cellStyle name="Percent 30 4 2 3 2 3 2" xfId="41543" xr:uid="{00000000-0005-0000-0000-00005F9F0000}"/>
    <cellStyle name="Percent 30 4 2 3 2 4" xfId="29238" xr:uid="{00000000-0005-0000-0000-0000609F0000}"/>
    <cellStyle name="Percent 30 4 2 3 3" xfId="12405" xr:uid="{00000000-0005-0000-0000-0000619F0000}"/>
    <cellStyle name="Percent 30 4 2 3 3 2" xfId="32325" xr:uid="{00000000-0005-0000-0000-0000629F0000}"/>
    <cellStyle name="Percent 30 4 2 3 4" xfId="18557" xr:uid="{00000000-0005-0000-0000-0000639F0000}"/>
    <cellStyle name="Percent 30 4 2 3 4 2" xfId="38477" xr:uid="{00000000-0005-0000-0000-0000649F0000}"/>
    <cellStyle name="Percent 30 4 2 3 5" xfId="26172" xr:uid="{00000000-0005-0000-0000-0000659F0000}"/>
    <cellStyle name="Percent 30 4 2 4" xfId="7743" xr:uid="{00000000-0005-0000-0000-0000669F0000}"/>
    <cellStyle name="Percent 30 4 2 4 2" xfId="13937" xr:uid="{00000000-0005-0000-0000-0000679F0000}"/>
    <cellStyle name="Percent 30 4 2 4 2 2" xfId="33857" xr:uid="{00000000-0005-0000-0000-0000689F0000}"/>
    <cellStyle name="Percent 30 4 2 4 3" xfId="20089" xr:uid="{00000000-0005-0000-0000-0000699F0000}"/>
    <cellStyle name="Percent 30 4 2 4 3 2" xfId="40009" xr:uid="{00000000-0005-0000-0000-00006A9F0000}"/>
    <cellStyle name="Percent 30 4 2 4 4" xfId="27704" xr:uid="{00000000-0005-0000-0000-00006B9F0000}"/>
    <cellStyle name="Percent 30 4 2 5" xfId="10871" xr:uid="{00000000-0005-0000-0000-00006C9F0000}"/>
    <cellStyle name="Percent 30 4 2 5 2" xfId="30791" xr:uid="{00000000-0005-0000-0000-00006D9F0000}"/>
    <cellStyle name="Percent 30 4 2 6" xfId="17023" xr:uid="{00000000-0005-0000-0000-00006E9F0000}"/>
    <cellStyle name="Percent 30 4 2 6 2" xfId="36943" xr:uid="{00000000-0005-0000-0000-00006F9F0000}"/>
    <cellStyle name="Percent 30 4 2 7" xfId="24638" xr:uid="{00000000-0005-0000-0000-0000709F0000}"/>
    <cellStyle name="Percent 30 5" xfId="4304" xr:uid="{00000000-0005-0000-0000-0000719F0000}"/>
    <cellStyle name="Percent 30 5 2" xfId="5337" xr:uid="{00000000-0005-0000-0000-0000729F0000}"/>
    <cellStyle name="Percent 30 5 2 2" xfId="6962" xr:uid="{00000000-0005-0000-0000-0000739F0000}"/>
    <cellStyle name="Percent 30 5 2 2 2" xfId="10048" xr:uid="{00000000-0005-0000-0000-0000749F0000}"/>
    <cellStyle name="Percent 30 5 2 2 2 2" xfId="16241" xr:uid="{00000000-0005-0000-0000-0000759F0000}"/>
    <cellStyle name="Percent 30 5 2 2 2 2 2" xfId="36161" xr:uid="{00000000-0005-0000-0000-0000769F0000}"/>
    <cellStyle name="Percent 30 5 2 2 2 3" xfId="22393" xr:uid="{00000000-0005-0000-0000-0000779F0000}"/>
    <cellStyle name="Percent 30 5 2 2 2 3 2" xfId="42313" xr:uid="{00000000-0005-0000-0000-0000789F0000}"/>
    <cellStyle name="Percent 30 5 2 2 2 4" xfId="30008" xr:uid="{00000000-0005-0000-0000-0000799F0000}"/>
    <cellStyle name="Percent 30 5 2 2 3" xfId="13175" xr:uid="{00000000-0005-0000-0000-00007A9F0000}"/>
    <cellStyle name="Percent 30 5 2 2 3 2" xfId="33095" xr:uid="{00000000-0005-0000-0000-00007B9F0000}"/>
    <cellStyle name="Percent 30 5 2 2 4" xfId="19327" xr:uid="{00000000-0005-0000-0000-00007C9F0000}"/>
    <cellStyle name="Percent 30 5 2 2 4 2" xfId="39247" xr:uid="{00000000-0005-0000-0000-00007D9F0000}"/>
    <cellStyle name="Percent 30 5 2 2 5" xfId="26942" xr:uid="{00000000-0005-0000-0000-00007E9F0000}"/>
    <cellStyle name="Percent 30 5 2 3" xfId="8513" xr:uid="{00000000-0005-0000-0000-00007F9F0000}"/>
    <cellStyle name="Percent 30 5 2 3 2" xfId="14707" xr:uid="{00000000-0005-0000-0000-0000809F0000}"/>
    <cellStyle name="Percent 30 5 2 3 2 2" xfId="34627" xr:uid="{00000000-0005-0000-0000-0000819F0000}"/>
    <cellStyle name="Percent 30 5 2 3 3" xfId="20859" xr:uid="{00000000-0005-0000-0000-0000829F0000}"/>
    <cellStyle name="Percent 30 5 2 3 3 2" xfId="40779" xr:uid="{00000000-0005-0000-0000-0000839F0000}"/>
    <cellStyle name="Percent 30 5 2 3 4" xfId="28474" xr:uid="{00000000-0005-0000-0000-0000849F0000}"/>
    <cellStyle name="Percent 30 5 2 4" xfId="11641" xr:uid="{00000000-0005-0000-0000-0000859F0000}"/>
    <cellStyle name="Percent 30 5 2 4 2" xfId="31561" xr:uid="{00000000-0005-0000-0000-0000869F0000}"/>
    <cellStyle name="Percent 30 5 2 5" xfId="17793" xr:uid="{00000000-0005-0000-0000-0000879F0000}"/>
    <cellStyle name="Percent 30 5 2 5 2" xfId="37713" xr:uid="{00000000-0005-0000-0000-0000889F0000}"/>
    <cellStyle name="Percent 30 5 2 6" xfId="25408" xr:uid="{00000000-0005-0000-0000-0000899F0000}"/>
    <cellStyle name="Percent 30 5 3" xfId="6190" xr:uid="{00000000-0005-0000-0000-00008A9F0000}"/>
    <cellStyle name="Percent 30 5 3 2" xfId="9279" xr:uid="{00000000-0005-0000-0000-00008B9F0000}"/>
    <cellStyle name="Percent 30 5 3 2 2" xfId="15472" xr:uid="{00000000-0005-0000-0000-00008C9F0000}"/>
    <cellStyle name="Percent 30 5 3 2 2 2" xfId="35392" xr:uid="{00000000-0005-0000-0000-00008D9F0000}"/>
    <cellStyle name="Percent 30 5 3 2 3" xfId="21624" xr:uid="{00000000-0005-0000-0000-00008E9F0000}"/>
    <cellStyle name="Percent 30 5 3 2 3 2" xfId="41544" xr:uid="{00000000-0005-0000-0000-00008F9F0000}"/>
    <cellStyle name="Percent 30 5 3 2 4" xfId="29239" xr:uid="{00000000-0005-0000-0000-0000909F0000}"/>
    <cellStyle name="Percent 30 5 3 3" xfId="12406" xr:uid="{00000000-0005-0000-0000-0000919F0000}"/>
    <cellStyle name="Percent 30 5 3 3 2" xfId="32326" xr:uid="{00000000-0005-0000-0000-0000929F0000}"/>
    <cellStyle name="Percent 30 5 3 4" xfId="18558" xr:uid="{00000000-0005-0000-0000-0000939F0000}"/>
    <cellStyle name="Percent 30 5 3 4 2" xfId="38478" xr:uid="{00000000-0005-0000-0000-0000949F0000}"/>
    <cellStyle name="Percent 30 5 3 5" xfId="26173" xr:uid="{00000000-0005-0000-0000-0000959F0000}"/>
    <cellStyle name="Percent 30 5 4" xfId="7744" xr:uid="{00000000-0005-0000-0000-0000969F0000}"/>
    <cellStyle name="Percent 30 5 4 2" xfId="13938" xr:uid="{00000000-0005-0000-0000-0000979F0000}"/>
    <cellStyle name="Percent 30 5 4 2 2" xfId="33858" xr:uid="{00000000-0005-0000-0000-0000989F0000}"/>
    <cellStyle name="Percent 30 5 4 3" xfId="20090" xr:uid="{00000000-0005-0000-0000-0000999F0000}"/>
    <cellStyle name="Percent 30 5 4 3 2" xfId="40010" xr:uid="{00000000-0005-0000-0000-00009A9F0000}"/>
    <cellStyle name="Percent 30 5 4 4" xfId="27705" xr:uid="{00000000-0005-0000-0000-00009B9F0000}"/>
    <cellStyle name="Percent 30 5 5" xfId="10872" xr:uid="{00000000-0005-0000-0000-00009C9F0000}"/>
    <cellStyle name="Percent 30 5 5 2" xfId="30792" xr:uid="{00000000-0005-0000-0000-00009D9F0000}"/>
    <cellStyle name="Percent 30 5 6" xfId="17024" xr:uid="{00000000-0005-0000-0000-00009E9F0000}"/>
    <cellStyle name="Percent 30 5 6 2" xfId="36944" xr:uid="{00000000-0005-0000-0000-00009F9F0000}"/>
    <cellStyle name="Percent 30 5 7" xfId="24639" xr:uid="{00000000-0005-0000-0000-0000A09F0000}"/>
    <cellStyle name="Percent 31" xfId="4305" xr:uid="{00000000-0005-0000-0000-0000A19F0000}"/>
    <cellStyle name="Percent 31 2" xfId="4306" xr:uid="{00000000-0005-0000-0000-0000A29F0000}"/>
    <cellStyle name="Percent 31 2 2" xfId="4307" xr:uid="{00000000-0005-0000-0000-0000A39F0000}"/>
    <cellStyle name="Percent 31 2 2 2" xfId="5339" xr:uid="{00000000-0005-0000-0000-0000A49F0000}"/>
    <cellStyle name="Percent 31 2 2 2 2" xfId="6964" xr:uid="{00000000-0005-0000-0000-0000A59F0000}"/>
    <cellStyle name="Percent 31 2 2 2 2 2" xfId="10050" xr:uid="{00000000-0005-0000-0000-0000A69F0000}"/>
    <cellStyle name="Percent 31 2 2 2 2 2 2" xfId="16243" xr:uid="{00000000-0005-0000-0000-0000A79F0000}"/>
    <cellStyle name="Percent 31 2 2 2 2 2 2 2" xfId="36163" xr:uid="{00000000-0005-0000-0000-0000A89F0000}"/>
    <cellStyle name="Percent 31 2 2 2 2 2 3" xfId="22395" xr:uid="{00000000-0005-0000-0000-0000A99F0000}"/>
    <cellStyle name="Percent 31 2 2 2 2 2 3 2" xfId="42315" xr:uid="{00000000-0005-0000-0000-0000AA9F0000}"/>
    <cellStyle name="Percent 31 2 2 2 2 2 4" xfId="30010" xr:uid="{00000000-0005-0000-0000-0000AB9F0000}"/>
    <cellStyle name="Percent 31 2 2 2 2 3" xfId="13177" xr:uid="{00000000-0005-0000-0000-0000AC9F0000}"/>
    <cellStyle name="Percent 31 2 2 2 2 3 2" xfId="33097" xr:uid="{00000000-0005-0000-0000-0000AD9F0000}"/>
    <cellStyle name="Percent 31 2 2 2 2 4" xfId="19329" xr:uid="{00000000-0005-0000-0000-0000AE9F0000}"/>
    <cellStyle name="Percent 31 2 2 2 2 4 2" xfId="39249" xr:uid="{00000000-0005-0000-0000-0000AF9F0000}"/>
    <cellStyle name="Percent 31 2 2 2 2 5" xfId="26944" xr:uid="{00000000-0005-0000-0000-0000B09F0000}"/>
    <cellStyle name="Percent 31 2 2 2 3" xfId="8515" xr:uid="{00000000-0005-0000-0000-0000B19F0000}"/>
    <cellStyle name="Percent 31 2 2 2 3 2" xfId="14709" xr:uid="{00000000-0005-0000-0000-0000B29F0000}"/>
    <cellStyle name="Percent 31 2 2 2 3 2 2" xfId="34629" xr:uid="{00000000-0005-0000-0000-0000B39F0000}"/>
    <cellStyle name="Percent 31 2 2 2 3 3" xfId="20861" xr:uid="{00000000-0005-0000-0000-0000B49F0000}"/>
    <cellStyle name="Percent 31 2 2 2 3 3 2" xfId="40781" xr:uid="{00000000-0005-0000-0000-0000B59F0000}"/>
    <cellStyle name="Percent 31 2 2 2 3 4" xfId="28476" xr:uid="{00000000-0005-0000-0000-0000B69F0000}"/>
    <cellStyle name="Percent 31 2 2 2 4" xfId="11643" xr:uid="{00000000-0005-0000-0000-0000B79F0000}"/>
    <cellStyle name="Percent 31 2 2 2 4 2" xfId="31563" xr:uid="{00000000-0005-0000-0000-0000B89F0000}"/>
    <cellStyle name="Percent 31 2 2 2 5" xfId="17795" xr:uid="{00000000-0005-0000-0000-0000B99F0000}"/>
    <cellStyle name="Percent 31 2 2 2 5 2" xfId="37715" xr:uid="{00000000-0005-0000-0000-0000BA9F0000}"/>
    <cellStyle name="Percent 31 2 2 2 6" xfId="25410" xr:uid="{00000000-0005-0000-0000-0000BB9F0000}"/>
    <cellStyle name="Percent 31 2 2 3" xfId="6192" xr:uid="{00000000-0005-0000-0000-0000BC9F0000}"/>
    <cellStyle name="Percent 31 2 2 3 2" xfId="9281" xr:uid="{00000000-0005-0000-0000-0000BD9F0000}"/>
    <cellStyle name="Percent 31 2 2 3 2 2" xfId="15474" xr:uid="{00000000-0005-0000-0000-0000BE9F0000}"/>
    <cellStyle name="Percent 31 2 2 3 2 2 2" xfId="35394" xr:uid="{00000000-0005-0000-0000-0000BF9F0000}"/>
    <cellStyle name="Percent 31 2 2 3 2 3" xfId="21626" xr:uid="{00000000-0005-0000-0000-0000C09F0000}"/>
    <cellStyle name="Percent 31 2 2 3 2 3 2" xfId="41546" xr:uid="{00000000-0005-0000-0000-0000C19F0000}"/>
    <cellStyle name="Percent 31 2 2 3 2 4" xfId="29241" xr:uid="{00000000-0005-0000-0000-0000C29F0000}"/>
    <cellStyle name="Percent 31 2 2 3 3" xfId="12408" xr:uid="{00000000-0005-0000-0000-0000C39F0000}"/>
    <cellStyle name="Percent 31 2 2 3 3 2" xfId="32328" xr:uid="{00000000-0005-0000-0000-0000C49F0000}"/>
    <cellStyle name="Percent 31 2 2 3 4" xfId="18560" xr:uid="{00000000-0005-0000-0000-0000C59F0000}"/>
    <cellStyle name="Percent 31 2 2 3 4 2" xfId="38480" xr:uid="{00000000-0005-0000-0000-0000C69F0000}"/>
    <cellStyle name="Percent 31 2 2 3 5" xfId="26175" xr:uid="{00000000-0005-0000-0000-0000C79F0000}"/>
    <cellStyle name="Percent 31 2 2 4" xfId="7746" xr:uid="{00000000-0005-0000-0000-0000C89F0000}"/>
    <cellStyle name="Percent 31 2 2 4 2" xfId="13940" xr:uid="{00000000-0005-0000-0000-0000C99F0000}"/>
    <cellStyle name="Percent 31 2 2 4 2 2" xfId="33860" xr:uid="{00000000-0005-0000-0000-0000CA9F0000}"/>
    <cellStyle name="Percent 31 2 2 4 3" xfId="20092" xr:uid="{00000000-0005-0000-0000-0000CB9F0000}"/>
    <cellStyle name="Percent 31 2 2 4 3 2" xfId="40012" xr:uid="{00000000-0005-0000-0000-0000CC9F0000}"/>
    <cellStyle name="Percent 31 2 2 4 4" xfId="27707" xr:uid="{00000000-0005-0000-0000-0000CD9F0000}"/>
    <cellStyle name="Percent 31 2 2 5" xfId="10874" xr:uid="{00000000-0005-0000-0000-0000CE9F0000}"/>
    <cellStyle name="Percent 31 2 2 5 2" xfId="30794" xr:uid="{00000000-0005-0000-0000-0000CF9F0000}"/>
    <cellStyle name="Percent 31 2 2 6" xfId="17026" xr:uid="{00000000-0005-0000-0000-0000D09F0000}"/>
    <cellStyle name="Percent 31 2 2 6 2" xfId="36946" xr:uid="{00000000-0005-0000-0000-0000D19F0000}"/>
    <cellStyle name="Percent 31 2 2 7" xfId="24641" xr:uid="{00000000-0005-0000-0000-0000D29F0000}"/>
    <cellStyle name="Percent 31 2 3" xfId="5338" xr:uid="{00000000-0005-0000-0000-0000D39F0000}"/>
    <cellStyle name="Percent 31 2 3 2" xfId="6963" xr:uid="{00000000-0005-0000-0000-0000D49F0000}"/>
    <cellStyle name="Percent 31 2 3 2 2" xfId="10049" xr:uid="{00000000-0005-0000-0000-0000D59F0000}"/>
    <cellStyle name="Percent 31 2 3 2 2 2" xfId="16242" xr:uid="{00000000-0005-0000-0000-0000D69F0000}"/>
    <cellStyle name="Percent 31 2 3 2 2 2 2" xfId="36162" xr:uid="{00000000-0005-0000-0000-0000D79F0000}"/>
    <cellStyle name="Percent 31 2 3 2 2 3" xfId="22394" xr:uid="{00000000-0005-0000-0000-0000D89F0000}"/>
    <cellStyle name="Percent 31 2 3 2 2 3 2" xfId="42314" xr:uid="{00000000-0005-0000-0000-0000D99F0000}"/>
    <cellStyle name="Percent 31 2 3 2 2 4" xfId="30009" xr:uid="{00000000-0005-0000-0000-0000DA9F0000}"/>
    <cellStyle name="Percent 31 2 3 2 3" xfId="13176" xr:uid="{00000000-0005-0000-0000-0000DB9F0000}"/>
    <cellStyle name="Percent 31 2 3 2 3 2" xfId="33096" xr:uid="{00000000-0005-0000-0000-0000DC9F0000}"/>
    <cellStyle name="Percent 31 2 3 2 4" xfId="19328" xr:uid="{00000000-0005-0000-0000-0000DD9F0000}"/>
    <cellStyle name="Percent 31 2 3 2 4 2" xfId="39248" xr:uid="{00000000-0005-0000-0000-0000DE9F0000}"/>
    <cellStyle name="Percent 31 2 3 2 5" xfId="26943" xr:uid="{00000000-0005-0000-0000-0000DF9F0000}"/>
    <cellStyle name="Percent 31 2 3 3" xfId="8514" xr:uid="{00000000-0005-0000-0000-0000E09F0000}"/>
    <cellStyle name="Percent 31 2 3 3 2" xfId="14708" xr:uid="{00000000-0005-0000-0000-0000E19F0000}"/>
    <cellStyle name="Percent 31 2 3 3 2 2" xfId="34628" xr:uid="{00000000-0005-0000-0000-0000E29F0000}"/>
    <cellStyle name="Percent 31 2 3 3 3" xfId="20860" xr:uid="{00000000-0005-0000-0000-0000E39F0000}"/>
    <cellStyle name="Percent 31 2 3 3 3 2" xfId="40780" xr:uid="{00000000-0005-0000-0000-0000E49F0000}"/>
    <cellStyle name="Percent 31 2 3 3 4" xfId="28475" xr:uid="{00000000-0005-0000-0000-0000E59F0000}"/>
    <cellStyle name="Percent 31 2 3 4" xfId="11642" xr:uid="{00000000-0005-0000-0000-0000E69F0000}"/>
    <cellStyle name="Percent 31 2 3 4 2" xfId="31562" xr:uid="{00000000-0005-0000-0000-0000E79F0000}"/>
    <cellStyle name="Percent 31 2 3 5" xfId="17794" xr:uid="{00000000-0005-0000-0000-0000E89F0000}"/>
    <cellStyle name="Percent 31 2 3 5 2" xfId="37714" xr:uid="{00000000-0005-0000-0000-0000E99F0000}"/>
    <cellStyle name="Percent 31 2 3 6" xfId="25409" xr:uid="{00000000-0005-0000-0000-0000EA9F0000}"/>
    <cellStyle name="Percent 31 2 4" xfId="6191" xr:uid="{00000000-0005-0000-0000-0000EB9F0000}"/>
    <cellStyle name="Percent 31 2 4 2" xfId="9280" xr:uid="{00000000-0005-0000-0000-0000EC9F0000}"/>
    <cellStyle name="Percent 31 2 4 2 2" xfId="15473" xr:uid="{00000000-0005-0000-0000-0000ED9F0000}"/>
    <cellStyle name="Percent 31 2 4 2 2 2" xfId="35393" xr:uid="{00000000-0005-0000-0000-0000EE9F0000}"/>
    <cellStyle name="Percent 31 2 4 2 3" xfId="21625" xr:uid="{00000000-0005-0000-0000-0000EF9F0000}"/>
    <cellStyle name="Percent 31 2 4 2 3 2" xfId="41545" xr:uid="{00000000-0005-0000-0000-0000F09F0000}"/>
    <cellStyle name="Percent 31 2 4 2 4" xfId="29240" xr:uid="{00000000-0005-0000-0000-0000F19F0000}"/>
    <cellStyle name="Percent 31 2 4 3" xfId="12407" xr:uid="{00000000-0005-0000-0000-0000F29F0000}"/>
    <cellStyle name="Percent 31 2 4 3 2" xfId="32327" xr:uid="{00000000-0005-0000-0000-0000F39F0000}"/>
    <cellStyle name="Percent 31 2 4 4" xfId="18559" xr:uid="{00000000-0005-0000-0000-0000F49F0000}"/>
    <cellStyle name="Percent 31 2 4 4 2" xfId="38479" xr:uid="{00000000-0005-0000-0000-0000F59F0000}"/>
    <cellStyle name="Percent 31 2 4 5" xfId="26174" xr:uid="{00000000-0005-0000-0000-0000F69F0000}"/>
    <cellStyle name="Percent 31 2 5" xfId="7745" xr:uid="{00000000-0005-0000-0000-0000F79F0000}"/>
    <cellStyle name="Percent 31 2 5 2" xfId="13939" xr:uid="{00000000-0005-0000-0000-0000F89F0000}"/>
    <cellStyle name="Percent 31 2 5 2 2" xfId="33859" xr:uid="{00000000-0005-0000-0000-0000F99F0000}"/>
    <cellStyle name="Percent 31 2 5 3" xfId="20091" xr:uid="{00000000-0005-0000-0000-0000FA9F0000}"/>
    <cellStyle name="Percent 31 2 5 3 2" xfId="40011" xr:uid="{00000000-0005-0000-0000-0000FB9F0000}"/>
    <cellStyle name="Percent 31 2 5 4" xfId="27706" xr:uid="{00000000-0005-0000-0000-0000FC9F0000}"/>
    <cellStyle name="Percent 31 2 6" xfId="10873" xr:uid="{00000000-0005-0000-0000-0000FD9F0000}"/>
    <cellStyle name="Percent 31 2 6 2" xfId="30793" xr:uid="{00000000-0005-0000-0000-0000FE9F0000}"/>
    <cellStyle name="Percent 31 2 7" xfId="17025" xr:uid="{00000000-0005-0000-0000-0000FF9F0000}"/>
    <cellStyle name="Percent 31 2 7 2" xfId="36945" xr:uid="{00000000-0005-0000-0000-000000A00000}"/>
    <cellStyle name="Percent 31 2 8" xfId="24640" xr:uid="{00000000-0005-0000-0000-000001A00000}"/>
    <cellStyle name="Percent 31 3" xfId="4308" xr:uid="{00000000-0005-0000-0000-000002A00000}"/>
    <cellStyle name="Percent 31 3 2" xfId="4309" xr:uid="{00000000-0005-0000-0000-000003A00000}"/>
    <cellStyle name="Percent 31 3 2 2" xfId="5341" xr:uid="{00000000-0005-0000-0000-000004A00000}"/>
    <cellStyle name="Percent 31 3 2 2 2" xfId="6966" xr:uid="{00000000-0005-0000-0000-000005A00000}"/>
    <cellStyle name="Percent 31 3 2 2 2 2" xfId="10052" xr:uid="{00000000-0005-0000-0000-000006A00000}"/>
    <cellStyle name="Percent 31 3 2 2 2 2 2" xfId="16245" xr:uid="{00000000-0005-0000-0000-000007A00000}"/>
    <cellStyle name="Percent 31 3 2 2 2 2 2 2" xfId="36165" xr:uid="{00000000-0005-0000-0000-000008A00000}"/>
    <cellStyle name="Percent 31 3 2 2 2 2 3" xfId="22397" xr:uid="{00000000-0005-0000-0000-000009A00000}"/>
    <cellStyle name="Percent 31 3 2 2 2 2 3 2" xfId="42317" xr:uid="{00000000-0005-0000-0000-00000AA00000}"/>
    <cellStyle name="Percent 31 3 2 2 2 2 4" xfId="30012" xr:uid="{00000000-0005-0000-0000-00000BA00000}"/>
    <cellStyle name="Percent 31 3 2 2 2 3" xfId="13179" xr:uid="{00000000-0005-0000-0000-00000CA00000}"/>
    <cellStyle name="Percent 31 3 2 2 2 3 2" xfId="33099" xr:uid="{00000000-0005-0000-0000-00000DA00000}"/>
    <cellStyle name="Percent 31 3 2 2 2 4" xfId="19331" xr:uid="{00000000-0005-0000-0000-00000EA00000}"/>
    <cellStyle name="Percent 31 3 2 2 2 4 2" xfId="39251" xr:uid="{00000000-0005-0000-0000-00000FA00000}"/>
    <cellStyle name="Percent 31 3 2 2 2 5" xfId="26946" xr:uid="{00000000-0005-0000-0000-000010A00000}"/>
    <cellStyle name="Percent 31 3 2 2 3" xfId="8517" xr:uid="{00000000-0005-0000-0000-000011A00000}"/>
    <cellStyle name="Percent 31 3 2 2 3 2" xfId="14711" xr:uid="{00000000-0005-0000-0000-000012A00000}"/>
    <cellStyle name="Percent 31 3 2 2 3 2 2" xfId="34631" xr:uid="{00000000-0005-0000-0000-000013A00000}"/>
    <cellStyle name="Percent 31 3 2 2 3 3" xfId="20863" xr:uid="{00000000-0005-0000-0000-000014A00000}"/>
    <cellStyle name="Percent 31 3 2 2 3 3 2" xfId="40783" xr:uid="{00000000-0005-0000-0000-000015A00000}"/>
    <cellStyle name="Percent 31 3 2 2 3 4" xfId="28478" xr:uid="{00000000-0005-0000-0000-000016A00000}"/>
    <cellStyle name="Percent 31 3 2 2 4" xfId="11645" xr:uid="{00000000-0005-0000-0000-000017A00000}"/>
    <cellStyle name="Percent 31 3 2 2 4 2" xfId="31565" xr:uid="{00000000-0005-0000-0000-000018A00000}"/>
    <cellStyle name="Percent 31 3 2 2 5" xfId="17797" xr:uid="{00000000-0005-0000-0000-000019A00000}"/>
    <cellStyle name="Percent 31 3 2 2 5 2" xfId="37717" xr:uid="{00000000-0005-0000-0000-00001AA00000}"/>
    <cellStyle name="Percent 31 3 2 2 6" xfId="25412" xr:uid="{00000000-0005-0000-0000-00001BA00000}"/>
    <cellStyle name="Percent 31 3 2 3" xfId="6194" xr:uid="{00000000-0005-0000-0000-00001CA00000}"/>
    <cellStyle name="Percent 31 3 2 3 2" xfId="9283" xr:uid="{00000000-0005-0000-0000-00001DA00000}"/>
    <cellStyle name="Percent 31 3 2 3 2 2" xfId="15476" xr:uid="{00000000-0005-0000-0000-00001EA00000}"/>
    <cellStyle name="Percent 31 3 2 3 2 2 2" xfId="35396" xr:uid="{00000000-0005-0000-0000-00001FA00000}"/>
    <cellStyle name="Percent 31 3 2 3 2 3" xfId="21628" xr:uid="{00000000-0005-0000-0000-000020A00000}"/>
    <cellStyle name="Percent 31 3 2 3 2 3 2" xfId="41548" xr:uid="{00000000-0005-0000-0000-000021A00000}"/>
    <cellStyle name="Percent 31 3 2 3 2 4" xfId="29243" xr:uid="{00000000-0005-0000-0000-000022A00000}"/>
    <cellStyle name="Percent 31 3 2 3 3" xfId="12410" xr:uid="{00000000-0005-0000-0000-000023A00000}"/>
    <cellStyle name="Percent 31 3 2 3 3 2" xfId="32330" xr:uid="{00000000-0005-0000-0000-000024A00000}"/>
    <cellStyle name="Percent 31 3 2 3 4" xfId="18562" xr:uid="{00000000-0005-0000-0000-000025A00000}"/>
    <cellStyle name="Percent 31 3 2 3 4 2" xfId="38482" xr:uid="{00000000-0005-0000-0000-000026A00000}"/>
    <cellStyle name="Percent 31 3 2 3 5" xfId="26177" xr:uid="{00000000-0005-0000-0000-000027A00000}"/>
    <cellStyle name="Percent 31 3 2 4" xfId="7748" xr:uid="{00000000-0005-0000-0000-000028A00000}"/>
    <cellStyle name="Percent 31 3 2 4 2" xfId="13942" xr:uid="{00000000-0005-0000-0000-000029A00000}"/>
    <cellStyle name="Percent 31 3 2 4 2 2" xfId="33862" xr:uid="{00000000-0005-0000-0000-00002AA00000}"/>
    <cellStyle name="Percent 31 3 2 4 3" xfId="20094" xr:uid="{00000000-0005-0000-0000-00002BA00000}"/>
    <cellStyle name="Percent 31 3 2 4 3 2" xfId="40014" xr:uid="{00000000-0005-0000-0000-00002CA00000}"/>
    <cellStyle name="Percent 31 3 2 4 4" xfId="27709" xr:uid="{00000000-0005-0000-0000-00002DA00000}"/>
    <cellStyle name="Percent 31 3 2 5" xfId="10876" xr:uid="{00000000-0005-0000-0000-00002EA00000}"/>
    <cellStyle name="Percent 31 3 2 5 2" xfId="30796" xr:uid="{00000000-0005-0000-0000-00002FA00000}"/>
    <cellStyle name="Percent 31 3 2 6" xfId="17028" xr:uid="{00000000-0005-0000-0000-000030A00000}"/>
    <cellStyle name="Percent 31 3 2 6 2" xfId="36948" xr:uid="{00000000-0005-0000-0000-000031A00000}"/>
    <cellStyle name="Percent 31 3 2 7" xfId="24643" xr:uid="{00000000-0005-0000-0000-000032A00000}"/>
    <cellStyle name="Percent 31 3 3" xfId="5340" xr:uid="{00000000-0005-0000-0000-000033A00000}"/>
    <cellStyle name="Percent 31 3 3 2" xfId="6965" xr:uid="{00000000-0005-0000-0000-000034A00000}"/>
    <cellStyle name="Percent 31 3 3 2 2" xfId="10051" xr:uid="{00000000-0005-0000-0000-000035A00000}"/>
    <cellStyle name="Percent 31 3 3 2 2 2" xfId="16244" xr:uid="{00000000-0005-0000-0000-000036A00000}"/>
    <cellStyle name="Percent 31 3 3 2 2 2 2" xfId="36164" xr:uid="{00000000-0005-0000-0000-000037A00000}"/>
    <cellStyle name="Percent 31 3 3 2 2 3" xfId="22396" xr:uid="{00000000-0005-0000-0000-000038A00000}"/>
    <cellStyle name="Percent 31 3 3 2 2 3 2" xfId="42316" xr:uid="{00000000-0005-0000-0000-000039A00000}"/>
    <cellStyle name="Percent 31 3 3 2 2 4" xfId="30011" xr:uid="{00000000-0005-0000-0000-00003AA00000}"/>
    <cellStyle name="Percent 31 3 3 2 3" xfId="13178" xr:uid="{00000000-0005-0000-0000-00003BA00000}"/>
    <cellStyle name="Percent 31 3 3 2 3 2" xfId="33098" xr:uid="{00000000-0005-0000-0000-00003CA00000}"/>
    <cellStyle name="Percent 31 3 3 2 4" xfId="19330" xr:uid="{00000000-0005-0000-0000-00003DA00000}"/>
    <cellStyle name="Percent 31 3 3 2 4 2" xfId="39250" xr:uid="{00000000-0005-0000-0000-00003EA00000}"/>
    <cellStyle name="Percent 31 3 3 2 5" xfId="26945" xr:uid="{00000000-0005-0000-0000-00003FA00000}"/>
    <cellStyle name="Percent 31 3 3 3" xfId="8516" xr:uid="{00000000-0005-0000-0000-000040A00000}"/>
    <cellStyle name="Percent 31 3 3 3 2" xfId="14710" xr:uid="{00000000-0005-0000-0000-000041A00000}"/>
    <cellStyle name="Percent 31 3 3 3 2 2" xfId="34630" xr:uid="{00000000-0005-0000-0000-000042A00000}"/>
    <cellStyle name="Percent 31 3 3 3 3" xfId="20862" xr:uid="{00000000-0005-0000-0000-000043A00000}"/>
    <cellStyle name="Percent 31 3 3 3 3 2" xfId="40782" xr:uid="{00000000-0005-0000-0000-000044A00000}"/>
    <cellStyle name="Percent 31 3 3 3 4" xfId="28477" xr:uid="{00000000-0005-0000-0000-000045A00000}"/>
    <cellStyle name="Percent 31 3 3 4" xfId="11644" xr:uid="{00000000-0005-0000-0000-000046A00000}"/>
    <cellStyle name="Percent 31 3 3 4 2" xfId="31564" xr:uid="{00000000-0005-0000-0000-000047A00000}"/>
    <cellStyle name="Percent 31 3 3 5" xfId="17796" xr:uid="{00000000-0005-0000-0000-000048A00000}"/>
    <cellStyle name="Percent 31 3 3 5 2" xfId="37716" xr:uid="{00000000-0005-0000-0000-000049A00000}"/>
    <cellStyle name="Percent 31 3 3 6" xfId="25411" xr:uid="{00000000-0005-0000-0000-00004AA00000}"/>
    <cellStyle name="Percent 31 3 4" xfId="6193" xr:uid="{00000000-0005-0000-0000-00004BA00000}"/>
    <cellStyle name="Percent 31 3 4 2" xfId="9282" xr:uid="{00000000-0005-0000-0000-00004CA00000}"/>
    <cellStyle name="Percent 31 3 4 2 2" xfId="15475" xr:uid="{00000000-0005-0000-0000-00004DA00000}"/>
    <cellStyle name="Percent 31 3 4 2 2 2" xfId="35395" xr:uid="{00000000-0005-0000-0000-00004EA00000}"/>
    <cellStyle name="Percent 31 3 4 2 3" xfId="21627" xr:uid="{00000000-0005-0000-0000-00004FA00000}"/>
    <cellStyle name="Percent 31 3 4 2 3 2" xfId="41547" xr:uid="{00000000-0005-0000-0000-000050A00000}"/>
    <cellStyle name="Percent 31 3 4 2 4" xfId="29242" xr:uid="{00000000-0005-0000-0000-000051A00000}"/>
    <cellStyle name="Percent 31 3 4 3" xfId="12409" xr:uid="{00000000-0005-0000-0000-000052A00000}"/>
    <cellStyle name="Percent 31 3 4 3 2" xfId="32329" xr:uid="{00000000-0005-0000-0000-000053A00000}"/>
    <cellStyle name="Percent 31 3 4 4" xfId="18561" xr:uid="{00000000-0005-0000-0000-000054A00000}"/>
    <cellStyle name="Percent 31 3 4 4 2" xfId="38481" xr:uid="{00000000-0005-0000-0000-000055A00000}"/>
    <cellStyle name="Percent 31 3 4 5" xfId="26176" xr:uid="{00000000-0005-0000-0000-000056A00000}"/>
    <cellStyle name="Percent 31 3 5" xfId="7747" xr:uid="{00000000-0005-0000-0000-000057A00000}"/>
    <cellStyle name="Percent 31 3 5 2" xfId="13941" xr:uid="{00000000-0005-0000-0000-000058A00000}"/>
    <cellStyle name="Percent 31 3 5 2 2" xfId="33861" xr:uid="{00000000-0005-0000-0000-000059A00000}"/>
    <cellStyle name="Percent 31 3 5 3" xfId="20093" xr:uid="{00000000-0005-0000-0000-00005AA00000}"/>
    <cellStyle name="Percent 31 3 5 3 2" xfId="40013" xr:uid="{00000000-0005-0000-0000-00005BA00000}"/>
    <cellStyle name="Percent 31 3 5 4" xfId="27708" xr:uid="{00000000-0005-0000-0000-00005CA00000}"/>
    <cellStyle name="Percent 31 3 6" xfId="10875" xr:uid="{00000000-0005-0000-0000-00005DA00000}"/>
    <cellStyle name="Percent 31 3 6 2" xfId="30795" xr:uid="{00000000-0005-0000-0000-00005EA00000}"/>
    <cellStyle name="Percent 31 3 7" xfId="17027" xr:uid="{00000000-0005-0000-0000-00005FA00000}"/>
    <cellStyle name="Percent 31 3 7 2" xfId="36947" xr:uid="{00000000-0005-0000-0000-000060A00000}"/>
    <cellStyle name="Percent 31 3 8" xfId="24642" xr:uid="{00000000-0005-0000-0000-000061A00000}"/>
    <cellStyle name="Percent 31 4" xfId="4310" xr:uid="{00000000-0005-0000-0000-000062A00000}"/>
    <cellStyle name="Percent 31 4 2" xfId="4311" xr:uid="{00000000-0005-0000-0000-000063A00000}"/>
    <cellStyle name="Percent 31 4 2 2" xfId="5342" xr:uid="{00000000-0005-0000-0000-000064A00000}"/>
    <cellStyle name="Percent 31 4 2 2 2" xfId="6967" xr:uid="{00000000-0005-0000-0000-000065A00000}"/>
    <cellStyle name="Percent 31 4 2 2 2 2" xfId="10053" xr:uid="{00000000-0005-0000-0000-000066A00000}"/>
    <cellStyle name="Percent 31 4 2 2 2 2 2" xfId="16246" xr:uid="{00000000-0005-0000-0000-000067A00000}"/>
    <cellStyle name="Percent 31 4 2 2 2 2 2 2" xfId="36166" xr:uid="{00000000-0005-0000-0000-000068A00000}"/>
    <cellStyle name="Percent 31 4 2 2 2 2 3" xfId="22398" xr:uid="{00000000-0005-0000-0000-000069A00000}"/>
    <cellStyle name="Percent 31 4 2 2 2 2 3 2" xfId="42318" xr:uid="{00000000-0005-0000-0000-00006AA00000}"/>
    <cellStyle name="Percent 31 4 2 2 2 2 4" xfId="30013" xr:uid="{00000000-0005-0000-0000-00006BA00000}"/>
    <cellStyle name="Percent 31 4 2 2 2 3" xfId="13180" xr:uid="{00000000-0005-0000-0000-00006CA00000}"/>
    <cellStyle name="Percent 31 4 2 2 2 3 2" xfId="33100" xr:uid="{00000000-0005-0000-0000-00006DA00000}"/>
    <cellStyle name="Percent 31 4 2 2 2 4" xfId="19332" xr:uid="{00000000-0005-0000-0000-00006EA00000}"/>
    <cellStyle name="Percent 31 4 2 2 2 4 2" xfId="39252" xr:uid="{00000000-0005-0000-0000-00006FA00000}"/>
    <cellStyle name="Percent 31 4 2 2 2 5" xfId="26947" xr:uid="{00000000-0005-0000-0000-000070A00000}"/>
    <cellStyle name="Percent 31 4 2 2 3" xfId="8518" xr:uid="{00000000-0005-0000-0000-000071A00000}"/>
    <cellStyle name="Percent 31 4 2 2 3 2" xfId="14712" xr:uid="{00000000-0005-0000-0000-000072A00000}"/>
    <cellStyle name="Percent 31 4 2 2 3 2 2" xfId="34632" xr:uid="{00000000-0005-0000-0000-000073A00000}"/>
    <cellStyle name="Percent 31 4 2 2 3 3" xfId="20864" xr:uid="{00000000-0005-0000-0000-000074A00000}"/>
    <cellStyle name="Percent 31 4 2 2 3 3 2" xfId="40784" xr:uid="{00000000-0005-0000-0000-000075A00000}"/>
    <cellStyle name="Percent 31 4 2 2 3 4" xfId="28479" xr:uid="{00000000-0005-0000-0000-000076A00000}"/>
    <cellStyle name="Percent 31 4 2 2 4" xfId="11646" xr:uid="{00000000-0005-0000-0000-000077A00000}"/>
    <cellStyle name="Percent 31 4 2 2 4 2" xfId="31566" xr:uid="{00000000-0005-0000-0000-000078A00000}"/>
    <cellStyle name="Percent 31 4 2 2 5" xfId="17798" xr:uid="{00000000-0005-0000-0000-000079A00000}"/>
    <cellStyle name="Percent 31 4 2 2 5 2" xfId="37718" xr:uid="{00000000-0005-0000-0000-00007AA00000}"/>
    <cellStyle name="Percent 31 4 2 2 6" xfId="25413" xr:uid="{00000000-0005-0000-0000-00007BA00000}"/>
    <cellStyle name="Percent 31 4 2 3" xfId="6195" xr:uid="{00000000-0005-0000-0000-00007CA00000}"/>
    <cellStyle name="Percent 31 4 2 3 2" xfId="9284" xr:uid="{00000000-0005-0000-0000-00007DA00000}"/>
    <cellStyle name="Percent 31 4 2 3 2 2" xfId="15477" xr:uid="{00000000-0005-0000-0000-00007EA00000}"/>
    <cellStyle name="Percent 31 4 2 3 2 2 2" xfId="35397" xr:uid="{00000000-0005-0000-0000-00007FA00000}"/>
    <cellStyle name="Percent 31 4 2 3 2 3" xfId="21629" xr:uid="{00000000-0005-0000-0000-000080A00000}"/>
    <cellStyle name="Percent 31 4 2 3 2 3 2" xfId="41549" xr:uid="{00000000-0005-0000-0000-000081A00000}"/>
    <cellStyle name="Percent 31 4 2 3 2 4" xfId="29244" xr:uid="{00000000-0005-0000-0000-000082A00000}"/>
    <cellStyle name="Percent 31 4 2 3 3" xfId="12411" xr:uid="{00000000-0005-0000-0000-000083A00000}"/>
    <cellStyle name="Percent 31 4 2 3 3 2" xfId="32331" xr:uid="{00000000-0005-0000-0000-000084A00000}"/>
    <cellStyle name="Percent 31 4 2 3 4" xfId="18563" xr:uid="{00000000-0005-0000-0000-000085A00000}"/>
    <cellStyle name="Percent 31 4 2 3 4 2" xfId="38483" xr:uid="{00000000-0005-0000-0000-000086A00000}"/>
    <cellStyle name="Percent 31 4 2 3 5" xfId="26178" xr:uid="{00000000-0005-0000-0000-000087A00000}"/>
    <cellStyle name="Percent 31 4 2 4" xfId="7749" xr:uid="{00000000-0005-0000-0000-000088A00000}"/>
    <cellStyle name="Percent 31 4 2 4 2" xfId="13943" xr:uid="{00000000-0005-0000-0000-000089A00000}"/>
    <cellStyle name="Percent 31 4 2 4 2 2" xfId="33863" xr:uid="{00000000-0005-0000-0000-00008AA00000}"/>
    <cellStyle name="Percent 31 4 2 4 3" xfId="20095" xr:uid="{00000000-0005-0000-0000-00008BA00000}"/>
    <cellStyle name="Percent 31 4 2 4 3 2" xfId="40015" xr:uid="{00000000-0005-0000-0000-00008CA00000}"/>
    <cellStyle name="Percent 31 4 2 4 4" xfId="27710" xr:uid="{00000000-0005-0000-0000-00008DA00000}"/>
    <cellStyle name="Percent 31 4 2 5" xfId="10877" xr:uid="{00000000-0005-0000-0000-00008EA00000}"/>
    <cellStyle name="Percent 31 4 2 5 2" xfId="30797" xr:uid="{00000000-0005-0000-0000-00008FA00000}"/>
    <cellStyle name="Percent 31 4 2 6" xfId="17029" xr:uid="{00000000-0005-0000-0000-000090A00000}"/>
    <cellStyle name="Percent 31 4 2 6 2" xfId="36949" xr:uid="{00000000-0005-0000-0000-000091A00000}"/>
    <cellStyle name="Percent 31 4 2 7" xfId="24644" xr:uid="{00000000-0005-0000-0000-000092A00000}"/>
    <cellStyle name="Percent 31 5" xfId="4312" xr:uid="{00000000-0005-0000-0000-000093A00000}"/>
    <cellStyle name="Percent 31 5 2" xfId="5343" xr:uid="{00000000-0005-0000-0000-000094A00000}"/>
    <cellStyle name="Percent 31 5 2 2" xfId="6968" xr:uid="{00000000-0005-0000-0000-000095A00000}"/>
    <cellStyle name="Percent 31 5 2 2 2" xfId="10054" xr:uid="{00000000-0005-0000-0000-000096A00000}"/>
    <cellStyle name="Percent 31 5 2 2 2 2" xfId="16247" xr:uid="{00000000-0005-0000-0000-000097A00000}"/>
    <cellStyle name="Percent 31 5 2 2 2 2 2" xfId="36167" xr:uid="{00000000-0005-0000-0000-000098A00000}"/>
    <cellStyle name="Percent 31 5 2 2 2 3" xfId="22399" xr:uid="{00000000-0005-0000-0000-000099A00000}"/>
    <cellStyle name="Percent 31 5 2 2 2 3 2" xfId="42319" xr:uid="{00000000-0005-0000-0000-00009AA00000}"/>
    <cellStyle name="Percent 31 5 2 2 2 4" xfId="30014" xr:uid="{00000000-0005-0000-0000-00009BA00000}"/>
    <cellStyle name="Percent 31 5 2 2 3" xfId="13181" xr:uid="{00000000-0005-0000-0000-00009CA00000}"/>
    <cellStyle name="Percent 31 5 2 2 3 2" xfId="33101" xr:uid="{00000000-0005-0000-0000-00009DA00000}"/>
    <cellStyle name="Percent 31 5 2 2 4" xfId="19333" xr:uid="{00000000-0005-0000-0000-00009EA00000}"/>
    <cellStyle name="Percent 31 5 2 2 4 2" xfId="39253" xr:uid="{00000000-0005-0000-0000-00009FA00000}"/>
    <cellStyle name="Percent 31 5 2 2 5" xfId="26948" xr:uid="{00000000-0005-0000-0000-0000A0A00000}"/>
    <cellStyle name="Percent 31 5 2 3" xfId="8519" xr:uid="{00000000-0005-0000-0000-0000A1A00000}"/>
    <cellStyle name="Percent 31 5 2 3 2" xfId="14713" xr:uid="{00000000-0005-0000-0000-0000A2A00000}"/>
    <cellStyle name="Percent 31 5 2 3 2 2" xfId="34633" xr:uid="{00000000-0005-0000-0000-0000A3A00000}"/>
    <cellStyle name="Percent 31 5 2 3 3" xfId="20865" xr:uid="{00000000-0005-0000-0000-0000A4A00000}"/>
    <cellStyle name="Percent 31 5 2 3 3 2" xfId="40785" xr:uid="{00000000-0005-0000-0000-0000A5A00000}"/>
    <cellStyle name="Percent 31 5 2 3 4" xfId="28480" xr:uid="{00000000-0005-0000-0000-0000A6A00000}"/>
    <cellStyle name="Percent 31 5 2 4" xfId="11647" xr:uid="{00000000-0005-0000-0000-0000A7A00000}"/>
    <cellStyle name="Percent 31 5 2 4 2" xfId="31567" xr:uid="{00000000-0005-0000-0000-0000A8A00000}"/>
    <cellStyle name="Percent 31 5 2 5" xfId="17799" xr:uid="{00000000-0005-0000-0000-0000A9A00000}"/>
    <cellStyle name="Percent 31 5 2 5 2" xfId="37719" xr:uid="{00000000-0005-0000-0000-0000AAA00000}"/>
    <cellStyle name="Percent 31 5 2 6" xfId="25414" xr:uid="{00000000-0005-0000-0000-0000ABA00000}"/>
    <cellStyle name="Percent 31 5 3" xfId="6196" xr:uid="{00000000-0005-0000-0000-0000ACA00000}"/>
    <cellStyle name="Percent 31 5 3 2" xfId="9285" xr:uid="{00000000-0005-0000-0000-0000ADA00000}"/>
    <cellStyle name="Percent 31 5 3 2 2" xfId="15478" xr:uid="{00000000-0005-0000-0000-0000AEA00000}"/>
    <cellStyle name="Percent 31 5 3 2 2 2" xfId="35398" xr:uid="{00000000-0005-0000-0000-0000AFA00000}"/>
    <cellStyle name="Percent 31 5 3 2 3" xfId="21630" xr:uid="{00000000-0005-0000-0000-0000B0A00000}"/>
    <cellStyle name="Percent 31 5 3 2 3 2" xfId="41550" xr:uid="{00000000-0005-0000-0000-0000B1A00000}"/>
    <cellStyle name="Percent 31 5 3 2 4" xfId="29245" xr:uid="{00000000-0005-0000-0000-0000B2A00000}"/>
    <cellStyle name="Percent 31 5 3 3" xfId="12412" xr:uid="{00000000-0005-0000-0000-0000B3A00000}"/>
    <cellStyle name="Percent 31 5 3 3 2" xfId="32332" xr:uid="{00000000-0005-0000-0000-0000B4A00000}"/>
    <cellStyle name="Percent 31 5 3 4" xfId="18564" xr:uid="{00000000-0005-0000-0000-0000B5A00000}"/>
    <cellStyle name="Percent 31 5 3 4 2" xfId="38484" xr:uid="{00000000-0005-0000-0000-0000B6A00000}"/>
    <cellStyle name="Percent 31 5 3 5" xfId="26179" xr:uid="{00000000-0005-0000-0000-0000B7A00000}"/>
    <cellStyle name="Percent 31 5 4" xfId="7750" xr:uid="{00000000-0005-0000-0000-0000B8A00000}"/>
    <cellStyle name="Percent 31 5 4 2" xfId="13944" xr:uid="{00000000-0005-0000-0000-0000B9A00000}"/>
    <cellStyle name="Percent 31 5 4 2 2" xfId="33864" xr:uid="{00000000-0005-0000-0000-0000BAA00000}"/>
    <cellStyle name="Percent 31 5 4 3" xfId="20096" xr:uid="{00000000-0005-0000-0000-0000BBA00000}"/>
    <cellStyle name="Percent 31 5 4 3 2" xfId="40016" xr:uid="{00000000-0005-0000-0000-0000BCA00000}"/>
    <cellStyle name="Percent 31 5 4 4" xfId="27711" xr:uid="{00000000-0005-0000-0000-0000BDA00000}"/>
    <cellStyle name="Percent 31 5 5" xfId="10878" xr:uid="{00000000-0005-0000-0000-0000BEA00000}"/>
    <cellStyle name="Percent 31 5 5 2" xfId="30798" xr:uid="{00000000-0005-0000-0000-0000BFA00000}"/>
    <cellStyle name="Percent 31 5 6" xfId="17030" xr:uid="{00000000-0005-0000-0000-0000C0A00000}"/>
    <cellStyle name="Percent 31 5 6 2" xfId="36950" xr:uid="{00000000-0005-0000-0000-0000C1A00000}"/>
    <cellStyle name="Percent 31 5 7" xfId="24645" xr:uid="{00000000-0005-0000-0000-0000C2A00000}"/>
    <cellStyle name="Percent 32" xfId="4313" xr:uid="{00000000-0005-0000-0000-0000C3A00000}"/>
    <cellStyle name="Percent 32 2" xfId="4314" xr:uid="{00000000-0005-0000-0000-0000C4A00000}"/>
    <cellStyle name="Percent 32 2 2" xfId="4315" xr:uid="{00000000-0005-0000-0000-0000C5A00000}"/>
    <cellStyle name="Percent 32 2 2 2" xfId="5345" xr:uid="{00000000-0005-0000-0000-0000C6A00000}"/>
    <cellStyle name="Percent 32 2 2 2 2" xfId="6970" xr:uid="{00000000-0005-0000-0000-0000C7A00000}"/>
    <cellStyle name="Percent 32 2 2 2 2 2" xfId="10056" xr:uid="{00000000-0005-0000-0000-0000C8A00000}"/>
    <cellStyle name="Percent 32 2 2 2 2 2 2" xfId="16249" xr:uid="{00000000-0005-0000-0000-0000C9A00000}"/>
    <cellStyle name="Percent 32 2 2 2 2 2 2 2" xfId="36169" xr:uid="{00000000-0005-0000-0000-0000CAA00000}"/>
    <cellStyle name="Percent 32 2 2 2 2 2 3" xfId="22401" xr:uid="{00000000-0005-0000-0000-0000CBA00000}"/>
    <cellStyle name="Percent 32 2 2 2 2 2 3 2" xfId="42321" xr:uid="{00000000-0005-0000-0000-0000CCA00000}"/>
    <cellStyle name="Percent 32 2 2 2 2 2 4" xfId="30016" xr:uid="{00000000-0005-0000-0000-0000CDA00000}"/>
    <cellStyle name="Percent 32 2 2 2 2 3" xfId="13183" xr:uid="{00000000-0005-0000-0000-0000CEA00000}"/>
    <cellStyle name="Percent 32 2 2 2 2 3 2" xfId="33103" xr:uid="{00000000-0005-0000-0000-0000CFA00000}"/>
    <cellStyle name="Percent 32 2 2 2 2 4" xfId="19335" xr:uid="{00000000-0005-0000-0000-0000D0A00000}"/>
    <cellStyle name="Percent 32 2 2 2 2 4 2" xfId="39255" xr:uid="{00000000-0005-0000-0000-0000D1A00000}"/>
    <cellStyle name="Percent 32 2 2 2 2 5" xfId="26950" xr:uid="{00000000-0005-0000-0000-0000D2A00000}"/>
    <cellStyle name="Percent 32 2 2 2 3" xfId="8521" xr:uid="{00000000-0005-0000-0000-0000D3A00000}"/>
    <cellStyle name="Percent 32 2 2 2 3 2" xfId="14715" xr:uid="{00000000-0005-0000-0000-0000D4A00000}"/>
    <cellStyle name="Percent 32 2 2 2 3 2 2" xfId="34635" xr:uid="{00000000-0005-0000-0000-0000D5A00000}"/>
    <cellStyle name="Percent 32 2 2 2 3 3" xfId="20867" xr:uid="{00000000-0005-0000-0000-0000D6A00000}"/>
    <cellStyle name="Percent 32 2 2 2 3 3 2" xfId="40787" xr:uid="{00000000-0005-0000-0000-0000D7A00000}"/>
    <cellStyle name="Percent 32 2 2 2 3 4" xfId="28482" xr:uid="{00000000-0005-0000-0000-0000D8A00000}"/>
    <cellStyle name="Percent 32 2 2 2 4" xfId="11649" xr:uid="{00000000-0005-0000-0000-0000D9A00000}"/>
    <cellStyle name="Percent 32 2 2 2 4 2" xfId="31569" xr:uid="{00000000-0005-0000-0000-0000DAA00000}"/>
    <cellStyle name="Percent 32 2 2 2 5" xfId="17801" xr:uid="{00000000-0005-0000-0000-0000DBA00000}"/>
    <cellStyle name="Percent 32 2 2 2 5 2" xfId="37721" xr:uid="{00000000-0005-0000-0000-0000DCA00000}"/>
    <cellStyle name="Percent 32 2 2 2 6" xfId="25416" xr:uid="{00000000-0005-0000-0000-0000DDA00000}"/>
    <cellStyle name="Percent 32 2 2 3" xfId="6198" xr:uid="{00000000-0005-0000-0000-0000DEA00000}"/>
    <cellStyle name="Percent 32 2 2 3 2" xfId="9287" xr:uid="{00000000-0005-0000-0000-0000DFA00000}"/>
    <cellStyle name="Percent 32 2 2 3 2 2" xfId="15480" xr:uid="{00000000-0005-0000-0000-0000E0A00000}"/>
    <cellStyle name="Percent 32 2 2 3 2 2 2" xfId="35400" xr:uid="{00000000-0005-0000-0000-0000E1A00000}"/>
    <cellStyle name="Percent 32 2 2 3 2 3" xfId="21632" xr:uid="{00000000-0005-0000-0000-0000E2A00000}"/>
    <cellStyle name="Percent 32 2 2 3 2 3 2" xfId="41552" xr:uid="{00000000-0005-0000-0000-0000E3A00000}"/>
    <cellStyle name="Percent 32 2 2 3 2 4" xfId="29247" xr:uid="{00000000-0005-0000-0000-0000E4A00000}"/>
    <cellStyle name="Percent 32 2 2 3 3" xfId="12414" xr:uid="{00000000-0005-0000-0000-0000E5A00000}"/>
    <cellStyle name="Percent 32 2 2 3 3 2" xfId="32334" xr:uid="{00000000-0005-0000-0000-0000E6A00000}"/>
    <cellStyle name="Percent 32 2 2 3 4" xfId="18566" xr:uid="{00000000-0005-0000-0000-0000E7A00000}"/>
    <cellStyle name="Percent 32 2 2 3 4 2" xfId="38486" xr:uid="{00000000-0005-0000-0000-0000E8A00000}"/>
    <cellStyle name="Percent 32 2 2 3 5" xfId="26181" xr:uid="{00000000-0005-0000-0000-0000E9A00000}"/>
    <cellStyle name="Percent 32 2 2 4" xfId="7752" xr:uid="{00000000-0005-0000-0000-0000EAA00000}"/>
    <cellStyle name="Percent 32 2 2 4 2" xfId="13946" xr:uid="{00000000-0005-0000-0000-0000EBA00000}"/>
    <cellStyle name="Percent 32 2 2 4 2 2" xfId="33866" xr:uid="{00000000-0005-0000-0000-0000ECA00000}"/>
    <cellStyle name="Percent 32 2 2 4 3" xfId="20098" xr:uid="{00000000-0005-0000-0000-0000EDA00000}"/>
    <cellStyle name="Percent 32 2 2 4 3 2" xfId="40018" xr:uid="{00000000-0005-0000-0000-0000EEA00000}"/>
    <cellStyle name="Percent 32 2 2 4 4" xfId="27713" xr:uid="{00000000-0005-0000-0000-0000EFA00000}"/>
    <cellStyle name="Percent 32 2 2 5" xfId="10880" xr:uid="{00000000-0005-0000-0000-0000F0A00000}"/>
    <cellStyle name="Percent 32 2 2 5 2" xfId="30800" xr:uid="{00000000-0005-0000-0000-0000F1A00000}"/>
    <cellStyle name="Percent 32 2 2 6" xfId="17032" xr:uid="{00000000-0005-0000-0000-0000F2A00000}"/>
    <cellStyle name="Percent 32 2 2 6 2" xfId="36952" xr:uid="{00000000-0005-0000-0000-0000F3A00000}"/>
    <cellStyle name="Percent 32 2 2 7" xfId="24647" xr:uid="{00000000-0005-0000-0000-0000F4A00000}"/>
    <cellStyle name="Percent 32 2 3" xfId="5344" xr:uid="{00000000-0005-0000-0000-0000F5A00000}"/>
    <cellStyle name="Percent 32 2 3 2" xfId="6969" xr:uid="{00000000-0005-0000-0000-0000F6A00000}"/>
    <cellStyle name="Percent 32 2 3 2 2" xfId="10055" xr:uid="{00000000-0005-0000-0000-0000F7A00000}"/>
    <cellStyle name="Percent 32 2 3 2 2 2" xfId="16248" xr:uid="{00000000-0005-0000-0000-0000F8A00000}"/>
    <cellStyle name="Percent 32 2 3 2 2 2 2" xfId="36168" xr:uid="{00000000-0005-0000-0000-0000F9A00000}"/>
    <cellStyle name="Percent 32 2 3 2 2 3" xfId="22400" xr:uid="{00000000-0005-0000-0000-0000FAA00000}"/>
    <cellStyle name="Percent 32 2 3 2 2 3 2" xfId="42320" xr:uid="{00000000-0005-0000-0000-0000FBA00000}"/>
    <cellStyle name="Percent 32 2 3 2 2 4" xfId="30015" xr:uid="{00000000-0005-0000-0000-0000FCA00000}"/>
    <cellStyle name="Percent 32 2 3 2 3" xfId="13182" xr:uid="{00000000-0005-0000-0000-0000FDA00000}"/>
    <cellStyle name="Percent 32 2 3 2 3 2" xfId="33102" xr:uid="{00000000-0005-0000-0000-0000FEA00000}"/>
    <cellStyle name="Percent 32 2 3 2 4" xfId="19334" xr:uid="{00000000-0005-0000-0000-0000FFA00000}"/>
    <cellStyle name="Percent 32 2 3 2 4 2" xfId="39254" xr:uid="{00000000-0005-0000-0000-000000A10000}"/>
    <cellStyle name="Percent 32 2 3 2 5" xfId="26949" xr:uid="{00000000-0005-0000-0000-000001A10000}"/>
    <cellStyle name="Percent 32 2 3 3" xfId="8520" xr:uid="{00000000-0005-0000-0000-000002A10000}"/>
    <cellStyle name="Percent 32 2 3 3 2" xfId="14714" xr:uid="{00000000-0005-0000-0000-000003A10000}"/>
    <cellStyle name="Percent 32 2 3 3 2 2" xfId="34634" xr:uid="{00000000-0005-0000-0000-000004A10000}"/>
    <cellStyle name="Percent 32 2 3 3 3" xfId="20866" xr:uid="{00000000-0005-0000-0000-000005A10000}"/>
    <cellStyle name="Percent 32 2 3 3 3 2" xfId="40786" xr:uid="{00000000-0005-0000-0000-000006A10000}"/>
    <cellStyle name="Percent 32 2 3 3 4" xfId="28481" xr:uid="{00000000-0005-0000-0000-000007A10000}"/>
    <cellStyle name="Percent 32 2 3 4" xfId="11648" xr:uid="{00000000-0005-0000-0000-000008A10000}"/>
    <cellStyle name="Percent 32 2 3 4 2" xfId="31568" xr:uid="{00000000-0005-0000-0000-000009A10000}"/>
    <cellStyle name="Percent 32 2 3 5" xfId="17800" xr:uid="{00000000-0005-0000-0000-00000AA10000}"/>
    <cellStyle name="Percent 32 2 3 5 2" xfId="37720" xr:uid="{00000000-0005-0000-0000-00000BA10000}"/>
    <cellStyle name="Percent 32 2 3 6" xfId="25415" xr:uid="{00000000-0005-0000-0000-00000CA10000}"/>
    <cellStyle name="Percent 32 2 4" xfId="6197" xr:uid="{00000000-0005-0000-0000-00000DA10000}"/>
    <cellStyle name="Percent 32 2 4 2" xfId="9286" xr:uid="{00000000-0005-0000-0000-00000EA10000}"/>
    <cellStyle name="Percent 32 2 4 2 2" xfId="15479" xr:uid="{00000000-0005-0000-0000-00000FA10000}"/>
    <cellStyle name="Percent 32 2 4 2 2 2" xfId="35399" xr:uid="{00000000-0005-0000-0000-000010A10000}"/>
    <cellStyle name="Percent 32 2 4 2 3" xfId="21631" xr:uid="{00000000-0005-0000-0000-000011A10000}"/>
    <cellStyle name="Percent 32 2 4 2 3 2" xfId="41551" xr:uid="{00000000-0005-0000-0000-000012A10000}"/>
    <cellStyle name="Percent 32 2 4 2 4" xfId="29246" xr:uid="{00000000-0005-0000-0000-000013A10000}"/>
    <cellStyle name="Percent 32 2 4 3" xfId="12413" xr:uid="{00000000-0005-0000-0000-000014A10000}"/>
    <cellStyle name="Percent 32 2 4 3 2" xfId="32333" xr:uid="{00000000-0005-0000-0000-000015A10000}"/>
    <cellStyle name="Percent 32 2 4 4" xfId="18565" xr:uid="{00000000-0005-0000-0000-000016A10000}"/>
    <cellStyle name="Percent 32 2 4 4 2" xfId="38485" xr:uid="{00000000-0005-0000-0000-000017A10000}"/>
    <cellStyle name="Percent 32 2 4 5" xfId="26180" xr:uid="{00000000-0005-0000-0000-000018A10000}"/>
    <cellStyle name="Percent 32 2 5" xfId="7751" xr:uid="{00000000-0005-0000-0000-000019A10000}"/>
    <cellStyle name="Percent 32 2 5 2" xfId="13945" xr:uid="{00000000-0005-0000-0000-00001AA10000}"/>
    <cellStyle name="Percent 32 2 5 2 2" xfId="33865" xr:uid="{00000000-0005-0000-0000-00001BA10000}"/>
    <cellStyle name="Percent 32 2 5 3" xfId="20097" xr:uid="{00000000-0005-0000-0000-00001CA10000}"/>
    <cellStyle name="Percent 32 2 5 3 2" xfId="40017" xr:uid="{00000000-0005-0000-0000-00001DA10000}"/>
    <cellStyle name="Percent 32 2 5 4" xfId="27712" xr:uid="{00000000-0005-0000-0000-00001EA10000}"/>
    <cellStyle name="Percent 32 2 6" xfId="10879" xr:uid="{00000000-0005-0000-0000-00001FA10000}"/>
    <cellStyle name="Percent 32 2 6 2" xfId="30799" xr:uid="{00000000-0005-0000-0000-000020A10000}"/>
    <cellStyle name="Percent 32 2 7" xfId="17031" xr:uid="{00000000-0005-0000-0000-000021A10000}"/>
    <cellStyle name="Percent 32 2 7 2" xfId="36951" xr:uid="{00000000-0005-0000-0000-000022A10000}"/>
    <cellStyle name="Percent 32 2 8" xfId="24646" xr:uid="{00000000-0005-0000-0000-000023A10000}"/>
    <cellStyle name="Percent 32 3" xfId="4316" xr:uid="{00000000-0005-0000-0000-000024A10000}"/>
    <cellStyle name="Percent 32 3 2" xfId="4317" xr:uid="{00000000-0005-0000-0000-000025A10000}"/>
    <cellStyle name="Percent 32 3 2 2" xfId="5347" xr:uid="{00000000-0005-0000-0000-000026A10000}"/>
    <cellStyle name="Percent 32 3 2 2 2" xfId="6972" xr:uid="{00000000-0005-0000-0000-000027A10000}"/>
    <cellStyle name="Percent 32 3 2 2 2 2" xfId="10058" xr:uid="{00000000-0005-0000-0000-000028A10000}"/>
    <cellStyle name="Percent 32 3 2 2 2 2 2" xfId="16251" xr:uid="{00000000-0005-0000-0000-000029A10000}"/>
    <cellStyle name="Percent 32 3 2 2 2 2 2 2" xfId="36171" xr:uid="{00000000-0005-0000-0000-00002AA10000}"/>
    <cellStyle name="Percent 32 3 2 2 2 2 3" xfId="22403" xr:uid="{00000000-0005-0000-0000-00002BA10000}"/>
    <cellStyle name="Percent 32 3 2 2 2 2 3 2" xfId="42323" xr:uid="{00000000-0005-0000-0000-00002CA10000}"/>
    <cellStyle name="Percent 32 3 2 2 2 2 4" xfId="30018" xr:uid="{00000000-0005-0000-0000-00002DA10000}"/>
    <cellStyle name="Percent 32 3 2 2 2 3" xfId="13185" xr:uid="{00000000-0005-0000-0000-00002EA10000}"/>
    <cellStyle name="Percent 32 3 2 2 2 3 2" xfId="33105" xr:uid="{00000000-0005-0000-0000-00002FA10000}"/>
    <cellStyle name="Percent 32 3 2 2 2 4" xfId="19337" xr:uid="{00000000-0005-0000-0000-000030A10000}"/>
    <cellStyle name="Percent 32 3 2 2 2 4 2" xfId="39257" xr:uid="{00000000-0005-0000-0000-000031A10000}"/>
    <cellStyle name="Percent 32 3 2 2 2 5" xfId="26952" xr:uid="{00000000-0005-0000-0000-000032A10000}"/>
    <cellStyle name="Percent 32 3 2 2 3" xfId="8523" xr:uid="{00000000-0005-0000-0000-000033A10000}"/>
    <cellStyle name="Percent 32 3 2 2 3 2" xfId="14717" xr:uid="{00000000-0005-0000-0000-000034A10000}"/>
    <cellStyle name="Percent 32 3 2 2 3 2 2" xfId="34637" xr:uid="{00000000-0005-0000-0000-000035A10000}"/>
    <cellStyle name="Percent 32 3 2 2 3 3" xfId="20869" xr:uid="{00000000-0005-0000-0000-000036A10000}"/>
    <cellStyle name="Percent 32 3 2 2 3 3 2" xfId="40789" xr:uid="{00000000-0005-0000-0000-000037A10000}"/>
    <cellStyle name="Percent 32 3 2 2 3 4" xfId="28484" xr:uid="{00000000-0005-0000-0000-000038A10000}"/>
    <cellStyle name="Percent 32 3 2 2 4" xfId="11651" xr:uid="{00000000-0005-0000-0000-000039A10000}"/>
    <cellStyle name="Percent 32 3 2 2 4 2" xfId="31571" xr:uid="{00000000-0005-0000-0000-00003AA10000}"/>
    <cellStyle name="Percent 32 3 2 2 5" xfId="17803" xr:uid="{00000000-0005-0000-0000-00003BA10000}"/>
    <cellStyle name="Percent 32 3 2 2 5 2" xfId="37723" xr:uid="{00000000-0005-0000-0000-00003CA10000}"/>
    <cellStyle name="Percent 32 3 2 2 6" xfId="25418" xr:uid="{00000000-0005-0000-0000-00003DA10000}"/>
    <cellStyle name="Percent 32 3 2 3" xfId="6200" xr:uid="{00000000-0005-0000-0000-00003EA10000}"/>
    <cellStyle name="Percent 32 3 2 3 2" xfId="9289" xr:uid="{00000000-0005-0000-0000-00003FA10000}"/>
    <cellStyle name="Percent 32 3 2 3 2 2" xfId="15482" xr:uid="{00000000-0005-0000-0000-000040A10000}"/>
    <cellStyle name="Percent 32 3 2 3 2 2 2" xfId="35402" xr:uid="{00000000-0005-0000-0000-000041A10000}"/>
    <cellStyle name="Percent 32 3 2 3 2 3" xfId="21634" xr:uid="{00000000-0005-0000-0000-000042A10000}"/>
    <cellStyle name="Percent 32 3 2 3 2 3 2" xfId="41554" xr:uid="{00000000-0005-0000-0000-000043A10000}"/>
    <cellStyle name="Percent 32 3 2 3 2 4" xfId="29249" xr:uid="{00000000-0005-0000-0000-000044A10000}"/>
    <cellStyle name="Percent 32 3 2 3 3" xfId="12416" xr:uid="{00000000-0005-0000-0000-000045A10000}"/>
    <cellStyle name="Percent 32 3 2 3 3 2" xfId="32336" xr:uid="{00000000-0005-0000-0000-000046A10000}"/>
    <cellStyle name="Percent 32 3 2 3 4" xfId="18568" xr:uid="{00000000-0005-0000-0000-000047A10000}"/>
    <cellStyle name="Percent 32 3 2 3 4 2" xfId="38488" xr:uid="{00000000-0005-0000-0000-000048A10000}"/>
    <cellStyle name="Percent 32 3 2 3 5" xfId="26183" xr:uid="{00000000-0005-0000-0000-000049A10000}"/>
    <cellStyle name="Percent 32 3 2 4" xfId="7754" xr:uid="{00000000-0005-0000-0000-00004AA10000}"/>
    <cellStyle name="Percent 32 3 2 4 2" xfId="13948" xr:uid="{00000000-0005-0000-0000-00004BA10000}"/>
    <cellStyle name="Percent 32 3 2 4 2 2" xfId="33868" xr:uid="{00000000-0005-0000-0000-00004CA10000}"/>
    <cellStyle name="Percent 32 3 2 4 3" xfId="20100" xr:uid="{00000000-0005-0000-0000-00004DA10000}"/>
    <cellStyle name="Percent 32 3 2 4 3 2" xfId="40020" xr:uid="{00000000-0005-0000-0000-00004EA10000}"/>
    <cellStyle name="Percent 32 3 2 4 4" xfId="27715" xr:uid="{00000000-0005-0000-0000-00004FA10000}"/>
    <cellStyle name="Percent 32 3 2 5" xfId="10882" xr:uid="{00000000-0005-0000-0000-000050A10000}"/>
    <cellStyle name="Percent 32 3 2 5 2" xfId="30802" xr:uid="{00000000-0005-0000-0000-000051A10000}"/>
    <cellStyle name="Percent 32 3 2 6" xfId="17034" xr:uid="{00000000-0005-0000-0000-000052A10000}"/>
    <cellStyle name="Percent 32 3 2 6 2" xfId="36954" xr:uid="{00000000-0005-0000-0000-000053A10000}"/>
    <cellStyle name="Percent 32 3 2 7" xfId="24649" xr:uid="{00000000-0005-0000-0000-000054A10000}"/>
    <cellStyle name="Percent 32 3 3" xfId="5346" xr:uid="{00000000-0005-0000-0000-000055A10000}"/>
    <cellStyle name="Percent 32 3 3 2" xfId="6971" xr:uid="{00000000-0005-0000-0000-000056A10000}"/>
    <cellStyle name="Percent 32 3 3 2 2" xfId="10057" xr:uid="{00000000-0005-0000-0000-000057A10000}"/>
    <cellStyle name="Percent 32 3 3 2 2 2" xfId="16250" xr:uid="{00000000-0005-0000-0000-000058A10000}"/>
    <cellStyle name="Percent 32 3 3 2 2 2 2" xfId="36170" xr:uid="{00000000-0005-0000-0000-000059A10000}"/>
    <cellStyle name="Percent 32 3 3 2 2 3" xfId="22402" xr:uid="{00000000-0005-0000-0000-00005AA10000}"/>
    <cellStyle name="Percent 32 3 3 2 2 3 2" xfId="42322" xr:uid="{00000000-0005-0000-0000-00005BA10000}"/>
    <cellStyle name="Percent 32 3 3 2 2 4" xfId="30017" xr:uid="{00000000-0005-0000-0000-00005CA10000}"/>
    <cellStyle name="Percent 32 3 3 2 3" xfId="13184" xr:uid="{00000000-0005-0000-0000-00005DA10000}"/>
    <cellStyle name="Percent 32 3 3 2 3 2" xfId="33104" xr:uid="{00000000-0005-0000-0000-00005EA10000}"/>
    <cellStyle name="Percent 32 3 3 2 4" xfId="19336" xr:uid="{00000000-0005-0000-0000-00005FA10000}"/>
    <cellStyle name="Percent 32 3 3 2 4 2" xfId="39256" xr:uid="{00000000-0005-0000-0000-000060A10000}"/>
    <cellStyle name="Percent 32 3 3 2 5" xfId="26951" xr:uid="{00000000-0005-0000-0000-000061A10000}"/>
    <cellStyle name="Percent 32 3 3 3" xfId="8522" xr:uid="{00000000-0005-0000-0000-000062A10000}"/>
    <cellStyle name="Percent 32 3 3 3 2" xfId="14716" xr:uid="{00000000-0005-0000-0000-000063A10000}"/>
    <cellStyle name="Percent 32 3 3 3 2 2" xfId="34636" xr:uid="{00000000-0005-0000-0000-000064A10000}"/>
    <cellStyle name="Percent 32 3 3 3 3" xfId="20868" xr:uid="{00000000-0005-0000-0000-000065A10000}"/>
    <cellStyle name="Percent 32 3 3 3 3 2" xfId="40788" xr:uid="{00000000-0005-0000-0000-000066A10000}"/>
    <cellStyle name="Percent 32 3 3 3 4" xfId="28483" xr:uid="{00000000-0005-0000-0000-000067A10000}"/>
    <cellStyle name="Percent 32 3 3 4" xfId="11650" xr:uid="{00000000-0005-0000-0000-000068A10000}"/>
    <cellStyle name="Percent 32 3 3 4 2" xfId="31570" xr:uid="{00000000-0005-0000-0000-000069A10000}"/>
    <cellStyle name="Percent 32 3 3 5" xfId="17802" xr:uid="{00000000-0005-0000-0000-00006AA10000}"/>
    <cellStyle name="Percent 32 3 3 5 2" xfId="37722" xr:uid="{00000000-0005-0000-0000-00006BA10000}"/>
    <cellStyle name="Percent 32 3 3 6" xfId="25417" xr:uid="{00000000-0005-0000-0000-00006CA10000}"/>
    <cellStyle name="Percent 32 3 4" xfId="6199" xr:uid="{00000000-0005-0000-0000-00006DA10000}"/>
    <cellStyle name="Percent 32 3 4 2" xfId="9288" xr:uid="{00000000-0005-0000-0000-00006EA10000}"/>
    <cellStyle name="Percent 32 3 4 2 2" xfId="15481" xr:uid="{00000000-0005-0000-0000-00006FA10000}"/>
    <cellStyle name="Percent 32 3 4 2 2 2" xfId="35401" xr:uid="{00000000-0005-0000-0000-000070A10000}"/>
    <cellStyle name="Percent 32 3 4 2 3" xfId="21633" xr:uid="{00000000-0005-0000-0000-000071A10000}"/>
    <cellStyle name="Percent 32 3 4 2 3 2" xfId="41553" xr:uid="{00000000-0005-0000-0000-000072A10000}"/>
    <cellStyle name="Percent 32 3 4 2 4" xfId="29248" xr:uid="{00000000-0005-0000-0000-000073A10000}"/>
    <cellStyle name="Percent 32 3 4 3" xfId="12415" xr:uid="{00000000-0005-0000-0000-000074A10000}"/>
    <cellStyle name="Percent 32 3 4 3 2" xfId="32335" xr:uid="{00000000-0005-0000-0000-000075A10000}"/>
    <cellStyle name="Percent 32 3 4 4" xfId="18567" xr:uid="{00000000-0005-0000-0000-000076A10000}"/>
    <cellStyle name="Percent 32 3 4 4 2" xfId="38487" xr:uid="{00000000-0005-0000-0000-000077A10000}"/>
    <cellStyle name="Percent 32 3 4 5" xfId="26182" xr:uid="{00000000-0005-0000-0000-000078A10000}"/>
    <cellStyle name="Percent 32 3 5" xfId="7753" xr:uid="{00000000-0005-0000-0000-000079A10000}"/>
    <cellStyle name="Percent 32 3 5 2" xfId="13947" xr:uid="{00000000-0005-0000-0000-00007AA10000}"/>
    <cellStyle name="Percent 32 3 5 2 2" xfId="33867" xr:uid="{00000000-0005-0000-0000-00007BA10000}"/>
    <cellStyle name="Percent 32 3 5 3" xfId="20099" xr:uid="{00000000-0005-0000-0000-00007CA10000}"/>
    <cellStyle name="Percent 32 3 5 3 2" xfId="40019" xr:uid="{00000000-0005-0000-0000-00007DA10000}"/>
    <cellStyle name="Percent 32 3 5 4" xfId="27714" xr:uid="{00000000-0005-0000-0000-00007EA10000}"/>
    <cellStyle name="Percent 32 3 6" xfId="10881" xr:uid="{00000000-0005-0000-0000-00007FA10000}"/>
    <cellStyle name="Percent 32 3 6 2" xfId="30801" xr:uid="{00000000-0005-0000-0000-000080A10000}"/>
    <cellStyle name="Percent 32 3 7" xfId="17033" xr:uid="{00000000-0005-0000-0000-000081A10000}"/>
    <cellStyle name="Percent 32 3 7 2" xfId="36953" xr:uid="{00000000-0005-0000-0000-000082A10000}"/>
    <cellStyle name="Percent 32 3 8" xfId="24648" xr:uid="{00000000-0005-0000-0000-000083A10000}"/>
    <cellStyle name="Percent 32 4" xfId="4318" xr:uid="{00000000-0005-0000-0000-000084A10000}"/>
    <cellStyle name="Percent 32 4 2" xfId="4319" xr:uid="{00000000-0005-0000-0000-000085A10000}"/>
    <cellStyle name="Percent 32 4 2 2" xfId="5348" xr:uid="{00000000-0005-0000-0000-000086A10000}"/>
    <cellStyle name="Percent 32 4 2 2 2" xfId="6973" xr:uid="{00000000-0005-0000-0000-000087A10000}"/>
    <cellStyle name="Percent 32 4 2 2 2 2" xfId="10059" xr:uid="{00000000-0005-0000-0000-000088A10000}"/>
    <cellStyle name="Percent 32 4 2 2 2 2 2" xfId="16252" xr:uid="{00000000-0005-0000-0000-000089A10000}"/>
    <cellStyle name="Percent 32 4 2 2 2 2 2 2" xfId="36172" xr:uid="{00000000-0005-0000-0000-00008AA10000}"/>
    <cellStyle name="Percent 32 4 2 2 2 2 3" xfId="22404" xr:uid="{00000000-0005-0000-0000-00008BA10000}"/>
    <cellStyle name="Percent 32 4 2 2 2 2 3 2" xfId="42324" xr:uid="{00000000-0005-0000-0000-00008CA10000}"/>
    <cellStyle name="Percent 32 4 2 2 2 2 4" xfId="30019" xr:uid="{00000000-0005-0000-0000-00008DA10000}"/>
    <cellStyle name="Percent 32 4 2 2 2 3" xfId="13186" xr:uid="{00000000-0005-0000-0000-00008EA10000}"/>
    <cellStyle name="Percent 32 4 2 2 2 3 2" xfId="33106" xr:uid="{00000000-0005-0000-0000-00008FA10000}"/>
    <cellStyle name="Percent 32 4 2 2 2 4" xfId="19338" xr:uid="{00000000-0005-0000-0000-000090A10000}"/>
    <cellStyle name="Percent 32 4 2 2 2 4 2" xfId="39258" xr:uid="{00000000-0005-0000-0000-000091A10000}"/>
    <cellStyle name="Percent 32 4 2 2 2 5" xfId="26953" xr:uid="{00000000-0005-0000-0000-000092A10000}"/>
    <cellStyle name="Percent 32 4 2 2 3" xfId="8524" xr:uid="{00000000-0005-0000-0000-000093A10000}"/>
    <cellStyle name="Percent 32 4 2 2 3 2" xfId="14718" xr:uid="{00000000-0005-0000-0000-000094A10000}"/>
    <cellStyle name="Percent 32 4 2 2 3 2 2" xfId="34638" xr:uid="{00000000-0005-0000-0000-000095A10000}"/>
    <cellStyle name="Percent 32 4 2 2 3 3" xfId="20870" xr:uid="{00000000-0005-0000-0000-000096A10000}"/>
    <cellStyle name="Percent 32 4 2 2 3 3 2" xfId="40790" xr:uid="{00000000-0005-0000-0000-000097A10000}"/>
    <cellStyle name="Percent 32 4 2 2 3 4" xfId="28485" xr:uid="{00000000-0005-0000-0000-000098A10000}"/>
    <cellStyle name="Percent 32 4 2 2 4" xfId="11652" xr:uid="{00000000-0005-0000-0000-000099A10000}"/>
    <cellStyle name="Percent 32 4 2 2 4 2" xfId="31572" xr:uid="{00000000-0005-0000-0000-00009AA10000}"/>
    <cellStyle name="Percent 32 4 2 2 5" xfId="17804" xr:uid="{00000000-0005-0000-0000-00009BA10000}"/>
    <cellStyle name="Percent 32 4 2 2 5 2" xfId="37724" xr:uid="{00000000-0005-0000-0000-00009CA10000}"/>
    <cellStyle name="Percent 32 4 2 2 6" xfId="25419" xr:uid="{00000000-0005-0000-0000-00009DA10000}"/>
    <cellStyle name="Percent 32 4 2 3" xfId="6201" xr:uid="{00000000-0005-0000-0000-00009EA10000}"/>
    <cellStyle name="Percent 32 4 2 3 2" xfId="9290" xr:uid="{00000000-0005-0000-0000-00009FA10000}"/>
    <cellStyle name="Percent 32 4 2 3 2 2" xfId="15483" xr:uid="{00000000-0005-0000-0000-0000A0A10000}"/>
    <cellStyle name="Percent 32 4 2 3 2 2 2" xfId="35403" xr:uid="{00000000-0005-0000-0000-0000A1A10000}"/>
    <cellStyle name="Percent 32 4 2 3 2 3" xfId="21635" xr:uid="{00000000-0005-0000-0000-0000A2A10000}"/>
    <cellStyle name="Percent 32 4 2 3 2 3 2" xfId="41555" xr:uid="{00000000-0005-0000-0000-0000A3A10000}"/>
    <cellStyle name="Percent 32 4 2 3 2 4" xfId="29250" xr:uid="{00000000-0005-0000-0000-0000A4A10000}"/>
    <cellStyle name="Percent 32 4 2 3 3" xfId="12417" xr:uid="{00000000-0005-0000-0000-0000A5A10000}"/>
    <cellStyle name="Percent 32 4 2 3 3 2" xfId="32337" xr:uid="{00000000-0005-0000-0000-0000A6A10000}"/>
    <cellStyle name="Percent 32 4 2 3 4" xfId="18569" xr:uid="{00000000-0005-0000-0000-0000A7A10000}"/>
    <cellStyle name="Percent 32 4 2 3 4 2" xfId="38489" xr:uid="{00000000-0005-0000-0000-0000A8A10000}"/>
    <cellStyle name="Percent 32 4 2 3 5" xfId="26184" xr:uid="{00000000-0005-0000-0000-0000A9A10000}"/>
    <cellStyle name="Percent 32 4 2 4" xfId="7755" xr:uid="{00000000-0005-0000-0000-0000AAA10000}"/>
    <cellStyle name="Percent 32 4 2 4 2" xfId="13949" xr:uid="{00000000-0005-0000-0000-0000ABA10000}"/>
    <cellStyle name="Percent 32 4 2 4 2 2" xfId="33869" xr:uid="{00000000-0005-0000-0000-0000ACA10000}"/>
    <cellStyle name="Percent 32 4 2 4 3" xfId="20101" xr:uid="{00000000-0005-0000-0000-0000ADA10000}"/>
    <cellStyle name="Percent 32 4 2 4 3 2" xfId="40021" xr:uid="{00000000-0005-0000-0000-0000AEA10000}"/>
    <cellStyle name="Percent 32 4 2 4 4" xfId="27716" xr:uid="{00000000-0005-0000-0000-0000AFA10000}"/>
    <cellStyle name="Percent 32 4 2 5" xfId="10883" xr:uid="{00000000-0005-0000-0000-0000B0A10000}"/>
    <cellStyle name="Percent 32 4 2 5 2" xfId="30803" xr:uid="{00000000-0005-0000-0000-0000B1A10000}"/>
    <cellStyle name="Percent 32 4 2 6" xfId="17035" xr:uid="{00000000-0005-0000-0000-0000B2A10000}"/>
    <cellStyle name="Percent 32 4 2 6 2" xfId="36955" xr:uid="{00000000-0005-0000-0000-0000B3A10000}"/>
    <cellStyle name="Percent 32 4 2 7" xfId="24650" xr:uid="{00000000-0005-0000-0000-0000B4A10000}"/>
    <cellStyle name="Percent 32 5" xfId="4320" xr:uid="{00000000-0005-0000-0000-0000B5A10000}"/>
    <cellStyle name="Percent 32 5 2" xfId="5349" xr:uid="{00000000-0005-0000-0000-0000B6A10000}"/>
    <cellStyle name="Percent 32 5 2 2" xfId="6974" xr:uid="{00000000-0005-0000-0000-0000B7A10000}"/>
    <cellStyle name="Percent 32 5 2 2 2" xfId="10060" xr:uid="{00000000-0005-0000-0000-0000B8A10000}"/>
    <cellStyle name="Percent 32 5 2 2 2 2" xfId="16253" xr:uid="{00000000-0005-0000-0000-0000B9A10000}"/>
    <cellStyle name="Percent 32 5 2 2 2 2 2" xfId="36173" xr:uid="{00000000-0005-0000-0000-0000BAA10000}"/>
    <cellStyle name="Percent 32 5 2 2 2 3" xfId="22405" xr:uid="{00000000-0005-0000-0000-0000BBA10000}"/>
    <cellStyle name="Percent 32 5 2 2 2 3 2" xfId="42325" xr:uid="{00000000-0005-0000-0000-0000BCA10000}"/>
    <cellStyle name="Percent 32 5 2 2 2 4" xfId="30020" xr:uid="{00000000-0005-0000-0000-0000BDA10000}"/>
    <cellStyle name="Percent 32 5 2 2 3" xfId="13187" xr:uid="{00000000-0005-0000-0000-0000BEA10000}"/>
    <cellStyle name="Percent 32 5 2 2 3 2" xfId="33107" xr:uid="{00000000-0005-0000-0000-0000BFA10000}"/>
    <cellStyle name="Percent 32 5 2 2 4" xfId="19339" xr:uid="{00000000-0005-0000-0000-0000C0A10000}"/>
    <cellStyle name="Percent 32 5 2 2 4 2" xfId="39259" xr:uid="{00000000-0005-0000-0000-0000C1A10000}"/>
    <cellStyle name="Percent 32 5 2 2 5" xfId="26954" xr:uid="{00000000-0005-0000-0000-0000C2A10000}"/>
    <cellStyle name="Percent 32 5 2 3" xfId="8525" xr:uid="{00000000-0005-0000-0000-0000C3A10000}"/>
    <cellStyle name="Percent 32 5 2 3 2" xfId="14719" xr:uid="{00000000-0005-0000-0000-0000C4A10000}"/>
    <cellStyle name="Percent 32 5 2 3 2 2" xfId="34639" xr:uid="{00000000-0005-0000-0000-0000C5A10000}"/>
    <cellStyle name="Percent 32 5 2 3 3" xfId="20871" xr:uid="{00000000-0005-0000-0000-0000C6A10000}"/>
    <cellStyle name="Percent 32 5 2 3 3 2" xfId="40791" xr:uid="{00000000-0005-0000-0000-0000C7A10000}"/>
    <cellStyle name="Percent 32 5 2 3 4" xfId="28486" xr:uid="{00000000-0005-0000-0000-0000C8A10000}"/>
    <cellStyle name="Percent 32 5 2 4" xfId="11653" xr:uid="{00000000-0005-0000-0000-0000C9A10000}"/>
    <cellStyle name="Percent 32 5 2 4 2" xfId="31573" xr:uid="{00000000-0005-0000-0000-0000CAA10000}"/>
    <cellStyle name="Percent 32 5 2 5" xfId="17805" xr:uid="{00000000-0005-0000-0000-0000CBA10000}"/>
    <cellStyle name="Percent 32 5 2 5 2" xfId="37725" xr:uid="{00000000-0005-0000-0000-0000CCA10000}"/>
    <cellStyle name="Percent 32 5 2 6" xfId="25420" xr:uid="{00000000-0005-0000-0000-0000CDA10000}"/>
    <cellStyle name="Percent 32 5 3" xfId="6202" xr:uid="{00000000-0005-0000-0000-0000CEA10000}"/>
    <cellStyle name="Percent 32 5 3 2" xfId="9291" xr:uid="{00000000-0005-0000-0000-0000CFA10000}"/>
    <cellStyle name="Percent 32 5 3 2 2" xfId="15484" xr:uid="{00000000-0005-0000-0000-0000D0A10000}"/>
    <cellStyle name="Percent 32 5 3 2 2 2" xfId="35404" xr:uid="{00000000-0005-0000-0000-0000D1A10000}"/>
    <cellStyle name="Percent 32 5 3 2 3" xfId="21636" xr:uid="{00000000-0005-0000-0000-0000D2A10000}"/>
    <cellStyle name="Percent 32 5 3 2 3 2" xfId="41556" xr:uid="{00000000-0005-0000-0000-0000D3A10000}"/>
    <cellStyle name="Percent 32 5 3 2 4" xfId="29251" xr:uid="{00000000-0005-0000-0000-0000D4A10000}"/>
    <cellStyle name="Percent 32 5 3 3" xfId="12418" xr:uid="{00000000-0005-0000-0000-0000D5A10000}"/>
    <cellStyle name="Percent 32 5 3 3 2" xfId="32338" xr:uid="{00000000-0005-0000-0000-0000D6A10000}"/>
    <cellStyle name="Percent 32 5 3 4" xfId="18570" xr:uid="{00000000-0005-0000-0000-0000D7A10000}"/>
    <cellStyle name="Percent 32 5 3 4 2" xfId="38490" xr:uid="{00000000-0005-0000-0000-0000D8A10000}"/>
    <cellStyle name="Percent 32 5 3 5" xfId="26185" xr:uid="{00000000-0005-0000-0000-0000D9A10000}"/>
    <cellStyle name="Percent 32 5 4" xfId="7756" xr:uid="{00000000-0005-0000-0000-0000DAA10000}"/>
    <cellStyle name="Percent 32 5 4 2" xfId="13950" xr:uid="{00000000-0005-0000-0000-0000DBA10000}"/>
    <cellStyle name="Percent 32 5 4 2 2" xfId="33870" xr:uid="{00000000-0005-0000-0000-0000DCA10000}"/>
    <cellStyle name="Percent 32 5 4 3" xfId="20102" xr:uid="{00000000-0005-0000-0000-0000DDA10000}"/>
    <cellStyle name="Percent 32 5 4 3 2" xfId="40022" xr:uid="{00000000-0005-0000-0000-0000DEA10000}"/>
    <cellStyle name="Percent 32 5 4 4" xfId="27717" xr:uid="{00000000-0005-0000-0000-0000DFA10000}"/>
    <cellStyle name="Percent 32 5 5" xfId="10884" xr:uid="{00000000-0005-0000-0000-0000E0A10000}"/>
    <cellStyle name="Percent 32 5 5 2" xfId="30804" xr:uid="{00000000-0005-0000-0000-0000E1A10000}"/>
    <cellStyle name="Percent 32 5 6" xfId="17036" xr:uid="{00000000-0005-0000-0000-0000E2A10000}"/>
    <cellStyle name="Percent 32 5 6 2" xfId="36956" xr:uid="{00000000-0005-0000-0000-0000E3A10000}"/>
    <cellStyle name="Percent 32 5 7" xfId="24651" xr:uid="{00000000-0005-0000-0000-0000E4A10000}"/>
    <cellStyle name="Percent 33" xfId="4321" xr:uid="{00000000-0005-0000-0000-0000E5A10000}"/>
    <cellStyle name="Percent 33 2" xfId="4322" xr:uid="{00000000-0005-0000-0000-0000E6A10000}"/>
    <cellStyle name="Percent 33 2 2" xfId="4323" xr:uid="{00000000-0005-0000-0000-0000E7A10000}"/>
    <cellStyle name="Percent 33 2 2 2" xfId="5351" xr:uid="{00000000-0005-0000-0000-0000E8A10000}"/>
    <cellStyle name="Percent 33 2 2 2 2" xfId="6976" xr:uid="{00000000-0005-0000-0000-0000E9A10000}"/>
    <cellStyle name="Percent 33 2 2 2 2 2" xfId="10062" xr:uid="{00000000-0005-0000-0000-0000EAA10000}"/>
    <cellStyle name="Percent 33 2 2 2 2 2 2" xfId="16255" xr:uid="{00000000-0005-0000-0000-0000EBA10000}"/>
    <cellStyle name="Percent 33 2 2 2 2 2 2 2" xfId="36175" xr:uid="{00000000-0005-0000-0000-0000ECA10000}"/>
    <cellStyle name="Percent 33 2 2 2 2 2 3" xfId="22407" xr:uid="{00000000-0005-0000-0000-0000EDA10000}"/>
    <cellStyle name="Percent 33 2 2 2 2 2 3 2" xfId="42327" xr:uid="{00000000-0005-0000-0000-0000EEA10000}"/>
    <cellStyle name="Percent 33 2 2 2 2 2 4" xfId="30022" xr:uid="{00000000-0005-0000-0000-0000EFA10000}"/>
    <cellStyle name="Percent 33 2 2 2 2 3" xfId="13189" xr:uid="{00000000-0005-0000-0000-0000F0A10000}"/>
    <cellStyle name="Percent 33 2 2 2 2 3 2" xfId="33109" xr:uid="{00000000-0005-0000-0000-0000F1A10000}"/>
    <cellStyle name="Percent 33 2 2 2 2 4" xfId="19341" xr:uid="{00000000-0005-0000-0000-0000F2A10000}"/>
    <cellStyle name="Percent 33 2 2 2 2 4 2" xfId="39261" xr:uid="{00000000-0005-0000-0000-0000F3A10000}"/>
    <cellStyle name="Percent 33 2 2 2 2 5" xfId="26956" xr:uid="{00000000-0005-0000-0000-0000F4A10000}"/>
    <cellStyle name="Percent 33 2 2 2 3" xfId="8527" xr:uid="{00000000-0005-0000-0000-0000F5A10000}"/>
    <cellStyle name="Percent 33 2 2 2 3 2" xfId="14721" xr:uid="{00000000-0005-0000-0000-0000F6A10000}"/>
    <cellStyle name="Percent 33 2 2 2 3 2 2" xfId="34641" xr:uid="{00000000-0005-0000-0000-0000F7A10000}"/>
    <cellStyle name="Percent 33 2 2 2 3 3" xfId="20873" xr:uid="{00000000-0005-0000-0000-0000F8A10000}"/>
    <cellStyle name="Percent 33 2 2 2 3 3 2" xfId="40793" xr:uid="{00000000-0005-0000-0000-0000F9A10000}"/>
    <cellStyle name="Percent 33 2 2 2 3 4" xfId="28488" xr:uid="{00000000-0005-0000-0000-0000FAA10000}"/>
    <cellStyle name="Percent 33 2 2 2 4" xfId="11655" xr:uid="{00000000-0005-0000-0000-0000FBA10000}"/>
    <cellStyle name="Percent 33 2 2 2 4 2" xfId="31575" xr:uid="{00000000-0005-0000-0000-0000FCA10000}"/>
    <cellStyle name="Percent 33 2 2 2 5" xfId="17807" xr:uid="{00000000-0005-0000-0000-0000FDA10000}"/>
    <cellStyle name="Percent 33 2 2 2 5 2" xfId="37727" xr:uid="{00000000-0005-0000-0000-0000FEA10000}"/>
    <cellStyle name="Percent 33 2 2 2 6" xfId="25422" xr:uid="{00000000-0005-0000-0000-0000FFA10000}"/>
    <cellStyle name="Percent 33 2 2 3" xfId="6205" xr:uid="{00000000-0005-0000-0000-000000A20000}"/>
    <cellStyle name="Percent 33 2 2 3 2" xfId="9293" xr:uid="{00000000-0005-0000-0000-000001A20000}"/>
    <cellStyle name="Percent 33 2 2 3 2 2" xfId="15486" xr:uid="{00000000-0005-0000-0000-000002A20000}"/>
    <cellStyle name="Percent 33 2 2 3 2 2 2" xfId="35406" xr:uid="{00000000-0005-0000-0000-000003A20000}"/>
    <cellStyle name="Percent 33 2 2 3 2 3" xfId="21638" xr:uid="{00000000-0005-0000-0000-000004A20000}"/>
    <cellStyle name="Percent 33 2 2 3 2 3 2" xfId="41558" xr:uid="{00000000-0005-0000-0000-000005A20000}"/>
    <cellStyle name="Percent 33 2 2 3 2 4" xfId="29253" xr:uid="{00000000-0005-0000-0000-000006A20000}"/>
    <cellStyle name="Percent 33 2 2 3 3" xfId="12420" xr:uid="{00000000-0005-0000-0000-000007A20000}"/>
    <cellStyle name="Percent 33 2 2 3 3 2" xfId="32340" xr:uid="{00000000-0005-0000-0000-000008A20000}"/>
    <cellStyle name="Percent 33 2 2 3 4" xfId="18572" xr:uid="{00000000-0005-0000-0000-000009A20000}"/>
    <cellStyle name="Percent 33 2 2 3 4 2" xfId="38492" xr:uid="{00000000-0005-0000-0000-00000AA20000}"/>
    <cellStyle name="Percent 33 2 2 3 5" xfId="26187" xr:uid="{00000000-0005-0000-0000-00000BA20000}"/>
    <cellStyle name="Percent 33 2 2 4" xfId="7758" xr:uid="{00000000-0005-0000-0000-00000CA20000}"/>
    <cellStyle name="Percent 33 2 2 4 2" xfId="13952" xr:uid="{00000000-0005-0000-0000-00000DA20000}"/>
    <cellStyle name="Percent 33 2 2 4 2 2" xfId="33872" xr:uid="{00000000-0005-0000-0000-00000EA20000}"/>
    <cellStyle name="Percent 33 2 2 4 3" xfId="20104" xr:uid="{00000000-0005-0000-0000-00000FA20000}"/>
    <cellStyle name="Percent 33 2 2 4 3 2" xfId="40024" xr:uid="{00000000-0005-0000-0000-000010A20000}"/>
    <cellStyle name="Percent 33 2 2 4 4" xfId="27719" xr:uid="{00000000-0005-0000-0000-000011A20000}"/>
    <cellStyle name="Percent 33 2 2 5" xfId="10886" xr:uid="{00000000-0005-0000-0000-000012A20000}"/>
    <cellStyle name="Percent 33 2 2 5 2" xfId="30806" xr:uid="{00000000-0005-0000-0000-000013A20000}"/>
    <cellStyle name="Percent 33 2 2 6" xfId="17038" xr:uid="{00000000-0005-0000-0000-000014A20000}"/>
    <cellStyle name="Percent 33 2 2 6 2" xfId="36958" xr:uid="{00000000-0005-0000-0000-000015A20000}"/>
    <cellStyle name="Percent 33 2 2 7" xfId="24653" xr:uid="{00000000-0005-0000-0000-000016A20000}"/>
    <cellStyle name="Percent 33 2 3" xfId="5350" xr:uid="{00000000-0005-0000-0000-000017A20000}"/>
    <cellStyle name="Percent 33 2 3 2" xfId="6975" xr:uid="{00000000-0005-0000-0000-000018A20000}"/>
    <cellStyle name="Percent 33 2 3 2 2" xfId="10061" xr:uid="{00000000-0005-0000-0000-000019A20000}"/>
    <cellStyle name="Percent 33 2 3 2 2 2" xfId="16254" xr:uid="{00000000-0005-0000-0000-00001AA20000}"/>
    <cellStyle name="Percent 33 2 3 2 2 2 2" xfId="36174" xr:uid="{00000000-0005-0000-0000-00001BA20000}"/>
    <cellStyle name="Percent 33 2 3 2 2 3" xfId="22406" xr:uid="{00000000-0005-0000-0000-00001CA20000}"/>
    <cellStyle name="Percent 33 2 3 2 2 3 2" xfId="42326" xr:uid="{00000000-0005-0000-0000-00001DA20000}"/>
    <cellStyle name="Percent 33 2 3 2 2 4" xfId="30021" xr:uid="{00000000-0005-0000-0000-00001EA20000}"/>
    <cellStyle name="Percent 33 2 3 2 3" xfId="13188" xr:uid="{00000000-0005-0000-0000-00001FA20000}"/>
    <cellStyle name="Percent 33 2 3 2 3 2" xfId="33108" xr:uid="{00000000-0005-0000-0000-000020A20000}"/>
    <cellStyle name="Percent 33 2 3 2 4" xfId="19340" xr:uid="{00000000-0005-0000-0000-000021A20000}"/>
    <cellStyle name="Percent 33 2 3 2 4 2" xfId="39260" xr:uid="{00000000-0005-0000-0000-000022A20000}"/>
    <cellStyle name="Percent 33 2 3 2 5" xfId="26955" xr:uid="{00000000-0005-0000-0000-000023A20000}"/>
    <cellStyle name="Percent 33 2 3 3" xfId="8526" xr:uid="{00000000-0005-0000-0000-000024A20000}"/>
    <cellStyle name="Percent 33 2 3 3 2" xfId="14720" xr:uid="{00000000-0005-0000-0000-000025A20000}"/>
    <cellStyle name="Percent 33 2 3 3 2 2" xfId="34640" xr:uid="{00000000-0005-0000-0000-000026A20000}"/>
    <cellStyle name="Percent 33 2 3 3 3" xfId="20872" xr:uid="{00000000-0005-0000-0000-000027A20000}"/>
    <cellStyle name="Percent 33 2 3 3 3 2" xfId="40792" xr:uid="{00000000-0005-0000-0000-000028A20000}"/>
    <cellStyle name="Percent 33 2 3 3 4" xfId="28487" xr:uid="{00000000-0005-0000-0000-000029A20000}"/>
    <cellStyle name="Percent 33 2 3 4" xfId="11654" xr:uid="{00000000-0005-0000-0000-00002AA20000}"/>
    <cellStyle name="Percent 33 2 3 4 2" xfId="31574" xr:uid="{00000000-0005-0000-0000-00002BA20000}"/>
    <cellStyle name="Percent 33 2 3 5" xfId="17806" xr:uid="{00000000-0005-0000-0000-00002CA20000}"/>
    <cellStyle name="Percent 33 2 3 5 2" xfId="37726" xr:uid="{00000000-0005-0000-0000-00002DA20000}"/>
    <cellStyle name="Percent 33 2 3 6" xfId="25421" xr:uid="{00000000-0005-0000-0000-00002EA20000}"/>
    <cellStyle name="Percent 33 2 4" xfId="6204" xr:uid="{00000000-0005-0000-0000-00002FA20000}"/>
    <cellStyle name="Percent 33 2 4 2" xfId="9292" xr:uid="{00000000-0005-0000-0000-000030A20000}"/>
    <cellStyle name="Percent 33 2 4 2 2" xfId="15485" xr:uid="{00000000-0005-0000-0000-000031A20000}"/>
    <cellStyle name="Percent 33 2 4 2 2 2" xfId="35405" xr:uid="{00000000-0005-0000-0000-000032A20000}"/>
    <cellStyle name="Percent 33 2 4 2 3" xfId="21637" xr:uid="{00000000-0005-0000-0000-000033A20000}"/>
    <cellStyle name="Percent 33 2 4 2 3 2" xfId="41557" xr:uid="{00000000-0005-0000-0000-000034A20000}"/>
    <cellStyle name="Percent 33 2 4 2 4" xfId="29252" xr:uid="{00000000-0005-0000-0000-000035A20000}"/>
    <cellStyle name="Percent 33 2 4 3" xfId="12419" xr:uid="{00000000-0005-0000-0000-000036A20000}"/>
    <cellStyle name="Percent 33 2 4 3 2" xfId="32339" xr:uid="{00000000-0005-0000-0000-000037A20000}"/>
    <cellStyle name="Percent 33 2 4 4" xfId="18571" xr:uid="{00000000-0005-0000-0000-000038A20000}"/>
    <cellStyle name="Percent 33 2 4 4 2" xfId="38491" xr:uid="{00000000-0005-0000-0000-000039A20000}"/>
    <cellStyle name="Percent 33 2 4 5" xfId="26186" xr:uid="{00000000-0005-0000-0000-00003AA20000}"/>
    <cellStyle name="Percent 33 2 5" xfId="7757" xr:uid="{00000000-0005-0000-0000-00003BA20000}"/>
    <cellStyle name="Percent 33 2 5 2" xfId="13951" xr:uid="{00000000-0005-0000-0000-00003CA20000}"/>
    <cellStyle name="Percent 33 2 5 2 2" xfId="33871" xr:uid="{00000000-0005-0000-0000-00003DA20000}"/>
    <cellStyle name="Percent 33 2 5 3" xfId="20103" xr:uid="{00000000-0005-0000-0000-00003EA20000}"/>
    <cellStyle name="Percent 33 2 5 3 2" xfId="40023" xr:uid="{00000000-0005-0000-0000-00003FA20000}"/>
    <cellStyle name="Percent 33 2 5 4" xfId="27718" xr:uid="{00000000-0005-0000-0000-000040A20000}"/>
    <cellStyle name="Percent 33 2 6" xfId="10885" xr:uid="{00000000-0005-0000-0000-000041A20000}"/>
    <cellStyle name="Percent 33 2 6 2" xfId="30805" xr:uid="{00000000-0005-0000-0000-000042A20000}"/>
    <cellStyle name="Percent 33 2 7" xfId="17037" xr:uid="{00000000-0005-0000-0000-000043A20000}"/>
    <cellStyle name="Percent 33 2 7 2" xfId="36957" xr:uid="{00000000-0005-0000-0000-000044A20000}"/>
    <cellStyle name="Percent 33 2 8" xfId="24652" xr:uid="{00000000-0005-0000-0000-000045A20000}"/>
    <cellStyle name="Percent 33 3" xfId="4324" xr:uid="{00000000-0005-0000-0000-000046A20000}"/>
    <cellStyle name="Percent 33 3 2" xfId="4325" xr:uid="{00000000-0005-0000-0000-000047A20000}"/>
    <cellStyle name="Percent 33 3 2 2" xfId="5353" xr:uid="{00000000-0005-0000-0000-000048A20000}"/>
    <cellStyle name="Percent 33 3 2 2 2" xfId="6978" xr:uid="{00000000-0005-0000-0000-000049A20000}"/>
    <cellStyle name="Percent 33 3 2 2 2 2" xfId="10064" xr:uid="{00000000-0005-0000-0000-00004AA20000}"/>
    <cellStyle name="Percent 33 3 2 2 2 2 2" xfId="16257" xr:uid="{00000000-0005-0000-0000-00004BA20000}"/>
    <cellStyle name="Percent 33 3 2 2 2 2 2 2" xfId="36177" xr:uid="{00000000-0005-0000-0000-00004CA20000}"/>
    <cellStyle name="Percent 33 3 2 2 2 2 3" xfId="22409" xr:uid="{00000000-0005-0000-0000-00004DA20000}"/>
    <cellStyle name="Percent 33 3 2 2 2 2 3 2" xfId="42329" xr:uid="{00000000-0005-0000-0000-00004EA20000}"/>
    <cellStyle name="Percent 33 3 2 2 2 2 4" xfId="30024" xr:uid="{00000000-0005-0000-0000-00004FA20000}"/>
    <cellStyle name="Percent 33 3 2 2 2 3" xfId="13191" xr:uid="{00000000-0005-0000-0000-000050A20000}"/>
    <cellStyle name="Percent 33 3 2 2 2 3 2" xfId="33111" xr:uid="{00000000-0005-0000-0000-000051A20000}"/>
    <cellStyle name="Percent 33 3 2 2 2 4" xfId="19343" xr:uid="{00000000-0005-0000-0000-000052A20000}"/>
    <cellStyle name="Percent 33 3 2 2 2 4 2" xfId="39263" xr:uid="{00000000-0005-0000-0000-000053A20000}"/>
    <cellStyle name="Percent 33 3 2 2 2 5" xfId="26958" xr:uid="{00000000-0005-0000-0000-000054A20000}"/>
    <cellStyle name="Percent 33 3 2 2 3" xfId="8529" xr:uid="{00000000-0005-0000-0000-000055A20000}"/>
    <cellStyle name="Percent 33 3 2 2 3 2" xfId="14723" xr:uid="{00000000-0005-0000-0000-000056A20000}"/>
    <cellStyle name="Percent 33 3 2 2 3 2 2" xfId="34643" xr:uid="{00000000-0005-0000-0000-000057A20000}"/>
    <cellStyle name="Percent 33 3 2 2 3 3" xfId="20875" xr:uid="{00000000-0005-0000-0000-000058A20000}"/>
    <cellStyle name="Percent 33 3 2 2 3 3 2" xfId="40795" xr:uid="{00000000-0005-0000-0000-000059A20000}"/>
    <cellStyle name="Percent 33 3 2 2 3 4" xfId="28490" xr:uid="{00000000-0005-0000-0000-00005AA20000}"/>
    <cellStyle name="Percent 33 3 2 2 4" xfId="11657" xr:uid="{00000000-0005-0000-0000-00005BA20000}"/>
    <cellStyle name="Percent 33 3 2 2 4 2" xfId="31577" xr:uid="{00000000-0005-0000-0000-00005CA20000}"/>
    <cellStyle name="Percent 33 3 2 2 5" xfId="17809" xr:uid="{00000000-0005-0000-0000-00005DA20000}"/>
    <cellStyle name="Percent 33 3 2 2 5 2" xfId="37729" xr:uid="{00000000-0005-0000-0000-00005EA20000}"/>
    <cellStyle name="Percent 33 3 2 2 6" xfId="25424" xr:uid="{00000000-0005-0000-0000-00005FA20000}"/>
    <cellStyle name="Percent 33 3 2 3" xfId="6207" xr:uid="{00000000-0005-0000-0000-000060A20000}"/>
    <cellStyle name="Percent 33 3 2 3 2" xfId="9295" xr:uid="{00000000-0005-0000-0000-000061A20000}"/>
    <cellStyle name="Percent 33 3 2 3 2 2" xfId="15488" xr:uid="{00000000-0005-0000-0000-000062A20000}"/>
    <cellStyle name="Percent 33 3 2 3 2 2 2" xfId="35408" xr:uid="{00000000-0005-0000-0000-000063A20000}"/>
    <cellStyle name="Percent 33 3 2 3 2 3" xfId="21640" xr:uid="{00000000-0005-0000-0000-000064A20000}"/>
    <cellStyle name="Percent 33 3 2 3 2 3 2" xfId="41560" xr:uid="{00000000-0005-0000-0000-000065A20000}"/>
    <cellStyle name="Percent 33 3 2 3 2 4" xfId="29255" xr:uid="{00000000-0005-0000-0000-000066A20000}"/>
    <cellStyle name="Percent 33 3 2 3 3" xfId="12422" xr:uid="{00000000-0005-0000-0000-000067A20000}"/>
    <cellStyle name="Percent 33 3 2 3 3 2" xfId="32342" xr:uid="{00000000-0005-0000-0000-000068A20000}"/>
    <cellStyle name="Percent 33 3 2 3 4" xfId="18574" xr:uid="{00000000-0005-0000-0000-000069A20000}"/>
    <cellStyle name="Percent 33 3 2 3 4 2" xfId="38494" xr:uid="{00000000-0005-0000-0000-00006AA20000}"/>
    <cellStyle name="Percent 33 3 2 3 5" xfId="26189" xr:uid="{00000000-0005-0000-0000-00006BA20000}"/>
    <cellStyle name="Percent 33 3 2 4" xfId="7760" xr:uid="{00000000-0005-0000-0000-00006CA20000}"/>
    <cellStyle name="Percent 33 3 2 4 2" xfId="13954" xr:uid="{00000000-0005-0000-0000-00006DA20000}"/>
    <cellStyle name="Percent 33 3 2 4 2 2" xfId="33874" xr:uid="{00000000-0005-0000-0000-00006EA20000}"/>
    <cellStyle name="Percent 33 3 2 4 3" xfId="20106" xr:uid="{00000000-0005-0000-0000-00006FA20000}"/>
    <cellStyle name="Percent 33 3 2 4 3 2" xfId="40026" xr:uid="{00000000-0005-0000-0000-000070A20000}"/>
    <cellStyle name="Percent 33 3 2 4 4" xfId="27721" xr:uid="{00000000-0005-0000-0000-000071A20000}"/>
    <cellStyle name="Percent 33 3 2 5" xfId="10888" xr:uid="{00000000-0005-0000-0000-000072A20000}"/>
    <cellStyle name="Percent 33 3 2 5 2" xfId="30808" xr:uid="{00000000-0005-0000-0000-000073A20000}"/>
    <cellStyle name="Percent 33 3 2 6" xfId="17040" xr:uid="{00000000-0005-0000-0000-000074A20000}"/>
    <cellStyle name="Percent 33 3 2 6 2" xfId="36960" xr:uid="{00000000-0005-0000-0000-000075A20000}"/>
    <cellStyle name="Percent 33 3 2 7" xfId="24655" xr:uid="{00000000-0005-0000-0000-000076A20000}"/>
    <cellStyle name="Percent 33 3 3" xfId="5352" xr:uid="{00000000-0005-0000-0000-000077A20000}"/>
    <cellStyle name="Percent 33 3 3 2" xfId="6977" xr:uid="{00000000-0005-0000-0000-000078A20000}"/>
    <cellStyle name="Percent 33 3 3 2 2" xfId="10063" xr:uid="{00000000-0005-0000-0000-000079A20000}"/>
    <cellStyle name="Percent 33 3 3 2 2 2" xfId="16256" xr:uid="{00000000-0005-0000-0000-00007AA20000}"/>
    <cellStyle name="Percent 33 3 3 2 2 2 2" xfId="36176" xr:uid="{00000000-0005-0000-0000-00007BA20000}"/>
    <cellStyle name="Percent 33 3 3 2 2 3" xfId="22408" xr:uid="{00000000-0005-0000-0000-00007CA20000}"/>
    <cellStyle name="Percent 33 3 3 2 2 3 2" xfId="42328" xr:uid="{00000000-0005-0000-0000-00007DA20000}"/>
    <cellStyle name="Percent 33 3 3 2 2 4" xfId="30023" xr:uid="{00000000-0005-0000-0000-00007EA20000}"/>
    <cellStyle name="Percent 33 3 3 2 3" xfId="13190" xr:uid="{00000000-0005-0000-0000-00007FA20000}"/>
    <cellStyle name="Percent 33 3 3 2 3 2" xfId="33110" xr:uid="{00000000-0005-0000-0000-000080A20000}"/>
    <cellStyle name="Percent 33 3 3 2 4" xfId="19342" xr:uid="{00000000-0005-0000-0000-000081A20000}"/>
    <cellStyle name="Percent 33 3 3 2 4 2" xfId="39262" xr:uid="{00000000-0005-0000-0000-000082A20000}"/>
    <cellStyle name="Percent 33 3 3 2 5" xfId="26957" xr:uid="{00000000-0005-0000-0000-000083A20000}"/>
    <cellStyle name="Percent 33 3 3 3" xfId="8528" xr:uid="{00000000-0005-0000-0000-000084A20000}"/>
    <cellStyle name="Percent 33 3 3 3 2" xfId="14722" xr:uid="{00000000-0005-0000-0000-000085A20000}"/>
    <cellStyle name="Percent 33 3 3 3 2 2" xfId="34642" xr:uid="{00000000-0005-0000-0000-000086A20000}"/>
    <cellStyle name="Percent 33 3 3 3 3" xfId="20874" xr:uid="{00000000-0005-0000-0000-000087A20000}"/>
    <cellStyle name="Percent 33 3 3 3 3 2" xfId="40794" xr:uid="{00000000-0005-0000-0000-000088A20000}"/>
    <cellStyle name="Percent 33 3 3 3 4" xfId="28489" xr:uid="{00000000-0005-0000-0000-000089A20000}"/>
    <cellStyle name="Percent 33 3 3 4" xfId="11656" xr:uid="{00000000-0005-0000-0000-00008AA20000}"/>
    <cellStyle name="Percent 33 3 3 4 2" xfId="31576" xr:uid="{00000000-0005-0000-0000-00008BA20000}"/>
    <cellStyle name="Percent 33 3 3 5" xfId="17808" xr:uid="{00000000-0005-0000-0000-00008CA20000}"/>
    <cellStyle name="Percent 33 3 3 5 2" xfId="37728" xr:uid="{00000000-0005-0000-0000-00008DA20000}"/>
    <cellStyle name="Percent 33 3 3 6" xfId="25423" xr:uid="{00000000-0005-0000-0000-00008EA20000}"/>
    <cellStyle name="Percent 33 3 4" xfId="6206" xr:uid="{00000000-0005-0000-0000-00008FA20000}"/>
    <cellStyle name="Percent 33 3 4 2" xfId="9294" xr:uid="{00000000-0005-0000-0000-000090A20000}"/>
    <cellStyle name="Percent 33 3 4 2 2" xfId="15487" xr:uid="{00000000-0005-0000-0000-000091A20000}"/>
    <cellStyle name="Percent 33 3 4 2 2 2" xfId="35407" xr:uid="{00000000-0005-0000-0000-000092A20000}"/>
    <cellStyle name="Percent 33 3 4 2 3" xfId="21639" xr:uid="{00000000-0005-0000-0000-000093A20000}"/>
    <cellStyle name="Percent 33 3 4 2 3 2" xfId="41559" xr:uid="{00000000-0005-0000-0000-000094A20000}"/>
    <cellStyle name="Percent 33 3 4 2 4" xfId="29254" xr:uid="{00000000-0005-0000-0000-000095A20000}"/>
    <cellStyle name="Percent 33 3 4 3" xfId="12421" xr:uid="{00000000-0005-0000-0000-000096A20000}"/>
    <cellStyle name="Percent 33 3 4 3 2" xfId="32341" xr:uid="{00000000-0005-0000-0000-000097A20000}"/>
    <cellStyle name="Percent 33 3 4 4" xfId="18573" xr:uid="{00000000-0005-0000-0000-000098A20000}"/>
    <cellStyle name="Percent 33 3 4 4 2" xfId="38493" xr:uid="{00000000-0005-0000-0000-000099A20000}"/>
    <cellStyle name="Percent 33 3 4 5" xfId="26188" xr:uid="{00000000-0005-0000-0000-00009AA20000}"/>
    <cellStyle name="Percent 33 3 5" xfId="7759" xr:uid="{00000000-0005-0000-0000-00009BA20000}"/>
    <cellStyle name="Percent 33 3 5 2" xfId="13953" xr:uid="{00000000-0005-0000-0000-00009CA20000}"/>
    <cellStyle name="Percent 33 3 5 2 2" xfId="33873" xr:uid="{00000000-0005-0000-0000-00009DA20000}"/>
    <cellStyle name="Percent 33 3 5 3" xfId="20105" xr:uid="{00000000-0005-0000-0000-00009EA20000}"/>
    <cellStyle name="Percent 33 3 5 3 2" xfId="40025" xr:uid="{00000000-0005-0000-0000-00009FA20000}"/>
    <cellStyle name="Percent 33 3 5 4" xfId="27720" xr:uid="{00000000-0005-0000-0000-0000A0A20000}"/>
    <cellStyle name="Percent 33 3 6" xfId="10887" xr:uid="{00000000-0005-0000-0000-0000A1A20000}"/>
    <cellStyle name="Percent 33 3 6 2" xfId="30807" xr:uid="{00000000-0005-0000-0000-0000A2A20000}"/>
    <cellStyle name="Percent 33 3 7" xfId="17039" xr:uid="{00000000-0005-0000-0000-0000A3A20000}"/>
    <cellStyle name="Percent 33 3 7 2" xfId="36959" xr:uid="{00000000-0005-0000-0000-0000A4A20000}"/>
    <cellStyle name="Percent 33 3 8" xfId="24654" xr:uid="{00000000-0005-0000-0000-0000A5A20000}"/>
    <cellStyle name="Percent 33 4" xfId="4326" xr:uid="{00000000-0005-0000-0000-0000A6A20000}"/>
    <cellStyle name="Percent 33 4 2" xfId="4327" xr:uid="{00000000-0005-0000-0000-0000A7A20000}"/>
    <cellStyle name="Percent 33 4 2 2" xfId="5354" xr:uid="{00000000-0005-0000-0000-0000A8A20000}"/>
    <cellStyle name="Percent 33 4 2 2 2" xfId="6979" xr:uid="{00000000-0005-0000-0000-0000A9A20000}"/>
    <cellStyle name="Percent 33 4 2 2 2 2" xfId="10065" xr:uid="{00000000-0005-0000-0000-0000AAA20000}"/>
    <cellStyle name="Percent 33 4 2 2 2 2 2" xfId="16258" xr:uid="{00000000-0005-0000-0000-0000ABA20000}"/>
    <cellStyle name="Percent 33 4 2 2 2 2 2 2" xfId="36178" xr:uid="{00000000-0005-0000-0000-0000ACA20000}"/>
    <cellStyle name="Percent 33 4 2 2 2 2 3" xfId="22410" xr:uid="{00000000-0005-0000-0000-0000ADA20000}"/>
    <cellStyle name="Percent 33 4 2 2 2 2 3 2" xfId="42330" xr:uid="{00000000-0005-0000-0000-0000AEA20000}"/>
    <cellStyle name="Percent 33 4 2 2 2 2 4" xfId="30025" xr:uid="{00000000-0005-0000-0000-0000AFA20000}"/>
    <cellStyle name="Percent 33 4 2 2 2 3" xfId="13192" xr:uid="{00000000-0005-0000-0000-0000B0A20000}"/>
    <cellStyle name="Percent 33 4 2 2 2 3 2" xfId="33112" xr:uid="{00000000-0005-0000-0000-0000B1A20000}"/>
    <cellStyle name="Percent 33 4 2 2 2 4" xfId="19344" xr:uid="{00000000-0005-0000-0000-0000B2A20000}"/>
    <cellStyle name="Percent 33 4 2 2 2 4 2" xfId="39264" xr:uid="{00000000-0005-0000-0000-0000B3A20000}"/>
    <cellStyle name="Percent 33 4 2 2 2 5" xfId="26959" xr:uid="{00000000-0005-0000-0000-0000B4A20000}"/>
    <cellStyle name="Percent 33 4 2 2 3" xfId="8530" xr:uid="{00000000-0005-0000-0000-0000B5A20000}"/>
    <cellStyle name="Percent 33 4 2 2 3 2" xfId="14724" xr:uid="{00000000-0005-0000-0000-0000B6A20000}"/>
    <cellStyle name="Percent 33 4 2 2 3 2 2" xfId="34644" xr:uid="{00000000-0005-0000-0000-0000B7A20000}"/>
    <cellStyle name="Percent 33 4 2 2 3 3" xfId="20876" xr:uid="{00000000-0005-0000-0000-0000B8A20000}"/>
    <cellStyle name="Percent 33 4 2 2 3 3 2" xfId="40796" xr:uid="{00000000-0005-0000-0000-0000B9A20000}"/>
    <cellStyle name="Percent 33 4 2 2 3 4" xfId="28491" xr:uid="{00000000-0005-0000-0000-0000BAA20000}"/>
    <cellStyle name="Percent 33 4 2 2 4" xfId="11658" xr:uid="{00000000-0005-0000-0000-0000BBA20000}"/>
    <cellStyle name="Percent 33 4 2 2 4 2" xfId="31578" xr:uid="{00000000-0005-0000-0000-0000BCA20000}"/>
    <cellStyle name="Percent 33 4 2 2 5" xfId="17810" xr:uid="{00000000-0005-0000-0000-0000BDA20000}"/>
    <cellStyle name="Percent 33 4 2 2 5 2" xfId="37730" xr:uid="{00000000-0005-0000-0000-0000BEA20000}"/>
    <cellStyle name="Percent 33 4 2 2 6" xfId="25425" xr:uid="{00000000-0005-0000-0000-0000BFA20000}"/>
    <cellStyle name="Percent 33 4 2 3" xfId="6208" xr:uid="{00000000-0005-0000-0000-0000C0A20000}"/>
    <cellStyle name="Percent 33 4 2 3 2" xfId="9296" xr:uid="{00000000-0005-0000-0000-0000C1A20000}"/>
    <cellStyle name="Percent 33 4 2 3 2 2" xfId="15489" xr:uid="{00000000-0005-0000-0000-0000C2A20000}"/>
    <cellStyle name="Percent 33 4 2 3 2 2 2" xfId="35409" xr:uid="{00000000-0005-0000-0000-0000C3A20000}"/>
    <cellStyle name="Percent 33 4 2 3 2 3" xfId="21641" xr:uid="{00000000-0005-0000-0000-0000C4A20000}"/>
    <cellStyle name="Percent 33 4 2 3 2 3 2" xfId="41561" xr:uid="{00000000-0005-0000-0000-0000C5A20000}"/>
    <cellStyle name="Percent 33 4 2 3 2 4" xfId="29256" xr:uid="{00000000-0005-0000-0000-0000C6A20000}"/>
    <cellStyle name="Percent 33 4 2 3 3" xfId="12423" xr:uid="{00000000-0005-0000-0000-0000C7A20000}"/>
    <cellStyle name="Percent 33 4 2 3 3 2" xfId="32343" xr:uid="{00000000-0005-0000-0000-0000C8A20000}"/>
    <cellStyle name="Percent 33 4 2 3 4" xfId="18575" xr:uid="{00000000-0005-0000-0000-0000C9A20000}"/>
    <cellStyle name="Percent 33 4 2 3 4 2" xfId="38495" xr:uid="{00000000-0005-0000-0000-0000CAA20000}"/>
    <cellStyle name="Percent 33 4 2 3 5" xfId="26190" xr:uid="{00000000-0005-0000-0000-0000CBA20000}"/>
    <cellStyle name="Percent 33 4 2 4" xfId="7761" xr:uid="{00000000-0005-0000-0000-0000CCA20000}"/>
    <cellStyle name="Percent 33 4 2 4 2" xfId="13955" xr:uid="{00000000-0005-0000-0000-0000CDA20000}"/>
    <cellStyle name="Percent 33 4 2 4 2 2" xfId="33875" xr:uid="{00000000-0005-0000-0000-0000CEA20000}"/>
    <cellStyle name="Percent 33 4 2 4 3" xfId="20107" xr:uid="{00000000-0005-0000-0000-0000CFA20000}"/>
    <cellStyle name="Percent 33 4 2 4 3 2" xfId="40027" xr:uid="{00000000-0005-0000-0000-0000D0A20000}"/>
    <cellStyle name="Percent 33 4 2 4 4" xfId="27722" xr:uid="{00000000-0005-0000-0000-0000D1A20000}"/>
    <cellStyle name="Percent 33 4 2 5" xfId="10889" xr:uid="{00000000-0005-0000-0000-0000D2A20000}"/>
    <cellStyle name="Percent 33 4 2 5 2" xfId="30809" xr:uid="{00000000-0005-0000-0000-0000D3A20000}"/>
    <cellStyle name="Percent 33 4 2 6" xfId="17041" xr:uid="{00000000-0005-0000-0000-0000D4A20000}"/>
    <cellStyle name="Percent 33 4 2 6 2" xfId="36961" xr:uid="{00000000-0005-0000-0000-0000D5A20000}"/>
    <cellStyle name="Percent 33 4 2 7" xfId="24656" xr:uid="{00000000-0005-0000-0000-0000D6A20000}"/>
    <cellStyle name="Percent 33 5" xfId="4328" xr:uid="{00000000-0005-0000-0000-0000D7A20000}"/>
    <cellStyle name="Percent 33 5 2" xfId="5355" xr:uid="{00000000-0005-0000-0000-0000D8A20000}"/>
    <cellStyle name="Percent 33 5 2 2" xfId="6980" xr:uid="{00000000-0005-0000-0000-0000D9A20000}"/>
    <cellStyle name="Percent 33 5 2 2 2" xfId="10066" xr:uid="{00000000-0005-0000-0000-0000DAA20000}"/>
    <cellStyle name="Percent 33 5 2 2 2 2" xfId="16259" xr:uid="{00000000-0005-0000-0000-0000DBA20000}"/>
    <cellStyle name="Percent 33 5 2 2 2 2 2" xfId="36179" xr:uid="{00000000-0005-0000-0000-0000DCA20000}"/>
    <cellStyle name="Percent 33 5 2 2 2 3" xfId="22411" xr:uid="{00000000-0005-0000-0000-0000DDA20000}"/>
    <cellStyle name="Percent 33 5 2 2 2 3 2" xfId="42331" xr:uid="{00000000-0005-0000-0000-0000DEA20000}"/>
    <cellStyle name="Percent 33 5 2 2 2 4" xfId="30026" xr:uid="{00000000-0005-0000-0000-0000DFA20000}"/>
    <cellStyle name="Percent 33 5 2 2 3" xfId="13193" xr:uid="{00000000-0005-0000-0000-0000E0A20000}"/>
    <cellStyle name="Percent 33 5 2 2 3 2" xfId="33113" xr:uid="{00000000-0005-0000-0000-0000E1A20000}"/>
    <cellStyle name="Percent 33 5 2 2 4" xfId="19345" xr:uid="{00000000-0005-0000-0000-0000E2A20000}"/>
    <cellStyle name="Percent 33 5 2 2 4 2" xfId="39265" xr:uid="{00000000-0005-0000-0000-0000E3A20000}"/>
    <cellStyle name="Percent 33 5 2 2 5" xfId="26960" xr:uid="{00000000-0005-0000-0000-0000E4A20000}"/>
    <cellStyle name="Percent 33 5 2 3" xfId="8531" xr:uid="{00000000-0005-0000-0000-0000E5A20000}"/>
    <cellStyle name="Percent 33 5 2 3 2" xfId="14725" xr:uid="{00000000-0005-0000-0000-0000E6A20000}"/>
    <cellStyle name="Percent 33 5 2 3 2 2" xfId="34645" xr:uid="{00000000-0005-0000-0000-0000E7A20000}"/>
    <cellStyle name="Percent 33 5 2 3 3" xfId="20877" xr:uid="{00000000-0005-0000-0000-0000E8A20000}"/>
    <cellStyle name="Percent 33 5 2 3 3 2" xfId="40797" xr:uid="{00000000-0005-0000-0000-0000E9A20000}"/>
    <cellStyle name="Percent 33 5 2 3 4" xfId="28492" xr:uid="{00000000-0005-0000-0000-0000EAA20000}"/>
    <cellStyle name="Percent 33 5 2 4" xfId="11659" xr:uid="{00000000-0005-0000-0000-0000EBA20000}"/>
    <cellStyle name="Percent 33 5 2 4 2" xfId="31579" xr:uid="{00000000-0005-0000-0000-0000ECA20000}"/>
    <cellStyle name="Percent 33 5 2 5" xfId="17811" xr:uid="{00000000-0005-0000-0000-0000EDA20000}"/>
    <cellStyle name="Percent 33 5 2 5 2" xfId="37731" xr:uid="{00000000-0005-0000-0000-0000EEA20000}"/>
    <cellStyle name="Percent 33 5 2 6" xfId="25426" xr:uid="{00000000-0005-0000-0000-0000EFA20000}"/>
    <cellStyle name="Percent 33 5 3" xfId="6209" xr:uid="{00000000-0005-0000-0000-0000F0A20000}"/>
    <cellStyle name="Percent 33 5 3 2" xfId="9297" xr:uid="{00000000-0005-0000-0000-0000F1A20000}"/>
    <cellStyle name="Percent 33 5 3 2 2" xfId="15490" xr:uid="{00000000-0005-0000-0000-0000F2A20000}"/>
    <cellStyle name="Percent 33 5 3 2 2 2" xfId="35410" xr:uid="{00000000-0005-0000-0000-0000F3A20000}"/>
    <cellStyle name="Percent 33 5 3 2 3" xfId="21642" xr:uid="{00000000-0005-0000-0000-0000F4A20000}"/>
    <cellStyle name="Percent 33 5 3 2 3 2" xfId="41562" xr:uid="{00000000-0005-0000-0000-0000F5A20000}"/>
    <cellStyle name="Percent 33 5 3 2 4" xfId="29257" xr:uid="{00000000-0005-0000-0000-0000F6A20000}"/>
    <cellStyle name="Percent 33 5 3 3" xfId="12424" xr:uid="{00000000-0005-0000-0000-0000F7A20000}"/>
    <cellStyle name="Percent 33 5 3 3 2" xfId="32344" xr:uid="{00000000-0005-0000-0000-0000F8A20000}"/>
    <cellStyle name="Percent 33 5 3 4" xfId="18576" xr:uid="{00000000-0005-0000-0000-0000F9A20000}"/>
    <cellStyle name="Percent 33 5 3 4 2" xfId="38496" xr:uid="{00000000-0005-0000-0000-0000FAA20000}"/>
    <cellStyle name="Percent 33 5 3 5" xfId="26191" xr:uid="{00000000-0005-0000-0000-0000FBA20000}"/>
    <cellStyle name="Percent 33 5 4" xfId="7762" xr:uid="{00000000-0005-0000-0000-0000FCA20000}"/>
    <cellStyle name="Percent 33 5 4 2" xfId="13956" xr:uid="{00000000-0005-0000-0000-0000FDA20000}"/>
    <cellStyle name="Percent 33 5 4 2 2" xfId="33876" xr:uid="{00000000-0005-0000-0000-0000FEA20000}"/>
    <cellStyle name="Percent 33 5 4 3" xfId="20108" xr:uid="{00000000-0005-0000-0000-0000FFA20000}"/>
    <cellStyle name="Percent 33 5 4 3 2" xfId="40028" xr:uid="{00000000-0005-0000-0000-000000A30000}"/>
    <cellStyle name="Percent 33 5 4 4" xfId="27723" xr:uid="{00000000-0005-0000-0000-000001A30000}"/>
    <cellStyle name="Percent 33 5 5" xfId="10890" xr:uid="{00000000-0005-0000-0000-000002A30000}"/>
    <cellStyle name="Percent 33 5 5 2" xfId="30810" xr:uid="{00000000-0005-0000-0000-000003A30000}"/>
    <cellStyle name="Percent 33 5 6" xfId="17042" xr:uid="{00000000-0005-0000-0000-000004A30000}"/>
    <cellStyle name="Percent 33 5 6 2" xfId="36962" xr:uid="{00000000-0005-0000-0000-000005A30000}"/>
    <cellStyle name="Percent 33 5 7" xfId="24657" xr:uid="{00000000-0005-0000-0000-000006A30000}"/>
    <cellStyle name="Percent 34" xfId="4329" xr:uid="{00000000-0005-0000-0000-000007A30000}"/>
    <cellStyle name="Percent 34 2" xfId="4330" xr:uid="{00000000-0005-0000-0000-000008A30000}"/>
    <cellStyle name="Percent 34 2 2" xfId="4331" xr:uid="{00000000-0005-0000-0000-000009A30000}"/>
    <cellStyle name="Percent 34 2 2 2" xfId="5357" xr:uid="{00000000-0005-0000-0000-00000AA30000}"/>
    <cellStyle name="Percent 34 2 2 2 2" xfId="6982" xr:uid="{00000000-0005-0000-0000-00000BA30000}"/>
    <cellStyle name="Percent 34 2 2 2 2 2" xfId="10068" xr:uid="{00000000-0005-0000-0000-00000CA30000}"/>
    <cellStyle name="Percent 34 2 2 2 2 2 2" xfId="16261" xr:uid="{00000000-0005-0000-0000-00000DA30000}"/>
    <cellStyle name="Percent 34 2 2 2 2 2 2 2" xfId="36181" xr:uid="{00000000-0005-0000-0000-00000EA30000}"/>
    <cellStyle name="Percent 34 2 2 2 2 2 3" xfId="22413" xr:uid="{00000000-0005-0000-0000-00000FA30000}"/>
    <cellStyle name="Percent 34 2 2 2 2 2 3 2" xfId="42333" xr:uid="{00000000-0005-0000-0000-000010A30000}"/>
    <cellStyle name="Percent 34 2 2 2 2 2 4" xfId="30028" xr:uid="{00000000-0005-0000-0000-000011A30000}"/>
    <cellStyle name="Percent 34 2 2 2 2 3" xfId="13195" xr:uid="{00000000-0005-0000-0000-000012A30000}"/>
    <cellStyle name="Percent 34 2 2 2 2 3 2" xfId="33115" xr:uid="{00000000-0005-0000-0000-000013A30000}"/>
    <cellStyle name="Percent 34 2 2 2 2 4" xfId="19347" xr:uid="{00000000-0005-0000-0000-000014A30000}"/>
    <cellStyle name="Percent 34 2 2 2 2 4 2" xfId="39267" xr:uid="{00000000-0005-0000-0000-000015A30000}"/>
    <cellStyle name="Percent 34 2 2 2 2 5" xfId="26962" xr:uid="{00000000-0005-0000-0000-000016A30000}"/>
    <cellStyle name="Percent 34 2 2 2 3" xfId="8533" xr:uid="{00000000-0005-0000-0000-000017A30000}"/>
    <cellStyle name="Percent 34 2 2 2 3 2" xfId="14727" xr:uid="{00000000-0005-0000-0000-000018A30000}"/>
    <cellStyle name="Percent 34 2 2 2 3 2 2" xfId="34647" xr:uid="{00000000-0005-0000-0000-000019A30000}"/>
    <cellStyle name="Percent 34 2 2 2 3 3" xfId="20879" xr:uid="{00000000-0005-0000-0000-00001AA30000}"/>
    <cellStyle name="Percent 34 2 2 2 3 3 2" xfId="40799" xr:uid="{00000000-0005-0000-0000-00001BA30000}"/>
    <cellStyle name="Percent 34 2 2 2 3 4" xfId="28494" xr:uid="{00000000-0005-0000-0000-00001CA30000}"/>
    <cellStyle name="Percent 34 2 2 2 4" xfId="11661" xr:uid="{00000000-0005-0000-0000-00001DA30000}"/>
    <cellStyle name="Percent 34 2 2 2 4 2" xfId="31581" xr:uid="{00000000-0005-0000-0000-00001EA30000}"/>
    <cellStyle name="Percent 34 2 2 2 5" xfId="17813" xr:uid="{00000000-0005-0000-0000-00001FA30000}"/>
    <cellStyle name="Percent 34 2 2 2 5 2" xfId="37733" xr:uid="{00000000-0005-0000-0000-000020A30000}"/>
    <cellStyle name="Percent 34 2 2 2 6" xfId="25428" xr:uid="{00000000-0005-0000-0000-000021A30000}"/>
    <cellStyle name="Percent 34 2 2 3" xfId="6212" xr:uid="{00000000-0005-0000-0000-000022A30000}"/>
    <cellStyle name="Percent 34 2 2 3 2" xfId="9299" xr:uid="{00000000-0005-0000-0000-000023A30000}"/>
    <cellStyle name="Percent 34 2 2 3 2 2" xfId="15492" xr:uid="{00000000-0005-0000-0000-000024A30000}"/>
    <cellStyle name="Percent 34 2 2 3 2 2 2" xfId="35412" xr:uid="{00000000-0005-0000-0000-000025A30000}"/>
    <cellStyle name="Percent 34 2 2 3 2 3" xfId="21644" xr:uid="{00000000-0005-0000-0000-000026A30000}"/>
    <cellStyle name="Percent 34 2 2 3 2 3 2" xfId="41564" xr:uid="{00000000-0005-0000-0000-000027A30000}"/>
    <cellStyle name="Percent 34 2 2 3 2 4" xfId="29259" xr:uid="{00000000-0005-0000-0000-000028A30000}"/>
    <cellStyle name="Percent 34 2 2 3 3" xfId="12426" xr:uid="{00000000-0005-0000-0000-000029A30000}"/>
    <cellStyle name="Percent 34 2 2 3 3 2" xfId="32346" xr:uid="{00000000-0005-0000-0000-00002AA30000}"/>
    <cellStyle name="Percent 34 2 2 3 4" xfId="18578" xr:uid="{00000000-0005-0000-0000-00002BA30000}"/>
    <cellStyle name="Percent 34 2 2 3 4 2" xfId="38498" xr:uid="{00000000-0005-0000-0000-00002CA30000}"/>
    <cellStyle name="Percent 34 2 2 3 5" xfId="26193" xr:uid="{00000000-0005-0000-0000-00002DA30000}"/>
    <cellStyle name="Percent 34 2 2 4" xfId="7764" xr:uid="{00000000-0005-0000-0000-00002EA30000}"/>
    <cellStyle name="Percent 34 2 2 4 2" xfId="13958" xr:uid="{00000000-0005-0000-0000-00002FA30000}"/>
    <cellStyle name="Percent 34 2 2 4 2 2" xfId="33878" xr:uid="{00000000-0005-0000-0000-000030A30000}"/>
    <cellStyle name="Percent 34 2 2 4 3" xfId="20110" xr:uid="{00000000-0005-0000-0000-000031A30000}"/>
    <cellStyle name="Percent 34 2 2 4 3 2" xfId="40030" xr:uid="{00000000-0005-0000-0000-000032A30000}"/>
    <cellStyle name="Percent 34 2 2 4 4" xfId="27725" xr:uid="{00000000-0005-0000-0000-000033A30000}"/>
    <cellStyle name="Percent 34 2 2 5" xfId="10892" xr:uid="{00000000-0005-0000-0000-000034A30000}"/>
    <cellStyle name="Percent 34 2 2 5 2" xfId="30812" xr:uid="{00000000-0005-0000-0000-000035A30000}"/>
    <cellStyle name="Percent 34 2 2 6" xfId="17044" xr:uid="{00000000-0005-0000-0000-000036A30000}"/>
    <cellStyle name="Percent 34 2 2 6 2" xfId="36964" xr:uid="{00000000-0005-0000-0000-000037A30000}"/>
    <cellStyle name="Percent 34 2 2 7" xfId="24659" xr:uid="{00000000-0005-0000-0000-000038A30000}"/>
    <cellStyle name="Percent 34 2 3" xfId="5356" xr:uid="{00000000-0005-0000-0000-000039A30000}"/>
    <cellStyle name="Percent 34 2 3 2" xfId="6981" xr:uid="{00000000-0005-0000-0000-00003AA30000}"/>
    <cellStyle name="Percent 34 2 3 2 2" xfId="10067" xr:uid="{00000000-0005-0000-0000-00003BA30000}"/>
    <cellStyle name="Percent 34 2 3 2 2 2" xfId="16260" xr:uid="{00000000-0005-0000-0000-00003CA30000}"/>
    <cellStyle name="Percent 34 2 3 2 2 2 2" xfId="36180" xr:uid="{00000000-0005-0000-0000-00003DA30000}"/>
    <cellStyle name="Percent 34 2 3 2 2 3" xfId="22412" xr:uid="{00000000-0005-0000-0000-00003EA30000}"/>
    <cellStyle name="Percent 34 2 3 2 2 3 2" xfId="42332" xr:uid="{00000000-0005-0000-0000-00003FA30000}"/>
    <cellStyle name="Percent 34 2 3 2 2 4" xfId="30027" xr:uid="{00000000-0005-0000-0000-000040A30000}"/>
    <cellStyle name="Percent 34 2 3 2 3" xfId="13194" xr:uid="{00000000-0005-0000-0000-000041A30000}"/>
    <cellStyle name="Percent 34 2 3 2 3 2" xfId="33114" xr:uid="{00000000-0005-0000-0000-000042A30000}"/>
    <cellStyle name="Percent 34 2 3 2 4" xfId="19346" xr:uid="{00000000-0005-0000-0000-000043A30000}"/>
    <cellStyle name="Percent 34 2 3 2 4 2" xfId="39266" xr:uid="{00000000-0005-0000-0000-000044A30000}"/>
    <cellStyle name="Percent 34 2 3 2 5" xfId="26961" xr:uid="{00000000-0005-0000-0000-000045A30000}"/>
    <cellStyle name="Percent 34 2 3 3" xfId="8532" xr:uid="{00000000-0005-0000-0000-000046A30000}"/>
    <cellStyle name="Percent 34 2 3 3 2" xfId="14726" xr:uid="{00000000-0005-0000-0000-000047A30000}"/>
    <cellStyle name="Percent 34 2 3 3 2 2" xfId="34646" xr:uid="{00000000-0005-0000-0000-000048A30000}"/>
    <cellStyle name="Percent 34 2 3 3 3" xfId="20878" xr:uid="{00000000-0005-0000-0000-000049A30000}"/>
    <cellStyle name="Percent 34 2 3 3 3 2" xfId="40798" xr:uid="{00000000-0005-0000-0000-00004AA30000}"/>
    <cellStyle name="Percent 34 2 3 3 4" xfId="28493" xr:uid="{00000000-0005-0000-0000-00004BA30000}"/>
    <cellStyle name="Percent 34 2 3 4" xfId="11660" xr:uid="{00000000-0005-0000-0000-00004CA30000}"/>
    <cellStyle name="Percent 34 2 3 4 2" xfId="31580" xr:uid="{00000000-0005-0000-0000-00004DA30000}"/>
    <cellStyle name="Percent 34 2 3 5" xfId="17812" xr:uid="{00000000-0005-0000-0000-00004EA30000}"/>
    <cellStyle name="Percent 34 2 3 5 2" xfId="37732" xr:uid="{00000000-0005-0000-0000-00004FA30000}"/>
    <cellStyle name="Percent 34 2 3 6" xfId="25427" xr:uid="{00000000-0005-0000-0000-000050A30000}"/>
    <cellStyle name="Percent 34 2 4" xfId="6211" xr:uid="{00000000-0005-0000-0000-000051A30000}"/>
    <cellStyle name="Percent 34 2 4 2" xfId="9298" xr:uid="{00000000-0005-0000-0000-000052A30000}"/>
    <cellStyle name="Percent 34 2 4 2 2" xfId="15491" xr:uid="{00000000-0005-0000-0000-000053A30000}"/>
    <cellStyle name="Percent 34 2 4 2 2 2" xfId="35411" xr:uid="{00000000-0005-0000-0000-000054A30000}"/>
    <cellStyle name="Percent 34 2 4 2 3" xfId="21643" xr:uid="{00000000-0005-0000-0000-000055A30000}"/>
    <cellStyle name="Percent 34 2 4 2 3 2" xfId="41563" xr:uid="{00000000-0005-0000-0000-000056A30000}"/>
    <cellStyle name="Percent 34 2 4 2 4" xfId="29258" xr:uid="{00000000-0005-0000-0000-000057A30000}"/>
    <cellStyle name="Percent 34 2 4 3" xfId="12425" xr:uid="{00000000-0005-0000-0000-000058A30000}"/>
    <cellStyle name="Percent 34 2 4 3 2" xfId="32345" xr:uid="{00000000-0005-0000-0000-000059A30000}"/>
    <cellStyle name="Percent 34 2 4 4" xfId="18577" xr:uid="{00000000-0005-0000-0000-00005AA30000}"/>
    <cellStyle name="Percent 34 2 4 4 2" xfId="38497" xr:uid="{00000000-0005-0000-0000-00005BA30000}"/>
    <cellStyle name="Percent 34 2 4 5" xfId="26192" xr:uid="{00000000-0005-0000-0000-00005CA30000}"/>
    <cellStyle name="Percent 34 2 5" xfId="7763" xr:uid="{00000000-0005-0000-0000-00005DA30000}"/>
    <cellStyle name="Percent 34 2 5 2" xfId="13957" xr:uid="{00000000-0005-0000-0000-00005EA30000}"/>
    <cellStyle name="Percent 34 2 5 2 2" xfId="33877" xr:uid="{00000000-0005-0000-0000-00005FA30000}"/>
    <cellStyle name="Percent 34 2 5 3" xfId="20109" xr:uid="{00000000-0005-0000-0000-000060A30000}"/>
    <cellStyle name="Percent 34 2 5 3 2" xfId="40029" xr:uid="{00000000-0005-0000-0000-000061A30000}"/>
    <cellStyle name="Percent 34 2 5 4" xfId="27724" xr:uid="{00000000-0005-0000-0000-000062A30000}"/>
    <cellStyle name="Percent 34 2 6" xfId="10891" xr:uid="{00000000-0005-0000-0000-000063A30000}"/>
    <cellStyle name="Percent 34 2 6 2" xfId="30811" xr:uid="{00000000-0005-0000-0000-000064A30000}"/>
    <cellStyle name="Percent 34 2 7" xfId="17043" xr:uid="{00000000-0005-0000-0000-000065A30000}"/>
    <cellStyle name="Percent 34 2 7 2" xfId="36963" xr:uid="{00000000-0005-0000-0000-000066A30000}"/>
    <cellStyle name="Percent 34 2 8" xfId="24658" xr:uid="{00000000-0005-0000-0000-000067A30000}"/>
    <cellStyle name="Percent 34 3" xfId="4332" xr:uid="{00000000-0005-0000-0000-000068A30000}"/>
    <cellStyle name="Percent 34 3 2" xfId="4333" xr:uid="{00000000-0005-0000-0000-000069A30000}"/>
    <cellStyle name="Percent 34 3 2 2" xfId="5359" xr:uid="{00000000-0005-0000-0000-00006AA30000}"/>
    <cellStyle name="Percent 34 3 2 2 2" xfId="6984" xr:uid="{00000000-0005-0000-0000-00006BA30000}"/>
    <cellStyle name="Percent 34 3 2 2 2 2" xfId="10070" xr:uid="{00000000-0005-0000-0000-00006CA30000}"/>
    <cellStyle name="Percent 34 3 2 2 2 2 2" xfId="16263" xr:uid="{00000000-0005-0000-0000-00006DA30000}"/>
    <cellStyle name="Percent 34 3 2 2 2 2 2 2" xfId="36183" xr:uid="{00000000-0005-0000-0000-00006EA30000}"/>
    <cellStyle name="Percent 34 3 2 2 2 2 3" xfId="22415" xr:uid="{00000000-0005-0000-0000-00006FA30000}"/>
    <cellStyle name="Percent 34 3 2 2 2 2 3 2" xfId="42335" xr:uid="{00000000-0005-0000-0000-000070A30000}"/>
    <cellStyle name="Percent 34 3 2 2 2 2 4" xfId="30030" xr:uid="{00000000-0005-0000-0000-000071A30000}"/>
    <cellStyle name="Percent 34 3 2 2 2 3" xfId="13197" xr:uid="{00000000-0005-0000-0000-000072A30000}"/>
    <cellStyle name="Percent 34 3 2 2 2 3 2" xfId="33117" xr:uid="{00000000-0005-0000-0000-000073A30000}"/>
    <cellStyle name="Percent 34 3 2 2 2 4" xfId="19349" xr:uid="{00000000-0005-0000-0000-000074A30000}"/>
    <cellStyle name="Percent 34 3 2 2 2 4 2" xfId="39269" xr:uid="{00000000-0005-0000-0000-000075A30000}"/>
    <cellStyle name="Percent 34 3 2 2 2 5" xfId="26964" xr:uid="{00000000-0005-0000-0000-000076A30000}"/>
    <cellStyle name="Percent 34 3 2 2 3" xfId="8535" xr:uid="{00000000-0005-0000-0000-000077A30000}"/>
    <cellStyle name="Percent 34 3 2 2 3 2" xfId="14729" xr:uid="{00000000-0005-0000-0000-000078A30000}"/>
    <cellStyle name="Percent 34 3 2 2 3 2 2" xfId="34649" xr:uid="{00000000-0005-0000-0000-000079A30000}"/>
    <cellStyle name="Percent 34 3 2 2 3 3" xfId="20881" xr:uid="{00000000-0005-0000-0000-00007AA30000}"/>
    <cellStyle name="Percent 34 3 2 2 3 3 2" xfId="40801" xr:uid="{00000000-0005-0000-0000-00007BA30000}"/>
    <cellStyle name="Percent 34 3 2 2 3 4" xfId="28496" xr:uid="{00000000-0005-0000-0000-00007CA30000}"/>
    <cellStyle name="Percent 34 3 2 2 4" xfId="11663" xr:uid="{00000000-0005-0000-0000-00007DA30000}"/>
    <cellStyle name="Percent 34 3 2 2 4 2" xfId="31583" xr:uid="{00000000-0005-0000-0000-00007EA30000}"/>
    <cellStyle name="Percent 34 3 2 2 5" xfId="17815" xr:uid="{00000000-0005-0000-0000-00007FA30000}"/>
    <cellStyle name="Percent 34 3 2 2 5 2" xfId="37735" xr:uid="{00000000-0005-0000-0000-000080A30000}"/>
    <cellStyle name="Percent 34 3 2 2 6" xfId="25430" xr:uid="{00000000-0005-0000-0000-000081A30000}"/>
    <cellStyle name="Percent 34 3 2 3" xfId="6214" xr:uid="{00000000-0005-0000-0000-000082A30000}"/>
    <cellStyle name="Percent 34 3 2 3 2" xfId="9301" xr:uid="{00000000-0005-0000-0000-000083A30000}"/>
    <cellStyle name="Percent 34 3 2 3 2 2" xfId="15494" xr:uid="{00000000-0005-0000-0000-000084A30000}"/>
    <cellStyle name="Percent 34 3 2 3 2 2 2" xfId="35414" xr:uid="{00000000-0005-0000-0000-000085A30000}"/>
    <cellStyle name="Percent 34 3 2 3 2 3" xfId="21646" xr:uid="{00000000-0005-0000-0000-000086A30000}"/>
    <cellStyle name="Percent 34 3 2 3 2 3 2" xfId="41566" xr:uid="{00000000-0005-0000-0000-000087A30000}"/>
    <cellStyle name="Percent 34 3 2 3 2 4" xfId="29261" xr:uid="{00000000-0005-0000-0000-000088A30000}"/>
    <cellStyle name="Percent 34 3 2 3 3" xfId="12428" xr:uid="{00000000-0005-0000-0000-000089A30000}"/>
    <cellStyle name="Percent 34 3 2 3 3 2" xfId="32348" xr:uid="{00000000-0005-0000-0000-00008AA30000}"/>
    <cellStyle name="Percent 34 3 2 3 4" xfId="18580" xr:uid="{00000000-0005-0000-0000-00008BA30000}"/>
    <cellStyle name="Percent 34 3 2 3 4 2" xfId="38500" xr:uid="{00000000-0005-0000-0000-00008CA30000}"/>
    <cellStyle name="Percent 34 3 2 3 5" xfId="26195" xr:uid="{00000000-0005-0000-0000-00008DA30000}"/>
    <cellStyle name="Percent 34 3 2 4" xfId="7766" xr:uid="{00000000-0005-0000-0000-00008EA30000}"/>
    <cellStyle name="Percent 34 3 2 4 2" xfId="13960" xr:uid="{00000000-0005-0000-0000-00008FA30000}"/>
    <cellStyle name="Percent 34 3 2 4 2 2" xfId="33880" xr:uid="{00000000-0005-0000-0000-000090A30000}"/>
    <cellStyle name="Percent 34 3 2 4 3" xfId="20112" xr:uid="{00000000-0005-0000-0000-000091A30000}"/>
    <cellStyle name="Percent 34 3 2 4 3 2" xfId="40032" xr:uid="{00000000-0005-0000-0000-000092A30000}"/>
    <cellStyle name="Percent 34 3 2 4 4" xfId="27727" xr:uid="{00000000-0005-0000-0000-000093A30000}"/>
    <cellStyle name="Percent 34 3 2 5" xfId="10894" xr:uid="{00000000-0005-0000-0000-000094A30000}"/>
    <cellStyle name="Percent 34 3 2 5 2" xfId="30814" xr:uid="{00000000-0005-0000-0000-000095A30000}"/>
    <cellStyle name="Percent 34 3 2 6" xfId="17046" xr:uid="{00000000-0005-0000-0000-000096A30000}"/>
    <cellStyle name="Percent 34 3 2 6 2" xfId="36966" xr:uid="{00000000-0005-0000-0000-000097A30000}"/>
    <cellStyle name="Percent 34 3 2 7" xfId="24661" xr:uid="{00000000-0005-0000-0000-000098A30000}"/>
    <cellStyle name="Percent 34 3 3" xfId="5358" xr:uid="{00000000-0005-0000-0000-000099A30000}"/>
    <cellStyle name="Percent 34 3 3 2" xfId="6983" xr:uid="{00000000-0005-0000-0000-00009AA30000}"/>
    <cellStyle name="Percent 34 3 3 2 2" xfId="10069" xr:uid="{00000000-0005-0000-0000-00009BA30000}"/>
    <cellStyle name="Percent 34 3 3 2 2 2" xfId="16262" xr:uid="{00000000-0005-0000-0000-00009CA30000}"/>
    <cellStyle name="Percent 34 3 3 2 2 2 2" xfId="36182" xr:uid="{00000000-0005-0000-0000-00009DA30000}"/>
    <cellStyle name="Percent 34 3 3 2 2 3" xfId="22414" xr:uid="{00000000-0005-0000-0000-00009EA30000}"/>
    <cellStyle name="Percent 34 3 3 2 2 3 2" xfId="42334" xr:uid="{00000000-0005-0000-0000-00009FA30000}"/>
    <cellStyle name="Percent 34 3 3 2 2 4" xfId="30029" xr:uid="{00000000-0005-0000-0000-0000A0A30000}"/>
    <cellStyle name="Percent 34 3 3 2 3" xfId="13196" xr:uid="{00000000-0005-0000-0000-0000A1A30000}"/>
    <cellStyle name="Percent 34 3 3 2 3 2" xfId="33116" xr:uid="{00000000-0005-0000-0000-0000A2A30000}"/>
    <cellStyle name="Percent 34 3 3 2 4" xfId="19348" xr:uid="{00000000-0005-0000-0000-0000A3A30000}"/>
    <cellStyle name="Percent 34 3 3 2 4 2" xfId="39268" xr:uid="{00000000-0005-0000-0000-0000A4A30000}"/>
    <cellStyle name="Percent 34 3 3 2 5" xfId="26963" xr:uid="{00000000-0005-0000-0000-0000A5A30000}"/>
    <cellStyle name="Percent 34 3 3 3" xfId="8534" xr:uid="{00000000-0005-0000-0000-0000A6A30000}"/>
    <cellStyle name="Percent 34 3 3 3 2" xfId="14728" xr:uid="{00000000-0005-0000-0000-0000A7A30000}"/>
    <cellStyle name="Percent 34 3 3 3 2 2" xfId="34648" xr:uid="{00000000-0005-0000-0000-0000A8A30000}"/>
    <cellStyle name="Percent 34 3 3 3 3" xfId="20880" xr:uid="{00000000-0005-0000-0000-0000A9A30000}"/>
    <cellStyle name="Percent 34 3 3 3 3 2" xfId="40800" xr:uid="{00000000-0005-0000-0000-0000AAA30000}"/>
    <cellStyle name="Percent 34 3 3 3 4" xfId="28495" xr:uid="{00000000-0005-0000-0000-0000ABA30000}"/>
    <cellStyle name="Percent 34 3 3 4" xfId="11662" xr:uid="{00000000-0005-0000-0000-0000ACA30000}"/>
    <cellStyle name="Percent 34 3 3 4 2" xfId="31582" xr:uid="{00000000-0005-0000-0000-0000ADA30000}"/>
    <cellStyle name="Percent 34 3 3 5" xfId="17814" xr:uid="{00000000-0005-0000-0000-0000AEA30000}"/>
    <cellStyle name="Percent 34 3 3 5 2" xfId="37734" xr:uid="{00000000-0005-0000-0000-0000AFA30000}"/>
    <cellStyle name="Percent 34 3 3 6" xfId="25429" xr:uid="{00000000-0005-0000-0000-0000B0A30000}"/>
    <cellStyle name="Percent 34 3 4" xfId="6213" xr:uid="{00000000-0005-0000-0000-0000B1A30000}"/>
    <cellStyle name="Percent 34 3 4 2" xfId="9300" xr:uid="{00000000-0005-0000-0000-0000B2A30000}"/>
    <cellStyle name="Percent 34 3 4 2 2" xfId="15493" xr:uid="{00000000-0005-0000-0000-0000B3A30000}"/>
    <cellStyle name="Percent 34 3 4 2 2 2" xfId="35413" xr:uid="{00000000-0005-0000-0000-0000B4A30000}"/>
    <cellStyle name="Percent 34 3 4 2 3" xfId="21645" xr:uid="{00000000-0005-0000-0000-0000B5A30000}"/>
    <cellStyle name="Percent 34 3 4 2 3 2" xfId="41565" xr:uid="{00000000-0005-0000-0000-0000B6A30000}"/>
    <cellStyle name="Percent 34 3 4 2 4" xfId="29260" xr:uid="{00000000-0005-0000-0000-0000B7A30000}"/>
    <cellStyle name="Percent 34 3 4 3" xfId="12427" xr:uid="{00000000-0005-0000-0000-0000B8A30000}"/>
    <cellStyle name="Percent 34 3 4 3 2" xfId="32347" xr:uid="{00000000-0005-0000-0000-0000B9A30000}"/>
    <cellStyle name="Percent 34 3 4 4" xfId="18579" xr:uid="{00000000-0005-0000-0000-0000BAA30000}"/>
    <cellStyle name="Percent 34 3 4 4 2" xfId="38499" xr:uid="{00000000-0005-0000-0000-0000BBA30000}"/>
    <cellStyle name="Percent 34 3 4 5" xfId="26194" xr:uid="{00000000-0005-0000-0000-0000BCA30000}"/>
    <cellStyle name="Percent 34 3 5" xfId="7765" xr:uid="{00000000-0005-0000-0000-0000BDA30000}"/>
    <cellStyle name="Percent 34 3 5 2" xfId="13959" xr:uid="{00000000-0005-0000-0000-0000BEA30000}"/>
    <cellStyle name="Percent 34 3 5 2 2" xfId="33879" xr:uid="{00000000-0005-0000-0000-0000BFA30000}"/>
    <cellStyle name="Percent 34 3 5 3" xfId="20111" xr:uid="{00000000-0005-0000-0000-0000C0A30000}"/>
    <cellStyle name="Percent 34 3 5 3 2" xfId="40031" xr:uid="{00000000-0005-0000-0000-0000C1A30000}"/>
    <cellStyle name="Percent 34 3 5 4" xfId="27726" xr:uid="{00000000-0005-0000-0000-0000C2A30000}"/>
    <cellStyle name="Percent 34 3 6" xfId="10893" xr:uid="{00000000-0005-0000-0000-0000C3A30000}"/>
    <cellStyle name="Percent 34 3 6 2" xfId="30813" xr:uid="{00000000-0005-0000-0000-0000C4A30000}"/>
    <cellStyle name="Percent 34 3 7" xfId="17045" xr:uid="{00000000-0005-0000-0000-0000C5A30000}"/>
    <cellStyle name="Percent 34 3 7 2" xfId="36965" xr:uid="{00000000-0005-0000-0000-0000C6A30000}"/>
    <cellStyle name="Percent 34 3 8" xfId="24660" xr:uid="{00000000-0005-0000-0000-0000C7A30000}"/>
    <cellStyle name="Percent 34 4" xfId="4334" xr:uid="{00000000-0005-0000-0000-0000C8A30000}"/>
    <cellStyle name="Percent 34 4 2" xfId="4335" xr:uid="{00000000-0005-0000-0000-0000C9A30000}"/>
    <cellStyle name="Percent 34 4 2 2" xfId="5360" xr:uid="{00000000-0005-0000-0000-0000CAA30000}"/>
    <cellStyle name="Percent 34 4 2 2 2" xfId="6985" xr:uid="{00000000-0005-0000-0000-0000CBA30000}"/>
    <cellStyle name="Percent 34 4 2 2 2 2" xfId="10071" xr:uid="{00000000-0005-0000-0000-0000CCA30000}"/>
    <cellStyle name="Percent 34 4 2 2 2 2 2" xfId="16264" xr:uid="{00000000-0005-0000-0000-0000CDA30000}"/>
    <cellStyle name="Percent 34 4 2 2 2 2 2 2" xfId="36184" xr:uid="{00000000-0005-0000-0000-0000CEA30000}"/>
    <cellStyle name="Percent 34 4 2 2 2 2 3" xfId="22416" xr:uid="{00000000-0005-0000-0000-0000CFA30000}"/>
    <cellStyle name="Percent 34 4 2 2 2 2 3 2" xfId="42336" xr:uid="{00000000-0005-0000-0000-0000D0A30000}"/>
    <cellStyle name="Percent 34 4 2 2 2 2 4" xfId="30031" xr:uid="{00000000-0005-0000-0000-0000D1A30000}"/>
    <cellStyle name="Percent 34 4 2 2 2 3" xfId="13198" xr:uid="{00000000-0005-0000-0000-0000D2A30000}"/>
    <cellStyle name="Percent 34 4 2 2 2 3 2" xfId="33118" xr:uid="{00000000-0005-0000-0000-0000D3A30000}"/>
    <cellStyle name="Percent 34 4 2 2 2 4" xfId="19350" xr:uid="{00000000-0005-0000-0000-0000D4A30000}"/>
    <cellStyle name="Percent 34 4 2 2 2 4 2" xfId="39270" xr:uid="{00000000-0005-0000-0000-0000D5A30000}"/>
    <cellStyle name="Percent 34 4 2 2 2 5" xfId="26965" xr:uid="{00000000-0005-0000-0000-0000D6A30000}"/>
    <cellStyle name="Percent 34 4 2 2 3" xfId="8536" xr:uid="{00000000-0005-0000-0000-0000D7A30000}"/>
    <cellStyle name="Percent 34 4 2 2 3 2" xfId="14730" xr:uid="{00000000-0005-0000-0000-0000D8A30000}"/>
    <cellStyle name="Percent 34 4 2 2 3 2 2" xfId="34650" xr:uid="{00000000-0005-0000-0000-0000D9A30000}"/>
    <cellStyle name="Percent 34 4 2 2 3 3" xfId="20882" xr:uid="{00000000-0005-0000-0000-0000DAA30000}"/>
    <cellStyle name="Percent 34 4 2 2 3 3 2" xfId="40802" xr:uid="{00000000-0005-0000-0000-0000DBA30000}"/>
    <cellStyle name="Percent 34 4 2 2 3 4" xfId="28497" xr:uid="{00000000-0005-0000-0000-0000DCA30000}"/>
    <cellStyle name="Percent 34 4 2 2 4" xfId="11664" xr:uid="{00000000-0005-0000-0000-0000DDA30000}"/>
    <cellStyle name="Percent 34 4 2 2 4 2" xfId="31584" xr:uid="{00000000-0005-0000-0000-0000DEA30000}"/>
    <cellStyle name="Percent 34 4 2 2 5" xfId="17816" xr:uid="{00000000-0005-0000-0000-0000DFA30000}"/>
    <cellStyle name="Percent 34 4 2 2 5 2" xfId="37736" xr:uid="{00000000-0005-0000-0000-0000E0A30000}"/>
    <cellStyle name="Percent 34 4 2 2 6" xfId="25431" xr:uid="{00000000-0005-0000-0000-0000E1A30000}"/>
    <cellStyle name="Percent 34 4 2 3" xfId="6215" xr:uid="{00000000-0005-0000-0000-0000E2A30000}"/>
    <cellStyle name="Percent 34 4 2 3 2" xfId="9302" xr:uid="{00000000-0005-0000-0000-0000E3A30000}"/>
    <cellStyle name="Percent 34 4 2 3 2 2" xfId="15495" xr:uid="{00000000-0005-0000-0000-0000E4A30000}"/>
    <cellStyle name="Percent 34 4 2 3 2 2 2" xfId="35415" xr:uid="{00000000-0005-0000-0000-0000E5A30000}"/>
    <cellStyle name="Percent 34 4 2 3 2 3" xfId="21647" xr:uid="{00000000-0005-0000-0000-0000E6A30000}"/>
    <cellStyle name="Percent 34 4 2 3 2 3 2" xfId="41567" xr:uid="{00000000-0005-0000-0000-0000E7A30000}"/>
    <cellStyle name="Percent 34 4 2 3 2 4" xfId="29262" xr:uid="{00000000-0005-0000-0000-0000E8A30000}"/>
    <cellStyle name="Percent 34 4 2 3 3" xfId="12429" xr:uid="{00000000-0005-0000-0000-0000E9A30000}"/>
    <cellStyle name="Percent 34 4 2 3 3 2" xfId="32349" xr:uid="{00000000-0005-0000-0000-0000EAA30000}"/>
    <cellStyle name="Percent 34 4 2 3 4" xfId="18581" xr:uid="{00000000-0005-0000-0000-0000EBA30000}"/>
    <cellStyle name="Percent 34 4 2 3 4 2" xfId="38501" xr:uid="{00000000-0005-0000-0000-0000ECA30000}"/>
    <cellStyle name="Percent 34 4 2 3 5" xfId="26196" xr:uid="{00000000-0005-0000-0000-0000EDA30000}"/>
    <cellStyle name="Percent 34 4 2 4" xfId="7767" xr:uid="{00000000-0005-0000-0000-0000EEA30000}"/>
    <cellStyle name="Percent 34 4 2 4 2" xfId="13961" xr:uid="{00000000-0005-0000-0000-0000EFA30000}"/>
    <cellStyle name="Percent 34 4 2 4 2 2" xfId="33881" xr:uid="{00000000-0005-0000-0000-0000F0A30000}"/>
    <cellStyle name="Percent 34 4 2 4 3" xfId="20113" xr:uid="{00000000-0005-0000-0000-0000F1A30000}"/>
    <cellStyle name="Percent 34 4 2 4 3 2" xfId="40033" xr:uid="{00000000-0005-0000-0000-0000F2A30000}"/>
    <cellStyle name="Percent 34 4 2 4 4" xfId="27728" xr:uid="{00000000-0005-0000-0000-0000F3A30000}"/>
    <cellStyle name="Percent 34 4 2 5" xfId="10895" xr:uid="{00000000-0005-0000-0000-0000F4A30000}"/>
    <cellStyle name="Percent 34 4 2 5 2" xfId="30815" xr:uid="{00000000-0005-0000-0000-0000F5A30000}"/>
    <cellStyle name="Percent 34 4 2 6" xfId="17047" xr:uid="{00000000-0005-0000-0000-0000F6A30000}"/>
    <cellStyle name="Percent 34 4 2 6 2" xfId="36967" xr:uid="{00000000-0005-0000-0000-0000F7A30000}"/>
    <cellStyle name="Percent 34 4 2 7" xfId="24662" xr:uid="{00000000-0005-0000-0000-0000F8A30000}"/>
    <cellStyle name="Percent 34 5" xfId="4336" xr:uid="{00000000-0005-0000-0000-0000F9A30000}"/>
    <cellStyle name="Percent 34 5 2" xfId="5361" xr:uid="{00000000-0005-0000-0000-0000FAA30000}"/>
    <cellStyle name="Percent 34 5 2 2" xfId="6986" xr:uid="{00000000-0005-0000-0000-0000FBA30000}"/>
    <cellStyle name="Percent 34 5 2 2 2" xfId="10072" xr:uid="{00000000-0005-0000-0000-0000FCA30000}"/>
    <cellStyle name="Percent 34 5 2 2 2 2" xfId="16265" xr:uid="{00000000-0005-0000-0000-0000FDA30000}"/>
    <cellStyle name="Percent 34 5 2 2 2 2 2" xfId="36185" xr:uid="{00000000-0005-0000-0000-0000FEA30000}"/>
    <cellStyle name="Percent 34 5 2 2 2 3" xfId="22417" xr:uid="{00000000-0005-0000-0000-0000FFA30000}"/>
    <cellStyle name="Percent 34 5 2 2 2 3 2" xfId="42337" xr:uid="{00000000-0005-0000-0000-000000A40000}"/>
    <cellStyle name="Percent 34 5 2 2 2 4" xfId="30032" xr:uid="{00000000-0005-0000-0000-000001A40000}"/>
    <cellStyle name="Percent 34 5 2 2 3" xfId="13199" xr:uid="{00000000-0005-0000-0000-000002A40000}"/>
    <cellStyle name="Percent 34 5 2 2 3 2" xfId="33119" xr:uid="{00000000-0005-0000-0000-000003A40000}"/>
    <cellStyle name="Percent 34 5 2 2 4" xfId="19351" xr:uid="{00000000-0005-0000-0000-000004A40000}"/>
    <cellStyle name="Percent 34 5 2 2 4 2" xfId="39271" xr:uid="{00000000-0005-0000-0000-000005A40000}"/>
    <cellStyle name="Percent 34 5 2 2 5" xfId="26966" xr:uid="{00000000-0005-0000-0000-000006A40000}"/>
    <cellStyle name="Percent 34 5 2 3" xfId="8537" xr:uid="{00000000-0005-0000-0000-000007A40000}"/>
    <cellStyle name="Percent 34 5 2 3 2" xfId="14731" xr:uid="{00000000-0005-0000-0000-000008A40000}"/>
    <cellStyle name="Percent 34 5 2 3 2 2" xfId="34651" xr:uid="{00000000-0005-0000-0000-000009A40000}"/>
    <cellStyle name="Percent 34 5 2 3 3" xfId="20883" xr:uid="{00000000-0005-0000-0000-00000AA40000}"/>
    <cellStyle name="Percent 34 5 2 3 3 2" xfId="40803" xr:uid="{00000000-0005-0000-0000-00000BA40000}"/>
    <cellStyle name="Percent 34 5 2 3 4" xfId="28498" xr:uid="{00000000-0005-0000-0000-00000CA40000}"/>
    <cellStyle name="Percent 34 5 2 4" xfId="11665" xr:uid="{00000000-0005-0000-0000-00000DA40000}"/>
    <cellStyle name="Percent 34 5 2 4 2" xfId="31585" xr:uid="{00000000-0005-0000-0000-00000EA40000}"/>
    <cellStyle name="Percent 34 5 2 5" xfId="17817" xr:uid="{00000000-0005-0000-0000-00000FA40000}"/>
    <cellStyle name="Percent 34 5 2 5 2" xfId="37737" xr:uid="{00000000-0005-0000-0000-000010A40000}"/>
    <cellStyle name="Percent 34 5 2 6" xfId="25432" xr:uid="{00000000-0005-0000-0000-000011A40000}"/>
    <cellStyle name="Percent 34 5 3" xfId="6216" xr:uid="{00000000-0005-0000-0000-000012A40000}"/>
    <cellStyle name="Percent 34 5 3 2" xfId="9303" xr:uid="{00000000-0005-0000-0000-000013A40000}"/>
    <cellStyle name="Percent 34 5 3 2 2" xfId="15496" xr:uid="{00000000-0005-0000-0000-000014A40000}"/>
    <cellStyle name="Percent 34 5 3 2 2 2" xfId="35416" xr:uid="{00000000-0005-0000-0000-000015A40000}"/>
    <cellStyle name="Percent 34 5 3 2 3" xfId="21648" xr:uid="{00000000-0005-0000-0000-000016A40000}"/>
    <cellStyle name="Percent 34 5 3 2 3 2" xfId="41568" xr:uid="{00000000-0005-0000-0000-000017A40000}"/>
    <cellStyle name="Percent 34 5 3 2 4" xfId="29263" xr:uid="{00000000-0005-0000-0000-000018A40000}"/>
    <cellStyle name="Percent 34 5 3 3" xfId="12430" xr:uid="{00000000-0005-0000-0000-000019A40000}"/>
    <cellStyle name="Percent 34 5 3 3 2" xfId="32350" xr:uid="{00000000-0005-0000-0000-00001AA40000}"/>
    <cellStyle name="Percent 34 5 3 4" xfId="18582" xr:uid="{00000000-0005-0000-0000-00001BA40000}"/>
    <cellStyle name="Percent 34 5 3 4 2" xfId="38502" xr:uid="{00000000-0005-0000-0000-00001CA40000}"/>
    <cellStyle name="Percent 34 5 3 5" xfId="26197" xr:uid="{00000000-0005-0000-0000-00001DA40000}"/>
    <cellStyle name="Percent 34 5 4" xfId="7768" xr:uid="{00000000-0005-0000-0000-00001EA40000}"/>
    <cellStyle name="Percent 34 5 4 2" xfId="13962" xr:uid="{00000000-0005-0000-0000-00001FA40000}"/>
    <cellStyle name="Percent 34 5 4 2 2" xfId="33882" xr:uid="{00000000-0005-0000-0000-000020A40000}"/>
    <cellStyle name="Percent 34 5 4 3" xfId="20114" xr:uid="{00000000-0005-0000-0000-000021A40000}"/>
    <cellStyle name="Percent 34 5 4 3 2" xfId="40034" xr:uid="{00000000-0005-0000-0000-000022A40000}"/>
    <cellStyle name="Percent 34 5 4 4" xfId="27729" xr:uid="{00000000-0005-0000-0000-000023A40000}"/>
    <cellStyle name="Percent 34 5 5" xfId="10896" xr:uid="{00000000-0005-0000-0000-000024A40000}"/>
    <cellStyle name="Percent 34 5 5 2" xfId="30816" xr:uid="{00000000-0005-0000-0000-000025A40000}"/>
    <cellStyle name="Percent 34 5 6" xfId="17048" xr:uid="{00000000-0005-0000-0000-000026A40000}"/>
    <cellStyle name="Percent 34 5 6 2" xfId="36968" xr:uid="{00000000-0005-0000-0000-000027A40000}"/>
    <cellStyle name="Percent 34 5 7" xfId="24663" xr:uid="{00000000-0005-0000-0000-000028A40000}"/>
    <cellStyle name="Percent 35" xfId="4337" xr:uid="{00000000-0005-0000-0000-000029A40000}"/>
    <cellStyle name="Percent 35 2" xfId="4338" xr:uid="{00000000-0005-0000-0000-00002AA40000}"/>
    <cellStyle name="Percent 35 2 2" xfId="4339" xr:uid="{00000000-0005-0000-0000-00002BA40000}"/>
    <cellStyle name="Percent 35 2 2 2" xfId="5363" xr:uid="{00000000-0005-0000-0000-00002CA40000}"/>
    <cellStyle name="Percent 35 2 2 2 2" xfId="6988" xr:uid="{00000000-0005-0000-0000-00002DA40000}"/>
    <cellStyle name="Percent 35 2 2 2 2 2" xfId="10074" xr:uid="{00000000-0005-0000-0000-00002EA40000}"/>
    <cellStyle name="Percent 35 2 2 2 2 2 2" xfId="16267" xr:uid="{00000000-0005-0000-0000-00002FA40000}"/>
    <cellStyle name="Percent 35 2 2 2 2 2 2 2" xfId="36187" xr:uid="{00000000-0005-0000-0000-000030A40000}"/>
    <cellStyle name="Percent 35 2 2 2 2 2 3" xfId="22419" xr:uid="{00000000-0005-0000-0000-000031A40000}"/>
    <cellStyle name="Percent 35 2 2 2 2 2 3 2" xfId="42339" xr:uid="{00000000-0005-0000-0000-000032A40000}"/>
    <cellStyle name="Percent 35 2 2 2 2 2 4" xfId="30034" xr:uid="{00000000-0005-0000-0000-000033A40000}"/>
    <cellStyle name="Percent 35 2 2 2 2 3" xfId="13201" xr:uid="{00000000-0005-0000-0000-000034A40000}"/>
    <cellStyle name="Percent 35 2 2 2 2 3 2" xfId="33121" xr:uid="{00000000-0005-0000-0000-000035A40000}"/>
    <cellStyle name="Percent 35 2 2 2 2 4" xfId="19353" xr:uid="{00000000-0005-0000-0000-000036A40000}"/>
    <cellStyle name="Percent 35 2 2 2 2 4 2" xfId="39273" xr:uid="{00000000-0005-0000-0000-000037A40000}"/>
    <cellStyle name="Percent 35 2 2 2 2 5" xfId="26968" xr:uid="{00000000-0005-0000-0000-000038A40000}"/>
    <cellStyle name="Percent 35 2 2 2 3" xfId="8539" xr:uid="{00000000-0005-0000-0000-000039A40000}"/>
    <cellStyle name="Percent 35 2 2 2 3 2" xfId="14733" xr:uid="{00000000-0005-0000-0000-00003AA40000}"/>
    <cellStyle name="Percent 35 2 2 2 3 2 2" xfId="34653" xr:uid="{00000000-0005-0000-0000-00003BA40000}"/>
    <cellStyle name="Percent 35 2 2 2 3 3" xfId="20885" xr:uid="{00000000-0005-0000-0000-00003CA40000}"/>
    <cellStyle name="Percent 35 2 2 2 3 3 2" xfId="40805" xr:uid="{00000000-0005-0000-0000-00003DA40000}"/>
    <cellStyle name="Percent 35 2 2 2 3 4" xfId="28500" xr:uid="{00000000-0005-0000-0000-00003EA40000}"/>
    <cellStyle name="Percent 35 2 2 2 4" xfId="11667" xr:uid="{00000000-0005-0000-0000-00003FA40000}"/>
    <cellStyle name="Percent 35 2 2 2 4 2" xfId="31587" xr:uid="{00000000-0005-0000-0000-000040A40000}"/>
    <cellStyle name="Percent 35 2 2 2 5" xfId="17819" xr:uid="{00000000-0005-0000-0000-000041A40000}"/>
    <cellStyle name="Percent 35 2 2 2 5 2" xfId="37739" xr:uid="{00000000-0005-0000-0000-000042A40000}"/>
    <cellStyle name="Percent 35 2 2 2 6" xfId="25434" xr:uid="{00000000-0005-0000-0000-000043A40000}"/>
    <cellStyle name="Percent 35 2 2 3" xfId="6218" xr:uid="{00000000-0005-0000-0000-000044A40000}"/>
    <cellStyle name="Percent 35 2 2 3 2" xfId="9305" xr:uid="{00000000-0005-0000-0000-000045A40000}"/>
    <cellStyle name="Percent 35 2 2 3 2 2" xfId="15498" xr:uid="{00000000-0005-0000-0000-000046A40000}"/>
    <cellStyle name="Percent 35 2 2 3 2 2 2" xfId="35418" xr:uid="{00000000-0005-0000-0000-000047A40000}"/>
    <cellStyle name="Percent 35 2 2 3 2 3" xfId="21650" xr:uid="{00000000-0005-0000-0000-000048A40000}"/>
    <cellStyle name="Percent 35 2 2 3 2 3 2" xfId="41570" xr:uid="{00000000-0005-0000-0000-000049A40000}"/>
    <cellStyle name="Percent 35 2 2 3 2 4" xfId="29265" xr:uid="{00000000-0005-0000-0000-00004AA40000}"/>
    <cellStyle name="Percent 35 2 2 3 3" xfId="12432" xr:uid="{00000000-0005-0000-0000-00004BA40000}"/>
    <cellStyle name="Percent 35 2 2 3 3 2" xfId="32352" xr:uid="{00000000-0005-0000-0000-00004CA40000}"/>
    <cellStyle name="Percent 35 2 2 3 4" xfId="18584" xr:uid="{00000000-0005-0000-0000-00004DA40000}"/>
    <cellStyle name="Percent 35 2 2 3 4 2" xfId="38504" xr:uid="{00000000-0005-0000-0000-00004EA40000}"/>
    <cellStyle name="Percent 35 2 2 3 5" xfId="26199" xr:uid="{00000000-0005-0000-0000-00004FA40000}"/>
    <cellStyle name="Percent 35 2 2 4" xfId="7770" xr:uid="{00000000-0005-0000-0000-000050A40000}"/>
    <cellStyle name="Percent 35 2 2 4 2" xfId="13964" xr:uid="{00000000-0005-0000-0000-000051A40000}"/>
    <cellStyle name="Percent 35 2 2 4 2 2" xfId="33884" xr:uid="{00000000-0005-0000-0000-000052A40000}"/>
    <cellStyle name="Percent 35 2 2 4 3" xfId="20116" xr:uid="{00000000-0005-0000-0000-000053A40000}"/>
    <cellStyle name="Percent 35 2 2 4 3 2" xfId="40036" xr:uid="{00000000-0005-0000-0000-000054A40000}"/>
    <cellStyle name="Percent 35 2 2 4 4" xfId="27731" xr:uid="{00000000-0005-0000-0000-000055A40000}"/>
    <cellStyle name="Percent 35 2 2 5" xfId="10898" xr:uid="{00000000-0005-0000-0000-000056A40000}"/>
    <cellStyle name="Percent 35 2 2 5 2" xfId="30818" xr:uid="{00000000-0005-0000-0000-000057A40000}"/>
    <cellStyle name="Percent 35 2 2 6" xfId="17050" xr:uid="{00000000-0005-0000-0000-000058A40000}"/>
    <cellStyle name="Percent 35 2 2 6 2" xfId="36970" xr:uid="{00000000-0005-0000-0000-000059A40000}"/>
    <cellStyle name="Percent 35 2 2 7" xfId="24665" xr:uid="{00000000-0005-0000-0000-00005AA40000}"/>
    <cellStyle name="Percent 35 2 3" xfId="5362" xr:uid="{00000000-0005-0000-0000-00005BA40000}"/>
    <cellStyle name="Percent 35 2 3 2" xfId="6987" xr:uid="{00000000-0005-0000-0000-00005CA40000}"/>
    <cellStyle name="Percent 35 2 3 2 2" xfId="10073" xr:uid="{00000000-0005-0000-0000-00005DA40000}"/>
    <cellStyle name="Percent 35 2 3 2 2 2" xfId="16266" xr:uid="{00000000-0005-0000-0000-00005EA40000}"/>
    <cellStyle name="Percent 35 2 3 2 2 2 2" xfId="36186" xr:uid="{00000000-0005-0000-0000-00005FA40000}"/>
    <cellStyle name="Percent 35 2 3 2 2 3" xfId="22418" xr:uid="{00000000-0005-0000-0000-000060A40000}"/>
    <cellStyle name="Percent 35 2 3 2 2 3 2" xfId="42338" xr:uid="{00000000-0005-0000-0000-000061A40000}"/>
    <cellStyle name="Percent 35 2 3 2 2 4" xfId="30033" xr:uid="{00000000-0005-0000-0000-000062A40000}"/>
    <cellStyle name="Percent 35 2 3 2 3" xfId="13200" xr:uid="{00000000-0005-0000-0000-000063A40000}"/>
    <cellStyle name="Percent 35 2 3 2 3 2" xfId="33120" xr:uid="{00000000-0005-0000-0000-000064A40000}"/>
    <cellStyle name="Percent 35 2 3 2 4" xfId="19352" xr:uid="{00000000-0005-0000-0000-000065A40000}"/>
    <cellStyle name="Percent 35 2 3 2 4 2" xfId="39272" xr:uid="{00000000-0005-0000-0000-000066A40000}"/>
    <cellStyle name="Percent 35 2 3 2 5" xfId="26967" xr:uid="{00000000-0005-0000-0000-000067A40000}"/>
    <cellStyle name="Percent 35 2 3 3" xfId="8538" xr:uid="{00000000-0005-0000-0000-000068A40000}"/>
    <cellStyle name="Percent 35 2 3 3 2" xfId="14732" xr:uid="{00000000-0005-0000-0000-000069A40000}"/>
    <cellStyle name="Percent 35 2 3 3 2 2" xfId="34652" xr:uid="{00000000-0005-0000-0000-00006AA40000}"/>
    <cellStyle name="Percent 35 2 3 3 3" xfId="20884" xr:uid="{00000000-0005-0000-0000-00006BA40000}"/>
    <cellStyle name="Percent 35 2 3 3 3 2" xfId="40804" xr:uid="{00000000-0005-0000-0000-00006CA40000}"/>
    <cellStyle name="Percent 35 2 3 3 4" xfId="28499" xr:uid="{00000000-0005-0000-0000-00006DA40000}"/>
    <cellStyle name="Percent 35 2 3 4" xfId="11666" xr:uid="{00000000-0005-0000-0000-00006EA40000}"/>
    <cellStyle name="Percent 35 2 3 4 2" xfId="31586" xr:uid="{00000000-0005-0000-0000-00006FA40000}"/>
    <cellStyle name="Percent 35 2 3 5" xfId="17818" xr:uid="{00000000-0005-0000-0000-000070A40000}"/>
    <cellStyle name="Percent 35 2 3 5 2" xfId="37738" xr:uid="{00000000-0005-0000-0000-000071A40000}"/>
    <cellStyle name="Percent 35 2 3 6" xfId="25433" xr:uid="{00000000-0005-0000-0000-000072A40000}"/>
    <cellStyle name="Percent 35 2 4" xfId="6217" xr:uid="{00000000-0005-0000-0000-000073A40000}"/>
    <cellStyle name="Percent 35 2 4 2" xfId="9304" xr:uid="{00000000-0005-0000-0000-000074A40000}"/>
    <cellStyle name="Percent 35 2 4 2 2" xfId="15497" xr:uid="{00000000-0005-0000-0000-000075A40000}"/>
    <cellStyle name="Percent 35 2 4 2 2 2" xfId="35417" xr:uid="{00000000-0005-0000-0000-000076A40000}"/>
    <cellStyle name="Percent 35 2 4 2 3" xfId="21649" xr:uid="{00000000-0005-0000-0000-000077A40000}"/>
    <cellStyle name="Percent 35 2 4 2 3 2" xfId="41569" xr:uid="{00000000-0005-0000-0000-000078A40000}"/>
    <cellStyle name="Percent 35 2 4 2 4" xfId="29264" xr:uid="{00000000-0005-0000-0000-000079A40000}"/>
    <cellStyle name="Percent 35 2 4 3" xfId="12431" xr:uid="{00000000-0005-0000-0000-00007AA40000}"/>
    <cellStyle name="Percent 35 2 4 3 2" xfId="32351" xr:uid="{00000000-0005-0000-0000-00007BA40000}"/>
    <cellStyle name="Percent 35 2 4 4" xfId="18583" xr:uid="{00000000-0005-0000-0000-00007CA40000}"/>
    <cellStyle name="Percent 35 2 4 4 2" xfId="38503" xr:uid="{00000000-0005-0000-0000-00007DA40000}"/>
    <cellStyle name="Percent 35 2 4 5" xfId="26198" xr:uid="{00000000-0005-0000-0000-00007EA40000}"/>
    <cellStyle name="Percent 35 2 5" xfId="7769" xr:uid="{00000000-0005-0000-0000-00007FA40000}"/>
    <cellStyle name="Percent 35 2 5 2" xfId="13963" xr:uid="{00000000-0005-0000-0000-000080A40000}"/>
    <cellStyle name="Percent 35 2 5 2 2" xfId="33883" xr:uid="{00000000-0005-0000-0000-000081A40000}"/>
    <cellStyle name="Percent 35 2 5 3" xfId="20115" xr:uid="{00000000-0005-0000-0000-000082A40000}"/>
    <cellStyle name="Percent 35 2 5 3 2" xfId="40035" xr:uid="{00000000-0005-0000-0000-000083A40000}"/>
    <cellStyle name="Percent 35 2 5 4" xfId="27730" xr:uid="{00000000-0005-0000-0000-000084A40000}"/>
    <cellStyle name="Percent 35 2 6" xfId="10897" xr:uid="{00000000-0005-0000-0000-000085A40000}"/>
    <cellStyle name="Percent 35 2 6 2" xfId="30817" xr:uid="{00000000-0005-0000-0000-000086A40000}"/>
    <cellStyle name="Percent 35 2 7" xfId="17049" xr:uid="{00000000-0005-0000-0000-000087A40000}"/>
    <cellStyle name="Percent 35 2 7 2" xfId="36969" xr:uid="{00000000-0005-0000-0000-000088A40000}"/>
    <cellStyle name="Percent 35 2 8" xfId="24664" xr:uid="{00000000-0005-0000-0000-000089A40000}"/>
    <cellStyle name="Percent 35 3" xfId="4340" xr:uid="{00000000-0005-0000-0000-00008AA40000}"/>
    <cellStyle name="Percent 35 3 2" xfId="4341" xr:uid="{00000000-0005-0000-0000-00008BA40000}"/>
    <cellStyle name="Percent 35 3 2 2" xfId="5365" xr:uid="{00000000-0005-0000-0000-00008CA40000}"/>
    <cellStyle name="Percent 35 3 2 2 2" xfId="6990" xr:uid="{00000000-0005-0000-0000-00008DA40000}"/>
    <cellStyle name="Percent 35 3 2 2 2 2" xfId="10076" xr:uid="{00000000-0005-0000-0000-00008EA40000}"/>
    <cellStyle name="Percent 35 3 2 2 2 2 2" xfId="16269" xr:uid="{00000000-0005-0000-0000-00008FA40000}"/>
    <cellStyle name="Percent 35 3 2 2 2 2 2 2" xfId="36189" xr:uid="{00000000-0005-0000-0000-000090A40000}"/>
    <cellStyle name="Percent 35 3 2 2 2 2 3" xfId="22421" xr:uid="{00000000-0005-0000-0000-000091A40000}"/>
    <cellStyle name="Percent 35 3 2 2 2 2 3 2" xfId="42341" xr:uid="{00000000-0005-0000-0000-000092A40000}"/>
    <cellStyle name="Percent 35 3 2 2 2 2 4" xfId="30036" xr:uid="{00000000-0005-0000-0000-000093A40000}"/>
    <cellStyle name="Percent 35 3 2 2 2 3" xfId="13203" xr:uid="{00000000-0005-0000-0000-000094A40000}"/>
    <cellStyle name="Percent 35 3 2 2 2 3 2" xfId="33123" xr:uid="{00000000-0005-0000-0000-000095A40000}"/>
    <cellStyle name="Percent 35 3 2 2 2 4" xfId="19355" xr:uid="{00000000-0005-0000-0000-000096A40000}"/>
    <cellStyle name="Percent 35 3 2 2 2 4 2" xfId="39275" xr:uid="{00000000-0005-0000-0000-000097A40000}"/>
    <cellStyle name="Percent 35 3 2 2 2 5" xfId="26970" xr:uid="{00000000-0005-0000-0000-000098A40000}"/>
    <cellStyle name="Percent 35 3 2 2 3" xfId="8541" xr:uid="{00000000-0005-0000-0000-000099A40000}"/>
    <cellStyle name="Percent 35 3 2 2 3 2" xfId="14735" xr:uid="{00000000-0005-0000-0000-00009AA40000}"/>
    <cellStyle name="Percent 35 3 2 2 3 2 2" xfId="34655" xr:uid="{00000000-0005-0000-0000-00009BA40000}"/>
    <cellStyle name="Percent 35 3 2 2 3 3" xfId="20887" xr:uid="{00000000-0005-0000-0000-00009CA40000}"/>
    <cellStyle name="Percent 35 3 2 2 3 3 2" xfId="40807" xr:uid="{00000000-0005-0000-0000-00009DA40000}"/>
    <cellStyle name="Percent 35 3 2 2 3 4" xfId="28502" xr:uid="{00000000-0005-0000-0000-00009EA40000}"/>
    <cellStyle name="Percent 35 3 2 2 4" xfId="11669" xr:uid="{00000000-0005-0000-0000-00009FA40000}"/>
    <cellStyle name="Percent 35 3 2 2 4 2" xfId="31589" xr:uid="{00000000-0005-0000-0000-0000A0A40000}"/>
    <cellStyle name="Percent 35 3 2 2 5" xfId="17821" xr:uid="{00000000-0005-0000-0000-0000A1A40000}"/>
    <cellStyle name="Percent 35 3 2 2 5 2" xfId="37741" xr:uid="{00000000-0005-0000-0000-0000A2A40000}"/>
    <cellStyle name="Percent 35 3 2 2 6" xfId="25436" xr:uid="{00000000-0005-0000-0000-0000A3A40000}"/>
    <cellStyle name="Percent 35 3 2 3" xfId="6220" xr:uid="{00000000-0005-0000-0000-0000A4A40000}"/>
    <cellStyle name="Percent 35 3 2 3 2" xfId="9307" xr:uid="{00000000-0005-0000-0000-0000A5A40000}"/>
    <cellStyle name="Percent 35 3 2 3 2 2" xfId="15500" xr:uid="{00000000-0005-0000-0000-0000A6A40000}"/>
    <cellStyle name="Percent 35 3 2 3 2 2 2" xfId="35420" xr:uid="{00000000-0005-0000-0000-0000A7A40000}"/>
    <cellStyle name="Percent 35 3 2 3 2 3" xfId="21652" xr:uid="{00000000-0005-0000-0000-0000A8A40000}"/>
    <cellStyle name="Percent 35 3 2 3 2 3 2" xfId="41572" xr:uid="{00000000-0005-0000-0000-0000A9A40000}"/>
    <cellStyle name="Percent 35 3 2 3 2 4" xfId="29267" xr:uid="{00000000-0005-0000-0000-0000AAA40000}"/>
    <cellStyle name="Percent 35 3 2 3 3" xfId="12434" xr:uid="{00000000-0005-0000-0000-0000ABA40000}"/>
    <cellStyle name="Percent 35 3 2 3 3 2" xfId="32354" xr:uid="{00000000-0005-0000-0000-0000ACA40000}"/>
    <cellStyle name="Percent 35 3 2 3 4" xfId="18586" xr:uid="{00000000-0005-0000-0000-0000ADA40000}"/>
    <cellStyle name="Percent 35 3 2 3 4 2" xfId="38506" xr:uid="{00000000-0005-0000-0000-0000AEA40000}"/>
    <cellStyle name="Percent 35 3 2 3 5" xfId="26201" xr:uid="{00000000-0005-0000-0000-0000AFA40000}"/>
    <cellStyle name="Percent 35 3 2 4" xfId="7772" xr:uid="{00000000-0005-0000-0000-0000B0A40000}"/>
    <cellStyle name="Percent 35 3 2 4 2" xfId="13966" xr:uid="{00000000-0005-0000-0000-0000B1A40000}"/>
    <cellStyle name="Percent 35 3 2 4 2 2" xfId="33886" xr:uid="{00000000-0005-0000-0000-0000B2A40000}"/>
    <cellStyle name="Percent 35 3 2 4 3" xfId="20118" xr:uid="{00000000-0005-0000-0000-0000B3A40000}"/>
    <cellStyle name="Percent 35 3 2 4 3 2" xfId="40038" xr:uid="{00000000-0005-0000-0000-0000B4A40000}"/>
    <cellStyle name="Percent 35 3 2 4 4" xfId="27733" xr:uid="{00000000-0005-0000-0000-0000B5A40000}"/>
    <cellStyle name="Percent 35 3 2 5" xfId="10900" xr:uid="{00000000-0005-0000-0000-0000B6A40000}"/>
    <cellStyle name="Percent 35 3 2 5 2" xfId="30820" xr:uid="{00000000-0005-0000-0000-0000B7A40000}"/>
    <cellStyle name="Percent 35 3 2 6" xfId="17052" xr:uid="{00000000-0005-0000-0000-0000B8A40000}"/>
    <cellStyle name="Percent 35 3 2 6 2" xfId="36972" xr:uid="{00000000-0005-0000-0000-0000B9A40000}"/>
    <cellStyle name="Percent 35 3 2 7" xfId="24667" xr:uid="{00000000-0005-0000-0000-0000BAA40000}"/>
    <cellStyle name="Percent 35 3 3" xfId="5364" xr:uid="{00000000-0005-0000-0000-0000BBA40000}"/>
    <cellStyle name="Percent 35 3 3 2" xfId="6989" xr:uid="{00000000-0005-0000-0000-0000BCA40000}"/>
    <cellStyle name="Percent 35 3 3 2 2" xfId="10075" xr:uid="{00000000-0005-0000-0000-0000BDA40000}"/>
    <cellStyle name="Percent 35 3 3 2 2 2" xfId="16268" xr:uid="{00000000-0005-0000-0000-0000BEA40000}"/>
    <cellStyle name="Percent 35 3 3 2 2 2 2" xfId="36188" xr:uid="{00000000-0005-0000-0000-0000BFA40000}"/>
    <cellStyle name="Percent 35 3 3 2 2 3" xfId="22420" xr:uid="{00000000-0005-0000-0000-0000C0A40000}"/>
    <cellStyle name="Percent 35 3 3 2 2 3 2" xfId="42340" xr:uid="{00000000-0005-0000-0000-0000C1A40000}"/>
    <cellStyle name="Percent 35 3 3 2 2 4" xfId="30035" xr:uid="{00000000-0005-0000-0000-0000C2A40000}"/>
    <cellStyle name="Percent 35 3 3 2 3" xfId="13202" xr:uid="{00000000-0005-0000-0000-0000C3A40000}"/>
    <cellStyle name="Percent 35 3 3 2 3 2" xfId="33122" xr:uid="{00000000-0005-0000-0000-0000C4A40000}"/>
    <cellStyle name="Percent 35 3 3 2 4" xfId="19354" xr:uid="{00000000-0005-0000-0000-0000C5A40000}"/>
    <cellStyle name="Percent 35 3 3 2 4 2" xfId="39274" xr:uid="{00000000-0005-0000-0000-0000C6A40000}"/>
    <cellStyle name="Percent 35 3 3 2 5" xfId="26969" xr:uid="{00000000-0005-0000-0000-0000C7A40000}"/>
    <cellStyle name="Percent 35 3 3 3" xfId="8540" xr:uid="{00000000-0005-0000-0000-0000C8A40000}"/>
    <cellStyle name="Percent 35 3 3 3 2" xfId="14734" xr:uid="{00000000-0005-0000-0000-0000C9A40000}"/>
    <cellStyle name="Percent 35 3 3 3 2 2" xfId="34654" xr:uid="{00000000-0005-0000-0000-0000CAA40000}"/>
    <cellStyle name="Percent 35 3 3 3 3" xfId="20886" xr:uid="{00000000-0005-0000-0000-0000CBA40000}"/>
    <cellStyle name="Percent 35 3 3 3 3 2" xfId="40806" xr:uid="{00000000-0005-0000-0000-0000CCA40000}"/>
    <cellStyle name="Percent 35 3 3 3 4" xfId="28501" xr:uid="{00000000-0005-0000-0000-0000CDA40000}"/>
    <cellStyle name="Percent 35 3 3 4" xfId="11668" xr:uid="{00000000-0005-0000-0000-0000CEA40000}"/>
    <cellStyle name="Percent 35 3 3 4 2" xfId="31588" xr:uid="{00000000-0005-0000-0000-0000CFA40000}"/>
    <cellStyle name="Percent 35 3 3 5" xfId="17820" xr:uid="{00000000-0005-0000-0000-0000D0A40000}"/>
    <cellStyle name="Percent 35 3 3 5 2" xfId="37740" xr:uid="{00000000-0005-0000-0000-0000D1A40000}"/>
    <cellStyle name="Percent 35 3 3 6" xfId="25435" xr:uid="{00000000-0005-0000-0000-0000D2A40000}"/>
    <cellStyle name="Percent 35 3 4" xfId="6219" xr:uid="{00000000-0005-0000-0000-0000D3A40000}"/>
    <cellStyle name="Percent 35 3 4 2" xfId="9306" xr:uid="{00000000-0005-0000-0000-0000D4A40000}"/>
    <cellStyle name="Percent 35 3 4 2 2" xfId="15499" xr:uid="{00000000-0005-0000-0000-0000D5A40000}"/>
    <cellStyle name="Percent 35 3 4 2 2 2" xfId="35419" xr:uid="{00000000-0005-0000-0000-0000D6A40000}"/>
    <cellStyle name="Percent 35 3 4 2 3" xfId="21651" xr:uid="{00000000-0005-0000-0000-0000D7A40000}"/>
    <cellStyle name="Percent 35 3 4 2 3 2" xfId="41571" xr:uid="{00000000-0005-0000-0000-0000D8A40000}"/>
    <cellStyle name="Percent 35 3 4 2 4" xfId="29266" xr:uid="{00000000-0005-0000-0000-0000D9A40000}"/>
    <cellStyle name="Percent 35 3 4 3" xfId="12433" xr:uid="{00000000-0005-0000-0000-0000DAA40000}"/>
    <cellStyle name="Percent 35 3 4 3 2" xfId="32353" xr:uid="{00000000-0005-0000-0000-0000DBA40000}"/>
    <cellStyle name="Percent 35 3 4 4" xfId="18585" xr:uid="{00000000-0005-0000-0000-0000DCA40000}"/>
    <cellStyle name="Percent 35 3 4 4 2" xfId="38505" xr:uid="{00000000-0005-0000-0000-0000DDA40000}"/>
    <cellStyle name="Percent 35 3 4 5" xfId="26200" xr:uid="{00000000-0005-0000-0000-0000DEA40000}"/>
    <cellStyle name="Percent 35 3 5" xfId="7771" xr:uid="{00000000-0005-0000-0000-0000DFA40000}"/>
    <cellStyle name="Percent 35 3 5 2" xfId="13965" xr:uid="{00000000-0005-0000-0000-0000E0A40000}"/>
    <cellStyle name="Percent 35 3 5 2 2" xfId="33885" xr:uid="{00000000-0005-0000-0000-0000E1A40000}"/>
    <cellStyle name="Percent 35 3 5 3" xfId="20117" xr:uid="{00000000-0005-0000-0000-0000E2A40000}"/>
    <cellStyle name="Percent 35 3 5 3 2" xfId="40037" xr:uid="{00000000-0005-0000-0000-0000E3A40000}"/>
    <cellStyle name="Percent 35 3 5 4" xfId="27732" xr:uid="{00000000-0005-0000-0000-0000E4A40000}"/>
    <cellStyle name="Percent 35 3 6" xfId="10899" xr:uid="{00000000-0005-0000-0000-0000E5A40000}"/>
    <cellStyle name="Percent 35 3 6 2" xfId="30819" xr:uid="{00000000-0005-0000-0000-0000E6A40000}"/>
    <cellStyle name="Percent 35 3 7" xfId="17051" xr:uid="{00000000-0005-0000-0000-0000E7A40000}"/>
    <cellStyle name="Percent 35 3 7 2" xfId="36971" xr:uid="{00000000-0005-0000-0000-0000E8A40000}"/>
    <cellStyle name="Percent 35 3 8" xfId="24666" xr:uid="{00000000-0005-0000-0000-0000E9A40000}"/>
    <cellStyle name="Percent 35 4" xfId="4342" xr:uid="{00000000-0005-0000-0000-0000EAA40000}"/>
    <cellStyle name="Percent 35 4 2" xfId="4343" xr:uid="{00000000-0005-0000-0000-0000EBA40000}"/>
    <cellStyle name="Percent 35 4 2 2" xfId="5366" xr:uid="{00000000-0005-0000-0000-0000ECA40000}"/>
    <cellStyle name="Percent 35 4 2 2 2" xfId="6991" xr:uid="{00000000-0005-0000-0000-0000EDA40000}"/>
    <cellStyle name="Percent 35 4 2 2 2 2" xfId="10077" xr:uid="{00000000-0005-0000-0000-0000EEA40000}"/>
    <cellStyle name="Percent 35 4 2 2 2 2 2" xfId="16270" xr:uid="{00000000-0005-0000-0000-0000EFA40000}"/>
    <cellStyle name="Percent 35 4 2 2 2 2 2 2" xfId="36190" xr:uid="{00000000-0005-0000-0000-0000F0A40000}"/>
    <cellStyle name="Percent 35 4 2 2 2 2 3" xfId="22422" xr:uid="{00000000-0005-0000-0000-0000F1A40000}"/>
    <cellStyle name="Percent 35 4 2 2 2 2 3 2" xfId="42342" xr:uid="{00000000-0005-0000-0000-0000F2A40000}"/>
    <cellStyle name="Percent 35 4 2 2 2 2 4" xfId="30037" xr:uid="{00000000-0005-0000-0000-0000F3A40000}"/>
    <cellStyle name="Percent 35 4 2 2 2 3" xfId="13204" xr:uid="{00000000-0005-0000-0000-0000F4A40000}"/>
    <cellStyle name="Percent 35 4 2 2 2 3 2" xfId="33124" xr:uid="{00000000-0005-0000-0000-0000F5A40000}"/>
    <cellStyle name="Percent 35 4 2 2 2 4" xfId="19356" xr:uid="{00000000-0005-0000-0000-0000F6A40000}"/>
    <cellStyle name="Percent 35 4 2 2 2 4 2" xfId="39276" xr:uid="{00000000-0005-0000-0000-0000F7A40000}"/>
    <cellStyle name="Percent 35 4 2 2 2 5" xfId="26971" xr:uid="{00000000-0005-0000-0000-0000F8A40000}"/>
    <cellStyle name="Percent 35 4 2 2 3" xfId="8542" xr:uid="{00000000-0005-0000-0000-0000F9A40000}"/>
    <cellStyle name="Percent 35 4 2 2 3 2" xfId="14736" xr:uid="{00000000-0005-0000-0000-0000FAA40000}"/>
    <cellStyle name="Percent 35 4 2 2 3 2 2" xfId="34656" xr:uid="{00000000-0005-0000-0000-0000FBA40000}"/>
    <cellStyle name="Percent 35 4 2 2 3 3" xfId="20888" xr:uid="{00000000-0005-0000-0000-0000FCA40000}"/>
    <cellStyle name="Percent 35 4 2 2 3 3 2" xfId="40808" xr:uid="{00000000-0005-0000-0000-0000FDA40000}"/>
    <cellStyle name="Percent 35 4 2 2 3 4" xfId="28503" xr:uid="{00000000-0005-0000-0000-0000FEA40000}"/>
    <cellStyle name="Percent 35 4 2 2 4" xfId="11670" xr:uid="{00000000-0005-0000-0000-0000FFA40000}"/>
    <cellStyle name="Percent 35 4 2 2 4 2" xfId="31590" xr:uid="{00000000-0005-0000-0000-000000A50000}"/>
    <cellStyle name="Percent 35 4 2 2 5" xfId="17822" xr:uid="{00000000-0005-0000-0000-000001A50000}"/>
    <cellStyle name="Percent 35 4 2 2 5 2" xfId="37742" xr:uid="{00000000-0005-0000-0000-000002A50000}"/>
    <cellStyle name="Percent 35 4 2 2 6" xfId="25437" xr:uid="{00000000-0005-0000-0000-000003A50000}"/>
    <cellStyle name="Percent 35 4 2 3" xfId="6221" xr:uid="{00000000-0005-0000-0000-000004A50000}"/>
    <cellStyle name="Percent 35 4 2 3 2" xfId="9308" xr:uid="{00000000-0005-0000-0000-000005A50000}"/>
    <cellStyle name="Percent 35 4 2 3 2 2" xfId="15501" xr:uid="{00000000-0005-0000-0000-000006A50000}"/>
    <cellStyle name="Percent 35 4 2 3 2 2 2" xfId="35421" xr:uid="{00000000-0005-0000-0000-000007A50000}"/>
    <cellStyle name="Percent 35 4 2 3 2 3" xfId="21653" xr:uid="{00000000-0005-0000-0000-000008A50000}"/>
    <cellStyle name="Percent 35 4 2 3 2 3 2" xfId="41573" xr:uid="{00000000-0005-0000-0000-000009A50000}"/>
    <cellStyle name="Percent 35 4 2 3 2 4" xfId="29268" xr:uid="{00000000-0005-0000-0000-00000AA50000}"/>
    <cellStyle name="Percent 35 4 2 3 3" xfId="12435" xr:uid="{00000000-0005-0000-0000-00000BA50000}"/>
    <cellStyle name="Percent 35 4 2 3 3 2" xfId="32355" xr:uid="{00000000-0005-0000-0000-00000CA50000}"/>
    <cellStyle name="Percent 35 4 2 3 4" xfId="18587" xr:uid="{00000000-0005-0000-0000-00000DA50000}"/>
    <cellStyle name="Percent 35 4 2 3 4 2" xfId="38507" xr:uid="{00000000-0005-0000-0000-00000EA50000}"/>
    <cellStyle name="Percent 35 4 2 3 5" xfId="26202" xr:uid="{00000000-0005-0000-0000-00000FA50000}"/>
    <cellStyle name="Percent 35 4 2 4" xfId="7773" xr:uid="{00000000-0005-0000-0000-000010A50000}"/>
    <cellStyle name="Percent 35 4 2 4 2" xfId="13967" xr:uid="{00000000-0005-0000-0000-000011A50000}"/>
    <cellStyle name="Percent 35 4 2 4 2 2" xfId="33887" xr:uid="{00000000-0005-0000-0000-000012A50000}"/>
    <cellStyle name="Percent 35 4 2 4 3" xfId="20119" xr:uid="{00000000-0005-0000-0000-000013A50000}"/>
    <cellStyle name="Percent 35 4 2 4 3 2" xfId="40039" xr:uid="{00000000-0005-0000-0000-000014A50000}"/>
    <cellStyle name="Percent 35 4 2 4 4" xfId="27734" xr:uid="{00000000-0005-0000-0000-000015A50000}"/>
    <cellStyle name="Percent 35 4 2 5" xfId="10901" xr:uid="{00000000-0005-0000-0000-000016A50000}"/>
    <cellStyle name="Percent 35 4 2 5 2" xfId="30821" xr:uid="{00000000-0005-0000-0000-000017A50000}"/>
    <cellStyle name="Percent 35 4 2 6" xfId="17053" xr:uid="{00000000-0005-0000-0000-000018A50000}"/>
    <cellStyle name="Percent 35 4 2 6 2" xfId="36973" xr:uid="{00000000-0005-0000-0000-000019A50000}"/>
    <cellStyle name="Percent 35 4 2 7" xfId="24668" xr:uid="{00000000-0005-0000-0000-00001AA50000}"/>
    <cellStyle name="Percent 35 5" xfId="4344" xr:uid="{00000000-0005-0000-0000-00001BA50000}"/>
    <cellStyle name="Percent 35 5 2" xfId="5367" xr:uid="{00000000-0005-0000-0000-00001CA50000}"/>
    <cellStyle name="Percent 35 5 2 2" xfId="6992" xr:uid="{00000000-0005-0000-0000-00001DA50000}"/>
    <cellStyle name="Percent 35 5 2 2 2" xfId="10078" xr:uid="{00000000-0005-0000-0000-00001EA50000}"/>
    <cellStyle name="Percent 35 5 2 2 2 2" xfId="16271" xr:uid="{00000000-0005-0000-0000-00001FA50000}"/>
    <cellStyle name="Percent 35 5 2 2 2 2 2" xfId="36191" xr:uid="{00000000-0005-0000-0000-000020A50000}"/>
    <cellStyle name="Percent 35 5 2 2 2 3" xfId="22423" xr:uid="{00000000-0005-0000-0000-000021A50000}"/>
    <cellStyle name="Percent 35 5 2 2 2 3 2" xfId="42343" xr:uid="{00000000-0005-0000-0000-000022A50000}"/>
    <cellStyle name="Percent 35 5 2 2 2 4" xfId="30038" xr:uid="{00000000-0005-0000-0000-000023A50000}"/>
    <cellStyle name="Percent 35 5 2 2 3" xfId="13205" xr:uid="{00000000-0005-0000-0000-000024A50000}"/>
    <cellStyle name="Percent 35 5 2 2 3 2" xfId="33125" xr:uid="{00000000-0005-0000-0000-000025A50000}"/>
    <cellStyle name="Percent 35 5 2 2 4" xfId="19357" xr:uid="{00000000-0005-0000-0000-000026A50000}"/>
    <cellStyle name="Percent 35 5 2 2 4 2" xfId="39277" xr:uid="{00000000-0005-0000-0000-000027A50000}"/>
    <cellStyle name="Percent 35 5 2 2 5" xfId="26972" xr:uid="{00000000-0005-0000-0000-000028A50000}"/>
    <cellStyle name="Percent 35 5 2 3" xfId="8543" xr:uid="{00000000-0005-0000-0000-000029A50000}"/>
    <cellStyle name="Percent 35 5 2 3 2" xfId="14737" xr:uid="{00000000-0005-0000-0000-00002AA50000}"/>
    <cellStyle name="Percent 35 5 2 3 2 2" xfId="34657" xr:uid="{00000000-0005-0000-0000-00002BA50000}"/>
    <cellStyle name="Percent 35 5 2 3 3" xfId="20889" xr:uid="{00000000-0005-0000-0000-00002CA50000}"/>
    <cellStyle name="Percent 35 5 2 3 3 2" xfId="40809" xr:uid="{00000000-0005-0000-0000-00002DA50000}"/>
    <cellStyle name="Percent 35 5 2 3 4" xfId="28504" xr:uid="{00000000-0005-0000-0000-00002EA50000}"/>
    <cellStyle name="Percent 35 5 2 4" xfId="11671" xr:uid="{00000000-0005-0000-0000-00002FA50000}"/>
    <cellStyle name="Percent 35 5 2 4 2" xfId="31591" xr:uid="{00000000-0005-0000-0000-000030A50000}"/>
    <cellStyle name="Percent 35 5 2 5" xfId="17823" xr:uid="{00000000-0005-0000-0000-000031A50000}"/>
    <cellStyle name="Percent 35 5 2 5 2" xfId="37743" xr:uid="{00000000-0005-0000-0000-000032A50000}"/>
    <cellStyle name="Percent 35 5 2 6" xfId="25438" xr:uid="{00000000-0005-0000-0000-000033A50000}"/>
    <cellStyle name="Percent 35 5 3" xfId="6222" xr:uid="{00000000-0005-0000-0000-000034A50000}"/>
    <cellStyle name="Percent 35 5 3 2" xfId="9309" xr:uid="{00000000-0005-0000-0000-000035A50000}"/>
    <cellStyle name="Percent 35 5 3 2 2" xfId="15502" xr:uid="{00000000-0005-0000-0000-000036A50000}"/>
    <cellStyle name="Percent 35 5 3 2 2 2" xfId="35422" xr:uid="{00000000-0005-0000-0000-000037A50000}"/>
    <cellStyle name="Percent 35 5 3 2 3" xfId="21654" xr:uid="{00000000-0005-0000-0000-000038A50000}"/>
    <cellStyle name="Percent 35 5 3 2 3 2" xfId="41574" xr:uid="{00000000-0005-0000-0000-000039A50000}"/>
    <cellStyle name="Percent 35 5 3 2 4" xfId="29269" xr:uid="{00000000-0005-0000-0000-00003AA50000}"/>
    <cellStyle name="Percent 35 5 3 3" xfId="12436" xr:uid="{00000000-0005-0000-0000-00003BA50000}"/>
    <cellStyle name="Percent 35 5 3 3 2" xfId="32356" xr:uid="{00000000-0005-0000-0000-00003CA50000}"/>
    <cellStyle name="Percent 35 5 3 4" xfId="18588" xr:uid="{00000000-0005-0000-0000-00003DA50000}"/>
    <cellStyle name="Percent 35 5 3 4 2" xfId="38508" xr:uid="{00000000-0005-0000-0000-00003EA50000}"/>
    <cellStyle name="Percent 35 5 3 5" xfId="26203" xr:uid="{00000000-0005-0000-0000-00003FA50000}"/>
    <cellStyle name="Percent 35 5 4" xfId="7774" xr:uid="{00000000-0005-0000-0000-000040A50000}"/>
    <cellStyle name="Percent 35 5 4 2" xfId="13968" xr:uid="{00000000-0005-0000-0000-000041A50000}"/>
    <cellStyle name="Percent 35 5 4 2 2" xfId="33888" xr:uid="{00000000-0005-0000-0000-000042A50000}"/>
    <cellStyle name="Percent 35 5 4 3" xfId="20120" xr:uid="{00000000-0005-0000-0000-000043A50000}"/>
    <cellStyle name="Percent 35 5 4 3 2" xfId="40040" xr:uid="{00000000-0005-0000-0000-000044A50000}"/>
    <cellStyle name="Percent 35 5 4 4" xfId="27735" xr:uid="{00000000-0005-0000-0000-000045A50000}"/>
    <cellStyle name="Percent 35 5 5" xfId="10902" xr:uid="{00000000-0005-0000-0000-000046A50000}"/>
    <cellStyle name="Percent 35 5 5 2" xfId="30822" xr:uid="{00000000-0005-0000-0000-000047A50000}"/>
    <cellStyle name="Percent 35 5 6" xfId="17054" xr:uid="{00000000-0005-0000-0000-000048A50000}"/>
    <cellStyle name="Percent 35 5 6 2" xfId="36974" xr:uid="{00000000-0005-0000-0000-000049A50000}"/>
    <cellStyle name="Percent 35 5 7" xfId="24669" xr:uid="{00000000-0005-0000-0000-00004AA50000}"/>
    <cellStyle name="Percent 36" xfId="4345" xr:uid="{00000000-0005-0000-0000-00004BA50000}"/>
    <cellStyle name="Percent 37" xfId="4346" xr:uid="{00000000-0005-0000-0000-00004CA50000}"/>
    <cellStyle name="Percent 38" xfId="4347" xr:uid="{00000000-0005-0000-0000-00004DA50000}"/>
    <cellStyle name="Percent 39" xfId="4348" xr:uid="{00000000-0005-0000-0000-00004EA50000}"/>
    <cellStyle name="Percent 4" xfId="34" xr:uid="{00000000-0005-0000-0000-00004FA50000}"/>
    <cellStyle name="Percent 4 10" xfId="263" xr:uid="{00000000-0005-0000-0000-000050A50000}"/>
    <cellStyle name="Percent 4 10 2" xfId="1142" xr:uid="{00000000-0005-0000-0000-000051A50000}"/>
    <cellStyle name="Percent 4 11" xfId="279" xr:uid="{00000000-0005-0000-0000-000052A50000}"/>
    <cellStyle name="Percent 4 12" xfId="291" xr:uid="{00000000-0005-0000-0000-000053A50000}"/>
    <cellStyle name="Percent 4 13" xfId="303" xr:uid="{00000000-0005-0000-0000-000054A50000}"/>
    <cellStyle name="Percent 4 14" xfId="267" xr:uid="{00000000-0005-0000-0000-000055A50000}"/>
    <cellStyle name="Percent 4 15" xfId="342" xr:uid="{00000000-0005-0000-0000-000056A50000}"/>
    <cellStyle name="Percent 4 16" xfId="344" xr:uid="{00000000-0005-0000-0000-000057A50000}"/>
    <cellStyle name="Percent 4 17" xfId="362" xr:uid="{00000000-0005-0000-0000-000058A50000}"/>
    <cellStyle name="Percent 4 18" xfId="356" xr:uid="{00000000-0005-0000-0000-000059A50000}"/>
    <cellStyle name="Percent 4 19" xfId="385" xr:uid="{00000000-0005-0000-0000-00005AA50000}"/>
    <cellStyle name="Percent 4 2" xfId="133" xr:uid="{00000000-0005-0000-0000-00005BA50000}"/>
    <cellStyle name="Percent 4 2 2" xfId="4351" xr:uid="{00000000-0005-0000-0000-00005CA50000}"/>
    <cellStyle name="Percent 4 2 2 2" xfId="4352" xr:uid="{00000000-0005-0000-0000-00005DA50000}"/>
    <cellStyle name="Percent 4 2 2 3" xfId="4353" xr:uid="{00000000-0005-0000-0000-00005EA50000}"/>
    <cellStyle name="Percent 4 2 3" xfId="4350" xr:uid="{00000000-0005-0000-0000-00005FA50000}"/>
    <cellStyle name="Percent 4 20" xfId="394" xr:uid="{00000000-0005-0000-0000-000060A50000}"/>
    <cellStyle name="Percent 4 21" xfId="484" xr:uid="{00000000-0005-0000-0000-000061A50000}"/>
    <cellStyle name="Percent 4 22" xfId="537" xr:uid="{00000000-0005-0000-0000-000062A50000}"/>
    <cellStyle name="Percent 4 23" xfId="563" xr:uid="{00000000-0005-0000-0000-000063A50000}"/>
    <cellStyle name="Percent 4 24" xfId="533" xr:uid="{00000000-0005-0000-0000-000064A50000}"/>
    <cellStyle name="Percent 4 25" xfId="562" xr:uid="{00000000-0005-0000-0000-000065A50000}"/>
    <cellStyle name="Percent 4 26" xfId="560" xr:uid="{00000000-0005-0000-0000-000066A50000}"/>
    <cellStyle name="Percent 4 27" xfId="567" xr:uid="{00000000-0005-0000-0000-000067A50000}"/>
    <cellStyle name="Percent 4 28" xfId="599" xr:uid="{00000000-0005-0000-0000-000068A50000}"/>
    <cellStyle name="Percent 4 3" xfId="151" xr:uid="{00000000-0005-0000-0000-000069A50000}"/>
    <cellStyle name="Percent 4 3 2" xfId="4354" xr:uid="{00000000-0005-0000-0000-00006AA50000}"/>
    <cellStyle name="Percent 4 4" xfId="157" xr:uid="{00000000-0005-0000-0000-00006BA50000}"/>
    <cellStyle name="Percent 4 4 2" xfId="4355" xr:uid="{00000000-0005-0000-0000-00006CA50000}"/>
    <cellStyle name="Percent 4 5" xfId="160" xr:uid="{00000000-0005-0000-0000-00006DA50000}"/>
    <cellStyle name="Percent 4 5 2" xfId="4356" xr:uid="{00000000-0005-0000-0000-00006EA50000}"/>
    <cellStyle name="Percent 4 6" xfId="169" xr:uid="{00000000-0005-0000-0000-00006FA50000}"/>
    <cellStyle name="Percent 4 6 2" xfId="4357" xr:uid="{00000000-0005-0000-0000-000070A50000}"/>
    <cellStyle name="Percent 4 7" xfId="203" xr:uid="{00000000-0005-0000-0000-000071A50000}"/>
    <cellStyle name="Percent 4 7 2" xfId="4579" xr:uid="{00000000-0005-0000-0000-000072A50000}"/>
    <cellStyle name="Percent 4 8" xfId="233" xr:uid="{00000000-0005-0000-0000-000073A50000}"/>
    <cellStyle name="Percent 4 8 2" xfId="4349" xr:uid="{00000000-0005-0000-0000-000074A50000}"/>
    <cellStyle name="Percent 4 9" xfId="248" xr:uid="{00000000-0005-0000-0000-000075A50000}"/>
    <cellStyle name="Percent 4 9 2" xfId="10119" xr:uid="{00000000-0005-0000-0000-000076A50000}"/>
    <cellStyle name="Percent 40" xfId="4358" xr:uid="{00000000-0005-0000-0000-000077A50000}"/>
    <cellStyle name="Percent 41" xfId="4359" xr:uid="{00000000-0005-0000-0000-000078A50000}"/>
    <cellStyle name="Percent 42" xfId="4360" xr:uid="{00000000-0005-0000-0000-000079A50000}"/>
    <cellStyle name="Percent 43" xfId="4361" xr:uid="{00000000-0005-0000-0000-00007AA50000}"/>
    <cellStyle name="Percent 44" xfId="4362" xr:uid="{00000000-0005-0000-0000-00007BA50000}"/>
    <cellStyle name="Percent 45" xfId="4363" xr:uid="{00000000-0005-0000-0000-00007CA50000}"/>
    <cellStyle name="Percent 46" xfId="4364" xr:uid="{00000000-0005-0000-0000-00007DA50000}"/>
    <cellStyle name="Percent 47" xfId="4365" xr:uid="{00000000-0005-0000-0000-00007EA50000}"/>
    <cellStyle name="Percent 48" xfId="4366" xr:uid="{00000000-0005-0000-0000-00007FA50000}"/>
    <cellStyle name="Percent 49" xfId="4367" xr:uid="{00000000-0005-0000-0000-000080A50000}"/>
    <cellStyle name="Percent 5" xfId="35" xr:uid="{00000000-0005-0000-0000-000081A50000}"/>
    <cellStyle name="Percent 5 10" xfId="302" xr:uid="{00000000-0005-0000-0000-000082A50000}"/>
    <cellStyle name="Percent 5 10 2" xfId="798" xr:uid="{00000000-0005-0000-0000-000083A50000}"/>
    <cellStyle name="Percent 5 10 2 2" xfId="23680" xr:uid="{00000000-0005-0000-0000-000084A50000}"/>
    <cellStyle name="Percent 5 10 3" xfId="10161" xr:uid="{00000000-0005-0000-0000-000085A50000}"/>
    <cellStyle name="Percent 5 10 3 2" xfId="30081" xr:uid="{00000000-0005-0000-0000-000086A50000}"/>
    <cellStyle name="Percent 5 10 4" xfId="22763" xr:uid="{00000000-0005-0000-0000-000087A50000}"/>
    <cellStyle name="Percent 5 10 4 2" xfId="42674" xr:uid="{00000000-0005-0000-0000-000088A50000}"/>
    <cellStyle name="Percent 5 10 5" xfId="23066" xr:uid="{00000000-0005-0000-0000-000089A50000}"/>
    <cellStyle name="Percent 5 10 5 2" xfId="42977" xr:uid="{00000000-0005-0000-0000-00008AA50000}"/>
    <cellStyle name="Percent 5 10 6" xfId="23377" xr:uid="{00000000-0005-0000-0000-00008BA50000}"/>
    <cellStyle name="Percent 5 11" xfId="313" xr:uid="{00000000-0005-0000-0000-00008CA50000}"/>
    <cellStyle name="Percent 5 11 2" xfId="801" xr:uid="{00000000-0005-0000-0000-00008DA50000}"/>
    <cellStyle name="Percent 5 11 2 2" xfId="23683" xr:uid="{00000000-0005-0000-0000-00008EA50000}"/>
    <cellStyle name="Percent 5 11 3" xfId="16313" xr:uid="{00000000-0005-0000-0000-00008FA50000}"/>
    <cellStyle name="Percent 5 11 3 2" xfId="36233" xr:uid="{00000000-0005-0000-0000-000090A50000}"/>
    <cellStyle name="Percent 5 11 4" xfId="22766" xr:uid="{00000000-0005-0000-0000-000091A50000}"/>
    <cellStyle name="Percent 5 11 4 2" xfId="42677" xr:uid="{00000000-0005-0000-0000-000092A50000}"/>
    <cellStyle name="Percent 5 11 5" xfId="23069" xr:uid="{00000000-0005-0000-0000-000093A50000}"/>
    <cellStyle name="Percent 5 11 5 2" xfId="42980" xr:uid="{00000000-0005-0000-0000-000094A50000}"/>
    <cellStyle name="Percent 5 11 6" xfId="23380" xr:uid="{00000000-0005-0000-0000-000095A50000}"/>
    <cellStyle name="Percent 5 12" xfId="321" xr:uid="{00000000-0005-0000-0000-000096A50000}"/>
    <cellStyle name="Percent 5 12 2" xfId="804" xr:uid="{00000000-0005-0000-0000-000097A50000}"/>
    <cellStyle name="Percent 5 12 2 2" xfId="23686" xr:uid="{00000000-0005-0000-0000-000098A50000}"/>
    <cellStyle name="Percent 5 12 3" xfId="1161" xr:uid="{00000000-0005-0000-0000-000099A50000}"/>
    <cellStyle name="Percent 5 12 3 2" xfId="23928" xr:uid="{00000000-0005-0000-0000-00009AA50000}"/>
    <cellStyle name="Percent 5 12 4" xfId="22769" xr:uid="{00000000-0005-0000-0000-00009BA50000}"/>
    <cellStyle name="Percent 5 12 4 2" xfId="42680" xr:uid="{00000000-0005-0000-0000-00009CA50000}"/>
    <cellStyle name="Percent 5 12 5" xfId="23072" xr:uid="{00000000-0005-0000-0000-00009DA50000}"/>
    <cellStyle name="Percent 5 12 5 2" xfId="42983" xr:uid="{00000000-0005-0000-0000-00009EA50000}"/>
    <cellStyle name="Percent 5 12 6" xfId="23383" xr:uid="{00000000-0005-0000-0000-00009FA50000}"/>
    <cellStyle name="Percent 5 13" xfId="324" xr:uid="{00000000-0005-0000-0000-0000A0A50000}"/>
    <cellStyle name="Percent 5 13 2" xfId="807" xr:uid="{00000000-0005-0000-0000-0000A1A50000}"/>
    <cellStyle name="Percent 5 13 2 2" xfId="23689" xr:uid="{00000000-0005-0000-0000-0000A2A50000}"/>
    <cellStyle name="Percent 5 13 3" xfId="22672" xr:uid="{00000000-0005-0000-0000-0000A3A50000}"/>
    <cellStyle name="Percent 5 13 3 2" xfId="42583" xr:uid="{00000000-0005-0000-0000-0000A4A50000}"/>
    <cellStyle name="Percent 5 13 4" xfId="22772" xr:uid="{00000000-0005-0000-0000-0000A5A50000}"/>
    <cellStyle name="Percent 5 13 4 2" xfId="42683" xr:uid="{00000000-0005-0000-0000-0000A6A50000}"/>
    <cellStyle name="Percent 5 13 5" xfId="23075" xr:uid="{00000000-0005-0000-0000-0000A7A50000}"/>
    <cellStyle name="Percent 5 13 5 2" xfId="42986" xr:uid="{00000000-0005-0000-0000-0000A8A50000}"/>
    <cellStyle name="Percent 5 13 6" xfId="23386" xr:uid="{00000000-0005-0000-0000-0000A9A50000}"/>
    <cellStyle name="Percent 5 14" xfId="327" xr:uid="{00000000-0005-0000-0000-0000AAA50000}"/>
    <cellStyle name="Percent 5 14 2" xfId="810" xr:uid="{00000000-0005-0000-0000-0000ABA50000}"/>
    <cellStyle name="Percent 5 14 2 2" xfId="23692" xr:uid="{00000000-0005-0000-0000-0000ACA50000}"/>
    <cellStyle name="Percent 5 14 3" xfId="22589" xr:uid="{00000000-0005-0000-0000-0000ADA50000}"/>
    <cellStyle name="Percent 5 14 3 2" xfId="42500" xr:uid="{00000000-0005-0000-0000-0000AEA50000}"/>
    <cellStyle name="Percent 5 14 4" xfId="22775" xr:uid="{00000000-0005-0000-0000-0000AFA50000}"/>
    <cellStyle name="Percent 5 14 4 2" xfId="42686" xr:uid="{00000000-0005-0000-0000-0000B0A50000}"/>
    <cellStyle name="Percent 5 14 5" xfId="23078" xr:uid="{00000000-0005-0000-0000-0000B1A50000}"/>
    <cellStyle name="Percent 5 14 5 2" xfId="42989" xr:uid="{00000000-0005-0000-0000-0000B2A50000}"/>
    <cellStyle name="Percent 5 14 6" xfId="23389" xr:uid="{00000000-0005-0000-0000-0000B3A50000}"/>
    <cellStyle name="Percent 5 15" xfId="392" xr:uid="{00000000-0005-0000-0000-0000B4A50000}"/>
    <cellStyle name="Percent 5 15 2" xfId="826" xr:uid="{00000000-0005-0000-0000-0000B5A50000}"/>
    <cellStyle name="Percent 5 15 2 2" xfId="23708" xr:uid="{00000000-0005-0000-0000-0000B6A50000}"/>
    <cellStyle name="Percent 5 15 3" xfId="22532" xr:uid="{00000000-0005-0000-0000-0000B7A50000}"/>
    <cellStyle name="Percent 5 15 3 2" xfId="42443" xr:uid="{00000000-0005-0000-0000-0000B8A50000}"/>
    <cellStyle name="Percent 5 15 4" xfId="22791" xr:uid="{00000000-0005-0000-0000-0000B9A50000}"/>
    <cellStyle name="Percent 5 15 4 2" xfId="42702" xr:uid="{00000000-0005-0000-0000-0000BAA50000}"/>
    <cellStyle name="Percent 5 15 5" xfId="23094" xr:uid="{00000000-0005-0000-0000-0000BBA50000}"/>
    <cellStyle name="Percent 5 15 5 2" xfId="43005" xr:uid="{00000000-0005-0000-0000-0000BCA50000}"/>
    <cellStyle name="Percent 5 15 6" xfId="23405" xr:uid="{00000000-0005-0000-0000-0000BDA50000}"/>
    <cellStyle name="Percent 5 16" xfId="422" xr:uid="{00000000-0005-0000-0000-0000BEA50000}"/>
    <cellStyle name="Percent 5 16 2" xfId="842" xr:uid="{00000000-0005-0000-0000-0000BFA50000}"/>
    <cellStyle name="Percent 5 16 2 2" xfId="23724" xr:uid="{00000000-0005-0000-0000-0000C0A50000}"/>
    <cellStyle name="Percent 5 16 3" xfId="22565" xr:uid="{00000000-0005-0000-0000-0000C1A50000}"/>
    <cellStyle name="Percent 5 16 3 2" xfId="42476" xr:uid="{00000000-0005-0000-0000-0000C2A50000}"/>
    <cellStyle name="Percent 5 16 4" xfId="22807" xr:uid="{00000000-0005-0000-0000-0000C3A50000}"/>
    <cellStyle name="Percent 5 16 4 2" xfId="42718" xr:uid="{00000000-0005-0000-0000-0000C4A50000}"/>
    <cellStyle name="Percent 5 16 5" xfId="23110" xr:uid="{00000000-0005-0000-0000-0000C5A50000}"/>
    <cellStyle name="Percent 5 16 5 2" xfId="43021" xr:uid="{00000000-0005-0000-0000-0000C6A50000}"/>
    <cellStyle name="Percent 5 16 6" xfId="23421" xr:uid="{00000000-0005-0000-0000-0000C7A50000}"/>
    <cellStyle name="Percent 5 17" xfId="449" xr:uid="{00000000-0005-0000-0000-0000C8A50000}"/>
    <cellStyle name="Percent 5 17 2" xfId="858" xr:uid="{00000000-0005-0000-0000-0000C9A50000}"/>
    <cellStyle name="Percent 5 17 2 2" xfId="23740" xr:uid="{00000000-0005-0000-0000-0000CAA50000}"/>
    <cellStyle name="Percent 5 17 3" xfId="22551" xr:uid="{00000000-0005-0000-0000-0000CBA50000}"/>
    <cellStyle name="Percent 5 17 3 2" xfId="42462" xr:uid="{00000000-0005-0000-0000-0000CCA50000}"/>
    <cellStyle name="Percent 5 17 4" xfId="22823" xr:uid="{00000000-0005-0000-0000-0000CDA50000}"/>
    <cellStyle name="Percent 5 17 4 2" xfId="42734" xr:uid="{00000000-0005-0000-0000-0000CEA50000}"/>
    <cellStyle name="Percent 5 17 5" xfId="23126" xr:uid="{00000000-0005-0000-0000-0000CFA50000}"/>
    <cellStyle name="Percent 5 17 5 2" xfId="43037" xr:uid="{00000000-0005-0000-0000-0000D0A50000}"/>
    <cellStyle name="Percent 5 17 6" xfId="23437" xr:uid="{00000000-0005-0000-0000-0000D1A50000}"/>
    <cellStyle name="Percent 5 18" xfId="475" xr:uid="{00000000-0005-0000-0000-0000D2A50000}"/>
    <cellStyle name="Percent 5 18 2" xfId="874" xr:uid="{00000000-0005-0000-0000-0000D3A50000}"/>
    <cellStyle name="Percent 5 18 2 2" xfId="23756" xr:uid="{00000000-0005-0000-0000-0000D4A50000}"/>
    <cellStyle name="Percent 5 18 3" xfId="22488" xr:uid="{00000000-0005-0000-0000-0000D5A50000}"/>
    <cellStyle name="Percent 5 18 3 2" xfId="42399" xr:uid="{00000000-0005-0000-0000-0000D6A50000}"/>
    <cellStyle name="Percent 5 18 4" xfId="22839" xr:uid="{00000000-0005-0000-0000-0000D7A50000}"/>
    <cellStyle name="Percent 5 18 4 2" xfId="42750" xr:uid="{00000000-0005-0000-0000-0000D8A50000}"/>
    <cellStyle name="Percent 5 18 5" xfId="23142" xr:uid="{00000000-0005-0000-0000-0000D9A50000}"/>
    <cellStyle name="Percent 5 18 5 2" xfId="43053" xr:uid="{00000000-0005-0000-0000-0000DAA50000}"/>
    <cellStyle name="Percent 5 18 6" xfId="23453" xr:uid="{00000000-0005-0000-0000-0000DBA50000}"/>
    <cellStyle name="Percent 5 19" xfId="501" xr:uid="{00000000-0005-0000-0000-0000DCA50000}"/>
    <cellStyle name="Percent 5 19 2" xfId="890" xr:uid="{00000000-0005-0000-0000-0000DDA50000}"/>
    <cellStyle name="Percent 5 19 2 2" xfId="23772" xr:uid="{00000000-0005-0000-0000-0000DEA50000}"/>
    <cellStyle name="Percent 5 19 3" xfId="22527" xr:uid="{00000000-0005-0000-0000-0000DFA50000}"/>
    <cellStyle name="Percent 5 19 3 2" xfId="42438" xr:uid="{00000000-0005-0000-0000-0000E0A50000}"/>
    <cellStyle name="Percent 5 19 4" xfId="22855" xr:uid="{00000000-0005-0000-0000-0000E1A50000}"/>
    <cellStyle name="Percent 5 19 4 2" xfId="42766" xr:uid="{00000000-0005-0000-0000-0000E2A50000}"/>
    <cellStyle name="Percent 5 19 5" xfId="23158" xr:uid="{00000000-0005-0000-0000-0000E3A50000}"/>
    <cellStyle name="Percent 5 19 5 2" xfId="43069" xr:uid="{00000000-0005-0000-0000-0000E4A50000}"/>
    <cellStyle name="Percent 5 19 6" xfId="23469" xr:uid="{00000000-0005-0000-0000-0000E5A50000}"/>
    <cellStyle name="Percent 5 2" xfId="178" xr:uid="{00000000-0005-0000-0000-0000E6A50000}"/>
    <cellStyle name="Percent 5 2 10" xfId="10167" xr:uid="{00000000-0005-0000-0000-0000E7A50000}"/>
    <cellStyle name="Percent 5 2 10 2" xfId="30087" xr:uid="{00000000-0005-0000-0000-0000E8A50000}"/>
    <cellStyle name="Percent 5 2 11" xfId="16319" xr:uid="{00000000-0005-0000-0000-0000E9A50000}"/>
    <cellStyle name="Percent 5 2 11 2" xfId="36239" xr:uid="{00000000-0005-0000-0000-0000EAA50000}"/>
    <cellStyle name="Percent 5 2 12" xfId="1176" xr:uid="{00000000-0005-0000-0000-0000EBA50000}"/>
    <cellStyle name="Percent 5 2 12 2" xfId="23934" xr:uid="{00000000-0005-0000-0000-0000ECA50000}"/>
    <cellStyle name="Percent 5 2 13" xfId="22739" xr:uid="{00000000-0005-0000-0000-0000EDA50000}"/>
    <cellStyle name="Percent 5 2 13 2" xfId="42650" xr:uid="{00000000-0005-0000-0000-0000EEA50000}"/>
    <cellStyle name="Percent 5 2 14" xfId="23042" xr:uid="{00000000-0005-0000-0000-0000EFA50000}"/>
    <cellStyle name="Percent 5 2 14 2" xfId="42953" xr:uid="{00000000-0005-0000-0000-0000F0A50000}"/>
    <cellStyle name="Percent 5 2 15" xfId="23353" xr:uid="{00000000-0005-0000-0000-0000F1A50000}"/>
    <cellStyle name="Percent 5 2 2" xfId="774" xr:uid="{00000000-0005-0000-0000-0000F2A50000}"/>
    <cellStyle name="Percent 5 2 2 10" xfId="1195" xr:uid="{00000000-0005-0000-0000-0000F3A50000}"/>
    <cellStyle name="Percent 5 2 2 10 2" xfId="23945" xr:uid="{00000000-0005-0000-0000-0000F4A50000}"/>
    <cellStyle name="Percent 5 2 2 11" xfId="23656" xr:uid="{00000000-0005-0000-0000-0000F5A50000}"/>
    <cellStyle name="Percent 5 2 2 2" xfId="4607" xr:uid="{00000000-0005-0000-0000-0000F6A50000}"/>
    <cellStyle name="Percent 5 2 2 2 2" xfId="5383" xr:uid="{00000000-0005-0000-0000-0000F7A50000}"/>
    <cellStyle name="Percent 5 2 2 2 2 2" xfId="7008" xr:uid="{00000000-0005-0000-0000-0000F8A50000}"/>
    <cellStyle name="Percent 5 2 2 2 2 2 2" xfId="10094" xr:uid="{00000000-0005-0000-0000-0000F9A50000}"/>
    <cellStyle name="Percent 5 2 2 2 2 2 2 2" xfId="16287" xr:uid="{00000000-0005-0000-0000-0000FAA50000}"/>
    <cellStyle name="Percent 5 2 2 2 2 2 2 2 2" xfId="36207" xr:uid="{00000000-0005-0000-0000-0000FBA50000}"/>
    <cellStyle name="Percent 5 2 2 2 2 2 2 3" xfId="22439" xr:uid="{00000000-0005-0000-0000-0000FCA50000}"/>
    <cellStyle name="Percent 5 2 2 2 2 2 2 3 2" xfId="42359" xr:uid="{00000000-0005-0000-0000-0000FDA50000}"/>
    <cellStyle name="Percent 5 2 2 2 2 2 2 4" xfId="30054" xr:uid="{00000000-0005-0000-0000-0000FEA50000}"/>
    <cellStyle name="Percent 5 2 2 2 2 2 3" xfId="13221" xr:uid="{00000000-0005-0000-0000-0000FFA50000}"/>
    <cellStyle name="Percent 5 2 2 2 2 2 3 2" xfId="33141" xr:uid="{00000000-0005-0000-0000-000000A60000}"/>
    <cellStyle name="Percent 5 2 2 2 2 2 4" xfId="19373" xr:uid="{00000000-0005-0000-0000-000001A60000}"/>
    <cellStyle name="Percent 5 2 2 2 2 2 4 2" xfId="39293" xr:uid="{00000000-0005-0000-0000-000002A60000}"/>
    <cellStyle name="Percent 5 2 2 2 2 2 5" xfId="26988" xr:uid="{00000000-0005-0000-0000-000003A60000}"/>
    <cellStyle name="Percent 5 2 2 2 2 3" xfId="8559" xr:uid="{00000000-0005-0000-0000-000004A60000}"/>
    <cellStyle name="Percent 5 2 2 2 2 3 2" xfId="14753" xr:uid="{00000000-0005-0000-0000-000005A60000}"/>
    <cellStyle name="Percent 5 2 2 2 2 3 2 2" xfId="34673" xr:uid="{00000000-0005-0000-0000-000006A60000}"/>
    <cellStyle name="Percent 5 2 2 2 2 3 3" xfId="20905" xr:uid="{00000000-0005-0000-0000-000007A60000}"/>
    <cellStyle name="Percent 5 2 2 2 2 3 3 2" xfId="40825" xr:uid="{00000000-0005-0000-0000-000008A60000}"/>
    <cellStyle name="Percent 5 2 2 2 2 3 4" xfId="28520" xr:uid="{00000000-0005-0000-0000-000009A60000}"/>
    <cellStyle name="Percent 5 2 2 2 2 4" xfId="11687" xr:uid="{00000000-0005-0000-0000-00000AA60000}"/>
    <cellStyle name="Percent 5 2 2 2 2 4 2" xfId="31607" xr:uid="{00000000-0005-0000-0000-00000BA60000}"/>
    <cellStyle name="Percent 5 2 2 2 2 5" xfId="17839" xr:uid="{00000000-0005-0000-0000-00000CA60000}"/>
    <cellStyle name="Percent 5 2 2 2 2 5 2" xfId="37759" xr:uid="{00000000-0005-0000-0000-00000DA60000}"/>
    <cellStyle name="Percent 5 2 2 2 2 6" xfId="25454" xr:uid="{00000000-0005-0000-0000-00000EA60000}"/>
    <cellStyle name="Percent 5 2 2 2 3" xfId="6239" xr:uid="{00000000-0005-0000-0000-00000FA60000}"/>
    <cellStyle name="Percent 5 2 2 2 3 2" xfId="9325" xr:uid="{00000000-0005-0000-0000-000010A60000}"/>
    <cellStyle name="Percent 5 2 2 2 3 2 2" xfId="15518" xr:uid="{00000000-0005-0000-0000-000011A60000}"/>
    <cellStyle name="Percent 5 2 2 2 3 2 2 2" xfId="35438" xr:uid="{00000000-0005-0000-0000-000012A60000}"/>
    <cellStyle name="Percent 5 2 2 2 3 2 3" xfId="21670" xr:uid="{00000000-0005-0000-0000-000013A60000}"/>
    <cellStyle name="Percent 5 2 2 2 3 2 3 2" xfId="41590" xr:uid="{00000000-0005-0000-0000-000014A60000}"/>
    <cellStyle name="Percent 5 2 2 2 3 2 4" xfId="29285" xr:uid="{00000000-0005-0000-0000-000015A60000}"/>
    <cellStyle name="Percent 5 2 2 2 3 3" xfId="12452" xr:uid="{00000000-0005-0000-0000-000016A60000}"/>
    <cellStyle name="Percent 5 2 2 2 3 3 2" xfId="32372" xr:uid="{00000000-0005-0000-0000-000017A60000}"/>
    <cellStyle name="Percent 5 2 2 2 3 4" xfId="18604" xr:uid="{00000000-0005-0000-0000-000018A60000}"/>
    <cellStyle name="Percent 5 2 2 2 3 4 2" xfId="38524" xr:uid="{00000000-0005-0000-0000-000019A60000}"/>
    <cellStyle name="Percent 5 2 2 2 3 5" xfId="26219" xr:uid="{00000000-0005-0000-0000-00001AA60000}"/>
    <cellStyle name="Percent 5 2 2 2 4" xfId="7790" xr:uid="{00000000-0005-0000-0000-00001BA60000}"/>
    <cellStyle name="Percent 5 2 2 2 4 2" xfId="13984" xr:uid="{00000000-0005-0000-0000-00001CA60000}"/>
    <cellStyle name="Percent 5 2 2 2 4 2 2" xfId="33904" xr:uid="{00000000-0005-0000-0000-00001DA60000}"/>
    <cellStyle name="Percent 5 2 2 2 4 3" xfId="20136" xr:uid="{00000000-0005-0000-0000-00001EA60000}"/>
    <cellStyle name="Percent 5 2 2 2 4 3 2" xfId="40056" xr:uid="{00000000-0005-0000-0000-00001FA60000}"/>
    <cellStyle name="Percent 5 2 2 2 4 4" xfId="27751" xr:uid="{00000000-0005-0000-0000-000020A60000}"/>
    <cellStyle name="Percent 5 2 2 2 5" xfId="10133" xr:uid="{00000000-0005-0000-0000-000021A60000}"/>
    <cellStyle name="Percent 5 2 2 2 5 2" xfId="16305" xr:uid="{00000000-0005-0000-0000-000022A60000}"/>
    <cellStyle name="Percent 5 2 2 2 5 2 2" xfId="36225" xr:uid="{00000000-0005-0000-0000-000023A60000}"/>
    <cellStyle name="Percent 5 2 2 2 5 3" xfId="22457" xr:uid="{00000000-0005-0000-0000-000024A60000}"/>
    <cellStyle name="Percent 5 2 2 2 5 3 2" xfId="42377" xr:uid="{00000000-0005-0000-0000-000025A60000}"/>
    <cellStyle name="Percent 5 2 2 2 5 4" xfId="30072" xr:uid="{00000000-0005-0000-0000-000026A60000}"/>
    <cellStyle name="Percent 5 2 2 2 6" xfId="10918" xr:uid="{00000000-0005-0000-0000-000027A60000}"/>
    <cellStyle name="Percent 5 2 2 2 6 2" xfId="30838" xr:uid="{00000000-0005-0000-0000-000028A60000}"/>
    <cellStyle name="Percent 5 2 2 2 7" xfId="17070" xr:uid="{00000000-0005-0000-0000-000029A60000}"/>
    <cellStyle name="Percent 5 2 2 2 7 2" xfId="36990" xr:uid="{00000000-0005-0000-0000-00002AA60000}"/>
    <cellStyle name="Percent 5 2 2 2 8" xfId="24685" xr:uid="{00000000-0005-0000-0000-00002BA60000}"/>
    <cellStyle name="Percent 5 2 2 3" xfId="4370" xr:uid="{00000000-0005-0000-0000-00002CA60000}"/>
    <cellStyle name="Percent 5 2 2 4" xfId="4643" xr:uid="{00000000-0005-0000-0000-00002DA60000}"/>
    <cellStyle name="Percent 5 2 2 4 2" xfId="6268" xr:uid="{00000000-0005-0000-0000-00002EA60000}"/>
    <cellStyle name="Percent 5 2 2 4 2 2" xfId="9354" xr:uid="{00000000-0005-0000-0000-00002FA60000}"/>
    <cellStyle name="Percent 5 2 2 4 2 2 2" xfId="15547" xr:uid="{00000000-0005-0000-0000-000030A60000}"/>
    <cellStyle name="Percent 5 2 2 4 2 2 2 2" xfId="35467" xr:uid="{00000000-0005-0000-0000-000031A60000}"/>
    <cellStyle name="Percent 5 2 2 4 2 2 3" xfId="21699" xr:uid="{00000000-0005-0000-0000-000032A60000}"/>
    <cellStyle name="Percent 5 2 2 4 2 2 3 2" xfId="41619" xr:uid="{00000000-0005-0000-0000-000033A60000}"/>
    <cellStyle name="Percent 5 2 2 4 2 2 4" xfId="29314" xr:uid="{00000000-0005-0000-0000-000034A60000}"/>
    <cellStyle name="Percent 5 2 2 4 2 3" xfId="12481" xr:uid="{00000000-0005-0000-0000-000035A60000}"/>
    <cellStyle name="Percent 5 2 2 4 2 3 2" xfId="32401" xr:uid="{00000000-0005-0000-0000-000036A60000}"/>
    <cellStyle name="Percent 5 2 2 4 2 4" xfId="18633" xr:uid="{00000000-0005-0000-0000-000037A60000}"/>
    <cellStyle name="Percent 5 2 2 4 2 4 2" xfId="38553" xr:uid="{00000000-0005-0000-0000-000038A60000}"/>
    <cellStyle name="Percent 5 2 2 4 2 5" xfId="26248" xr:uid="{00000000-0005-0000-0000-000039A60000}"/>
    <cellStyle name="Percent 5 2 2 4 3" xfId="7819" xr:uid="{00000000-0005-0000-0000-00003AA60000}"/>
    <cellStyle name="Percent 5 2 2 4 3 2" xfId="14013" xr:uid="{00000000-0005-0000-0000-00003BA60000}"/>
    <cellStyle name="Percent 5 2 2 4 3 2 2" xfId="33933" xr:uid="{00000000-0005-0000-0000-00003CA60000}"/>
    <cellStyle name="Percent 5 2 2 4 3 3" xfId="20165" xr:uid="{00000000-0005-0000-0000-00003DA60000}"/>
    <cellStyle name="Percent 5 2 2 4 3 3 2" xfId="40085" xr:uid="{00000000-0005-0000-0000-00003EA60000}"/>
    <cellStyle name="Percent 5 2 2 4 3 4" xfId="27780" xr:uid="{00000000-0005-0000-0000-00003FA60000}"/>
    <cellStyle name="Percent 5 2 2 4 4" xfId="10947" xr:uid="{00000000-0005-0000-0000-000040A60000}"/>
    <cellStyle name="Percent 5 2 2 4 4 2" xfId="30867" xr:uid="{00000000-0005-0000-0000-000041A60000}"/>
    <cellStyle name="Percent 5 2 2 4 5" xfId="17099" xr:uid="{00000000-0005-0000-0000-000042A60000}"/>
    <cellStyle name="Percent 5 2 2 4 5 2" xfId="37019" xr:uid="{00000000-0005-0000-0000-000043A60000}"/>
    <cellStyle name="Percent 5 2 2 4 6" xfId="24714" xr:uid="{00000000-0005-0000-0000-000044A60000}"/>
    <cellStyle name="Percent 5 2 2 5" xfId="5482" xr:uid="{00000000-0005-0000-0000-000045A60000}"/>
    <cellStyle name="Percent 5 2 2 5 2" xfId="8585" xr:uid="{00000000-0005-0000-0000-000046A60000}"/>
    <cellStyle name="Percent 5 2 2 5 2 2" xfId="14778" xr:uid="{00000000-0005-0000-0000-000047A60000}"/>
    <cellStyle name="Percent 5 2 2 5 2 2 2" xfId="34698" xr:uid="{00000000-0005-0000-0000-000048A60000}"/>
    <cellStyle name="Percent 5 2 2 5 2 3" xfId="20930" xr:uid="{00000000-0005-0000-0000-000049A60000}"/>
    <cellStyle name="Percent 5 2 2 5 2 3 2" xfId="40850" xr:uid="{00000000-0005-0000-0000-00004AA60000}"/>
    <cellStyle name="Percent 5 2 2 5 2 4" xfId="28545" xr:uid="{00000000-0005-0000-0000-00004BA60000}"/>
    <cellStyle name="Percent 5 2 2 5 3" xfId="11712" xr:uid="{00000000-0005-0000-0000-00004CA60000}"/>
    <cellStyle name="Percent 5 2 2 5 3 2" xfId="31632" xr:uid="{00000000-0005-0000-0000-00004DA60000}"/>
    <cellStyle name="Percent 5 2 2 5 4" xfId="17864" xr:uid="{00000000-0005-0000-0000-00004EA60000}"/>
    <cellStyle name="Percent 5 2 2 5 4 2" xfId="37784" xr:uid="{00000000-0005-0000-0000-00004FA60000}"/>
    <cellStyle name="Percent 5 2 2 5 5" xfId="25479" xr:uid="{00000000-0005-0000-0000-000050A60000}"/>
    <cellStyle name="Percent 5 2 2 6" xfId="7050" xr:uid="{00000000-0005-0000-0000-000051A60000}"/>
    <cellStyle name="Percent 5 2 2 6 2" xfId="13244" xr:uid="{00000000-0005-0000-0000-000052A60000}"/>
    <cellStyle name="Percent 5 2 2 6 2 2" xfId="33164" xr:uid="{00000000-0005-0000-0000-000053A60000}"/>
    <cellStyle name="Percent 5 2 2 6 3" xfId="19396" xr:uid="{00000000-0005-0000-0000-000054A60000}"/>
    <cellStyle name="Percent 5 2 2 6 3 2" xfId="39316" xr:uid="{00000000-0005-0000-0000-000055A60000}"/>
    <cellStyle name="Percent 5 2 2 6 4" xfId="27011" xr:uid="{00000000-0005-0000-0000-000056A60000}"/>
    <cellStyle name="Percent 5 2 2 7" xfId="10122" xr:uid="{00000000-0005-0000-0000-000057A60000}"/>
    <cellStyle name="Percent 5 2 2 7 2" xfId="16296" xr:uid="{00000000-0005-0000-0000-000058A60000}"/>
    <cellStyle name="Percent 5 2 2 7 2 2" xfId="36216" xr:uid="{00000000-0005-0000-0000-000059A60000}"/>
    <cellStyle name="Percent 5 2 2 7 3" xfId="22448" xr:uid="{00000000-0005-0000-0000-00005AA60000}"/>
    <cellStyle name="Percent 5 2 2 7 3 2" xfId="42368" xr:uid="{00000000-0005-0000-0000-00005BA60000}"/>
    <cellStyle name="Percent 5 2 2 7 4" xfId="30063" xr:uid="{00000000-0005-0000-0000-00005CA60000}"/>
    <cellStyle name="Percent 5 2 2 8" xfId="10178" xr:uid="{00000000-0005-0000-0000-00005DA60000}"/>
    <cellStyle name="Percent 5 2 2 8 2" xfId="30098" xr:uid="{00000000-0005-0000-0000-00005EA60000}"/>
    <cellStyle name="Percent 5 2 2 9" xfId="16330" xr:uid="{00000000-0005-0000-0000-00005FA60000}"/>
    <cellStyle name="Percent 5 2 2 9 2" xfId="36250" xr:uid="{00000000-0005-0000-0000-000060A60000}"/>
    <cellStyle name="Percent 5 2 3" xfId="4371" xr:uid="{00000000-0005-0000-0000-000061A60000}"/>
    <cellStyle name="Percent 5 2 3 2" xfId="10132" xr:uid="{00000000-0005-0000-0000-000062A60000}"/>
    <cellStyle name="Percent 5 2 3 2 2" xfId="16304" xr:uid="{00000000-0005-0000-0000-000063A60000}"/>
    <cellStyle name="Percent 5 2 3 2 2 2" xfId="36224" xr:uid="{00000000-0005-0000-0000-000064A60000}"/>
    <cellStyle name="Percent 5 2 3 2 3" xfId="22456" xr:uid="{00000000-0005-0000-0000-000065A60000}"/>
    <cellStyle name="Percent 5 2 3 2 3 2" xfId="42376" xr:uid="{00000000-0005-0000-0000-000066A60000}"/>
    <cellStyle name="Percent 5 2 3 2 4" xfId="30071" xr:uid="{00000000-0005-0000-0000-000067A60000}"/>
    <cellStyle name="Percent 5 2 4" xfId="4590" xr:uid="{00000000-0005-0000-0000-000068A60000}"/>
    <cellStyle name="Percent 5 2 4 2" xfId="5374" xr:uid="{00000000-0005-0000-0000-000069A60000}"/>
    <cellStyle name="Percent 5 2 4 2 2" xfId="6999" xr:uid="{00000000-0005-0000-0000-00006AA60000}"/>
    <cellStyle name="Percent 5 2 4 2 2 2" xfId="10085" xr:uid="{00000000-0005-0000-0000-00006BA60000}"/>
    <cellStyle name="Percent 5 2 4 2 2 2 2" xfId="16278" xr:uid="{00000000-0005-0000-0000-00006CA60000}"/>
    <cellStyle name="Percent 5 2 4 2 2 2 2 2" xfId="36198" xr:uid="{00000000-0005-0000-0000-00006DA60000}"/>
    <cellStyle name="Percent 5 2 4 2 2 2 3" xfId="22430" xr:uid="{00000000-0005-0000-0000-00006EA60000}"/>
    <cellStyle name="Percent 5 2 4 2 2 2 3 2" xfId="42350" xr:uid="{00000000-0005-0000-0000-00006FA60000}"/>
    <cellStyle name="Percent 5 2 4 2 2 2 4" xfId="30045" xr:uid="{00000000-0005-0000-0000-000070A60000}"/>
    <cellStyle name="Percent 5 2 4 2 2 3" xfId="13212" xr:uid="{00000000-0005-0000-0000-000071A60000}"/>
    <cellStyle name="Percent 5 2 4 2 2 3 2" xfId="33132" xr:uid="{00000000-0005-0000-0000-000072A60000}"/>
    <cellStyle name="Percent 5 2 4 2 2 4" xfId="19364" xr:uid="{00000000-0005-0000-0000-000073A60000}"/>
    <cellStyle name="Percent 5 2 4 2 2 4 2" xfId="39284" xr:uid="{00000000-0005-0000-0000-000074A60000}"/>
    <cellStyle name="Percent 5 2 4 2 2 5" xfId="26979" xr:uid="{00000000-0005-0000-0000-000075A60000}"/>
    <cellStyle name="Percent 5 2 4 2 3" xfId="8550" xr:uid="{00000000-0005-0000-0000-000076A60000}"/>
    <cellStyle name="Percent 5 2 4 2 3 2" xfId="14744" xr:uid="{00000000-0005-0000-0000-000077A60000}"/>
    <cellStyle name="Percent 5 2 4 2 3 2 2" xfId="34664" xr:uid="{00000000-0005-0000-0000-000078A60000}"/>
    <cellStyle name="Percent 5 2 4 2 3 3" xfId="20896" xr:uid="{00000000-0005-0000-0000-000079A60000}"/>
    <cellStyle name="Percent 5 2 4 2 3 3 2" xfId="40816" xr:uid="{00000000-0005-0000-0000-00007AA60000}"/>
    <cellStyle name="Percent 5 2 4 2 3 4" xfId="28511" xr:uid="{00000000-0005-0000-0000-00007BA60000}"/>
    <cellStyle name="Percent 5 2 4 2 4" xfId="11678" xr:uid="{00000000-0005-0000-0000-00007CA60000}"/>
    <cellStyle name="Percent 5 2 4 2 4 2" xfId="31598" xr:uid="{00000000-0005-0000-0000-00007DA60000}"/>
    <cellStyle name="Percent 5 2 4 2 5" xfId="17830" xr:uid="{00000000-0005-0000-0000-00007EA60000}"/>
    <cellStyle name="Percent 5 2 4 2 5 2" xfId="37750" xr:uid="{00000000-0005-0000-0000-00007FA60000}"/>
    <cellStyle name="Percent 5 2 4 2 6" xfId="25445" xr:uid="{00000000-0005-0000-0000-000080A60000}"/>
    <cellStyle name="Percent 5 2 4 3" xfId="6230" xr:uid="{00000000-0005-0000-0000-000081A60000}"/>
    <cellStyle name="Percent 5 2 4 3 2" xfId="9316" xr:uid="{00000000-0005-0000-0000-000082A60000}"/>
    <cellStyle name="Percent 5 2 4 3 2 2" xfId="15509" xr:uid="{00000000-0005-0000-0000-000083A60000}"/>
    <cellStyle name="Percent 5 2 4 3 2 2 2" xfId="35429" xr:uid="{00000000-0005-0000-0000-000084A60000}"/>
    <cellStyle name="Percent 5 2 4 3 2 3" xfId="21661" xr:uid="{00000000-0005-0000-0000-000085A60000}"/>
    <cellStyle name="Percent 5 2 4 3 2 3 2" xfId="41581" xr:uid="{00000000-0005-0000-0000-000086A60000}"/>
    <cellStyle name="Percent 5 2 4 3 2 4" xfId="29276" xr:uid="{00000000-0005-0000-0000-000087A60000}"/>
    <cellStyle name="Percent 5 2 4 3 3" xfId="12443" xr:uid="{00000000-0005-0000-0000-000088A60000}"/>
    <cellStyle name="Percent 5 2 4 3 3 2" xfId="32363" xr:uid="{00000000-0005-0000-0000-000089A60000}"/>
    <cellStyle name="Percent 5 2 4 3 4" xfId="18595" xr:uid="{00000000-0005-0000-0000-00008AA60000}"/>
    <cellStyle name="Percent 5 2 4 3 4 2" xfId="38515" xr:uid="{00000000-0005-0000-0000-00008BA60000}"/>
    <cellStyle name="Percent 5 2 4 3 5" xfId="26210" xr:uid="{00000000-0005-0000-0000-00008CA60000}"/>
    <cellStyle name="Percent 5 2 4 4" xfId="7781" xr:uid="{00000000-0005-0000-0000-00008DA60000}"/>
    <cellStyle name="Percent 5 2 4 4 2" xfId="13975" xr:uid="{00000000-0005-0000-0000-00008EA60000}"/>
    <cellStyle name="Percent 5 2 4 4 2 2" xfId="33895" xr:uid="{00000000-0005-0000-0000-00008FA60000}"/>
    <cellStyle name="Percent 5 2 4 4 3" xfId="20127" xr:uid="{00000000-0005-0000-0000-000090A60000}"/>
    <cellStyle name="Percent 5 2 4 4 3 2" xfId="40047" xr:uid="{00000000-0005-0000-0000-000091A60000}"/>
    <cellStyle name="Percent 5 2 4 4 4" xfId="27742" xr:uid="{00000000-0005-0000-0000-000092A60000}"/>
    <cellStyle name="Percent 5 2 4 5" xfId="10909" xr:uid="{00000000-0005-0000-0000-000093A60000}"/>
    <cellStyle name="Percent 5 2 4 5 2" xfId="30829" xr:uid="{00000000-0005-0000-0000-000094A60000}"/>
    <cellStyle name="Percent 5 2 4 6" xfId="17061" xr:uid="{00000000-0005-0000-0000-000095A60000}"/>
    <cellStyle name="Percent 5 2 4 6 2" xfId="36981" xr:uid="{00000000-0005-0000-0000-000096A60000}"/>
    <cellStyle name="Percent 5 2 4 7" xfId="24676" xr:uid="{00000000-0005-0000-0000-000097A60000}"/>
    <cellStyle name="Percent 5 2 5" xfId="4369" xr:uid="{00000000-0005-0000-0000-000098A60000}"/>
    <cellStyle name="Percent 5 2 6" xfId="4632" xr:uid="{00000000-0005-0000-0000-000099A60000}"/>
    <cellStyle name="Percent 5 2 6 2" xfId="6257" xr:uid="{00000000-0005-0000-0000-00009AA60000}"/>
    <cellStyle name="Percent 5 2 6 2 2" xfId="9343" xr:uid="{00000000-0005-0000-0000-00009BA60000}"/>
    <cellStyle name="Percent 5 2 6 2 2 2" xfId="15536" xr:uid="{00000000-0005-0000-0000-00009CA60000}"/>
    <cellStyle name="Percent 5 2 6 2 2 2 2" xfId="35456" xr:uid="{00000000-0005-0000-0000-00009DA60000}"/>
    <cellStyle name="Percent 5 2 6 2 2 3" xfId="21688" xr:uid="{00000000-0005-0000-0000-00009EA60000}"/>
    <cellStyle name="Percent 5 2 6 2 2 3 2" xfId="41608" xr:uid="{00000000-0005-0000-0000-00009FA60000}"/>
    <cellStyle name="Percent 5 2 6 2 2 4" xfId="29303" xr:uid="{00000000-0005-0000-0000-0000A0A60000}"/>
    <cellStyle name="Percent 5 2 6 2 3" xfId="12470" xr:uid="{00000000-0005-0000-0000-0000A1A60000}"/>
    <cellStyle name="Percent 5 2 6 2 3 2" xfId="32390" xr:uid="{00000000-0005-0000-0000-0000A2A60000}"/>
    <cellStyle name="Percent 5 2 6 2 4" xfId="18622" xr:uid="{00000000-0005-0000-0000-0000A3A60000}"/>
    <cellStyle name="Percent 5 2 6 2 4 2" xfId="38542" xr:uid="{00000000-0005-0000-0000-0000A4A60000}"/>
    <cellStyle name="Percent 5 2 6 2 5" xfId="26237" xr:uid="{00000000-0005-0000-0000-0000A5A60000}"/>
    <cellStyle name="Percent 5 2 6 3" xfId="7808" xr:uid="{00000000-0005-0000-0000-0000A6A60000}"/>
    <cellStyle name="Percent 5 2 6 3 2" xfId="14002" xr:uid="{00000000-0005-0000-0000-0000A7A60000}"/>
    <cellStyle name="Percent 5 2 6 3 2 2" xfId="33922" xr:uid="{00000000-0005-0000-0000-0000A8A60000}"/>
    <cellStyle name="Percent 5 2 6 3 3" xfId="20154" xr:uid="{00000000-0005-0000-0000-0000A9A60000}"/>
    <cellStyle name="Percent 5 2 6 3 3 2" xfId="40074" xr:uid="{00000000-0005-0000-0000-0000AAA60000}"/>
    <cellStyle name="Percent 5 2 6 3 4" xfId="27769" xr:uid="{00000000-0005-0000-0000-0000ABA60000}"/>
    <cellStyle name="Percent 5 2 6 4" xfId="10936" xr:uid="{00000000-0005-0000-0000-0000ACA60000}"/>
    <cellStyle name="Percent 5 2 6 4 2" xfId="30856" xr:uid="{00000000-0005-0000-0000-0000ADA60000}"/>
    <cellStyle name="Percent 5 2 6 5" xfId="17088" xr:uid="{00000000-0005-0000-0000-0000AEA60000}"/>
    <cellStyle name="Percent 5 2 6 5 2" xfId="37008" xr:uid="{00000000-0005-0000-0000-0000AFA60000}"/>
    <cellStyle name="Percent 5 2 6 6" xfId="24703" xr:uid="{00000000-0005-0000-0000-0000B0A60000}"/>
    <cellStyle name="Percent 5 2 7" xfId="5470" xr:uid="{00000000-0005-0000-0000-0000B1A60000}"/>
    <cellStyle name="Percent 5 2 7 2" xfId="8574" xr:uid="{00000000-0005-0000-0000-0000B2A60000}"/>
    <cellStyle name="Percent 5 2 7 2 2" xfId="14767" xr:uid="{00000000-0005-0000-0000-0000B3A60000}"/>
    <cellStyle name="Percent 5 2 7 2 2 2" xfId="34687" xr:uid="{00000000-0005-0000-0000-0000B4A60000}"/>
    <cellStyle name="Percent 5 2 7 2 3" xfId="20919" xr:uid="{00000000-0005-0000-0000-0000B5A60000}"/>
    <cellStyle name="Percent 5 2 7 2 3 2" xfId="40839" xr:uid="{00000000-0005-0000-0000-0000B6A60000}"/>
    <cellStyle name="Percent 5 2 7 2 4" xfId="28534" xr:uid="{00000000-0005-0000-0000-0000B7A60000}"/>
    <cellStyle name="Percent 5 2 7 3" xfId="11701" xr:uid="{00000000-0005-0000-0000-0000B8A60000}"/>
    <cellStyle name="Percent 5 2 7 3 2" xfId="31621" xr:uid="{00000000-0005-0000-0000-0000B9A60000}"/>
    <cellStyle name="Percent 5 2 7 4" xfId="17853" xr:uid="{00000000-0005-0000-0000-0000BAA60000}"/>
    <cellStyle name="Percent 5 2 7 4 2" xfId="37773" xr:uid="{00000000-0005-0000-0000-0000BBA60000}"/>
    <cellStyle name="Percent 5 2 7 5" xfId="25468" xr:uid="{00000000-0005-0000-0000-0000BCA60000}"/>
    <cellStyle name="Percent 5 2 8" xfId="7039" xr:uid="{00000000-0005-0000-0000-0000BDA60000}"/>
    <cellStyle name="Percent 5 2 8 2" xfId="13233" xr:uid="{00000000-0005-0000-0000-0000BEA60000}"/>
    <cellStyle name="Percent 5 2 8 2 2" xfId="33153" xr:uid="{00000000-0005-0000-0000-0000BFA60000}"/>
    <cellStyle name="Percent 5 2 8 3" xfId="19385" xr:uid="{00000000-0005-0000-0000-0000C0A60000}"/>
    <cellStyle name="Percent 5 2 8 3 2" xfId="39305" xr:uid="{00000000-0005-0000-0000-0000C1A60000}"/>
    <cellStyle name="Percent 5 2 8 4" xfId="27000" xr:uid="{00000000-0005-0000-0000-0000C2A60000}"/>
    <cellStyle name="Percent 5 2 9" xfId="10121" xr:uid="{00000000-0005-0000-0000-0000C3A60000}"/>
    <cellStyle name="Percent 5 2 9 2" xfId="16295" xr:uid="{00000000-0005-0000-0000-0000C4A60000}"/>
    <cellStyle name="Percent 5 2 9 2 2" xfId="36215" xr:uid="{00000000-0005-0000-0000-0000C5A60000}"/>
    <cellStyle name="Percent 5 2 9 3" xfId="22447" xr:uid="{00000000-0005-0000-0000-0000C6A60000}"/>
    <cellStyle name="Percent 5 2 9 3 2" xfId="42367" xr:uid="{00000000-0005-0000-0000-0000C7A60000}"/>
    <cellStyle name="Percent 5 2 9 4" xfId="30062" xr:uid="{00000000-0005-0000-0000-0000C8A60000}"/>
    <cellStyle name="Percent 5 20" xfId="525" xr:uid="{00000000-0005-0000-0000-0000C9A60000}"/>
    <cellStyle name="Percent 5 20 2" xfId="906" xr:uid="{00000000-0005-0000-0000-0000CAA60000}"/>
    <cellStyle name="Percent 5 20 2 2" xfId="23788" xr:uid="{00000000-0005-0000-0000-0000CBA60000}"/>
    <cellStyle name="Percent 5 20 3" xfId="22608" xr:uid="{00000000-0005-0000-0000-0000CCA60000}"/>
    <cellStyle name="Percent 5 20 3 2" xfId="42519" xr:uid="{00000000-0005-0000-0000-0000CDA60000}"/>
    <cellStyle name="Percent 5 20 4" xfId="22871" xr:uid="{00000000-0005-0000-0000-0000CEA60000}"/>
    <cellStyle name="Percent 5 20 4 2" xfId="42782" xr:uid="{00000000-0005-0000-0000-0000CFA60000}"/>
    <cellStyle name="Percent 5 20 5" xfId="23174" xr:uid="{00000000-0005-0000-0000-0000D0A60000}"/>
    <cellStyle name="Percent 5 20 5 2" xfId="43085" xr:uid="{00000000-0005-0000-0000-0000D1A60000}"/>
    <cellStyle name="Percent 5 20 6" xfId="23485" xr:uid="{00000000-0005-0000-0000-0000D2A60000}"/>
    <cellStyle name="Percent 5 21" xfId="551" xr:uid="{00000000-0005-0000-0000-0000D3A60000}"/>
    <cellStyle name="Percent 5 21 2" xfId="922" xr:uid="{00000000-0005-0000-0000-0000D4A60000}"/>
    <cellStyle name="Percent 5 21 2 2" xfId="23804" xr:uid="{00000000-0005-0000-0000-0000D5A60000}"/>
    <cellStyle name="Percent 5 21 3" xfId="22634" xr:uid="{00000000-0005-0000-0000-0000D6A60000}"/>
    <cellStyle name="Percent 5 21 3 2" xfId="42545" xr:uid="{00000000-0005-0000-0000-0000D7A60000}"/>
    <cellStyle name="Percent 5 21 4" xfId="22887" xr:uid="{00000000-0005-0000-0000-0000D8A60000}"/>
    <cellStyle name="Percent 5 21 4 2" xfId="42798" xr:uid="{00000000-0005-0000-0000-0000D9A60000}"/>
    <cellStyle name="Percent 5 21 5" xfId="23190" xr:uid="{00000000-0005-0000-0000-0000DAA60000}"/>
    <cellStyle name="Percent 5 21 5 2" xfId="43101" xr:uid="{00000000-0005-0000-0000-0000DBA60000}"/>
    <cellStyle name="Percent 5 21 6" xfId="23501" xr:uid="{00000000-0005-0000-0000-0000DCA60000}"/>
    <cellStyle name="Percent 5 22" xfId="591" xr:uid="{00000000-0005-0000-0000-0000DDA60000}"/>
    <cellStyle name="Percent 5 22 2" xfId="938" xr:uid="{00000000-0005-0000-0000-0000DEA60000}"/>
    <cellStyle name="Percent 5 22 2 2" xfId="23820" xr:uid="{00000000-0005-0000-0000-0000DFA60000}"/>
    <cellStyle name="Percent 5 22 3" xfId="22525" xr:uid="{00000000-0005-0000-0000-0000E0A60000}"/>
    <cellStyle name="Percent 5 22 3 2" xfId="42436" xr:uid="{00000000-0005-0000-0000-0000E1A60000}"/>
    <cellStyle name="Percent 5 22 4" xfId="22903" xr:uid="{00000000-0005-0000-0000-0000E2A60000}"/>
    <cellStyle name="Percent 5 22 4 2" xfId="42814" xr:uid="{00000000-0005-0000-0000-0000E3A60000}"/>
    <cellStyle name="Percent 5 22 5" xfId="23206" xr:uid="{00000000-0005-0000-0000-0000E4A60000}"/>
    <cellStyle name="Percent 5 22 5 2" xfId="43117" xr:uid="{00000000-0005-0000-0000-0000E5A60000}"/>
    <cellStyle name="Percent 5 22 6" xfId="23517" xr:uid="{00000000-0005-0000-0000-0000E6A60000}"/>
    <cellStyle name="Percent 5 23" xfId="619" xr:uid="{00000000-0005-0000-0000-0000E7A60000}"/>
    <cellStyle name="Percent 5 23 2" xfId="954" xr:uid="{00000000-0005-0000-0000-0000E8A60000}"/>
    <cellStyle name="Percent 5 23 2 2" xfId="23836" xr:uid="{00000000-0005-0000-0000-0000E9A60000}"/>
    <cellStyle name="Percent 5 23 3" xfId="22618" xr:uid="{00000000-0005-0000-0000-0000EAA60000}"/>
    <cellStyle name="Percent 5 23 3 2" xfId="42529" xr:uid="{00000000-0005-0000-0000-0000EBA60000}"/>
    <cellStyle name="Percent 5 23 4" xfId="22919" xr:uid="{00000000-0005-0000-0000-0000ECA60000}"/>
    <cellStyle name="Percent 5 23 4 2" xfId="42830" xr:uid="{00000000-0005-0000-0000-0000EDA60000}"/>
    <cellStyle name="Percent 5 23 5" xfId="23222" xr:uid="{00000000-0005-0000-0000-0000EEA60000}"/>
    <cellStyle name="Percent 5 23 5 2" xfId="43133" xr:uid="{00000000-0005-0000-0000-0000EFA60000}"/>
    <cellStyle name="Percent 5 23 6" xfId="23533" xr:uid="{00000000-0005-0000-0000-0000F0A60000}"/>
    <cellStyle name="Percent 5 24" xfId="645" xr:uid="{00000000-0005-0000-0000-0000F1A60000}"/>
    <cellStyle name="Percent 5 24 2" xfId="970" xr:uid="{00000000-0005-0000-0000-0000F2A60000}"/>
    <cellStyle name="Percent 5 24 2 2" xfId="23852" xr:uid="{00000000-0005-0000-0000-0000F3A60000}"/>
    <cellStyle name="Percent 5 24 3" xfId="22586" xr:uid="{00000000-0005-0000-0000-0000F4A60000}"/>
    <cellStyle name="Percent 5 24 3 2" xfId="42497" xr:uid="{00000000-0005-0000-0000-0000F5A60000}"/>
    <cellStyle name="Percent 5 24 4" xfId="22935" xr:uid="{00000000-0005-0000-0000-0000F6A60000}"/>
    <cellStyle name="Percent 5 24 4 2" xfId="42846" xr:uid="{00000000-0005-0000-0000-0000F7A60000}"/>
    <cellStyle name="Percent 5 24 5" xfId="23238" xr:uid="{00000000-0005-0000-0000-0000F8A60000}"/>
    <cellStyle name="Percent 5 24 5 2" xfId="43149" xr:uid="{00000000-0005-0000-0000-0000F9A60000}"/>
    <cellStyle name="Percent 5 24 6" xfId="23549" xr:uid="{00000000-0005-0000-0000-0000FAA60000}"/>
    <cellStyle name="Percent 5 25" xfId="670" xr:uid="{00000000-0005-0000-0000-0000FBA60000}"/>
    <cellStyle name="Percent 5 25 2" xfId="986" xr:uid="{00000000-0005-0000-0000-0000FCA60000}"/>
    <cellStyle name="Percent 5 25 2 2" xfId="23868" xr:uid="{00000000-0005-0000-0000-0000FDA60000}"/>
    <cellStyle name="Percent 5 25 3" xfId="22531" xr:uid="{00000000-0005-0000-0000-0000FEA60000}"/>
    <cellStyle name="Percent 5 25 3 2" xfId="42442" xr:uid="{00000000-0005-0000-0000-0000FFA60000}"/>
    <cellStyle name="Percent 5 25 4" xfId="22951" xr:uid="{00000000-0005-0000-0000-000000A70000}"/>
    <cellStyle name="Percent 5 25 4 2" xfId="42862" xr:uid="{00000000-0005-0000-0000-000001A70000}"/>
    <cellStyle name="Percent 5 25 5" xfId="23254" xr:uid="{00000000-0005-0000-0000-000002A70000}"/>
    <cellStyle name="Percent 5 25 5 2" xfId="43165" xr:uid="{00000000-0005-0000-0000-000003A70000}"/>
    <cellStyle name="Percent 5 25 6" xfId="23565" xr:uid="{00000000-0005-0000-0000-000004A70000}"/>
    <cellStyle name="Percent 5 26" xfId="694" xr:uid="{00000000-0005-0000-0000-000005A70000}"/>
    <cellStyle name="Percent 5 26 2" xfId="1002" xr:uid="{00000000-0005-0000-0000-000006A70000}"/>
    <cellStyle name="Percent 5 26 2 2" xfId="23884" xr:uid="{00000000-0005-0000-0000-000007A70000}"/>
    <cellStyle name="Percent 5 26 3" xfId="22670" xr:uid="{00000000-0005-0000-0000-000008A70000}"/>
    <cellStyle name="Percent 5 26 3 2" xfId="42581" xr:uid="{00000000-0005-0000-0000-000009A70000}"/>
    <cellStyle name="Percent 5 26 4" xfId="22967" xr:uid="{00000000-0005-0000-0000-00000AA70000}"/>
    <cellStyle name="Percent 5 26 4 2" xfId="42878" xr:uid="{00000000-0005-0000-0000-00000BA70000}"/>
    <cellStyle name="Percent 5 26 5" xfId="23270" xr:uid="{00000000-0005-0000-0000-00000CA70000}"/>
    <cellStyle name="Percent 5 26 5 2" xfId="43181" xr:uid="{00000000-0005-0000-0000-00000DA70000}"/>
    <cellStyle name="Percent 5 26 6" xfId="23581" xr:uid="{00000000-0005-0000-0000-00000EA70000}"/>
    <cellStyle name="Percent 5 27" xfId="710" xr:uid="{00000000-0005-0000-0000-00000FA70000}"/>
    <cellStyle name="Percent 5 27 2" xfId="1018" xr:uid="{00000000-0005-0000-0000-000010A70000}"/>
    <cellStyle name="Percent 5 27 2 2" xfId="23900" xr:uid="{00000000-0005-0000-0000-000011A70000}"/>
    <cellStyle name="Percent 5 27 3" xfId="22591" xr:uid="{00000000-0005-0000-0000-000012A70000}"/>
    <cellStyle name="Percent 5 27 3 2" xfId="42502" xr:uid="{00000000-0005-0000-0000-000013A70000}"/>
    <cellStyle name="Percent 5 27 4" xfId="22983" xr:uid="{00000000-0005-0000-0000-000014A70000}"/>
    <cellStyle name="Percent 5 27 4 2" xfId="42894" xr:uid="{00000000-0005-0000-0000-000015A70000}"/>
    <cellStyle name="Percent 5 27 5" xfId="23286" xr:uid="{00000000-0005-0000-0000-000016A70000}"/>
    <cellStyle name="Percent 5 27 5 2" xfId="43197" xr:uid="{00000000-0005-0000-0000-000017A70000}"/>
    <cellStyle name="Percent 5 27 6" xfId="23597" xr:uid="{00000000-0005-0000-0000-000018A70000}"/>
    <cellStyle name="Percent 5 28" xfId="726" xr:uid="{00000000-0005-0000-0000-000019A70000}"/>
    <cellStyle name="Percent 5 28 2" xfId="1034" xr:uid="{00000000-0005-0000-0000-00001AA70000}"/>
    <cellStyle name="Percent 5 28 2 2" xfId="23916" xr:uid="{00000000-0005-0000-0000-00001BA70000}"/>
    <cellStyle name="Percent 5 28 3" xfId="22578" xr:uid="{00000000-0005-0000-0000-00001CA70000}"/>
    <cellStyle name="Percent 5 28 3 2" xfId="42489" xr:uid="{00000000-0005-0000-0000-00001DA70000}"/>
    <cellStyle name="Percent 5 28 4" xfId="22999" xr:uid="{00000000-0005-0000-0000-00001EA70000}"/>
    <cellStyle name="Percent 5 28 4 2" xfId="42910" xr:uid="{00000000-0005-0000-0000-00001FA70000}"/>
    <cellStyle name="Percent 5 28 5" xfId="23302" xr:uid="{00000000-0005-0000-0000-000020A70000}"/>
    <cellStyle name="Percent 5 28 5 2" xfId="43213" xr:uid="{00000000-0005-0000-0000-000021A70000}"/>
    <cellStyle name="Percent 5 28 6" xfId="23613" xr:uid="{00000000-0005-0000-0000-000022A70000}"/>
    <cellStyle name="Percent 5 3" xfId="201" xr:uid="{00000000-0005-0000-0000-000023A70000}"/>
    <cellStyle name="Percent 5 3 10" xfId="1189" xr:uid="{00000000-0005-0000-0000-000024A70000}"/>
    <cellStyle name="Percent 5 3 10 2" xfId="23939" xr:uid="{00000000-0005-0000-0000-000025A70000}"/>
    <cellStyle name="Percent 5 3 11" xfId="22742" xr:uid="{00000000-0005-0000-0000-000026A70000}"/>
    <cellStyle name="Percent 5 3 11 2" xfId="42653" xr:uid="{00000000-0005-0000-0000-000027A70000}"/>
    <cellStyle name="Percent 5 3 12" xfId="23045" xr:uid="{00000000-0005-0000-0000-000028A70000}"/>
    <cellStyle name="Percent 5 3 12 2" xfId="42956" xr:uid="{00000000-0005-0000-0000-000029A70000}"/>
    <cellStyle name="Percent 5 3 13" xfId="23356" xr:uid="{00000000-0005-0000-0000-00002AA70000}"/>
    <cellStyle name="Percent 5 3 2" xfId="777" xr:uid="{00000000-0005-0000-0000-00002BA70000}"/>
    <cellStyle name="Percent 5 3 2 2" xfId="5378" xr:uid="{00000000-0005-0000-0000-00002CA70000}"/>
    <cellStyle name="Percent 5 3 2 2 2" xfId="7003" xr:uid="{00000000-0005-0000-0000-00002DA70000}"/>
    <cellStyle name="Percent 5 3 2 2 2 2" xfId="10089" xr:uid="{00000000-0005-0000-0000-00002EA70000}"/>
    <cellStyle name="Percent 5 3 2 2 2 2 2" xfId="16282" xr:uid="{00000000-0005-0000-0000-00002FA70000}"/>
    <cellStyle name="Percent 5 3 2 2 2 2 2 2" xfId="36202" xr:uid="{00000000-0005-0000-0000-000030A70000}"/>
    <cellStyle name="Percent 5 3 2 2 2 2 3" xfId="22434" xr:uid="{00000000-0005-0000-0000-000031A70000}"/>
    <cellStyle name="Percent 5 3 2 2 2 2 3 2" xfId="42354" xr:uid="{00000000-0005-0000-0000-000032A70000}"/>
    <cellStyle name="Percent 5 3 2 2 2 2 4" xfId="30049" xr:uid="{00000000-0005-0000-0000-000033A70000}"/>
    <cellStyle name="Percent 5 3 2 2 2 3" xfId="13216" xr:uid="{00000000-0005-0000-0000-000034A70000}"/>
    <cellStyle name="Percent 5 3 2 2 2 3 2" xfId="33136" xr:uid="{00000000-0005-0000-0000-000035A70000}"/>
    <cellStyle name="Percent 5 3 2 2 2 4" xfId="19368" xr:uid="{00000000-0005-0000-0000-000036A70000}"/>
    <cellStyle name="Percent 5 3 2 2 2 4 2" xfId="39288" xr:uid="{00000000-0005-0000-0000-000037A70000}"/>
    <cellStyle name="Percent 5 3 2 2 2 5" xfId="26983" xr:uid="{00000000-0005-0000-0000-000038A70000}"/>
    <cellStyle name="Percent 5 3 2 2 3" xfId="8554" xr:uid="{00000000-0005-0000-0000-000039A70000}"/>
    <cellStyle name="Percent 5 3 2 2 3 2" xfId="14748" xr:uid="{00000000-0005-0000-0000-00003AA70000}"/>
    <cellStyle name="Percent 5 3 2 2 3 2 2" xfId="34668" xr:uid="{00000000-0005-0000-0000-00003BA70000}"/>
    <cellStyle name="Percent 5 3 2 2 3 3" xfId="20900" xr:uid="{00000000-0005-0000-0000-00003CA70000}"/>
    <cellStyle name="Percent 5 3 2 2 3 3 2" xfId="40820" xr:uid="{00000000-0005-0000-0000-00003DA70000}"/>
    <cellStyle name="Percent 5 3 2 2 3 4" xfId="28515" xr:uid="{00000000-0005-0000-0000-00003EA70000}"/>
    <cellStyle name="Percent 5 3 2 2 4" xfId="11682" xr:uid="{00000000-0005-0000-0000-00003FA70000}"/>
    <cellStyle name="Percent 5 3 2 2 4 2" xfId="31602" xr:uid="{00000000-0005-0000-0000-000040A70000}"/>
    <cellStyle name="Percent 5 3 2 2 5" xfId="17834" xr:uid="{00000000-0005-0000-0000-000041A70000}"/>
    <cellStyle name="Percent 5 3 2 2 5 2" xfId="37754" xr:uid="{00000000-0005-0000-0000-000042A70000}"/>
    <cellStyle name="Percent 5 3 2 2 6" xfId="25449" xr:uid="{00000000-0005-0000-0000-000043A70000}"/>
    <cellStyle name="Percent 5 3 2 3" xfId="6234" xr:uid="{00000000-0005-0000-0000-000044A70000}"/>
    <cellStyle name="Percent 5 3 2 3 2" xfId="9320" xr:uid="{00000000-0005-0000-0000-000045A70000}"/>
    <cellStyle name="Percent 5 3 2 3 2 2" xfId="15513" xr:uid="{00000000-0005-0000-0000-000046A70000}"/>
    <cellStyle name="Percent 5 3 2 3 2 2 2" xfId="35433" xr:uid="{00000000-0005-0000-0000-000047A70000}"/>
    <cellStyle name="Percent 5 3 2 3 2 3" xfId="21665" xr:uid="{00000000-0005-0000-0000-000048A70000}"/>
    <cellStyle name="Percent 5 3 2 3 2 3 2" xfId="41585" xr:uid="{00000000-0005-0000-0000-000049A70000}"/>
    <cellStyle name="Percent 5 3 2 3 2 4" xfId="29280" xr:uid="{00000000-0005-0000-0000-00004AA70000}"/>
    <cellStyle name="Percent 5 3 2 3 3" xfId="12447" xr:uid="{00000000-0005-0000-0000-00004BA70000}"/>
    <cellStyle name="Percent 5 3 2 3 3 2" xfId="32367" xr:uid="{00000000-0005-0000-0000-00004CA70000}"/>
    <cellStyle name="Percent 5 3 2 3 4" xfId="18599" xr:uid="{00000000-0005-0000-0000-00004DA70000}"/>
    <cellStyle name="Percent 5 3 2 3 4 2" xfId="38519" xr:uid="{00000000-0005-0000-0000-00004EA70000}"/>
    <cellStyle name="Percent 5 3 2 3 5" xfId="26214" xr:uid="{00000000-0005-0000-0000-00004FA70000}"/>
    <cellStyle name="Percent 5 3 2 4" xfId="7785" xr:uid="{00000000-0005-0000-0000-000050A70000}"/>
    <cellStyle name="Percent 5 3 2 4 2" xfId="13979" xr:uid="{00000000-0005-0000-0000-000051A70000}"/>
    <cellStyle name="Percent 5 3 2 4 2 2" xfId="33899" xr:uid="{00000000-0005-0000-0000-000052A70000}"/>
    <cellStyle name="Percent 5 3 2 4 3" xfId="20131" xr:uid="{00000000-0005-0000-0000-000053A70000}"/>
    <cellStyle name="Percent 5 3 2 4 3 2" xfId="40051" xr:uid="{00000000-0005-0000-0000-000054A70000}"/>
    <cellStyle name="Percent 5 3 2 4 4" xfId="27746" xr:uid="{00000000-0005-0000-0000-000055A70000}"/>
    <cellStyle name="Percent 5 3 2 5" xfId="10913" xr:uid="{00000000-0005-0000-0000-000056A70000}"/>
    <cellStyle name="Percent 5 3 2 5 2" xfId="30833" xr:uid="{00000000-0005-0000-0000-000057A70000}"/>
    <cellStyle name="Percent 5 3 2 6" xfId="17065" xr:uid="{00000000-0005-0000-0000-000058A70000}"/>
    <cellStyle name="Percent 5 3 2 6 2" xfId="36985" xr:uid="{00000000-0005-0000-0000-000059A70000}"/>
    <cellStyle name="Percent 5 3 2 7" xfId="4602" xr:uid="{00000000-0005-0000-0000-00005AA70000}"/>
    <cellStyle name="Percent 5 3 2 7 2" xfId="24680" xr:uid="{00000000-0005-0000-0000-00005BA70000}"/>
    <cellStyle name="Percent 5 3 2 8" xfId="23659" xr:uid="{00000000-0005-0000-0000-00005CA70000}"/>
    <cellStyle name="Percent 5 3 3" xfId="4372" xr:uid="{00000000-0005-0000-0000-00005DA70000}"/>
    <cellStyle name="Percent 5 3 4" xfId="4637" xr:uid="{00000000-0005-0000-0000-00005EA70000}"/>
    <cellStyle name="Percent 5 3 4 2" xfId="6262" xr:uid="{00000000-0005-0000-0000-00005FA70000}"/>
    <cellStyle name="Percent 5 3 4 2 2" xfId="9348" xr:uid="{00000000-0005-0000-0000-000060A70000}"/>
    <cellStyle name="Percent 5 3 4 2 2 2" xfId="15541" xr:uid="{00000000-0005-0000-0000-000061A70000}"/>
    <cellStyle name="Percent 5 3 4 2 2 2 2" xfId="35461" xr:uid="{00000000-0005-0000-0000-000062A70000}"/>
    <cellStyle name="Percent 5 3 4 2 2 3" xfId="21693" xr:uid="{00000000-0005-0000-0000-000063A70000}"/>
    <cellStyle name="Percent 5 3 4 2 2 3 2" xfId="41613" xr:uid="{00000000-0005-0000-0000-000064A70000}"/>
    <cellStyle name="Percent 5 3 4 2 2 4" xfId="29308" xr:uid="{00000000-0005-0000-0000-000065A70000}"/>
    <cellStyle name="Percent 5 3 4 2 3" xfId="12475" xr:uid="{00000000-0005-0000-0000-000066A70000}"/>
    <cellStyle name="Percent 5 3 4 2 3 2" xfId="32395" xr:uid="{00000000-0005-0000-0000-000067A70000}"/>
    <cellStyle name="Percent 5 3 4 2 4" xfId="18627" xr:uid="{00000000-0005-0000-0000-000068A70000}"/>
    <cellStyle name="Percent 5 3 4 2 4 2" xfId="38547" xr:uid="{00000000-0005-0000-0000-000069A70000}"/>
    <cellStyle name="Percent 5 3 4 2 5" xfId="26242" xr:uid="{00000000-0005-0000-0000-00006AA70000}"/>
    <cellStyle name="Percent 5 3 4 3" xfId="7813" xr:uid="{00000000-0005-0000-0000-00006BA70000}"/>
    <cellStyle name="Percent 5 3 4 3 2" xfId="14007" xr:uid="{00000000-0005-0000-0000-00006CA70000}"/>
    <cellStyle name="Percent 5 3 4 3 2 2" xfId="33927" xr:uid="{00000000-0005-0000-0000-00006DA70000}"/>
    <cellStyle name="Percent 5 3 4 3 3" xfId="20159" xr:uid="{00000000-0005-0000-0000-00006EA70000}"/>
    <cellStyle name="Percent 5 3 4 3 3 2" xfId="40079" xr:uid="{00000000-0005-0000-0000-00006FA70000}"/>
    <cellStyle name="Percent 5 3 4 3 4" xfId="27774" xr:uid="{00000000-0005-0000-0000-000070A70000}"/>
    <cellStyle name="Percent 5 3 4 4" xfId="10941" xr:uid="{00000000-0005-0000-0000-000071A70000}"/>
    <cellStyle name="Percent 5 3 4 4 2" xfId="30861" xr:uid="{00000000-0005-0000-0000-000072A70000}"/>
    <cellStyle name="Percent 5 3 4 5" xfId="17093" xr:uid="{00000000-0005-0000-0000-000073A70000}"/>
    <cellStyle name="Percent 5 3 4 5 2" xfId="37013" xr:uid="{00000000-0005-0000-0000-000074A70000}"/>
    <cellStyle name="Percent 5 3 4 6" xfId="24708" xr:uid="{00000000-0005-0000-0000-000075A70000}"/>
    <cellStyle name="Percent 5 3 5" xfId="5476" xr:uid="{00000000-0005-0000-0000-000076A70000}"/>
    <cellStyle name="Percent 5 3 5 2" xfId="8579" xr:uid="{00000000-0005-0000-0000-000077A70000}"/>
    <cellStyle name="Percent 5 3 5 2 2" xfId="14772" xr:uid="{00000000-0005-0000-0000-000078A70000}"/>
    <cellStyle name="Percent 5 3 5 2 2 2" xfId="34692" xr:uid="{00000000-0005-0000-0000-000079A70000}"/>
    <cellStyle name="Percent 5 3 5 2 3" xfId="20924" xr:uid="{00000000-0005-0000-0000-00007AA70000}"/>
    <cellStyle name="Percent 5 3 5 2 3 2" xfId="40844" xr:uid="{00000000-0005-0000-0000-00007BA70000}"/>
    <cellStyle name="Percent 5 3 5 2 4" xfId="28539" xr:uid="{00000000-0005-0000-0000-00007CA70000}"/>
    <cellStyle name="Percent 5 3 5 3" xfId="11706" xr:uid="{00000000-0005-0000-0000-00007DA70000}"/>
    <cellStyle name="Percent 5 3 5 3 2" xfId="31626" xr:uid="{00000000-0005-0000-0000-00007EA70000}"/>
    <cellStyle name="Percent 5 3 5 4" xfId="17858" xr:uid="{00000000-0005-0000-0000-00007FA70000}"/>
    <cellStyle name="Percent 5 3 5 4 2" xfId="37778" xr:uid="{00000000-0005-0000-0000-000080A70000}"/>
    <cellStyle name="Percent 5 3 5 5" xfId="25473" xr:uid="{00000000-0005-0000-0000-000081A70000}"/>
    <cellStyle name="Percent 5 3 6" xfId="7044" xr:uid="{00000000-0005-0000-0000-000082A70000}"/>
    <cellStyle name="Percent 5 3 6 2" xfId="13238" xr:uid="{00000000-0005-0000-0000-000083A70000}"/>
    <cellStyle name="Percent 5 3 6 2 2" xfId="33158" xr:uid="{00000000-0005-0000-0000-000084A70000}"/>
    <cellStyle name="Percent 5 3 6 3" xfId="19390" xr:uid="{00000000-0005-0000-0000-000085A70000}"/>
    <cellStyle name="Percent 5 3 6 3 2" xfId="39310" xr:uid="{00000000-0005-0000-0000-000086A70000}"/>
    <cellStyle name="Percent 5 3 6 4" xfId="27005" xr:uid="{00000000-0005-0000-0000-000087A70000}"/>
    <cellStyle name="Percent 5 3 7" xfId="10131" xr:uid="{00000000-0005-0000-0000-000088A70000}"/>
    <cellStyle name="Percent 5 3 7 2" xfId="16303" xr:uid="{00000000-0005-0000-0000-000089A70000}"/>
    <cellStyle name="Percent 5 3 7 2 2" xfId="36223" xr:uid="{00000000-0005-0000-0000-00008AA70000}"/>
    <cellStyle name="Percent 5 3 7 3" xfId="22455" xr:uid="{00000000-0005-0000-0000-00008BA70000}"/>
    <cellStyle name="Percent 5 3 7 3 2" xfId="42375" xr:uid="{00000000-0005-0000-0000-00008CA70000}"/>
    <cellStyle name="Percent 5 3 7 4" xfId="30070" xr:uid="{00000000-0005-0000-0000-00008DA70000}"/>
    <cellStyle name="Percent 5 3 8" xfId="10172" xr:uid="{00000000-0005-0000-0000-00008EA70000}"/>
    <cellStyle name="Percent 5 3 8 2" xfId="30092" xr:uid="{00000000-0005-0000-0000-00008FA70000}"/>
    <cellStyle name="Percent 5 3 9" xfId="16324" xr:uid="{00000000-0005-0000-0000-000090A70000}"/>
    <cellStyle name="Percent 5 3 9 2" xfId="36244" xr:uid="{00000000-0005-0000-0000-000091A70000}"/>
    <cellStyle name="Percent 5 4" xfId="216" xr:uid="{00000000-0005-0000-0000-000092A70000}"/>
    <cellStyle name="Percent 5 4 10" xfId="23359" xr:uid="{00000000-0005-0000-0000-000093A70000}"/>
    <cellStyle name="Percent 5 4 2" xfId="780" xr:uid="{00000000-0005-0000-0000-000094A70000}"/>
    <cellStyle name="Percent 5 4 2 2" xfId="6995" xr:uid="{00000000-0005-0000-0000-000095A70000}"/>
    <cellStyle name="Percent 5 4 2 2 2" xfId="10081" xr:uid="{00000000-0005-0000-0000-000096A70000}"/>
    <cellStyle name="Percent 5 4 2 2 2 2" xfId="16274" xr:uid="{00000000-0005-0000-0000-000097A70000}"/>
    <cellStyle name="Percent 5 4 2 2 2 2 2" xfId="36194" xr:uid="{00000000-0005-0000-0000-000098A70000}"/>
    <cellStyle name="Percent 5 4 2 2 2 3" xfId="22426" xr:uid="{00000000-0005-0000-0000-000099A70000}"/>
    <cellStyle name="Percent 5 4 2 2 2 3 2" xfId="42346" xr:uid="{00000000-0005-0000-0000-00009AA70000}"/>
    <cellStyle name="Percent 5 4 2 2 2 4" xfId="30041" xr:uid="{00000000-0005-0000-0000-00009BA70000}"/>
    <cellStyle name="Percent 5 4 2 2 3" xfId="13208" xr:uid="{00000000-0005-0000-0000-00009CA70000}"/>
    <cellStyle name="Percent 5 4 2 2 3 2" xfId="33128" xr:uid="{00000000-0005-0000-0000-00009DA70000}"/>
    <cellStyle name="Percent 5 4 2 2 4" xfId="19360" xr:uid="{00000000-0005-0000-0000-00009EA70000}"/>
    <cellStyle name="Percent 5 4 2 2 4 2" xfId="39280" xr:uid="{00000000-0005-0000-0000-00009FA70000}"/>
    <cellStyle name="Percent 5 4 2 2 5" xfId="26975" xr:uid="{00000000-0005-0000-0000-0000A0A70000}"/>
    <cellStyle name="Percent 5 4 2 3" xfId="8546" xr:uid="{00000000-0005-0000-0000-0000A1A70000}"/>
    <cellStyle name="Percent 5 4 2 3 2" xfId="14740" xr:uid="{00000000-0005-0000-0000-0000A2A70000}"/>
    <cellStyle name="Percent 5 4 2 3 2 2" xfId="34660" xr:uid="{00000000-0005-0000-0000-0000A3A70000}"/>
    <cellStyle name="Percent 5 4 2 3 3" xfId="20892" xr:uid="{00000000-0005-0000-0000-0000A4A70000}"/>
    <cellStyle name="Percent 5 4 2 3 3 2" xfId="40812" xr:uid="{00000000-0005-0000-0000-0000A5A70000}"/>
    <cellStyle name="Percent 5 4 2 3 4" xfId="28507" xr:uid="{00000000-0005-0000-0000-0000A6A70000}"/>
    <cellStyle name="Percent 5 4 2 4" xfId="11674" xr:uid="{00000000-0005-0000-0000-0000A7A70000}"/>
    <cellStyle name="Percent 5 4 2 4 2" xfId="31594" xr:uid="{00000000-0005-0000-0000-0000A8A70000}"/>
    <cellStyle name="Percent 5 4 2 5" xfId="17826" xr:uid="{00000000-0005-0000-0000-0000A9A70000}"/>
    <cellStyle name="Percent 5 4 2 5 2" xfId="37746" xr:uid="{00000000-0005-0000-0000-0000AAA70000}"/>
    <cellStyle name="Percent 5 4 2 6" xfId="5370" xr:uid="{00000000-0005-0000-0000-0000ABA70000}"/>
    <cellStyle name="Percent 5 4 2 6 2" xfId="25441" xr:uid="{00000000-0005-0000-0000-0000ACA70000}"/>
    <cellStyle name="Percent 5 4 2 7" xfId="23662" xr:uid="{00000000-0005-0000-0000-0000ADA70000}"/>
    <cellStyle name="Percent 5 4 3" xfId="6226" xr:uid="{00000000-0005-0000-0000-0000AEA70000}"/>
    <cellStyle name="Percent 5 4 3 2" xfId="9312" xr:uid="{00000000-0005-0000-0000-0000AFA70000}"/>
    <cellStyle name="Percent 5 4 3 2 2" xfId="15505" xr:uid="{00000000-0005-0000-0000-0000B0A70000}"/>
    <cellStyle name="Percent 5 4 3 2 2 2" xfId="35425" xr:uid="{00000000-0005-0000-0000-0000B1A70000}"/>
    <cellStyle name="Percent 5 4 3 2 3" xfId="21657" xr:uid="{00000000-0005-0000-0000-0000B2A70000}"/>
    <cellStyle name="Percent 5 4 3 2 3 2" xfId="41577" xr:uid="{00000000-0005-0000-0000-0000B3A70000}"/>
    <cellStyle name="Percent 5 4 3 2 4" xfId="29272" xr:uid="{00000000-0005-0000-0000-0000B4A70000}"/>
    <cellStyle name="Percent 5 4 3 3" xfId="12439" xr:uid="{00000000-0005-0000-0000-0000B5A70000}"/>
    <cellStyle name="Percent 5 4 3 3 2" xfId="32359" xr:uid="{00000000-0005-0000-0000-0000B6A70000}"/>
    <cellStyle name="Percent 5 4 3 4" xfId="18591" xr:uid="{00000000-0005-0000-0000-0000B7A70000}"/>
    <cellStyle name="Percent 5 4 3 4 2" xfId="38511" xr:uid="{00000000-0005-0000-0000-0000B8A70000}"/>
    <cellStyle name="Percent 5 4 3 5" xfId="26206" xr:uid="{00000000-0005-0000-0000-0000B9A70000}"/>
    <cellStyle name="Percent 5 4 4" xfId="7777" xr:uid="{00000000-0005-0000-0000-0000BAA70000}"/>
    <cellStyle name="Percent 5 4 4 2" xfId="13971" xr:uid="{00000000-0005-0000-0000-0000BBA70000}"/>
    <cellStyle name="Percent 5 4 4 2 2" xfId="33891" xr:uid="{00000000-0005-0000-0000-0000BCA70000}"/>
    <cellStyle name="Percent 5 4 4 3" xfId="20123" xr:uid="{00000000-0005-0000-0000-0000BDA70000}"/>
    <cellStyle name="Percent 5 4 4 3 2" xfId="40043" xr:uid="{00000000-0005-0000-0000-0000BEA70000}"/>
    <cellStyle name="Percent 5 4 4 4" xfId="27738" xr:uid="{00000000-0005-0000-0000-0000BFA70000}"/>
    <cellStyle name="Percent 5 4 5" xfId="10905" xr:uid="{00000000-0005-0000-0000-0000C0A70000}"/>
    <cellStyle name="Percent 5 4 5 2" xfId="30825" xr:uid="{00000000-0005-0000-0000-0000C1A70000}"/>
    <cellStyle name="Percent 5 4 6" xfId="17057" xr:uid="{00000000-0005-0000-0000-0000C2A70000}"/>
    <cellStyle name="Percent 5 4 6 2" xfId="36977" xr:uid="{00000000-0005-0000-0000-0000C3A70000}"/>
    <cellStyle name="Percent 5 4 7" xfId="4582" xr:uid="{00000000-0005-0000-0000-0000C4A70000}"/>
    <cellStyle name="Percent 5 4 7 2" xfId="24672" xr:uid="{00000000-0005-0000-0000-0000C5A70000}"/>
    <cellStyle name="Percent 5 4 8" xfId="22745" xr:uid="{00000000-0005-0000-0000-0000C6A70000}"/>
    <cellStyle name="Percent 5 4 8 2" xfId="42656" xr:uid="{00000000-0005-0000-0000-0000C7A70000}"/>
    <cellStyle name="Percent 5 4 9" xfId="23048" xr:uid="{00000000-0005-0000-0000-0000C8A70000}"/>
    <cellStyle name="Percent 5 4 9 2" xfId="42959" xr:uid="{00000000-0005-0000-0000-0000C9A70000}"/>
    <cellStyle name="Percent 5 5" xfId="230" xr:uid="{00000000-0005-0000-0000-0000CAA70000}"/>
    <cellStyle name="Percent 5 5 2" xfId="783" xr:uid="{00000000-0005-0000-0000-0000CBA70000}"/>
    <cellStyle name="Percent 5 5 2 2" xfId="23665" xr:uid="{00000000-0005-0000-0000-0000CCA70000}"/>
    <cellStyle name="Percent 5 5 3" xfId="4368" xr:uid="{00000000-0005-0000-0000-0000CDA70000}"/>
    <cellStyle name="Percent 5 5 4" xfId="22582" xr:uid="{00000000-0005-0000-0000-0000CEA70000}"/>
    <cellStyle name="Percent 5 5 4 2" xfId="42493" xr:uid="{00000000-0005-0000-0000-0000CFA70000}"/>
    <cellStyle name="Percent 5 5 5" xfId="22748" xr:uid="{00000000-0005-0000-0000-0000D0A70000}"/>
    <cellStyle name="Percent 5 5 5 2" xfId="42659" xr:uid="{00000000-0005-0000-0000-0000D1A70000}"/>
    <cellStyle name="Percent 5 5 6" xfId="23051" xr:uid="{00000000-0005-0000-0000-0000D2A70000}"/>
    <cellStyle name="Percent 5 5 6 2" xfId="42962" xr:uid="{00000000-0005-0000-0000-0000D3A70000}"/>
    <cellStyle name="Percent 5 5 7" xfId="23362" xr:uid="{00000000-0005-0000-0000-0000D4A70000}"/>
    <cellStyle name="Percent 5 6" xfId="246" xr:uid="{00000000-0005-0000-0000-0000D5A70000}"/>
    <cellStyle name="Percent 5 6 2" xfId="786" xr:uid="{00000000-0005-0000-0000-0000D6A70000}"/>
    <cellStyle name="Percent 5 6 2 2" xfId="9337" xr:uid="{00000000-0005-0000-0000-0000D7A70000}"/>
    <cellStyle name="Percent 5 6 2 2 2" xfId="15530" xr:uid="{00000000-0005-0000-0000-0000D8A70000}"/>
    <cellStyle name="Percent 5 6 2 2 2 2" xfId="35450" xr:uid="{00000000-0005-0000-0000-0000D9A70000}"/>
    <cellStyle name="Percent 5 6 2 2 3" xfId="21682" xr:uid="{00000000-0005-0000-0000-0000DAA70000}"/>
    <cellStyle name="Percent 5 6 2 2 3 2" xfId="41602" xr:uid="{00000000-0005-0000-0000-0000DBA70000}"/>
    <cellStyle name="Percent 5 6 2 2 4" xfId="29297" xr:uid="{00000000-0005-0000-0000-0000DCA70000}"/>
    <cellStyle name="Percent 5 6 2 3" xfId="12464" xr:uid="{00000000-0005-0000-0000-0000DDA70000}"/>
    <cellStyle name="Percent 5 6 2 3 2" xfId="32384" xr:uid="{00000000-0005-0000-0000-0000DEA70000}"/>
    <cellStyle name="Percent 5 6 2 4" xfId="18616" xr:uid="{00000000-0005-0000-0000-0000DFA70000}"/>
    <cellStyle name="Percent 5 6 2 4 2" xfId="38536" xr:uid="{00000000-0005-0000-0000-0000E0A70000}"/>
    <cellStyle name="Percent 5 6 2 5" xfId="6251" xr:uid="{00000000-0005-0000-0000-0000E1A70000}"/>
    <cellStyle name="Percent 5 6 2 5 2" xfId="26231" xr:uid="{00000000-0005-0000-0000-0000E2A70000}"/>
    <cellStyle name="Percent 5 6 2 6" xfId="23668" xr:uid="{00000000-0005-0000-0000-0000E3A70000}"/>
    <cellStyle name="Percent 5 6 3" xfId="7802" xr:uid="{00000000-0005-0000-0000-0000E4A70000}"/>
    <cellStyle name="Percent 5 6 3 2" xfId="13996" xr:uid="{00000000-0005-0000-0000-0000E5A70000}"/>
    <cellStyle name="Percent 5 6 3 2 2" xfId="33916" xr:uid="{00000000-0005-0000-0000-0000E6A70000}"/>
    <cellStyle name="Percent 5 6 3 3" xfId="20148" xr:uid="{00000000-0005-0000-0000-0000E7A70000}"/>
    <cellStyle name="Percent 5 6 3 3 2" xfId="40068" xr:uid="{00000000-0005-0000-0000-0000E8A70000}"/>
    <cellStyle name="Percent 5 6 3 4" xfId="27763" xr:uid="{00000000-0005-0000-0000-0000E9A70000}"/>
    <cellStyle name="Percent 5 6 4" xfId="10930" xr:uid="{00000000-0005-0000-0000-0000EAA70000}"/>
    <cellStyle name="Percent 5 6 4 2" xfId="30850" xr:uid="{00000000-0005-0000-0000-0000EBA70000}"/>
    <cellStyle name="Percent 5 6 5" xfId="17082" xr:uid="{00000000-0005-0000-0000-0000ECA70000}"/>
    <cellStyle name="Percent 5 6 5 2" xfId="37002" xr:uid="{00000000-0005-0000-0000-0000EDA70000}"/>
    <cellStyle name="Percent 5 6 6" xfId="4626" xr:uid="{00000000-0005-0000-0000-0000EEA70000}"/>
    <cellStyle name="Percent 5 6 6 2" xfId="24697" xr:uid="{00000000-0005-0000-0000-0000EFA70000}"/>
    <cellStyle name="Percent 5 6 7" xfId="22751" xr:uid="{00000000-0005-0000-0000-0000F0A70000}"/>
    <cellStyle name="Percent 5 6 7 2" xfId="42662" xr:uid="{00000000-0005-0000-0000-0000F1A70000}"/>
    <cellStyle name="Percent 5 6 8" xfId="23054" xr:uid="{00000000-0005-0000-0000-0000F2A70000}"/>
    <cellStyle name="Percent 5 6 8 2" xfId="42965" xr:uid="{00000000-0005-0000-0000-0000F3A70000}"/>
    <cellStyle name="Percent 5 6 9" xfId="23365" xr:uid="{00000000-0005-0000-0000-0000F4A70000}"/>
    <cellStyle name="Percent 5 7" xfId="261" xr:uid="{00000000-0005-0000-0000-0000F5A70000}"/>
    <cellStyle name="Percent 5 7 2" xfId="789" xr:uid="{00000000-0005-0000-0000-0000F6A70000}"/>
    <cellStyle name="Percent 5 7 2 2" xfId="14761" xr:uid="{00000000-0005-0000-0000-0000F7A70000}"/>
    <cellStyle name="Percent 5 7 2 2 2" xfId="34681" xr:uid="{00000000-0005-0000-0000-0000F8A70000}"/>
    <cellStyle name="Percent 5 7 2 3" xfId="20913" xr:uid="{00000000-0005-0000-0000-0000F9A70000}"/>
    <cellStyle name="Percent 5 7 2 3 2" xfId="40833" xr:uid="{00000000-0005-0000-0000-0000FAA70000}"/>
    <cellStyle name="Percent 5 7 2 4" xfId="8568" xr:uid="{00000000-0005-0000-0000-0000FBA70000}"/>
    <cellStyle name="Percent 5 7 2 4 2" xfId="28528" xr:uid="{00000000-0005-0000-0000-0000FCA70000}"/>
    <cellStyle name="Percent 5 7 2 5" xfId="23671" xr:uid="{00000000-0005-0000-0000-0000FDA70000}"/>
    <cellStyle name="Percent 5 7 3" xfId="11695" xr:uid="{00000000-0005-0000-0000-0000FEA70000}"/>
    <cellStyle name="Percent 5 7 3 2" xfId="31615" xr:uid="{00000000-0005-0000-0000-0000FFA70000}"/>
    <cellStyle name="Percent 5 7 4" xfId="17847" xr:uid="{00000000-0005-0000-0000-000000A80000}"/>
    <cellStyle name="Percent 5 7 4 2" xfId="37767" xr:uid="{00000000-0005-0000-0000-000001A80000}"/>
    <cellStyle name="Percent 5 7 5" xfId="5464" xr:uid="{00000000-0005-0000-0000-000002A80000}"/>
    <cellStyle name="Percent 5 7 5 2" xfId="25462" xr:uid="{00000000-0005-0000-0000-000003A80000}"/>
    <cellStyle name="Percent 5 7 6" xfId="22754" xr:uid="{00000000-0005-0000-0000-000004A80000}"/>
    <cellStyle name="Percent 5 7 6 2" xfId="42665" xr:uid="{00000000-0005-0000-0000-000005A80000}"/>
    <cellStyle name="Percent 5 7 7" xfId="23057" xr:uid="{00000000-0005-0000-0000-000006A80000}"/>
    <cellStyle name="Percent 5 7 7 2" xfId="42968" xr:uid="{00000000-0005-0000-0000-000007A80000}"/>
    <cellStyle name="Percent 5 7 8" xfId="23368" xr:uid="{00000000-0005-0000-0000-000008A80000}"/>
    <cellStyle name="Percent 5 8" xfId="277" xr:uid="{00000000-0005-0000-0000-000009A80000}"/>
    <cellStyle name="Percent 5 8 2" xfId="792" xr:uid="{00000000-0005-0000-0000-00000AA80000}"/>
    <cellStyle name="Percent 5 8 2 2" xfId="13227" xr:uid="{00000000-0005-0000-0000-00000BA80000}"/>
    <cellStyle name="Percent 5 8 2 2 2" xfId="33147" xr:uid="{00000000-0005-0000-0000-00000CA80000}"/>
    <cellStyle name="Percent 5 8 2 3" xfId="23674" xr:uid="{00000000-0005-0000-0000-00000DA80000}"/>
    <cellStyle name="Percent 5 8 3" xfId="19379" xr:uid="{00000000-0005-0000-0000-00000EA80000}"/>
    <cellStyle name="Percent 5 8 3 2" xfId="39299" xr:uid="{00000000-0005-0000-0000-00000FA80000}"/>
    <cellStyle name="Percent 5 8 4" xfId="7033" xr:uid="{00000000-0005-0000-0000-000010A80000}"/>
    <cellStyle name="Percent 5 8 4 2" xfId="26994" xr:uid="{00000000-0005-0000-0000-000011A80000}"/>
    <cellStyle name="Percent 5 8 5" xfId="22757" xr:uid="{00000000-0005-0000-0000-000012A80000}"/>
    <cellStyle name="Percent 5 8 5 2" xfId="42668" xr:uid="{00000000-0005-0000-0000-000013A80000}"/>
    <cellStyle name="Percent 5 8 6" xfId="23060" xr:uid="{00000000-0005-0000-0000-000014A80000}"/>
    <cellStyle name="Percent 5 8 6 2" xfId="42971" xr:uid="{00000000-0005-0000-0000-000015A80000}"/>
    <cellStyle name="Percent 5 8 7" xfId="23371" xr:uid="{00000000-0005-0000-0000-000016A80000}"/>
    <cellStyle name="Percent 5 9" xfId="290" xr:uid="{00000000-0005-0000-0000-000017A80000}"/>
    <cellStyle name="Percent 5 9 2" xfId="795" xr:uid="{00000000-0005-0000-0000-000018A80000}"/>
    <cellStyle name="Percent 5 9 2 2" xfId="16294" xr:uid="{00000000-0005-0000-0000-000019A80000}"/>
    <cellStyle name="Percent 5 9 2 2 2" xfId="36214" xr:uid="{00000000-0005-0000-0000-00001AA80000}"/>
    <cellStyle name="Percent 5 9 2 3" xfId="23677" xr:uid="{00000000-0005-0000-0000-00001BA80000}"/>
    <cellStyle name="Percent 5 9 3" xfId="22446" xr:uid="{00000000-0005-0000-0000-00001CA80000}"/>
    <cellStyle name="Percent 5 9 3 2" xfId="42366" xr:uid="{00000000-0005-0000-0000-00001DA80000}"/>
    <cellStyle name="Percent 5 9 4" xfId="10120" xr:uid="{00000000-0005-0000-0000-00001EA80000}"/>
    <cellStyle name="Percent 5 9 4 2" xfId="30061" xr:uid="{00000000-0005-0000-0000-00001FA80000}"/>
    <cellStyle name="Percent 5 9 5" xfId="22760" xr:uid="{00000000-0005-0000-0000-000020A80000}"/>
    <cellStyle name="Percent 5 9 5 2" xfId="42671" xr:uid="{00000000-0005-0000-0000-000021A80000}"/>
    <cellStyle name="Percent 5 9 6" xfId="23063" xr:uid="{00000000-0005-0000-0000-000022A80000}"/>
    <cellStyle name="Percent 5 9 6 2" xfId="42974" xr:uid="{00000000-0005-0000-0000-000023A80000}"/>
    <cellStyle name="Percent 5 9 7" xfId="23374" xr:uid="{00000000-0005-0000-0000-000024A80000}"/>
    <cellStyle name="Percent 50" xfId="4373" xr:uid="{00000000-0005-0000-0000-000025A80000}"/>
    <cellStyle name="Percent 51" xfId="4374" xr:uid="{00000000-0005-0000-0000-000026A80000}"/>
    <cellStyle name="Percent 52" xfId="4375" xr:uid="{00000000-0005-0000-0000-000027A80000}"/>
    <cellStyle name="Percent 53" xfId="4376" xr:uid="{00000000-0005-0000-0000-000028A80000}"/>
    <cellStyle name="Percent 54" xfId="4377" xr:uid="{00000000-0005-0000-0000-000029A80000}"/>
    <cellStyle name="Percent 55" xfId="4378" xr:uid="{00000000-0005-0000-0000-00002AA80000}"/>
    <cellStyle name="Percent 56" xfId="4379" xr:uid="{00000000-0005-0000-0000-00002BA80000}"/>
    <cellStyle name="Percent 57" xfId="4380" xr:uid="{00000000-0005-0000-0000-00002CA80000}"/>
    <cellStyle name="Percent 58" xfId="4381" xr:uid="{00000000-0005-0000-0000-00002DA80000}"/>
    <cellStyle name="Percent 59" xfId="4382" xr:uid="{00000000-0005-0000-0000-00002EA80000}"/>
    <cellStyle name="Percent 6" xfId="1168" xr:uid="{00000000-0005-0000-0000-00002FA80000}"/>
    <cellStyle name="Percent 6 2" xfId="4384" xr:uid="{00000000-0005-0000-0000-000030A80000}"/>
    <cellStyle name="Percent 6 2 2" xfId="4385" xr:uid="{00000000-0005-0000-0000-000031A80000}"/>
    <cellStyle name="Percent 6 2 3" xfId="4386" xr:uid="{00000000-0005-0000-0000-000032A80000}"/>
    <cellStyle name="Percent 6 3" xfId="4387" xr:uid="{00000000-0005-0000-0000-000033A80000}"/>
    <cellStyle name="Percent 6 4" xfId="4585" xr:uid="{00000000-0005-0000-0000-000034A80000}"/>
    <cellStyle name="Percent 6 5" xfId="4383" xr:uid="{00000000-0005-0000-0000-000035A80000}"/>
    <cellStyle name="Percent 60" xfId="4388" xr:uid="{00000000-0005-0000-0000-000036A80000}"/>
    <cellStyle name="Percent 61" xfId="4389" xr:uid="{00000000-0005-0000-0000-000037A80000}"/>
    <cellStyle name="Percent 62" xfId="4390" xr:uid="{00000000-0005-0000-0000-000038A80000}"/>
    <cellStyle name="Percent 63" xfId="4391" xr:uid="{00000000-0005-0000-0000-000039A80000}"/>
    <cellStyle name="Percent 64" xfId="4392" xr:uid="{00000000-0005-0000-0000-00003AA80000}"/>
    <cellStyle name="Percent 65" xfId="4393" xr:uid="{00000000-0005-0000-0000-00003BA80000}"/>
    <cellStyle name="Percent 66" xfId="4394" xr:uid="{00000000-0005-0000-0000-00003CA80000}"/>
    <cellStyle name="Percent 67" xfId="4395" xr:uid="{00000000-0005-0000-0000-00003DA80000}"/>
    <cellStyle name="Percent 68" xfId="4396" xr:uid="{00000000-0005-0000-0000-00003EA80000}"/>
    <cellStyle name="Percent 69" xfId="4397" xr:uid="{00000000-0005-0000-0000-00003FA80000}"/>
    <cellStyle name="Percent 7" xfId="4398" xr:uid="{00000000-0005-0000-0000-000040A80000}"/>
    <cellStyle name="Percent 7 2" xfId="4399" xr:uid="{00000000-0005-0000-0000-000041A80000}"/>
    <cellStyle name="Percent 7 2 2" xfId="4400" xr:uid="{00000000-0005-0000-0000-000042A80000}"/>
    <cellStyle name="Percent 7 2 3" xfId="4401" xr:uid="{00000000-0005-0000-0000-000043A80000}"/>
    <cellStyle name="Percent 7 3" xfId="4402" xr:uid="{00000000-0005-0000-0000-000044A80000}"/>
    <cellStyle name="Percent 7 4" xfId="4403" xr:uid="{00000000-0005-0000-0000-000045A80000}"/>
    <cellStyle name="Percent 70" xfId="4404" xr:uid="{00000000-0005-0000-0000-000046A80000}"/>
    <cellStyle name="Percent 71" xfId="4405" xr:uid="{00000000-0005-0000-0000-000047A80000}"/>
    <cellStyle name="Percent 72" xfId="4406" xr:uid="{00000000-0005-0000-0000-000048A80000}"/>
    <cellStyle name="Percent 73" xfId="4407" xr:uid="{00000000-0005-0000-0000-000049A80000}"/>
    <cellStyle name="Percent 74" xfId="4408" xr:uid="{00000000-0005-0000-0000-00004AA80000}"/>
    <cellStyle name="Percent 75" xfId="4409" xr:uid="{00000000-0005-0000-0000-00004BA80000}"/>
    <cellStyle name="Percent 76" xfId="4410" xr:uid="{00000000-0005-0000-0000-00004CA80000}"/>
    <cellStyle name="Percent 77" xfId="4411" xr:uid="{00000000-0005-0000-0000-00004DA80000}"/>
    <cellStyle name="Percent 78" xfId="4412" xr:uid="{00000000-0005-0000-0000-00004EA80000}"/>
    <cellStyle name="Percent 79" xfId="4413" xr:uid="{00000000-0005-0000-0000-00004FA80000}"/>
    <cellStyle name="Percent 8" xfId="4414" xr:uid="{00000000-0005-0000-0000-000050A80000}"/>
    <cellStyle name="Percent 8 2" xfId="4415" xr:uid="{00000000-0005-0000-0000-000051A80000}"/>
    <cellStyle name="Percent 8 2 2" xfId="4416" xr:uid="{00000000-0005-0000-0000-000052A80000}"/>
    <cellStyle name="Percent 8 2 3" xfId="4417" xr:uid="{00000000-0005-0000-0000-000053A80000}"/>
    <cellStyle name="Percent 8 2 4" xfId="10134" xr:uid="{00000000-0005-0000-0000-000054A80000}"/>
    <cellStyle name="Percent 8 2 4 2" xfId="16306" xr:uid="{00000000-0005-0000-0000-000055A80000}"/>
    <cellStyle name="Percent 8 2 4 2 2" xfId="36226" xr:uid="{00000000-0005-0000-0000-000056A80000}"/>
    <cellStyle name="Percent 8 2 4 3" xfId="22458" xr:uid="{00000000-0005-0000-0000-000057A80000}"/>
    <cellStyle name="Percent 8 2 4 3 2" xfId="42378" xr:uid="{00000000-0005-0000-0000-000058A80000}"/>
    <cellStyle name="Percent 8 2 4 4" xfId="30073" xr:uid="{00000000-0005-0000-0000-000059A80000}"/>
    <cellStyle name="Percent 8 3" xfId="10123" xr:uid="{00000000-0005-0000-0000-00005AA80000}"/>
    <cellStyle name="Percent 8 3 2" xfId="16297" xr:uid="{00000000-0005-0000-0000-00005BA80000}"/>
    <cellStyle name="Percent 8 3 2 2" xfId="36217" xr:uid="{00000000-0005-0000-0000-00005CA80000}"/>
    <cellStyle name="Percent 8 3 3" xfId="22449" xr:uid="{00000000-0005-0000-0000-00005DA80000}"/>
    <cellStyle name="Percent 8 3 3 2" xfId="42369" xr:uid="{00000000-0005-0000-0000-00005EA80000}"/>
    <cellStyle name="Percent 8 3 4" xfId="30064" xr:uid="{00000000-0005-0000-0000-00005FA80000}"/>
    <cellStyle name="Percent 80" xfId="4418" xr:uid="{00000000-0005-0000-0000-000060A80000}"/>
    <cellStyle name="Percent 81" xfId="4419" xr:uid="{00000000-0005-0000-0000-000061A80000}"/>
    <cellStyle name="Percent 82" xfId="4420" xr:uid="{00000000-0005-0000-0000-000062A80000}"/>
    <cellStyle name="Percent 83" xfId="4421" xr:uid="{00000000-0005-0000-0000-000063A80000}"/>
    <cellStyle name="Percent 84" xfId="4422" xr:uid="{00000000-0005-0000-0000-000064A80000}"/>
    <cellStyle name="Percent 85" xfId="4423" xr:uid="{00000000-0005-0000-0000-000065A80000}"/>
    <cellStyle name="Percent 86" xfId="4424" xr:uid="{00000000-0005-0000-0000-000066A80000}"/>
    <cellStyle name="Percent 87" xfId="4425" xr:uid="{00000000-0005-0000-0000-000067A80000}"/>
    <cellStyle name="Percent 88" xfId="4426" xr:uid="{00000000-0005-0000-0000-000068A80000}"/>
    <cellStyle name="Percent 89" xfId="4427" xr:uid="{00000000-0005-0000-0000-000069A80000}"/>
    <cellStyle name="Percent 9" xfId="4428" xr:uid="{00000000-0005-0000-0000-00006AA80000}"/>
    <cellStyle name="Percent 9 2" xfId="4429" xr:uid="{00000000-0005-0000-0000-00006BA80000}"/>
    <cellStyle name="Percent 9 2 2" xfId="4430" xr:uid="{00000000-0005-0000-0000-00006CA80000}"/>
    <cellStyle name="Percent 9 2 3" xfId="4431" xr:uid="{00000000-0005-0000-0000-00006DA80000}"/>
    <cellStyle name="Percent 90" xfId="4432" xr:uid="{00000000-0005-0000-0000-00006EA80000}"/>
    <cellStyle name="Percent 91" xfId="4433" xr:uid="{00000000-0005-0000-0000-00006FA80000}"/>
    <cellStyle name="Percent 92" xfId="4434" xr:uid="{00000000-0005-0000-0000-000070A80000}"/>
    <cellStyle name="Percent 93" xfId="4435" xr:uid="{00000000-0005-0000-0000-000071A80000}"/>
    <cellStyle name="Percent 94" xfId="4436" xr:uid="{00000000-0005-0000-0000-000072A80000}"/>
    <cellStyle name="Percent 95" xfId="4437" xr:uid="{00000000-0005-0000-0000-000073A80000}"/>
    <cellStyle name="Percent 96" xfId="4438" xr:uid="{00000000-0005-0000-0000-000074A80000}"/>
    <cellStyle name="Percent 97" xfId="4439" xr:uid="{00000000-0005-0000-0000-000075A80000}"/>
    <cellStyle name="Percent 98" xfId="4440" xr:uid="{00000000-0005-0000-0000-000076A80000}"/>
    <cellStyle name="Percent 99" xfId="4441" xr:uid="{00000000-0005-0000-0000-000077A80000}"/>
    <cellStyle name="placeholder" xfId="4442" xr:uid="{00000000-0005-0000-0000-000078A80000}"/>
    <cellStyle name="PS_Comma" xfId="36" xr:uid="{00000000-0005-0000-0000-000079A80000}"/>
    <cellStyle name="PSChar" xfId="37" xr:uid="{00000000-0005-0000-0000-00007AA80000}"/>
    <cellStyle name="PSDate" xfId="38" xr:uid="{00000000-0005-0000-0000-00007BA80000}"/>
    <cellStyle name="PSDec" xfId="39" xr:uid="{00000000-0005-0000-0000-00007CA80000}"/>
    <cellStyle name="PSHeading" xfId="40" xr:uid="{00000000-0005-0000-0000-00007DA80000}"/>
    <cellStyle name="PSInt" xfId="41" xr:uid="{00000000-0005-0000-0000-00007EA80000}"/>
    <cellStyle name="PSSpacer" xfId="42" xr:uid="{00000000-0005-0000-0000-00007FA80000}"/>
    <cellStyle name="ReportTitlePrompt" xfId="1143" xr:uid="{00000000-0005-0000-0000-000080A80000}"/>
    <cellStyle name="ReportTitleValue" xfId="1144" xr:uid="{00000000-0005-0000-0000-000081A80000}"/>
    <cellStyle name="Row Lvl 1" xfId="4443" xr:uid="{00000000-0005-0000-0000-000082A80000}"/>
    <cellStyle name="Row Lvl 2" xfId="4444" xr:uid="{00000000-0005-0000-0000-000083A80000}"/>
    <cellStyle name="RowAcctAbovePrompt" xfId="1145" xr:uid="{00000000-0005-0000-0000-000084A80000}"/>
    <cellStyle name="RowAcctSOBAbovePrompt" xfId="1146" xr:uid="{00000000-0005-0000-0000-000085A80000}"/>
    <cellStyle name="RowAcctSOBValue" xfId="1147" xr:uid="{00000000-0005-0000-0000-000086A80000}"/>
    <cellStyle name="RowAcctValue" xfId="1148" xr:uid="{00000000-0005-0000-0000-000087A80000}"/>
    <cellStyle name="RowAttrAbovePrompt" xfId="1149" xr:uid="{00000000-0005-0000-0000-000088A80000}"/>
    <cellStyle name="RowAttrValue" xfId="1150" xr:uid="{00000000-0005-0000-0000-000089A80000}"/>
    <cellStyle name="RowColSetAbovePrompt" xfId="1151" xr:uid="{00000000-0005-0000-0000-00008AA80000}"/>
    <cellStyle name="RowColSetLeftPrompt" xfId="1152" xr:uid="{00000000-0005-0000-0000-00008BA80000}"/>
    <cellStyle name="RowColSetValue" xfId="1153" xr:uid="{00000000-0005-0000-0000-00008CA80000}"/>
    <cellStyle name="RowLeftPrompt" xfId="1154" xr:uid="{00000000-0005-0000-0000-00008DA80000}"/>
    <cellStyle name="SampleUsingFormatMask" xfId="1155" xr:uid="{00000000-0005-0000-0000-00008EA80000}"/>
    <cellStyle name="SampleWithNoFormatMask" xfId="1156" xr:uid="{00000000-0005-0000-0000-00008FA80000}"/>
    <cellStyle name="STYLE1" xfId="4445" xr:uid="{00000000-0005-0000-0000-000090A80000}"/>
    <cellStyle name="STYLE1 2" xfId="4446" xr:uid="{00000000-0005-0000-0000-000091A80000}"/>
    <cellStyle name="STYLE1 2 2" xfId="4447" xr:uid="{00000000-0005-0000-0000-000092A80000}"/>
    <cellStyle name="STYLE1 2 3" xfId="4448" xr:uid="{00000000-0005-0000-0000-000093A80000}"/>
    <cellStyle name="STYLE1 3" xfId="4449" xr:uid="{00000000-0005-0000-0000-000094A80000}"/>
    <cellStyle name="STYLE1 4" xfId="4450" xr:uid="{00000000-0005-0000-0000-000095A80000}"/>
    <cellStyle name="STYLE1 5" xfId="4451" xr:uid="{00000000-0005-0000-0000-000096A80000}"/>
    <cellStyle name="STYLE2" xfId="4452" xr:uid="{00000000-0005-0000-0000-000097A80000}"/>
    <cellStyle name="STYLE2 2" xfId="4453" xr:uid="{00000000-0005-0000-0000-000098A80000}"/>
    <cellStyle name="STYLE2 2 2" xfId="4454" xr:uid="{00000000-0005-0000-0000-000099A80000}"/>
    <cellStyle name="STYLE2 2 3" xfId="4455" xr:uid="{00000000-0005-0000-0000-00009AA80000}"/>
    <cellStyle name="STYLE2 3" xfId="4456" xr:uid="{00000000-0005-0000-0000-00009BA80000}"/>
    <cellStyle name="STYLE2 4" xfId="4457" xr:uid="{00000000-0005-0000-0000-00009CA80000}"/>
    <cellStyle name="STYLE3" xfId="4458" xr:uid="{00000000-0005-0000-0000-00009DA80000}"/>
    <cellStyle name="STYLE3 2" xfId="4459" xr:uid="{00000000-0005-0000-0000-00009EA80000}"/>
    <cellStyle name="STYLE3 2 2" xfId="4460" xr:uid="{00000000-0005-0000-0000-00009FA80000}"/>
    <cellStyle name="STYLE3 2 3" xfId="4461" xr:uid="{00000000-0005-0000-0000-0000A0A80000}"/>
    <cellStyle name="STYLE3 3" xfId="4462" xr:uid="{00000000-0005-0000-0000-0000A1A80000}"/>
    <cellStyle name="STYLE3 4" xfId="4463" xr:uid="{00000000-0005-0000-0000-0000A2A80000}"/>
    <cellStyle name="STYLE3 5" xfId="4464" xr:uid="{00000000-0005-0000-0000-0000A3A80000}"/>
    <cellStyle name="STYLE4" xfId="4465" xr:uid="{00000000-0005-0000-0000-0000A4A80000}"/>
    <cellStyle name="STYLE4 2" xfId="4466" xr:uid="{00000000-0005-0000-0000-0000A5A80000}"/>
    <cellStyle name="STYLE4 3" xfId="4467" xr:uid="{00000000-0005-0000-0000-0000A6A80000}"/>
    <cellStyle name="STYLE5" xfId="4468" xr:uid="{00000000-0005-0000-0000-0000A7A80000}"/>
    <cellStyle name="STYLE6" xfId="4469" xr:uid="{00000000-0005-0000-0000-0000A8A80000}"/>
    <cellStyle name="STYLE7" xfId="4470" xr:uid="{00000000-0005-0000-0000-0000A9A80000}"/>
    <cellStyle name="Title" xfId="45" builtinId="15" customBuiltin="1"/>
    <cellStyle name="Title 2" xfId="4471" xr:uid="{00000000-0005-0000-0000-0000ABA80000}"/>
    <cellStyle name="Title 2 2" xfId="4472" xr:uid="{00000000-0005-0000-0000-0000ACA80000}"/>
    <cellStyle name="Title 3" xfId="4473" xr:uid="{00000000-0005-0000-0000-0000ADA80000}"/>
    <cellStyle name="Title 4" xfId="4474" xr:uid="{00000000-0005-0000-0000-0000AEA80000}"/>
    <cellStyle name="Title 5" xfId="4475" xr:uid="{00000000-0005-0000-0000-0000AFA80000}"/>
    <cellStyle name="Title 6" xfId="4476" xr:uid="{00000000-0005-0000-0000-0000B0A80000}"/>
    <cellStyle name="Title Left" xfId="4477" xr:uid="{00000000-0005-0000-0000-0000B1A80000}"/>
    <cellStyle name="Total" xfId="60" builtinId="25" customBuiltin="1"/>
    <cellStyle name="Total 2" xfId="4478" xr:uid="{00000000-0005-0000-0000-0000B3A80000}"/>
    <cellStyle name="Total 3" xfId="4479" xr:uid="{00000000-0005-0000-0000-0000B4A80000}"/>
    <cellStyle name="Total 4" xfId="4480" xr:uid="{00000000-0005-0000-0000-0000B5A80000}"/>
    <cellStyle name="Total 5" xfId="4481" xr:uid="{00000000-0005-0000-0000-0000B6A80000}"/>
    <cellStyle name="Total 5 2" xfId="5451" xr:uid="{00000000-0005-0000-0000-0000B7A80000}"/>
    <cellStyle name="Total 5 2 2" xfId="7010" xr:uid="{00000000-0005-0000-0000-0000B8A80000}"/>
    <cellStyle name="Total 5 3" xfId="5441" xr:uid="{00000000-0005-0000-0000-0000B9A80000}"/>
    <cellStyle name="Total 5 3 2" xfId="6184" xr:uid="{00000000-0005-0000-0000-0000BAA80000}"/>
    <cellStyle name="Total 5 4" xfId="5428" xr:uid="{00000000-0005-0000-0000-0000BBA80000}"/>
    <cellStyle name="Total 5 4 2" xfId="7014" xr:uid="{00000000-0005-0000-0000-0000BCA80000}"/>
    <cellStyle name="Total 5 5" xfId="5421" xr:uid="{00000000-0005-0000-0000-0000BDA80000}"/>
    <cellStyle name="Total 5 5 2" xfId="6108" xr:uid="{00000000-0005-0000-0000-0000BEA80000}"/>
    <cellStyle name="Total 5 6" xfId="5472" xr:uid="{00000000-0005-0000-0000-0000BFA80000}"/>
    <cellStyle name="Total 6" xfId="4482" xr:uid="{00000000-0005-0000-0000-0000C0A80000}"/>
    <cellStyle name="Total 6 2" xfId="5452" xr:uid="{00000000-0005-0000-0000-0000C1A80000}"/>
    <cellStyle name="Total 6 2 2" xfId="6203" xr:uid="{00000000-0005-0000-0000-0000C2A80000}"/>
    <cellStyle name="Total 6 3" xfId="5431" xr:uid="{00000000-0005-0000-0000-0000C3A80000}"/>
    <cellStyle name="Total 6 3 2" xfId="7013" xr:uid="{00000000-0005-0000-0000-0000C4A80000}"/>
    <cellStyle name="Total 6 4" xfId="5406" xr:uid="{00000000-0005-0000-0000-0000C5A80000}"/>
    <cellStyle name="Total 6 4 2" xfId="6086" xr:uid="{00000000-0005-0000-0000-0000C6A80000}"/>
    <cellStyle name="Total 6 5" xfId="5400" xr:uid="{00000000-0005-0000-0000-0000C7A80000}"/>
    <cellStyle name="Total 6 5 2" xfId="6085" xr:uid="{00000000-0005-0000-0000-0000C8A80000}"/>
    <cellStyle name="Total 6 6" xfId="5675" xr:uid="{00000000-0005-0000-0000-0000C9A80000}"/>
    <cellStyle name="UploadThisRowValue" xfId="1157" xr:uid="{00000000-0005-0000-0000-0000CAA80000}"/>
    <cellStyle name="Warning Text" xfId="58" builtinId="11" customBuiltin="1"/>
    <cellStyle name="Warning Text 2" xfId="4483" xr:uid="{00000000-0005-0000-0000-0000CCA80000}"/>
    <cellStyle name="Warning Text 3" xfId="4484" xr:uid="{00000000-0005-0000-0000-0000CDA80000}"/>
    <cellStyle name="Warning Text 4" xfId="4485" xr:uid="{00000000-0005-0000-0000-0000CEA80000}"/>
    <cellStyle name="Warning Text 5" xfId="4486" xr:uid="{00000000-0005-0000-0000-0000CFA80000}"/>
    <cellStyle name="warnings" xfId="4487" xr:uid="{00000000-0005-0000-0000-0000D0A80000}"/>
    <cellStyle name="WM_STANDARD" xfId="43" xr:uid="{00000000-0005-0000-0000-0000D1A80000}"/>
    <cellStyle name="WMI_Standard" xfId="44" xr:uid="{00000000-0005-0000-0000-0000D2A80000}"/>
    <cellStyle name="XComma" xfId="4488" xr:uid="{00000000-0005-0000-0000-0000D3A80000}"/>
    <cellStyle name="XComma 0.0" xfId="4489" xr:uid="{00000000-0005-0000-0000-0000D4A80000}"/>
    <cellStyle name="XComma 0.00" xfId="4490" xr:uid="{00000000-0005-0000-0000-0000D5A80000}"/>
    <cellStyle name="XComma 0.000" xfId="4491" xr:uid="{00000000-0005-0000-0000-0000D6A80000}"/>
    <cellStyle name="XCurrency" xfId="4492" xr:uid="{00000000-0005-0000-0000-0000D7A80000}"/>
    <cellStyle name="XCurrency 0.0" xfId="4493" xr:uid="{00000000-0005-0000-0000-0000D8A80000}"/>
    <cellStyle name="XCurrency 0.00" xfId="4494" xr:uid="{00000000-0005-0000-0000-0000D9A80000}"/>
    <cellStyle name="XCurrency 0.000" xfId="4495" xr:uid="{00000000-0005-0000-0000-0000DAA80000}"/>
    <cellStyle name="xstyle" xfId="4496" xr:uid="{00000000-0005-0000-0000-0000DBA80000}"/>
  </cellStyles>
  <dxfs count="67">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13"/>
        </patternFill>
      </fill>
    </dxf>
    <dxf>
      <fill>
        <patternFill>
          <bgColor indexed="13"/>
        </patternFill>
      </fill>
    </dxf>
    <dxf>
      <fill>
        <patternFill>
          <bgColor indexed="29"/>
        </patternFill>
      </fill>
    </dxf>
    <dxf>
      <fill>
        <patternFill>
          <bgColor indexed="29"/>
        </patternFill>
      </fill>
    </dxf>
    <dxf>
      <fill>
        <patternFill>
          <bgColor theme="2" tint="-0.24994659260841701"/>
        </patternFill>
      </fill>
    </dxf>
    <dxf>
      <fill>
        <patternFill>
          <bgColor theme="2" tint="-0.24994659260841701"/>
        </patternFill>
      </fill>
    </dxf>
    <dxf>
      <fill>
        <patternFill>
          <bgColor theme="2" tint="-9.9948118533890809E-2"/>
        </patternFill>
      </fill>
      <border>
        <left style="thin">
          <color theme="2" tint="-0.24994659260841701"/>
        </left>
        <right style="thin">
          <color theme="2" tint="-0.24994659260841701"/>
        </right>
        <top style="thin">
          <color theme="2" tint="-0.24994659260841701"/>
        </top>
        <bottom style="thin">
          <color theme="2" tint="-0.24994659260841701"/>
        </bottom>
      </border>
    </dxf>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2" defaultTableStyle="TableStyleMedium9" defaultPivotStyle="PivotStyleLight16">
    <tableStyle name="Table Style 1" pivot="0" count="2" xr9:uid="{00000000-0011-0000-FFFF-FFFF00000000}">
      <tableStyleElement type="wholeTable" dxfId="66"/>
      <tableStyleElement type="headerRow" dxfId="65"/>
    </tableStyle>
    <tableStyle name="Table Style 2" pivot="0" count="3" xr9:uid="{00000000-0011-0000-FFFF-FFFF01000000}">
      <tableStyleElement type="wholeTable" dxfId="64"/>
      <tableStyleElement type="headerRow" dxfId="63"/>
      <tableStyleElement type="totalRow" dxfId="62"/>
    </tableStyle>
  </tableStyles>
  <colors>
    <mruColors>
      <color rgb="FF0000FF"/>
      <color rgb="FFFAFED0"/>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15</xdr:col>
      <xdr:colOff>9525</xdr:colOff>
      <xdr:row>6</xdr:row>
      <xdr:rowOff>28575</xdr:rowOff>
    </xdr:from>
    <xdr:to>
      <xdr:col>15</xdr:col>
      <xdr:colOff>209550</xdr:colOff>
      <xdr:row>8</xdr:row>
      <xdr:rowOff>133350</xdr:rowOff>
    </xdr:to>
    <xdr:sp macro="" textlink="">
      <xdr:nvSpPr>
        <xdr:cNvPr id="1111" name="AutoShape 15">
          <a:extLst>
            <a:ext uri="{FF2B5EF4-FFF2-40B4-BE49-F238E27FC236}">
              <a16:creationId xmlns:a16="http://schemas.microsoft.com/office/drawing/2014/main" id="{00000000-0008-0000-0000-000057040000}"/>
            </a:ext>
          </a:extLst>
        </xdr:cNvPr>
        <xdr:cNvSpPr>
          <a:spLocks/>
        </xdr:cNvSpPr>
      </xdr:nvSpPr>
      <xdr:spPr bwMode="auto">
        <a:xfrm>
          <a:off x="9686925" y="885825"/>
          <a:ext cx="200025" cy="390525"/>
        </a:xfrm>
        <a:prstGeom prst="rightBrace">
          <a:avLst>
            <a:gd name="adj1" fmla="val 16270"/>
            <a:gd name="adj2" fmla="val 50000"/>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76</xdr:row>
      <xdr:rowOff>76200</xdr:rowOff>
    </xdr:from>
    <xdr:to>
      <xdr:col>14</xdr:col>
      <xdr:colOff>352425</xdr:colOff>
      <xdr:row>79</xdr:row>
      <xdr:rowOff>104775</xdr:rowOff>
    </xdr:to>
    <xdr:sp macro="[0]!PercentageRateIncreaseCalc" textlink="">
      <xdr:nvSpPr>
        <xdr:cNvPr id="2" name="Rectangle: Rounded Corners 1">
          <a:extLst>
            <a:ext uri="{FF2B5EF4-FFF2-40B4-BE49-F238E27FC236}">
              <a16:creationId xmlns:a16="http://schemas.microsoft.com/office/drawing/2014/main" id="{7D18C819-D562-4A3E-927B-78B75E66D76D}"/>
            </a:ext>
          </a:extLst>
        </xdr:cNvPr>
        <xdr:cNvSpPr/>
      </xdr:nvSpPr>
      <xdr:spPr>
        <a:xfrm>
          <a:off x="13030200" y="12439650"/>
          <a:ext cx="1562100" cy="5143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Run % Rate Increase Goal Seetk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1114425</xdr:colOff>
      <xdr:row>3</xdr:row>
      <xdr:rowOff>57150</xdr:rowOff>
    </xdr:from>
    <xdr:to>
      <xdr:col>18</xdr:col>
      <xdr:colOff>504825</xdr:colOff>
      <xdr:row>7</xdr:row>
      <xdr:rowOff>85725</xdr:rowOff>
    </xdr:to>
    <xdr:sp macro="[1]!Sch76PercRateBase2020DR153" textlink="">
      <xdr:nvSpPr>
        <xdr:cNvPr id="2" name="Rectangle: Rounded Corners 1">
          <a:extLst>
            <a:ext uri="{FF2B5EF4-FFF2-40B4-BE49-F238E27FC236}">
              <a16:creationId xmlns:a16="http://schemas.microsoft.com/office/drawing/2014/main" id="{4C89DA0B-DE98-41DE-A9FD-9E3ADC88F2EC}"/>
            </a:ext>
          </a:extLst>
        </xdr:cNvPr>
        <xdr:cNvSpPr/>
      </xdr:nvSpPr>
      <xdr:spPr>
        <a:xfrm>
          <a:off x="13173075" y="628650"/>
          <a:ext cx="2990850" cy="790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a:t>Run Scenario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397566</xdr:colOff>
      <xdr:row>126</xdr:row>
      <xdr:rowOff>82826</xdr:rowOff>
    </xdr:from>
    <xdr:to>
      <xdr:col>17</xdr:col>
      <xdr:colOff>273326</xdr:colOff>
      <xdr:row>129</xdr:row>
      <xdr:rowOff>0</xdr:rowOff>
    </xdr:to>
    <xdr:sp macro="" textlink="">
      <xdr:nvSpPr>
        <xdr:cNvPr id="2" name="TextBox 1">
          <a:extLst>
            <a:ext uri="{FF2B5EF4-FFF2-40B4-BE49-F238E27FC236}">
              <a16:creationId xmlns:a16="http://schemas.microsoft.com/office/drawing/2014/main" id="{0D633F88-1CA7-4BEC-91AB-91C2C1BA61D2}"/>
            </a:ext>
          </a:extLst>
        </xdr:cNvPr>
        <xdr:cNvSpPr txBox="1"/>
      </xdr:nvSpPr>
      <xdr:spPr>
        <a:xfrm>
          <a:off x="14022457" y="17037326"/>
          <a:ext cx="720586" cy="4141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Needed?</a:t>
          </a:r>
        </a:p>
      </xdr:txBody>
    </xdr:sp>
    <xdr:clientData/>
  </xdr:twoCellAnchor>
  <xdr:twoCellAnchor>
    <xdr:from>
      <xdr:col>16</xdr:col>
      <xdr:colOff>0</xdr:colOff>
      <xdr:row>167</xdr:row>
      <xdr:rowOff>124237</xdr:rowOff>
    </xdr:from>
    <xdr:to>
      <xdr:col>16</xdr:col>
      <xdr:colOff>720586</xdr:colOff>
      <xdr:row>169</xdr:row>
      <xdr:rowOff>99389</xdr:rowOff>
    </xdr:to>
    <xdr:sp macro="" textlink="">
      <xdr:nvSpPr>
        <xdr:cNvPr id="3" name="TextBox 2">
          <a:extLst>
            <a:ext uri="{FF2B5EF4-FFF2-40B4-BE49-F238E27FC236}">
              <a16:creationId xmlns:a16="http://schemas.microsoft.com/office/drawing/2014/main" id="{6D274E94-0721-4A1B-B2FB-4D1595969F54}"/>
            </a:ext>
          </a:extLst>
        </xdr:cNvPr>
        <xdr:cNvSpPr txBox="1"/>
      </xdr:nvSpPr>
      <xdr:spPr>
        <a:xfrm>
          <a:off x="13732565" y="27846128"/>
          <a:ext cx="720586" cy="3064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Needed?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020%20WA%20Elec%20and%20Gas%20GRC/Compliance%20Filing%20-%20Final%20Order/Backup/Staff-DR-153-Attachment%20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 76 - % of Rate Base"/>
      <sheetName val="Sched 176 % of Rate Base"/>
      <sheetName val="BFG"/>
      <sheetName val="Staff-DR-153-Attachment C"/>
    </sheetNames>
    <definedNames>
      <definedName name="Sch76PercRateBase2020DR153"/>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2:U311"/>
  <sheetViews>
    <sheetView showGridLines="0" zoomScale="115" zoomScaleNormal="115" workbookViewId="0">
      <pane ySplit="5" topLeftCell="A6" activePane="bottomLeft" state="frozen"/>
      <selection activeCell="M469" sqref="M469"/>
      <selection pane="bottomLeft" activeCell="A6" sqref="A6"/>
    </sheetView>
  </sheetViews>
  <sheetFormatPr defaultColWidth="10.7109375" defaultRowHeight="11.25"/>
  <cols>
    <col min="1" max="1" width="9.7109375" style="1" customWidth="1"/>
    <col min="2" max="2" width="25.7109375" style="5" customWidth="1"/>
    <col min="3" max="4" width="11.7109375" style="5" customWidth="1"/>
    <col min="5" max="5" width="11.5703125" style="5" customWidth="1"/>
    <col min="6" max="6" width="11.5703125" style="5" hidden="1" customWidth="1"/>
    <col min="7" max="7" width="11.7109375" style="5" customWidth="1"/>
    <col min="8" max="8" width="11.7109375" style="5" hidden="1" customWidth="1"/>
    <col min="9" max="10" width="11.7109375" style="5" customWidth="1"/>
    <col min="11" max="11" width="11.28515625" style="5" customWidth="1"/>
    <col min="12" max="12" width="11.7109375" style="5" customWidth="1"/>
    <col min="13" max="13" width="10.7109375" style="5" customWidth="1"/>
    <col min="14" max="14" width="3.7109375" style="5" customWidth="1"/>
    <col min="15" max="15" width="13.28515625" style="5" customWidth="1"/>
    <col min="16" max="16" width="3.7109375" style="5" customWidth="1"/>
    <col min="17" max="18" width="10.7109375" style="5" customWidth="1"/>
    <col min="19" max="19" width="35.7109375" style="5" customWidth="1"/>
    <col min="20" max="16384" width="10.7109375" style="5"/>
  </cols>
  <sheetData>
    <row r="2" spans="1:21" ht="22.5" customHeight="1">
      <c r="B2" s="314" t="str">
        <f>IF(Base1_Billing2=2,"BILLED","")</f>
        <v/>
      </c>
    </row>
    <row r="4" spans="1:21" s="2" customFormat="1">
      <c r="A4" s="1" t="s">
        <v>0</v>
      </c>
      <c r="C4" s="2" t="s">
        <v>1</v>
      </c>
      <c r="D4" s="2" t="s">
        <v>2</v>
      </c>
      <c r="E4" s="2" t="s">
        <v>3</v>
      </c>
      <c r="F4" s="2" t="s">
        <v>3</v>
      </c>
      <c r="G4" s="2" t="s">
        <v>4</v>
      </c>
      <c r="H4" s="2" t="s">
        <v>4</v>
      </c>
      <c r="I4" s="2" t="s">
        <v>5</v>
      </c>
      <c r="J4" s="2" t="s">
        <v>5</v>
      </c>
      <c r="K4" s="2" t="s">
        <v>6</v>
      </c>
      <c r="L4" s="2" t="s">
        <v>7</v>
      </c>
    </row>
    <row r="5" spans="1:21" s="2" customFormat="1">
      <c r="A5" s="1" t="s">
        <v>8</v>
      </c>
      <c r="C5" s="3" t="s">
        <v>9</v>
      </c>
      <c r="D5" s="3" t="s">
        <v>685</v>
      </c>
      <c r="E5" s="3" t="s">
        <v>11</v>
      </c>
      <c r="F5" s="3" t="s">
        <v>948</v>
      </c>
      <c r="G5" s="3" t="s">
        <v>12</v>
      </c>
      <c r="H5" s="3" t="s">
        <v>949</v>
      </c>
      <c r="I5" s="3" t="s">
        <v>13</v>
      </c>
      <c r="J5" s="3" t="s">
        <v>950</v>
      </c>
      <c r="K5" s="3" t="s">
        <v>14</v>
      </c>
      <c r="L5" s="3" t="s">
        <v>15</v>
      </c>
      <c r="S5" s="115" t="s">
        <v>228</v>
      </c>
    </row>
    <row r="6" spans="1:21" ht="11.25" customHeight="1">
      <c r="B6" s="4" t="s">
        <v>16</v>
      </c>
      <c r="N6" s="2"/>
      <c r="O6" s="113" t="s">
        <v>230</v>
      </c>
      <c r="P6" s="2"/>
      <c r="Q6" s="2"/>
      <c r="S6" s="913" t="str">
        <f>"AVISTA UTILITIES
WASHINGTON ELECTRIC
PRO FORMA REVENUE UNDER PRESENT AND PROPOSED "&amp;Q9&amp;" RATES
12 MONTHS ENDED DECEMBER 31, 2019"</f>
        <v>AVISTA UTILITIES
WASHINGTON ELECTRIC
PRO FORMA REVENUE UNDER PRESENT AND PROPOSED BASE TARIFF RATES
12 MONTHS ENDED DECEMBER 31, 2019</v>
      </c>
      <c r="T6" s="913"/>
      <c r="U6" s="913"/>
    </row>
    <row r="7" spans="1:21">
      <c r="B7" s="6" t="s">
        <v>17</v>
      </c>
      <c r="N7" s="114" t="s">
        <v>224</v>
      </c>
      <c r="O7" s="5" t="s">
        <v>363</v>
      </c>
      <c r="P7" s="2"/>
      <c r="Q7" s="2"/>
      <c r="S7" s="913"/>
      <c r="T7" s="913"/>
      <c r="U7" s="913"/>
    </row>
    <row r="8" spans="1:21">
      <c r="A8" s="1" t="s">
        <v>811</v>
      </c>
      <c r="B8" s="5" t="s">
        <v>18</v>
      </c>
      <c r="C8" s="12"/>
      <c r="D8" s="12">
        <f>'Bill Determ'!$B$9</f>
        <v>1632639774.4875689</v>
      </c>
      <c r="E8" s="12">
        <f>'Bill Determ'!$B$17</f>
        <v>435979118.38983351</v>
      </c>
      <c r="F8" s="12">
        <f>'Bill Determ'!$B$27</f>
        <v>0</v>
      </c>
      <c r="G8" s="12">
        <f>'Bill Determ'!$B$38</f>
        <v>1229791151.8036699</v>
      </c>
      <c r="H8" s="12">
        <f>'Bill Determ'!$B$49</f>
        <v>0</v>
      </c>
      <c r="I8" s="12">
        <f>'Bill Determ'!$B$58</f>
        <v>126000000</v>
      </c>
      <c r="J8" s="12">
        <f>'Bill Determ'!$B$62</f>
        <v>6000000</v>
      </c>
      <c r="K8" s="12">
        <f>SUM('Bill Determ'!$B$68:$C$68)</f>
        <v>46790737.710170001</v>
      </c>
      <c r="L8" s="12"/>
      <c r="O8" s="2" t="s">
        <v>223</v>
      </c>
      <c r="Q8" s="292">
        <v>1</v>
      </c>
      <c r="S8" s="913"/>
      <c r="T8" s="913"/>
      <c r="U8" s="913"/>
    </row>
    <row r="9" spans="1:21">
      <c r="A9" s="1" t="s">
        <v>811</v>
      </c>
      <c r="B9" s="5" t="s">
        <v>19</v>
      </c>
      <c r="C9" s="12"/>
      <c r="D9" s="12">
        <f>'Bill Determ'!$C$9</f>
        <v>504552667.9882521</v>
      </c>
      <c r="E9" s="12">
        <f>'Bill Determ'!$C$17</f>
        <v>191116384.14616641</v>
      </c>
      <c r="F9" s="12">
        <f>'Bill Determ'!$C$27</f>
        <v>0</v>
      </c>
      <c r="G9" s="12">
        <f>'Bill Determ'!$C$38</f>
        <v>146237824.45333001</v>
      </c>
      <c r="H9" s="12">
        <f>'Bill Determ'!$C$49</f>
        <v>0</v>
      </c>
      <c r="I9" s="12">
        <f>'Bill Determ'!$C$58</f>
        <v>489959799.31499994</v>
      </c>
      <c r="J9" s="12">
        <f>'Bill Determ'!$C$62</f>
        <v>66000000</v>
      </c>
      <c r="K9" s="12">
        <f>'Bill Determ'!$D$68</f>
        <v>92769241.331829995</v>
      </c>
      <c r="L9" s="12"/>
      <c r="N9" s="114" t="s">
        <v>225</v>
      </c>
      <c r="O9" s="5" t="s">
        <v>364</v>
      </c>
      <c r="Q9" s="5" t="str">
        <f>CHOOSE(Base1_Billing2,O7,O9)</f>
        <v>BASE TARIFF</v>
      </c>
      <c r="S9" s="913"/>
      <c r="T9" s="913"/>
      <c r="U9" s="913"/>
    </row>
    <row r="10" spans="1:21">
      <c r="A10" s="1" t="s">
        <v>811</v>
      </c>
      <c r="B10" s="5" t="s">
        <v>20</v>
      </c>
      <c r="C10" s="12"/>
      <c r="D10" s="12">
        <f>'Bill Determ'!$D$9</f>
        <v>299072582.35517937</v>
      </c>
      <c r="E10" s="12"/>
      <c r="F10" s="12"/>
      <c r="G10" s="12"/>
      <c r="H10" s="12"/>
      <c r="I10" s="12">
        <f>'Bill Determ'!$D$58</f>
        <v>4157886.6000001431</v>
      </c>
      <c r="J10" s="12">
        <f>'Bill Determ'!$D$62</f>
        <v>379099448</v>
      </c>
      <c r="K10" s="12"/>
      <c r="L10" s="12"/>
      <c r="Q10" s="5" t="str">
        <f>CHOOSE(Base1_Billing2,"Base","Billing")</f>
        <v>Base</v>
      </c>
      <c r="S10" s="913"/>
      <c r="T10" s="913"/>
      <c r="U10" s="913"/>
    </row>
    <row r="11" spans="1:21">
      <c r="B11" s="5" t="s">
        <v>21</v>
      </c>
      <c r="C11" s="12"/>
      <c r="D11" s="12"/>
      <c r="E11" s="12"/>
      <c r="F11" s="12"/>
      <c r="G11" s="12"/>
      <c r="H11" s="12"/>
      <c r="I11" s="12"/>
      <c r="J11" s="12"/>
      <c r="K11" s="12"/>
      <c r="L11" s="12"/>
      <c r="S11" s="913"/>
      <c r="T11" s="913"/>
      <c r="U11" s="913"/>
    </row>
    <row r="12" spans="1:21">
      <c r="A12" s="1" t="s">
        <v>812</v>
      </c>
      <c r="B12" s="5" t="s">
        <v>22</v>
      </c>
      <c r="C12" s="103"/>
      <c r="D12" s="103"/>
      <c r="E12" s="103"/>
      <c r="F12" s="103"/>
      <c r="G12" s="103"/>
      <c r="H12" s="103"/>
      <c r="I12" s="103"/>
      <c r="J12" s="103"/>
      <c r="K12" s="103"/>
      <c r="L12" s="249">
        <f>'REVRUNS 12ME1219'!P341</f>
        <v>17961923.65997</v>
      </c>
      <c r="Q12" s="12"/>
    </row>
    <row r="13" spans="1:21">
      <c r="C13" s="12"/>
      <c r="D13" s="12"/>
      <c r="E13" s="12"/>
      <c r="F13" s="12"/>
      <c r="G13" s="12"/>
      <c r="H13" s="12"/>
      <c r="I13" s="12"/>
      <c r="J13" s="12"/>
      <c r="K13" s="12"/>
      <c r="L13" s="104"/>
      <c r="Q13" s="11"/>
    </row>
    <row r="14" spans="1:21">
      <c r="B14" s="5" t="s">
        <v>23</v>
      </c>
      <c r="C14" s="12">
        <f>SUM(D14:L14)</f>
        <v>5668128540.2409706</v>
      </c>
      <c r="D14" s="12">
        <f t="shared" ref="D14:L14" si="0">SUM(D8:D12)</f>
        <v>2436265024.8310003</v>
      </c>
      <c r="E14" s="12">
        <f t="shared" si="0"/>
        <v>627095502.53599989</v>
      </c>
      <c r="F14" s="12">
        <f t="shared" ref="F14" si="1">SUM(F8:F12)</f>
        <v>0</v>
      </c>
      <c r="G14" s="12">
        <f t="shared" si="0"/>
        <v>1376028976.257</v>
      </c>
      <c r="H14" s="12">
        <f t="shared" ref="H14" si="2">SUM(H8:H12)</f>
        <v>0</v>
      </c>
      <c r="I14" s="12">
        <f>SUM(I8:I12)</f>
        <v>620117685.91500008</v>
      </c>
      <c r="J14" s="12">
        <f t="shared" ref="J14" si="3">SUM(J8:J12)</f>
        <v>451099448</v>
      </c>
      <c r="K14" s="12">
        <f t="shared" si="0"/>
        <v>139559979.042</v>
      </c>
      <c r="L14" s="12">
        <f t="shared" si="0"/>
        <v>17961923.65997</v>
      </c>
    </row>
    <row r="15" spans="1:21" s="8" customFormat="1">
      <c r="A15" s="1"/>
      <c r="B15" s="87"/>
      <c r="C15" s="12"/>
      <c r="D15" s="12"/>
      <c r="E15" s="12"/>
      <c r="F15" s="12"/>
      <c r="G15" s="12"/>
      <c r="H15" s="12"/>
      <c r="I15" s="12"/>
      <c r="J15" s="12"/>
      <c r="K15" s="12"/>
      <c r="L15" s="12"/>
    </row>
    <row r="16" spans="1:21">
      <c r="C16" s="106"/>
      <c r="D16" s="106"/>
      <c r="E16" s="106"/>
      <c r="F16" s="106"/>
      <c r="G16" s="106"/>
      <c r="H16" s="106"/>
      <c r="I16" s="106"/>
      <c r="J16" s="106"/>
      <c r="K16" s="106"/>
      <c r="L16" s="106"/>
    </row>
    <row r="17" spans="1:15">
      <c r="B17" s="5" t="s">
        <v>23</v>
      </c>
      <c r="C17" s="12">
        <f>SUM(D17:L17)</f>
        <v>5668128540.2409706</v>
      </c>
      <c r="D17" s="12">
        <f t="shared" ref="D17:L17" si="4">D14+D15</f>
        <v>2436265024.8310003</v>
      </c>
      <c r="E17" s="12">
        <f t="shared" si="4"/>
        <v>627095502.53599989</v>
      </c>
      <c r="F17" s="12">
        <f t="shared" ref="F17" si="5">F14+F15</f>
        <v>0</v>
      </c>
      <c r="G17" s="12">
        <f t="shared" si="4"/>
        <v>1376028976.257</v>
      </c>
      <c r="H17" s="12">
        <f t="shared" ref="H17" si="6">H14+H15</f>
        <v>0</v>
      </c>
      <c r="I17" s="12">
        <f t="shared" si="4"/>
        <v>620117685.91500008</v>
      </c>
      <c r="J17" s="12">
        <f t="shared" ref="J17" si="7">J14+J15</f>
        <v>451099448</v>
      </c>
      <c r="K17" s="12">
        <f t="shared" si="4"/>
        <v>139559979.042</v>
      </c>
      <c r="L17" s="12">
        <f t="shared" si="4"/>
        <v>17961923.65997</v>
      </c>
    </row>
    <row r="18" spans="1:15">
      <c r="A18" s="1" t="s">
        <v>811</v>
      </c>
      <c r="B18" s="5" t="s">
        <v>24</v>
      </c>
      <c r="C18" s="12">
        <f>SUM(D18:L18)</f>
        <v>0</v>
      </c>
      <c r="D18" s="12">
        <f>'Bill Determ'!$E$11</f>
        <v>0</v>
      </c>
      <c r="E18" s="12">
        <f>'Bill Determ'!$D$21</f>
        <v>0</v>
      </c>
      <c r="F18" s="12">
        <f>'Bill Determ'!$D$21</f>
        <v>0</v>
      </c>
      <c r="G18" s="12">
        <f>'Bill Determ'!$D$43</f>
        <v>0</v>
      </c>
      <c r="H18" s="12">
        <f>'Bill Determ'!$D$43</f>
        <v>0</v>
      </c>
      <c r="I18" s="109">
        <v>0</v>
      </c>
      <c r="J18" s="109">
        <v>0</v>
      </c>
      <c r="K18" s="12">
        <f>'Bill Determ'!$E$70</f>
        <v>0</v>
      </c>
      <c r="L18" s="109">
        <v>0</v>
      </c>
    </row>
    <row r="19" spans="1:15">
      <c r="C19" s="106"/>
      <c r="D19" s="106"/>
      <c r="E19" s="106"/>
      <c r="F19" s="106"/>
      <c r="G19" s="106"/>
      <c r="H19" s="106"/>
      <c r="I19" s="106"/>
      <c r="J19" s="106"/>
      <c r="K19" s="106"/>
      <c r="L19" s="106"/>
    </row>
    <row r="20" spans="1:15">
      <c r="B20" s="5" t="s">
        <v>25</v>
      </c>
      <c r="C20" s="12">
        <f>SUM(D20:L20)</f>
        <v>5668128540.2409706</v>
      </c>
      <c r="D20" s="12">
        <f t="shared" ref="D20:L20" si="8">D17+D18</f>
        <v>2436265024.8310003</v>
      </c>
      <c r="E20" s="12">
        <f t="shared" si="8"/>
        <v>627095502.53599989</v>
      </c>
      <c r="F20" s="12">
        <f t="shared" ref="F20" si="9">F17+F18</f>
        <v>0</v>
      </c>
      <c r="G20" s="12">
        <f t="shared" si="8"/>
        <v>1376028976.257</v>
      </c>
      <c r="H20" s="12">
        <f t="shared" ref="H20" si="10">H17+H18</f>
        <v>0</v>
      </c>
      <c r="I20" s="12">
        <f t="shared" si="8"/>
        <v>620117685.91500008</v>
      </c>
      <c r="J20" s="12">
        <f t="shared" ref="J20" si="11">J17+J18</f>
        <v>451099448</v>
      </c>
      <c r="K20" s="12">
        <f t="shared" si="8"/>
        <v>139559979.042</v>
      </c>
      <c r="L20" s="12">
        <f t="shared" si="8"/>
        <v>17961923.65997</v>
      </c>
    </row>
    <row r="21" spans="1:15" s="8" customFormat="1">
      <c r="A21" s="1" t="s">
        <v>813</v>
      </c>
      <c r="B21" s="87" t="s">
        <v>26</v>
      </c>
      <c r="C21" s="107">
        <f>SUM(D21:L21)</f>
        <v>-52372625</v>
      </c>
      <c r="D21" s="107">
        <f t="shared" ref="D21:L21" si="12">D142+D145</f>
        <v>-40779500</v>
      </c>
      <c r="E21" s="107">
        <f t="shared" si="12"/>
        <v>-5197349</v>
      </c>
      <c r="F21" s="107">
        <f>F142+F145</f>
        <v>0</v>
      </c>
      <c r="G21" s="107">
        <f t="shared" si="12"/>
        <v>-6458850</v>
      </c>
      <c r="H21" s="107">
        <f t="shared" ref="H21" si="13">H142+H145</f>
        <v>0</v>
      </c>
      <c r="I21" s="197">
        <f t="shared" si="12"/>
        <v>0</v>
      </c>
      <c r="J21" s="197">
        <f t="shared" ref="J21" si="14">J142+J145</f>
        <v>0</v>
      </c>
      <c r="K21" s="107">
        <f t="shared" si="12"/>
        <v>63074</v>
      </c>
      <c r="L21" s="107">
        <f t="shared" si="12"/>
        <v>0</v>
      </c>
    </row>
    <row r="22" spans="1:15">
      <c r="C22" s="106"/>
      <c r="D22" s="106"/>
      <c r="E22" s="106"/>
      <c r="F22" s="106"/>
      <c r="G22" s="106"/>
      <c r="H22" s="106"/>
      <c r="I22" s="106"/>
      <c r="J22" s="106"/>
      <c r="K22" s="106"/>
      <c r="L22" s="106"/>
      <c r="O22" s="5" t="s">
        <v>1</v>
      </c>
    </row>
    <row r="23" spans="1:15">
      <c r="B23" s="5" t="s">
        <v>27</v>
      </c>
      <c r="C23" s="12">
        <f>IF(ROUND(SUM(D23:L23),3)&lt;&gt;ROUND(SUM(C20:C21),3),#VALUE!,SUM(D23:L23))</f>
        <v>5615755915.2409706</v>
      </c>
      <c r="D23" s="12">
        <f t="shared" ref="D23:L23" si="15">D20+D21</f>
        <v>2395485524.8310003</v>
      </c>
      <c r="E23" s="12">
        <f t="shared" si="15"/>
        <v>621898153.53599989</v>
      </c>
      <c r="F23" s="12">
        <f t="shared" ref="F23" si="16">F20+F21</f>
        <v>0</v>
      </c>
      <c r="G23" s="12">
        <f t="shared" si="15"/>
        <v>1369570126.257</v>
      </c>
      <c r="H23" s="12">
        <f t="shared" ref="H23" si="17">H20+H21</f>
        <v>0</v>
      </c>
      <c r="I23" s="12">
        <f t="shared" si="15"/>
        <v>620117685.91500008</v>
      </c>
      <c r="J23" s="12">
        <f t="shared" ref="J23" si="18">J20+J21</f>
        <v>451099448</v>
      </c>
      <c r="K23" s="12">
        <f t="shared" si="15"/>
        <v>139623053.042</v>
      </c>
      <c r="L23" s="12">
        <f t="shared" si="15"/>
        <v>17961923.65997</v>
      </c>
    </row>
    <row r="24" spans="1:15">
      <c r="C24" s="12"/>
      <c r="D24" s="12"/>
      <c r="E24" s="12"/>
      <c r="F24" s="12"/>
      <c r="G24" s="12"/>
      <c r="H24" s="12"/>
      <c r="I24" s="12"/>
      <c r="J24" s="12"/>
      <c r="K24" s="12"/>
      <c r="L24" s="12"/>
    </row>
    <row r="25" spans="1:15">
      <c r="A25" s="1" t="s">
        <v>811</v>
      </c>
      <c r="B25" s="5" t="s">
        <v>28</v>
      </c>
      <c r="C25" s="12"/>
      <c r="D25" s="12">
        <f>'Bill Determ'!$F$9</f>
        <v>2619517</v>
      </c>
      <c r="E25" s="12">
        <f>'Bill Determ'!$F$17</f>
        <v>391801</v>
      </c>
      <c r="F25" s="12">
        <f>'Bill Determ'!$F$27</f>
        <v>0</v>
      </c>
      <c r="G25" s="12">
        <f>'Bill Determ'!$F$38</f>
        <v>22941</v>
      </c>
      <c r="H25" s="12">
        <f>'Bill Determ'!$F$29</f>
        <v>0</v>
      </c>
      <c r="I25" s="12">
        <f>'Bill Determ'!$G$58</f>
        <v>252</v>
      </c>
      <c r="J25" s="12">
        <f>'Bill Determ'!$G$62</f>
        <v>12</v>
      </c>
      <c r="K25" s="12">
        <f>'Bill Determ'!$F$66</f>
        <v>29492</v>
      </c>
      <c r="L25" s="12"/>
    </row>
    <row r="26" spans="1:15">
      <c r="B26" s="5" t="s">
        <v>29</v>
      </c>
      <c r="C26" s="12"/>
      <c r="D26" s="12"/>
      <c r="E26" s="12"/>
      <c r="F26" s="12"/>
      <c r="G26" s="12"/>
      <c r="H26" s="12"/>
      <c r="I26" s="12"/>
      <c r="J26" s="12"/>
      <c r="K26" s="12"/>
      <c r="L26" s="12"/>
    </row>
    <row r="27" spans="1:15">
      <c r="A27" s="1" t="s">
        <v>811</v>
      </c>
      <c r="B27" s="5" t="s">
        <v>30</v>
      </c>
      <c r="C27" s="12"/>
      <c r="D27" s="12"/>
      <c r="E27" s="12">
        <f>'Bill Determ'!$E$17</f>
        <v>438307.97692307696</v>
      </c>
      <c r="F27" s="12">
        <f>'Bill Determ'!$E$27</f>
        <v>0</v>
      </c>
      <c r="G27" s="12">
        <f>'Bill Determ'!$E$38</f>
        <v>2648035.6015384616</v>
      </c>
      <c r="H27" s="12">
        <f>'Bill Determ'!$E$49</f>
        <v>0</v>
      </c>
      <c r="I27" s="12">
        <f>'Bill Determ'!$F$58+'Bill Determ'!F59</f>
        <v>585966.87300000002</v>
      </c>
      <c r="J27" s="12">
        <f>'Bill Determ'!$F$62</f>
        <v>689915.61</v>
      </c>
      <c r="K27" s="12"/>
      <c r="L27" s="12"/>
    </row>
    <row r="28" spans="1:15">
      <c r="C28" s="7"/>
      <c r="D28" s="7"/>
      <c r="E28" s="7"/>
      <c r="F28" s="7"/>
      <c r="G28" s="7"/>
      <c r="H28" s="7"/>
      <c r="I28" s="7"/>
      <c r="J28" s="7"/>
      <c r="K28" s="7"/>
      <c r="L28" s="7"/>
    </row>
    <row r="29" spans="1:15" ht="12.75">
      <c r="B29" s="4" t="s">
        <v>31</v>
      </c>
    </row>
    <row r="30" spans="1:15" s="14" customFormat="1">
      <c r="A30" s="13"/>
      <c r="B30" s="6" t="s">
        <v>17</v>
      </c>
    </row>
    <row r="31" spans="1:15">
      <c r="B31" s="5" t="s">
        <v>18</v>
      </c>
      <c r="C31" s="12"/>
      <c r="D31" s="12">
        <f t="shared" ref="D31:L31" si="19">D8</f>
        <v>1632639774.4875689</v>
      </c>
      <c r="E31" s="12">
        <f t="shared" si="19"/>
        <v>435979118.38983351</v>
      </c>
      <c r="F31" s="12">
        <f t="shared" ref="F31" si="20">F8</f>
        <v>0</v>
      </c>
      <c r="G31" s="12">
        <f t="shared" si="19"/>
        <v>1229791151.8036699</v>
      </c>
      <c r="H31" s="12">
        <f t="shared" ref="H31" si="21">H8</f>
        <v>0</v>
      </c>
      <c r="I31" s="12">
        <f t="shared" si="19"/>
        <v>126000000</v>
      </c>
      <c r="J31" s="12">
        <f>J8</f>
        <v>6000000</v>
      </c>
      <c r="K31" s="12">
        <f t="shared" si="19"/>
        <v>46790737.710170001</v>
      </c>
      <c r="L31" s="12">
        <f t="shared" si="19"/>
        <v>0</v>
      </c>
    </row>
    <row r="32" spans="1:15">
      <c r="B32" s="5" t="s">
        <v>19</v>
      </c>
      <c r="C32" s="12"/>
      <c r="D32" s="12">
        <f t="shared" ref="D32:L35" si="22">D9</f>
        <v>504552667.9882521</v>
      </c>
      <c r="E32" s="12">
        <f t="shared" si="22"/>
        <v>191116384.14616641</v>
      </c>
      <c r="F32" s="12">
        <f t="shared" ref="F32" si="23">F9</f>
        <v>0</v>
      </c>
      <c r="G32" s="12">
        <f t="shared" si="22"/>
        <v>146237824.45333001</v>
      </c>
      <c r="H32" s="12">
        <f t="shared" ref="H32" si="24">H9</f>
        <v>0</v>
      </c>
      <c r="I32" s="12">
        <f>'Bill Determ'!$C$58</f>
        <v>489959799.31499994</v>
      </c>
      <c r="J32" s="12">
        <f>'Bill Determ'!$C$62</f>
        <v>66000000</v>
      </c>
      <c r="K32" s="12">
        <f t="shared" si="22"/>
        <v>92769241.331829995</v>
      </c>
      <c r="L32" s="12">
        <f t="shared" si="22"/>
        <v>0</v>
      </c>
    </row>
    <row r="33" spans="1:12">
      <c r="B33" s="5" t="s">
        <v>20</v>
      </c>
      <c r="C33" s="12"/>
      <c r="D33" s="12">
        <f t="shared" si="22"/>
        <v>299072582.35517937</v>
      </c>
      <c r="E33" s="12">
        <f t="shared" si="22"/>
        <v>0</v>
      </c>
      <c r="F33" s="12">
        <f t="shared" ref="F33" si="25">F10</f>
        <v>0</v>
      </c>
      <c r="G33" s="12">
        <f t="shared" si="22"/>
        <v>0</v>
      </c>
      <c r="H33" s="12">
        <f t="shared" ref="H33" si="26">H10</f>
        <v>0</v>
      </c>
      <c r="I33" s="12">
        <f>'Bill Determ'!$D$58</f>
        <v>4157886.6000001431</v>
      </c>
      <c r="J33" s="12">
        <f>'Bill Determ'!$D$62</f>
        <v>379099448</v>
      </c>
      <c r="K33" s="12">
        <f t="shared" si="22"/>
        <v>0</v>
      </c>
      <c r="L33" s="12">
        <f t="shared" si="22"/>
        <v>0</v>
      </c>
    </row>
    <row r="34" spans="1:12">
      <c r="B34" s="5" t="s">
        <v>21</v>
      </c>
      <c r="C34" s="12"/>
      <c r="D34" s="12">
        <f t="shared" si="22"/>
        <v>0</v>
      </c>
      <c r="E34" s="12">
        <f t="shared" si="22"/>
        <v>0</v>
      </c>
      <c r="F34" s="12">
        <f t="shared" ref="F34" si="27">F11</f>
        <v>0</v>
      </c>
      <c r="G34" s="12">
        <f t="shared" si="22"/>
        <v>0</v>
      </c>
      <c r="H34" s="12">
        <f t="shared" ref="H34" si="28">H11</f>
        <v>0</v>
      </c>
      <c r="I34" s="12">
        <f t="shared" si="22"/>
        <v>0</v>
      </c>
      <c r="J34" s="12">
        <f t="shared" ref="J34" si="29">J11</f>
        <v>0</v>
      </c>
      <c r="K34" s="12">
        <f t="shared" si="22"/>
        <v>0</v>
      </c>
      <c r="L34" s="12">
        <f t="shared" si="22"/>
        <v>0</v>
      </c>
    </row>
    <row r="35" spans="1:12">
      <c r="B35" s="5" t="s">
        <v>22</v>
      </c>
      <c r="C35" s="105"/>
      <c r="D35" s="12">
        <f t="shared" si="22"/>
        <v>0</v>
      </c>
      <c r="E35" s="12">
        <f t="shared" si="22"/>
        <v>0</v>
      </c>
      <c r="F35" s="12">
        <f t="shared" ref="F35" si="30">F12</f>
        <v>0</v>
      </c>
      <c r="G35" s="12">
        <f t="shared" si="22"/>
        <v>0</v>
      </c>
      <c r="H35" s="12">
        <f t="shared" ref="H35" si="31">H12</f>
        <v>0</v>
      </c>
      <c r="I35" s="12">
        <f t="shared" si="22"/>
        <v>0</v>
      </c>
      <c r="J35" s="12">
        <f t="shared" ref="J35" si="32">J12</f>
        <v>0</v>
      </c>
      <c r="K35" s="12">
        <f t="shared" si="22"/>
        <v>0</v>
      </c>
      <c r="L35" s="12">
        <f>L12</f>
        <v>17961923.65997</v>
      </c>
    </row>
    <row r="36" spans="1:12">
      <c r="C36" s="106"/>
      <c r="D36" s="106"/>
      <c r="E36" s="106"/>
      <c r="F36" s="106"/>
      <c r="G36" s="106"/>
      <c r="H36" s="106"/>
      <c r="I36" s="106"/>
      <c r="J36" s="106"/>
      <c r="K36" s="106"/>
      <c r="L36" s="106"/>
    </row>
    <row r="37" spans="1:12">
      <c r="B37" s="5" t="s">
        <v>23</v>
      </c>
      <c r="C37" s="12">
        <f>SUM(D37:L37)</f>
        <v>5668128540.2409706</v>
      </c>
      <c r="D37" s="12">
        <f t="shared" ref="D37:L37" si="33">SUM(D31:D35)</f>
        <v>2436265024.8310003</v>
      </c>
      <c r="E37" s="12">
        <f t="shared" si="33"/>
        <v>627095502.53599989</v>
      </c>
      <c r="F37" s="12">
        <f t="shared" ref="F37" si="34">SUM(F31:F35)</f>
        <v>0</v>
      </c>
      <c r="G37" s="12">
        <f t="shared" si="33"/>
        <v>1376028976.257</v>
      </c>
      <c r="H37" s="12">
        <f t="shared" ref="H37" si="35">SUM(H31:H35)</f>
        <v>0</v>
      </c>
      <c r="I37" s="12">
        <f t="shared" si="33"/>
        <v>620117685.91500008</v>
      </c>
      <c r="J37" s="12">
        <f t="shared" ref="J37" si="36">SUM(J31:J35)</f>
        <v>451099448</v>
      </c>
      <c r="K37" s="12">
        <f t="shared" si="33"/>
        <v>139559979.042</v>
      </c>
      <c r="L37" s="12">
        <f t="shared" si="33"/>
        <v>17961923.65997</v>
      </c>
    </row>
    <row r="38" spans="1:12" s="8" customFormat="1">
      <c r="A38" s="34"/>
      <c r="B38" s="387"/>
      <c r="C38" s="12">
        <f>SUM(D38:L38)</f>
        <v>0</v>
      </c>
      <c r="D38" s="107">
        <f t="shared" ref="D38:L38" si="37">D15</f>
        <v>0</v>
      </c>
      <c r="E38" s="107">
        <f t="shared" si="37"/>
        <v>0</v>
      </c>
      <c r="F38" s="107">
        <f t="shared" ref="F38" si="38">F15</f>
        <v>0</v>
      </c>
      <c r="G38" s="107">
        <f t="shared" si="37"/>
        <v>0</v>
      </c>
      <c r="H38" s="107">
        <f t="shared" ref="H38" si="39">H15</f>
        <v>0</v>
      </c>
      <c r="I38" s="107">
        <f t="shared" si="37"/>
        <v>0</v>
      </c>
      <c r="J38" s="107">
        <f t="shared" ref="J38" si="40">J15</f>
        <v>0</v>
      </c>
      <c r="K38" s="107">
        <f t="shared" si="37"/>
        <v>0</v>
      </c>
      <c r="L38" s="107">
        <f t="shared" si="37"/>
        <v>0</v>
      </c>
    </row>
    <row r="39" spans="1:12">
      <c r="C39" s="106"/>
      <c r="D39" s="106"/>
      <c r="E39" s="106"/>
      <c r="F39" s="106"/>
      <c r="G39" s="106"/>
      <c r="H39" s="106"/>
      <c r="I39" s="106"/>
      <c r="J39" s="106"/>
      <c r="K39" s="106"/>
      <c r="L39" s="106"/>
    </row>
    <row r="40" spans="1:12">
      <c r="B40" s="5" t="s">
        <v>23</v>
      </c>
      <c r="C40" s="12">
        <f>SUM(D40:L40)</f>
        <v>5668128540.2409706</v>
      </c>
      <c r="D40" s="12">
        <f t="shared" ref="D40:L40" si="41">D37+D38</f>
        <v>2436265024.8310003</v>
      </c>
      <c r="E40" s="12">
        <f t="shared" si="41"/>
        <v>627095502.53599989</v>
      </c>
      <c r="F40" s="12">
        <f t="shared" ref="F40" si="42">F37+F38</f>
        <v>0</v>
      </c>
      <c r="G40" s="12">
        <f t="shared" si="41"/>
        <v>1376028976.257</v>
      </c>
      <c r="H40" s="12">
        <f t="shared" ref="H40" si="43">H37+H38</f>
        <v>0</v>
      </c>
      <c r="I40" s="12">
        <f t="shared" si="41"/>
        <v>620117685.91500008</v>
      </c>
      <c r="J40" s="12">
        <f t="shared" ref="J40" si="44">J37+J38</f>
        <v>451099448</v>
      </c>
      <c r="K40" s="12">
        <f t="shared" si="41"/>
        <v>139559979.042</v>
      </c>
      <c r="L40" s="12">
        <f t="shared" si="41"/>
        <v>17961923.65997</v>
      </c>
    </row>
    <row r="41" spans="1:12">
      <c r="B41" s="5" t="s">
        <v>24</v>
      </c>
      <c r="C41" s="12">
        <f>SUM(D41:L41)</f>
        <v>0</v>
      </c>
      <c r="D41" s="12">
        <f t="shared" ref="D41:L41" si="45">D18</f>
        <v>0</v>
      </c>
      <c r="E41" s="12">
        <f t="shared" si="45"/>
        <v>0</v>
      </c>
      <c r="F41" s="12">
        <f t="shared" ref="F41" si="46">F18</f>
        <v>0</v>
      </c>
      <c r="G41" s="12">
        <f t="shared" si="45"/>
        <v>0</v>
      </c>
      <c r="H41" s="12">
        <f t="shared" ref="H41" si="47">H18</f>
        <v>0</v>
      </c>
      <c r="I41" s="12">
        <f t="shared" si="45"/>
        <v>0</v>
      </c>
      <c r="J41" s="12">
        <f t="shared" ref="J41" si="48">J18</f>
        <v>0</v>
      </c>
      <c r="K41" s="12">
        <f t="shared" si="45"/>
        <v>0</v>
      </c>
      <c r="L41" s="12">
        <f t="shared" si="45"/>
        <v>0</v>
      </c>
    </row>
    <row r="42" spans="1:12">
      <c r="C42" s="106"/>
      <c r="D42" s="106"/>
      <c r="E42" s="106"/>
      <c r="F42" s="106"/>
      <c r="G42" s="106"/>
      <c r="H42" s="106"/>
      <c r="I42" s="106"/>
      <c r="J42" s="106"/>
      <c r="K42" s="106"/>
      <c r="L42" s="106"/>
    </row>
    <row r="43" spans="1:12">
      <c r="B43" s="5" t="s">
        <v>25</v>
      </c>
      <c r="C43" s="12">
        <f>SUM(D43:L43)</f>
        <v>5668128540.2409706</v>
      </c>
      <c r="D43" s="12">
        <f t="shared" ref="D43:L43" si="49">D40+D41</f>
        <v>2436265024.8310003</v>
      </c>
      <c r="E43" s="12">
        <f t="shared" si="49"/>
        <v>627095502.53599989</v>
      </c>
      <c r="F43" s="12">
        <f t="shared" ref="F43" si="50">F40+F41</f>
        <v>0</v>
      </c>
      <c r="G43" s="12">
        <f t="shared" si="49"/>
        <v>1376028976.257</v>
      </c>
      <c r="H43" s="12">
        <f t="shared" ref="H43" si="51">H40+H41</f>
        <v>0</v>
      </c>
      <c r="I43" s="12">
        <f t="shared" si="49"/>
        <v>620117685.91500008</v>
      </c>
      <c r="J43" s="12">
        <f t="shared" ref="J43" si="52">J40+J41</f>
        <v>451099448</v>
      </c>
      <c r="K43" s="12">
        <f t="shared" si="49"/>
        <v>139559979.042</v>
      </c>
      <c r="L43" s="12">
        <f t="shared" si="49"/>
        <v>17961923.65997</v>
      </c>
    </row>
    <row r="44" spans="1:12" s="8" customFormat="1">
      <c r="A44" s="34"/>
      <c r="B44" s="87" t="s">
        <v>26</v>
      </c>
      <c r="C44" s="107">
        <f>SUM(D44:L44)</f>
        <v>-52372625</v>
      </c>
      <c r="D44" s="107">
        <f t="shared" ref="D44:L44" si="53">D21</f>
        <v>-40779500</v>
      </c>
      <c r="E44" s="107">
        <f t="shared" si="53"/>
        <v>-5197349</v>
      </c>
      <c r="F44" s="107">
        <f t="shared" ref="F44" si="54">F21</f>
        <v>0</v>
      </c>
      <c r="G44" s="107">
        <f t="shared" si="53"/>
        <v>-6458850</v>
      </c>
      <c r="H44" s="107">
        <f t="shared" ref="H44" si="55">H21</f>
        <v>0</v>
      </c>
      <c r="I44" s="107">
        <f t="shared" si="53"/>
        <v>0</v>
      </c>
      <c r="J44" s="107">
        <f t="shared" ref="J44" si="56">J21</f>
        <v>0</v>
      </c>
      <c r="K44" s="107">
        <f t="shared" si="53"/>
        <v>63074</v>
      </c>
      <c r="L44" s="107">
        <f t="shared" si="53"/>
        <v>0</v>
      </c>
    </row>
    <row r="45" spans="1:12">
      <c r="C45" s="106"/>
      <c r="D45" s="106"/>
      <c r="E45" s="106"/>
      <c r="F45" s="106"/>
      <c r="G45" s="106"/>
      <c r="H45" s="106"/>
      <c r="I45" s="106"/>
      <c r="J45" s="106"/>
      <c r="K45" s="106"/>
      <c r="L45" s="106"/>
    </row>
    <row r="46" spans="1:12">
      <c r="B46" s="5" t="s">
        <v>27</v>
      </c>
      <c r="C46" s="12">
        <f>IF(ROUND(SUM(D46:L46),3)&lt;&gt;ROUND(SUM(C43:C44),3),#VALUE!,SUM(D46:L46))</f>
        <v>5615755915.2409706</v>
      </c>
      <c r="D46" s="12">
        <f t="shared" ref="D46:L46" si="57">D43+D44</f>
        <v>2395485524.8310003</v>
      </c>
      <c r="E46" s="12">
        <f t="shared" si="57"/>
        <v>621898153.53599989</v>
      </c>
      <c r="F46" s="12">
        <f t="shared" ref="F46" si="58">F43+F44</f>
        <v>0</v>
      </c>
      <c r="G46" s="12">
        <f t="shared" si="57"/>
        <v>1369570126.257</v>
      </c>
      <c r="H46" s="12">
        <f t="shared" ref="H46" si="59">H43+H44</f>
        <v>0</v>
      </c>
      <c r="I46" s="12">
        <f t="shared" si="57"/>
        <v>620117685.91500008</v>
      </c>
      <c r="J46" s="12">
        <f t="shared" ref="J46" si="60">J43+J44</f>
        <v>451099448</v>
      </c>
      <c r="K46" s="12">
        <f t="shared" si="57"/>
        <v>139623053.042</v>
      </c>
      <c r="L46" s="12">
        <f t="shared" si="57"/>
        <v>17961923.65997</v>
      </c>
    </row>
    <row r="47" spans="1:12">
      <c r="C47" s="12"/>
      <c r="D47" s="12"/>
      <c r="E47" s="12"/>
      <c r="F47" s="12"/>
      <c r="G47" s="12"/>
      <c r="H47" s="12"/>
      <c r="I47" s="12"/>
      <c r="J47" s="12"/>
      <c r="K47" s="12"/>
      <c r="L47" s="12"/>
    </row>
    <row r="48" spans="1:12">
      <c r="B48" s="5" t="s">
        <v>28</v>
      </c>
      <c r="C48" s="12"/>
      <c r="D48" s="12">
        <f t="shared" ref="D48:K48" si="61">D25</f>
        <v>2619517</v>
      </c>
      <c r="E48" s="12">
        <f t="shared" si="61"/>
        <v>391801</v>
      </c>
      <c r="F48" s="12">
        <f t="shared" si="61"/>
        <v>0</v>
      </c>
      <c r="G48" s="12">
        <f t="shared" si="61"/>
        <v>22941</v>
      </c>
      <c r="H48" s="12">
        <f t="shared" si="61"/>
        <v>0</v>
      </c>
      <c r="I48" s="12">
        <f t="shared" si="61"/>
        <v>252</v>
      </c>
      <c r="J48" s="12">
        <f t="shared" si="61"/>
        <v>12</v>
      </c>
      <c r="K48" s="12">
        <f t="shared" si="61"/>
        <v>29492</v>
      </c>
      <c r="L48" s="12"/>
    </row>
    <row r="49" spans="1:17">
      <c r="B49" s="5" t="s">
        <v>29</v>
      </c>
      <c r="C49" s="12"/>
      <c r="D49" s="12"/>
      <c r="E49" s="12"/>
      <c r="F49" s="12"/>
      <c r="G49" s="12"/>
      <c r="H49" s="12"/>
      <c r="I49" s="12"/>
      <c r="J49" s="12"/>
      <c r="K49" s="12"/>
      <c r="L49" s="12"/>
    </row>
    <row r="50" spans="1:17">
      <c r="B50" s="5" t="s">
        <v>30</v>
      </c>
      <c r="C50" s="12"/>
      <c r="D50" s="12"/>
      <c r="E50" s="12">
        <f t="shared" ref="E50:I50" si="62">E27</f>
        <v>438307.97692307696</v>
      </c>
      <c r="F50" s="12">
        <f t="shared" si="62"/>
        <v>0</v>
      </c>
      <c r="G50" s="12">
        <f t="shared" si="62"/>
        <v>2648035.6015384616</v>
      </c>
      <c r="H50" s="12">
        <f t="shared" si="62"/>
        <v>0</v>
      </c>
      <c r="I50" s="12">
        <f t="shared" si="62"/>
        <v>585966.87300000002</v>
      </c>
      <c r="J50" s="12">
        <f>J27</f>
        <v>689915.61</v>
      </c>
      <c r="K50" s="12"/>
      <c r="L50" s="12"/>
    </row>
    <row r="51" spans="1:17" s="2" customFormat="1">
      <c r="A51" s="1"/>
      <c r="C51" s="7"/>
      <c r="D51" s="7"/>
      <c r="E51" s="7"/>
      <c r="F51" s="7"/>
      <c r="G51" s="7"/>
      <c r="H51" s="7"/>
      <c r="I51" s="7"/>
      <c r="J51" s="7"/>
      <c r="K51" s="7"/>
      <c r="L51" s="7"/>
    </row>
    <row r="52" spans="1:17" s="2" customFormat="1">
      <c r="A52" s="1"/>
      <c r="C52" s="7"/>
      <c r="D52" s="7"/>
      <c r="E52" s="7"/>
      <c r="F52" s="7"/>
      <c r="G52" s="7"/>
      <c r="H52" s="7"/>
      <c r="I52" s="7"/>
      <c r="J52" s="7"/>
      <c r="K52" s="7"/>
      <c r="L52" s="7"/>
    </row>
    <row r="53" spans="1:17" s="2" customFormat="1" ht="27.75" customHeight="1">
      <c r="A53" s="1"/>
      <c r="C53" s="7"/>
      <c r="D53" s="7"/>
      <c r="E53" s="7"/>
      <c r="F53" s="7"/>
      <c r="G53" s="7"/>
      <c r="H53" s="7"/>
      <c r="I53" s="7"/>
      <c r="J53" s="7"/>
      <c r="K53" s="7"/>
      <c r="L53" s="7"/>
    </row>
    <row r="54" spans="1:17" s="2" customFormat="1">
      <c r="A54" s="1"/>
      <c r="C54" s="7"/>
      <c r="D54" s="7"/>
      <c r="E54" s="7"/>
      <c r="F54" s="7"/>
      <c r="G54" s="7"/>
      <c r="H54" s="7"/>
      <c r="I54" s="7"/>
      <c r="J54" s="7"/>
      <c r="K54" s="7"/>
      <c r="L54" s="7"/>
    </row>
    <row r="55" spans="1:17" s="2" customFormat="1">
      <c r="A55" s="1"/>
      <c r="C55" s="7"/>
      <c r="D55" s="118">
        <v>1</v>
      </c>
      <c r="E55" s="118">
        <v>2</v>
      </c>
      <c r="F55" s="118">
        <v>3</v>
      </c>
      <c r="G55" s="118">
        <v>4</v>
      </c>
      <c r="H55" s="118">
        <v>5</v>
      </c>
      <c r="I55" s="118">
        <v>6</v>
      </c>
      <c r="J55" s="118">
        <v>7</v>
      </c>
      <c r="K55" s="118">
        <v>8</v>
      </c>
      <c r="L55" s="118">
        <v>9</v>
      </c>
      <c r="O55" s="119">
        <f>SUMPRODUCT(--(ISBLANK(D55:L55)))</f>
        <v>0</v>
      </c>
    </row>
    <row r="56" spans="1:17" s="2" customFormat="1">
      <c r="A56" s="1" t="s">
        <v>0</v>
      </c>
      <c r="C56" s="2" t="s">
        <v>1</v>
      </c>
      <c r="D56" s="2" t="str">
        <f t="shared" ref="D56:L56" si="63">D$4</f>
        <v>RESIDENTIAL</v>
      </c>
      <c r="E56" s="2" t="str">
        <f t="shared" si="63"/>
        <v xml:space="preserve">GENERAL SVC. </v>
      </c>
      <c r="F56" s="2" t="str">
        <f t="shared" si="63"/>
        <v xml:space="preserve">GENERAL SVC. </v>
      </c>
      <c r="G56" s="2" t="str">
        <f t="shared" si="63"/>
        <v>LG. GEN. SVC.</v>
      </c>
      <c r="H56" s="2" t="str">
        <f t="shared" si="63"/>
        <v>LG. GEN. SVC.</v>
      </c>
      <c r="I56" s="2" t="str">
        <f t="shared" si="63"/>
        <v>EX LG GEN SVC</v>
      </c>
      <c r="J56" s="2" t="str">
        <f t="shared" si="63"/>
        <v>EX LG GEN SVC</v>
      </c>
      <c r="K56" s="2" t="str">
        <f t="shared" si="63"/>
        <v>PUMPING</v>
      </c>
      <c r="L56" s="2" t="str">
        <f t="shared" si="63"/>
        <v>ST &amp; AREA LTG</v>
      </c>
      <c r="O56" s="5" t="str">
        <f ca="1">"selected in cell "&amp;CELL("address",Base1_Billing2)&amp;":"</f>
        <v>selected in cell $Q$8:</v>
      </c>
    </row>
    <row r="57" spans="1:17" s="2" customFormat="1">
      <c r="A57" s="1" t="s">
        <v>8</v>
      </c>
      <c r="C57" s="3" t="s">
        <v>9</v>
      </c>
      <c r="D57" s="3" t="str">
        <f t="shared" ref="D57:L57" si="64">D$5</f>
        <v>SCHEDULE 1,2</v>
      </c>
      <c r="E57" s="3" t="str">
        <f t="shared" si="64"/>
        <v>SCH. 11,12</v>
      </c>
      <c r="F57" s="3" t="str">
        <f t="shared" si="64"/>
        <v>SCH. 13</v>
      </c>
      <c r="G57" s="3" t="str">
        <f t="shared" si="64"/>
        <v>SCH. 21,22</v>
      </c>
      <c r="H57" s="3" t="str">
        <f t="shared" si="64"/>
        <v>SCH. 23</v>
      </c>
      <c r="I57" s="3" t="str">
        <f t="shared" si="64"/>
        <v>SCHEDULE 25</v>
      </c>
      <c r="J57" s="3" t="str">
        <f t="shared" si="64"/>
        <v>SCHEDULE 25I</v>
      </c>
      <c r="K57" s="3" t="str">
        <f t="shared" si="64"/>
        <v>SCH. 30, 31, 32</v>
      </c>
      <c r="L57" s="3" t="str">
        <f t="shared" si="64"/>
        <v>SCH. 41-48</v>
      </c>
      <c r="O57" s="14" t="str">
        <f>Q10</f>
        <v>Base</v>
      </c>
    </row>
    <row r="58" spans="1:17" ht="12.75">
      <c r="B58" s="4" t="s">
        <v>32</v>
      </c>
      <c r="O58" s="5" t="str">
        <f>"Rates_"&amp;$O$57&amp;"_Present"</f>
        <v>Rates_Base_Present</v>
      </c>
      <c r="Q58" s="134" t="s">
        <v>235</v>
      </c>
    </row>
    <row r="59" spans="1:17">
      <c r="A59" s="1" t="s">
        <v>814</v>
      </c>
      <c r="B59" s="5" t="s">
        <v>33</v>
      </c>
      <c r="D59" s="135">
        <f t="shared" ref="D59:L59" ca="1" si="65">INDEX(INDIRECT($O$58),$N59,D$55)</f>
        <v>9</v>
      </c>
      <c r="E59" s="135">
        <f t="shared" ca="1" si="65"/>
        <v>20</v>
      </c>
      <c r="F59" s="135">
        <f t="shared" ca="1" si="65"/>
        <v>20</v>
      </c>
      <c r="G59" s="135">
        <f t="shared" ca="1" si="65"/>
        <v>0</v>
      </c>
      <c r="H59" s="135">
        <f t="shared" ca="1" si="65"/>
        <v>550</v>
      </c>
      <c r="I59" s="135">
        <f t="shared" ca="1" si="65"/>
        <v>0</v>
      </c>
      <c r="J59" s="135">
        <f t="shared" ca="1" si="65"/>
        <v>0</v>
      </c>
      <c r="K59" s="135">
        <f t="shared" ca="1" si="65"/>
        <v>20</v>
      </c>
      <c r="L59" s="135">
        <f t="shared" ca="1" si="65"/>
        <v>0</v>
      </c>
      <c r="N59" s="117">
        <v>1</v>
      </c>
      <c r="O59" s="5" t="str">
        <f>"Rates_"&amp;$O$57&amp;"_Proposed"</f>
        <v>Rates_Base_Proposed</v>
      </c>
      <c r="Q59" s="134" t="s">
        <v>236</v>
      </c>
    </row>
    <row r="60" spans="1:17">
      <c r="B60" s="5" t="s">
        <v>34</v>
      </c>
      <c r="D60" s="9"/>
    </row>
    <row r="62" spans="1:17">
      <c r="A62" s="1" t="s">
        <v>814</v>
      </c>
      <c r="B62" s="5" t="s">
        <v>35</v>
      </c>
      <c r="D62" s="136">
        <f t="shared" ref="D62:L64" ca="1" si="66">INDEX(INDIRECT($O$58),$N62,D$55)</f>
        <v>8.1029999999999998</v>
      </c>
      <c r="E62" s="136">
        <f t="shared" ca="1" si="66"/>
        <v>11.686</v>
      </c>
      <c r="F62" s="136">
        <f t="shared" ca="1" si="66"/>
        <v>21.108000000000001</v>
      </c>
      <c r="G62" s="136">
        <f t="shared" ca="1" si="66"/>
        <v>7.5350000000000001</v>
      </c>
      <c r="H62" s="136">
        <f t="shared" ca="1" si="66"/>
        <v>16.332999999999998</v>
      </c>
      <c r="I62" s="136">
        <f t="shared" ca="1" si="66"/>
        <v>5.5049999999999999</v>
      </c>
      <c r="J62" s="136">
        <f t="shared" ca="1" si="66"/>
        <v>5.5049999999999999</v>
      </c>
      <c r="K62" s="136">
        <f t="shared" ca="1" si="66"/>
        <v>10.292</v>
      </c>
      <c r="L62" s="136">
        <f t="shared" ca="1" si="66"/>
        <v>0</v>
      </c>
      <c r="N62" s="117">
        <v>2</v>
      </c>
    </row>
    <row r="63" spans="1:17">
      <c r="A63" s="1" t="s">
        <v>814</v>
      </c>
      <c r="B63" s="5" t="s">
        <v>36</v>
      </c>
      <c r="D63" s="136">
        <f t="shared" ca="1" si="66"/>
        <v>9.4269999999999996</v>
      </c>
      <c r="E63" s="136">
        <f t="shared" ca="1" si="66"/>
        <v>8.5879999999999992</v>
      </c>
      <c r="F63" s="136">
        <f t="shared" ca="1" si="66"/>
        <v>8.5879999999999992</v>
      </c>
      <c r="G63" s="136">
        <f t="shared" ca="1" si="66"/>
        <v>6.742</v>
      </c>
      <c r="H63" s="136">
        <f t="shared" ca="1" si="66"/>
        <v>6.742</v>
      </c>
      <c r="I63" s="136">
        <f t="shared" ca="1" si="66"/>
        <v>4.9530000000000003</v>
      </c>
      <c r="J63" s="136">
        <f t="shared" ca="1" si="66"/>
        <v>4.9530000000000003</v>
      </c>
      <c r="K63" s="136">
        <f t="shared" ca="1" si="66"/>
        <v>7.35</v>
      </c>
      <c r="L63" s="136">
        <f t="shared" ca="1" si="66"/>
        <v>0</v>
      </c>
      <c r="N63" s="117">
        <v>3</v>
      </c>
    </row>
    <row r="64" spans="1:17">
      <c r="A64" s="1" t="s">
        <v>814</v>
      </c>
      <c r="B64" s="5" t="s">
        <v>37</v>
      </c>
      <c r="D64" s="136">
        <f t="shared" ca="1" si="66"/>
        <v>11.053000000000001</v>
      </c>
      <c r="E64" s="136">
        <f t="shared" ca="1" si="66"/>
        <v>0</v>
      </c>
      <c r="F64" s="136">
        <f t="shared" ca="1" si="66"/>
        <v>0</v>
      </c>
      <c r="G64" s="136">
        <f t="shared" ca="1" si="66"/>
        <v>0</v>
      </c>
      <c r="H64" s="136">
        <f t="shared" ca="1" si="66"/>
        <v>0</v>
      </c>
      <c r="I64" s="136">
        <f t="shared" ca="1" si="66"/>
        <v>4.2350000000000003</v>
      </c>
      <c r="J64" s="136">
        <f t="shared" ca="1" si="66"/>
        <v>4.2350000000000003</v>
      </c>
      <c r="K64" s="136">
        <f t="shared" ca="1" si="66"/>
        <v>0</v>
      </c>
      <c r="L64" s="136">
        <f t="shared" ca="1" si="66"/>
        <v>0</v>
      </c>
      <c r="N64" s="117">
        <v>4</v>
      </c>
    </row>
    <row r="65" spans="1:15">
      <c r="B65" s="5" t="s">
        <v>38</v>
      </c>
      <c r="D65" s="10"/>
      <c r="E65" s="10"/>
      <c r="F65" s="10"/>
      <c r="G65" s="10"/>
      <c r="H65" s="10"/>
      <c r="I65" s="10"/>
      <c r="J65" s="10"/>
      <c r="K65" s="10"/>
      <c r="L65" s="10"/>
      <c r="N65" s="117">
        <v>5</v>
      </c>
    </row>
    <row r="66" spans="1:15">
      <c r="D66" s="10"/>
      <c r="E66" s="10"/>
      <c r="F66" s="10"/>
      <c r="G66" s="10"/>
      <c r="H66" s="10"/>
      <c r="I66" s="10"/>
      <c r="J66" s="10"/>
      <c r="K66" s="10"/>
      <c r="L66" s="10"/>
    </row>
    <row r="67" spans="1:15">
      <c r="B67" s="5" t="s">
        <v>39</v>
      </c>
      <c r="D67" s="136">
        <f ca="1">(D124-D111)/D14*100</f>
        <v>8.7393395751256353</v>
      </c>
      <c r="E67" s="136">
        <f ca="1">(E124-E111-SUM(E117:E120))/E14*100</f>
        <v>10.74183989162527</v>
      </c>
      <c r="F67" s="802">
        <v>0</v>
      </c>
      <c r="G67" s="136">
        <f ca="1">(G124-G111-SUM(G117:G120))/G14*100</f>
        <v>7.4507237259552941</v>
      </c>
      <c r="H67" s="802">
        <v>0</v>
      </c>
      <c r="I67" s="136"/>
      <c r="J67" s="136"/>
      <c r="K67" s="136">
        <f ca="1">(K124-K111-SUM(K117:K120))/K14*100</f>
        <v>8.3363741166074004</v>
      </c>
      <c r="L67" s="136"/>
    </row>
    <row r="68" spans="1:15">
      <c r="D68" s="10"/>
      <c r="E68" s="10"/>
      <c r="F68" s="10"/>
      <c r="G68" s="10"/>
      <c r="H68" s="10"/>
      <c r="I68" s="10"/>
      <c r="J68" s="10"/>
      <c r="K68" s="10"/>
      <c r="L68" s="10"/>
    </row>
    <row r="69" spans="1:15" s="9" customFormat="1">
      <c r="A69" s="1" t="s">
        <v>814</v>
      </c>
      <c r="B69" s="9" t="s">
        <v>40</v>
      </c>
      <c r="D69" s="135">
        <f t="shared" ref="D69:L70" ca="1" si="67">INDEX(INDIRECT($O$58),$N69,D$55)</f>
        <v>0</v>
      </c>
      <c r="E69" s="135">
        <f t="shared" ca="1" si="67"/>
        <v>0</v>
      </c>
      <c r="F69" s="135">
        <f t="shared" ca="1" si="67"/>
        <v>0</v>
      </c>
      <c r="G69" s="135">
        <f t="shared" ca="1" si="67"/>
        <v>550</v>
      </c>
      <c r="H69" s="135">
        <f t="shared" ca="1" si="67"/>
        <v>0</v>
      </c>
      <c r="I69" s="135">
        <f t="shared" ca="1" si="67"/>
        <v>30650</v>
      </c>
      <c r="J69" s="135">
        <f t="shared" ca="1" si="67"/>
        <v>30650</v>
      </c>
      <c r="K69" s="135">
        <f t="shared" ca="1" si="67"/>
        <v>0</v>
      </c>
      <c r="L69" s="135">
        <f t="shared" ca="1" si="67"/>
        <v>0</v>
      </c>
      <c r="N69" s="117">
        <v>6</v>
      </c>
    </row>
    <row r="70" spans="1:15" s="9" customFormat="1">
      <c r="A70" s="1" t="s">
        <v>814</v>
      </c>
      <c r="B70" s="9" t="s">
        <v>41</v>
      </c>
      <c r="D70" s="135">
        <f t="shared" ca="1" si="67"/>
        <v>0</v>
      </c>
      <c r="E70" s="135">
        <f t="shared" ca="1" si="67"/>
        <v>7</v>
      </c>
      <c r="F70" s="135">
        <f t="shared" ca="1" si="67"/>
        <v>0</v>
      </c>
      <c r="G70" s="135">
        <f t="shared" ca="1" si="67"/>
        <v>7</v>
      </c>
      <c r="H70" s="135">
        <f t="shared" ca="1" si="67"/>
        <v>0</v>
      </c>
      <c r="I70" s="135">
        <f t="shared" ca="1" si="67"/>
        <v>8.3000000000000007</v>
      </c>
      <c r="J70" s="135">
        <f t="shared" ca="1" si="67"/>
        <v>8.3000000000000007</v>
      </c>
      <c r="K70" s="135">
        <f t="shared" ca="1" si="67"/>
        <v>0</v>
      </c>
      <c r="L70" s="135">
        <f t="shared" ca="1" si="67"/>
        <v>0</v>
      </c>
      <c r="N70" s="117">
        <v>7</v>
      </c>
    </row>
    <row r="71" spans="1:15">
      <c r="D71" s="10"/>
      <c r="E71" s="10"/>
      <c r="F71" s="10"/>
      <c r="G71" s="10"/>
      <c r="H71" s="10"/>
      <c r="I71" s="10"/>
      <c r="J71" s="10"/>
      <c r="K71" s="10"/>
      <c r="L71" s="10"/>
    </row>
    <row r="72" spans="1:15">
      <c r="D72" s="10"/>
      <c r="E72" s="10"/>
      <c r="F72" s="10"/>
      <c r="G72" s="10"/>
      <c r="H72" s="10"/>
      <c r="I72" s="10"/>
      <c r="J72" s="10"/>
      <c r="K72" s="10"/>
      <c r="L72" s="10"/>
    </row>
    <row r="73" spans="1:15">
      <c r="D73" s="10"/>
      <c r="E73" s="10"/>
      <c r="F73" s="10"/>
      <c r="G73" s="10"/>
      <c r="H73" s="10"/>
      <c r="I73" s="10"/>
      <c r="J73" s="10"/>
      <c r="K73" s="10"/>
      <c r="L73" s="10"/>
    </row>
    <row r="74" spans="1:15">
      <c r="D74" s="10"/>
      <c r="E74" s="10"/>
      <c r="F74" s="10"/>
      <c r="G74" s="10"/>
      <c r="H74" s="10"/>
      <c r="I74" s="10"/>
      <c r="J74" s="10"/>
      <c r="K74" s="10"/>
      <c r="L74" s="10"/>
    </row>
    <row r="75" spans="1:15" ht="12.75">
      <c r="B75" s="4" t="s">
        <v>42</v>
      </c>
    </row>
    <row r="76" spans="1:15">
      <c r="B76" s="5" t="s">
        <v>33</v>
      </c>
      <c r="D76" s="135">
        <f ca="1">INDEX(INDIRECT($O$59),$N76,D$55)</f>
        <v>9</v>
      </c>
      <c r="E76" s="135">
        <f ca="1">INDEX(INDIRECT($O$59),$N76,E$55)</f>
        <v>20</v>
      </c>
      <c r="F76" s="135">
        <f ca="1">INDEX(INDIRECT($O$59),$N76,F$55)</f>
        <v>20</v>
      </c>
      <c r="G76" s="135"/>
      <c r="H76" s="135">
        <f ca="1">INDEX(INDIRECT($O$59),$N76,H$55)</f>
        <v>550</v>
      </c>
      <c r="I76" s="135"/>
      <c r="J76" s="135"/>
      <c r="K76" s="135">
        <f ca="1">INDEX(INDIRECT($O$59),$N76,K$55)</f>
        <v>20</v>
      </c>
      <c r="L76" s="135"/>
      <c r="N76" s="117">
        <v>1</v>
      </c>
      <c r="O76" s="102"/>
    </row>
    <row r="77" spans="1:15">
      <c r="B77" s="5" t="s">
        <v>34</v>
      </c>
      <c r="D77" s="9"/>
    </row>
    <row r="79" spans="1:15">
      <c r="B79" s="5" t="s">
        <v>35</v>
      </c>
      <c r="C79" s="222"/>
      <c r="D79" s="136">
        <f t="shared" ref="D79:K80" ca="1" si="68">INDEX(INDIRECT($O$59),$N79,D$55)</f>
        <v>8.5190000000000001</v>
      </c>
      <c r="E79" s="136">
        <f t="shared" ca="1" si="68"/>
        <v>11.936</v>
      </c>
      <c r="F79" s="136">
        <f t="shared" ca="1" si="68"/>
        <v>21.108000000000001</v>
      </c>
      <c r="G79" s="136">
        <f t="shared" ca="1" si="68"/>
        <v>7.7140000000000004</v>
      </c>
      <c r="H79" s="136">
        <f t="shared" ca="1" si="68"/>
        <v>16.332999999999998</v>
      </c>
      <c r="I79" s="136">
        <f t="shared" ca="1" si="68"/>
        <v>5.7469999999999999</v>
      </c>
      <c r="J79" s="136">
        <f t="shared" ca="1" si="68"/>
        <v>4.6619999999999999</v>
      </c>
      <c r="K79" s="136">
        <f t="shared" ca="1" si="68"/>
        <v>10.646000000000001</v>
      </c>
      <c r="L79" s="136"/>
      <c r="N79" s="117">
        <v>2</v>
      </c>
    </row>
    <row r="80" spans="1:15">
      <c r="B80" s="5" t="s">
        <v>36</v>
      </c>
      <c r="C80" s="222"/>
      <c r="D80" s="136">
        <f t="shared" ca="1" si="68"/>
        <v>9.9109999999999996</v>
      </c>
      <c r="E80" s="136">
        <f t="shared" ca="1" si="68"/>
        <v>8.7710000000000008</v>
      </c>
      <c r="F80" s="136">
        <f t="shared" ca="1" si="68"/>
        <v>8.5879999999999992</v>
      </c>
      <c r="G80" s="136">
        <f t="shared" ca="1" si="68"/>
        <v>6.9020000000000001</v>
      </c>
      <c r="H80" s="136">
        <f t="shared" ca="1" si="68"/>
        <v>6.742</v>
      </c>
      <c r="I80" s="136">
        <f t="shared" ca="1" si="68"/>
        <v>5.17</v>
      </c>
      <c r="J80" s="136">
        <f t="shared" ca="1" si="68"/>
        <v>4.1950000000000003</v>
      </c>
      <c r="K80" s="136">
        <f t="shared" ca="1" si="68"/>
        <v>7.6029999999999998</v>
      </c>
      <c r="L80" s="136"/>
      <c r="N80" s="117">
        <v>3</v>
      </c>
    </row>
    <row r="81" spans="1:14">
      <c r="B81" s="5" t="s">
        <v>37</v>
      </c>
      <c r="C81" s="222"/>
      <c r="D81" s="136">
        <f ca="1">INDEX(INDIRECT($O$59),$N81,D$55)</f>
        <v>11.621</v>
      </c>
      <c r="E81" s="136"/>
      <c r="F81" s="136"/>
      <c r="G81" s="136"/>
      <c r="H81" s="136"/>
      <c r="I81" s="136">
        <f ca="1">INDEX(INDIRECT($O$59),$N81,I$55)</f>
        <v>4.2350000000000003</v>
      </c>
      <c r="J81" s="136">
        <f ca="1">INDEX(INDIRECT($O$59),$N81,J$55)</f>
        <v>3.5870000000000002</v>
      </c>
      <c r="K81" s="136"/>
      <c r="L81" s="136"/>
      <c r="N81" s="117">
        <v>4</v>
      </c>
    </row>
    <row r="82" spans="1:14">
      <c r="B82" s="5" t="s">
        <v>38</v>
      </c>
      <c r="D82" s="10"/>
      <c r="E82" s="10"/>
      <c r="F82" s="10"/>
      <c r="G82" s="10"/>
      <c r="H82" s="10"/>
      <c r="I82" s="10"/>
      <c r="J82" s="10"/>
      <c r="K82" s="10"/>
      <c r="L82" s="10"/>
      <c r="N82" s="117">
        <v>5</v>
      </c>
    </row>
    <row r="83" spans="1:14">
      <c r="D83" s="10"/>
      <c r="E83" s="10"/>
      <c r="F83" s="10"/>
      <c r="G83" s="10"/>
      <c r="H83" s="10"/>
      <c r="I83" s="10"/>
      <c r="J83" s="10"/>
      <c r="K83" s="10"/>
      <c r="L83" s="10"/>
    </row>
    <row r="84" spans="1:14">
      <c r="B84" s="5" t="s">
        <v>39</v>
      </c>
      <c r="D84" s="136">
        <f ca="1">(D177-D164)/D37*100</f>
        <v>9.188081749255824</v>
      </c>
      <c r="E84" s="136">
        <f ca="1">(E177-E164-SUM(E170:E173))/E37*100</f>
        <v>10.971420675441745</v>
      </c>
      <c r="F84" s="802">
        <v>0</v>
      </c>
      <c r="G84" s="136">
        <f ca="1">(G177-G164-SUM(G170:G173))/G37*100</f>
        <v>7.627704496129506</v>
      </c>
      <c r="H84" s="802">
        <v>0</v>
      </c>
      <c r="I84" s="136"/>
      <c r="J84" s="136"/>
      <c r="K84" s="136">
        <f ca="1">(K177-K164-SUM(K170:K173))/K37*100</f>
        <v>8.6232367205918266</v>
      </c>
      <c r="L84" s="136"/>
    </row>
    <row r="85" spans="1:14">
      <c r="D85" s="10"/>
      <c r="E85" s="10"/>
      <c r="F85" s="10"/>
      <c r="G85" s="10"/>
      <c r="H85" s="10"/>
      <c r="I85" s="10"/>
      <c r="J85" s="10"/>
      <c r="K85" s="10"/>
      <c r="L85" s="10"/>
    </row>
    <row r="86" spans="1:14" s="9" customFormat="1">
      <c r="A86" s="1"/>
      <c r="B86" s="9" t="s">
        <v>40</v>
      </c>
      <c r="D86" s="135"/>
      <c r="E86" s="135"/>
      <c r="F86" s="135"/>
      <c r="G86" s="135">
        <f t="shared" ref="G86:J87" ca="1" si="69">INDEX(INDIRECT($O$59),$N86,G$55)</f>
        <v>550</v>
      </c>
      <c r="H86" s="135">
        <f t="shared" ca="1" si="69"/>
        <v>0</v>
      </c>
      <c r="I86" s="135">
        <f t="shared" ca="1" si="69"/>
        <v>30650</v>
      </c>
      <c r="J86" s="135">
        <f t="shared" ca="1" si="69"/>
        <v>30650</v>
      </c>
      <c r="K86" s="135"/>
      <c r="L86" s="135"/>
      <c r="N86" s="117">
        <v>6</v>
      </c>
    </row>
    <row r="87" spans="1:14" s="9" customFormat="1">
      <c r="A87" s="1"/>
      <c r="B87" s="9" t="s">
        <v>41</v>
      </c>
      <c r="D87" s="135"/>
      <c r="E87" s="135">
        <f ca="1">INDEX(INDIRECT($O$59),$N87,E$55)</f>
        <v>7</v>
      </c>
      <c r="F87" s="135">
        <f ca="1">INDEX(INDIRECT($O$59),$N87,F$55)</f>
        <v>0</v>
      </c>
      <c r="G87" s="135">
        <f t="shared" ca="1" si="69"/>
        <v>7</v>
      </c>
      <c r="H87" s="135">
        <f t="shared" ca="1" si="69"/>
        <v>0</v>
      </c>
      <c r="I87" s="135">
        <f t="shared" ca="1" si="69"/>
        <v>8.3000000000000007</v>
      </c>
      <c r="J87" s="135">
        <f t="shared" ca="1" si="69"/>
        <v>8.3000000000000007</v>
      </c>
      <c r="K87" s="135"/>
      <c r="L87" s="135"/>
      <c r="N87" s="117">
        <v>7</v>
      </c>
    </row>
    <row r="88" spans="1:14" s="9" customFormat="1">
      <c r="A88" s="1"/>
      <c r="D88" s="5"/>
    </row>
    <row r="89" spans="1:14" s="9" customFormat="1">
      <c r="A89" s="1"/>
      <c r="D89" s="5"/>
    </row>
    <row r="90" spans="1:14" s="9" customFormat="1">
      <c r="A90" s="1"/>
      <c r="D90" s="5"/>
    </row>
    <row r="91" spans="1:14" s="9" customFormat="1">
      <c r="A91" s="1"/>
      <c r="D91" s="5"/>
    </row>
    <row r="92" spans="1:14" s="9" customFormat="1">
      <c r="A92" s="1"/>
      <c r="D92" s="5"/>
    </row>
    <row r="93" spans="1:14" s="9" customFormat="1">
      <c r="A93" s="1"/>
      <c r="D93" s="5"/>
    </row>
    <row r="94" spans="1:14" s="9" customFormat="1">
      <c r="A94" s="1"/>
      <c r="D94" s="5"/>
    </row>
    <row r="95" spans="1:14" s="9" customFormat="1">
      <c r="A95" s="1"/>
      <c r="B95" s="914" t="str">
        <f>CHOOSE(Base1_Billing2,"Note: Rates do not include BPA Residential Exchange Program Schedule 59, , Decoupling Schedule 75, Public Purpose Adjustment Schedules 89,91,92, REC Revenue Adjustment Schedule 98 or Power Cost Surcharge Schedule 93.","")</f>
        <v>Note: Rates do not include BPA Residential Exchange Program Schedule 59, , Decoupling Schedule 75, Public Purpose Adjustment Schedules 89,91,92, REC Revenue Adjustment Schedule 98 or Power Cost Surcharge Schedule 93.</v>
      </c>
      <c r="C95" s="915"/>
      <c r="D95" s="915"/>
      <c r="E95" s="915"/>
      <c r="F95" s="915"/>
      <c r="G95" s="915"/>
      <c r="H95" s="915"/>
      <c r="I95" s="915"/>
      <c r="J95" s="915"/>
      <c r="K95" s="915"/>
    </row>
    <row r="96" spans="1:14" s="9" customFormat="1">
      <c r="A96" s="1"/>
      <c r="B96" s="915"/>
      <c r="C96" s="915"/>
      <c r="D96" s="915"/>
      <c r="E96" s="915"/>
      <c r="F96" s="915"/>
      <c r="G96" s="915"/>
      <c r="H96" s="915"/>
      <c r="I96" s="915"/>
      <c r="J96" s="915"/>
      <c r="K96" s="915"/>
    </row>
    <row r="97" spans="1:12" s="9" customFormat="1">
      <c r="A97" s="1"/>
      <c r="D97" s="5"/>
    </row>
    <row r="98" spans="1:12" s="9" customFormat="1">
      <c r="A98" s="1"/>
      <c r="D98" s="5"/>
    </row>
    <row r="99" spans="1:12" s="9" customFormat="1">
      <c r="A99" s="1"/>
      <c r="D99" s="5"/>
    </row>
    <row r="100" spans="1:12" s="9" customFormat="1">
      <c r="A100" s="1"/>
      <c r="D100" s="5"/>
    </row>
    <row r="101" spans="1:12" s="9" customFormat="1">
      <c r="A101" s="1"/>
      <c r="D101" s="5"/>
    </row>
    <row r="102" spans="1:12" s="9" customFormat="1">
      <c r="A102" s="1"/>
      <c r="D102" s="5"/>
    </row>
    <row r="103" spans="1:12" s="9" customFormat="1">
      <c r="A103" s="1"/>
      <c r="D103" s="5"/>
    </row>
    <row r="104" spans="1:12" s="9" customFormat="1">
      <c r="A104" s="1"/>
      <c r="D104" s="5"/>
    </row>
    <row r="105" spans="1:12" s="9" customFormat="1">
      <c r="A105" s="1"/>
      <c r="D105" s="5"/>
    </row>
    <row r="106" spans="1:12" s="9" customFormat="1">
      <c r="A106" s="1"/>
      <c r="D106" s="5"/>
    </row>
    <row r="107" spans="1:12" s="2" customFormat="1">
      <c r="A107" s="1" t="s">
        <v>0</v>
      </c>
      <c r="C107" s="2" t="s">
        <v>1</v>
      </c>
      <c r="D107" s="2" t="str">
        <f t="shared" ref="D107:L107" si="70">D$4</f>
        <v>RESIDENTIAL</v>
      </c>
      <c r="E107" s="2" t="str">
        <f t="shared" si="70"/>
        <v xml:space="preserve">GENERAL SVC. </v>
      </c>
      <c r="F107" s="2" t="str">
        <f t="shared" si="70"/>
        <v xml:space="preserve">GENERAL SVC. </v>
      </c>
      <c r="G107" s="2" t="str">
        <f t="shared" si="70"/>
        <v>LG. GEN. SVC.</v>
      </c>
      <c r="H107" s="2" t="str">
        <f t="shared" si="70"/>
        <v>LG. GEN. SVC.</v>
      </c>
      <c r="I107" s="2" t="str">
        <f t="shared" si="70"/>
        <v>EX LG GEN SVC</v>
      </c>
      <c r="J107" s="2" t="str">
        <f t="shared" si="70"/>
        <v>EX LG GEN SVC</v>
      </c>
      <c r="K107" s="2" t="str">
        <f t="shared" si="70"/>
        <v>PUMPING</v>
      </c>
      <c r="L107" s="2" t="str">
        <f t="shared" si="70"/>
        <v>ST &amp; AREA LTG</v>
      </c>
    </row>
    <row r="108" spans="1:12" s="2" customFormat="1">
      <c r="A108" s="1" t="s">
        <v>8</v>
      </c>
      <c r="C108" s="3" t="s">
        <v>9</v>
      </c>
      <c r="D108" s="3" t="str">
        <f t="shared" ref="D108:L108" si="71">D$5</f>
        <v>SCHEDULE 1,2</v>
      </c>
      <c r="E108" s="3" t="str">
        <f t="shared" si="71"/>
        <v>SCH. 11,12</v>
      </c>
      <c r="F108" s="3" t="str">
        <f t="shared" si="71"/>
        <v>SCH. 13</v>
      </c>
      <c r="G108" s="3" t="str">
        <f t="shared" si="71"/>
        <v>SCH. 21,22</v>
      </c>
      <c r="H108" s="3" t="str">
        <f t="shared" si="71"/>
        <v>SCH. 23</v>
      </c>
      <c r="I108" s="3" t="str">
        <f t="shared" si="71"/>
        <v>SCHEDULE 25</v>
      </c>
      <c r="J108" s="3" t="str">
        <f t="shared" si="71"/>
        <v>SCHEDULE 25I</v>
      </c>
      <c r="K108" s="3" t="str">
        <f t="shared" si="71"/>
        <v>SCH. 30, 31, 32</v>
      </c>
      <c r="L108" s="3" t="str">
        <f t="shared" si="71"/>
        <v>SCH. 41-48</v>
      </c>
    </row>
    <row r="109" spans="1:12" ht="12.75">
      <c r="B109" s="4" t="s">
        <v>43</v>
      </c>
      <c r="C109" s="11"/>
      <c r="D109" s="11"/>
      <c r="E109" s="11"/>
      <c r="F109" s="11"/>
      <c r="G109" s="11"/>
      <c r="H109" s="11"/>
      <c r="I109" s="11"/>
      <c r="J109" s="11"/>
      <c r="K109" s="11"/>
      <c r="L109" s="11"/>
    </row>
    <row r="110" spans="1:12">
      <c r="B110" s="5" t="str">
        <f>UPPER(CHOOSE(Base1_Billing2,$Q$9,$Q$10))&amp;" REVENUE"</f>
        <v>BASE TARIFF REVENUE</v>
      </c>
      <c r="C110" s="11"/>
      <c r="D110" s="11"/>
      <c r="E110" s="11"/>
      <c r="F110" s="11"/>
      <c r="G110" s="11"/>
      <c r="H110" s="11"/>
      <c r="I110" s="11"/>
      <c r="J110" s="11"/>
      <c r="K110" s="11"/>
      <c r="L110" s="11"/>
    </row>
    <row r="111" spans="1:12">
      <c r="B111" s="88" t="s">
        <v>33</v>
      </c>
      <c r="C111" s="11">
        <f t="shared" ref="C111:C122" ca="1" si="72">SUM(D111:L111)</f>
        <v>32001513</v>
      </c>
      <c r="D111" s="11">
        <f ca="1">D25*D59</f>
        <v>23575653</v>
      </c>
      <c r="E111" s="11">
        <f ca="1">E25*E59</f>
        <v>7836020</v>
      </c>
      <c r="F111" s="11">
        <f ca="1">F25*F59</f>
        <v>0</v>
      </c>
      <c r="G111" s="11"/>
      <c r="H111" s="11">
        <f ca="1">H25*H59</f>
        <v>0</v>
      </c>
      <c r="I111" s="11"/>
      <c r="J111" s="11"/>
      <c r="K111" s="11">
        <f ca="1">K25*K59</f>
        <v>589840</v>
      </c>
      <c r="L111" s="11"/>
    </row>
    <row r="112" spans="1:12">
      <c r="B112" s="88" t="s">
        <v>34</v>
      </c>
      <c r="C112" s="12">
        <f t="shared" si="72"/>
        <v>0</v>
      </c>
      <c r="D112" s="12"/>
      <c r="E112" s="12"/>
      <c r="F112" s="12"/>
      <c r="G112" s="12"/>
      <c r="H112" s="12"/>
      <c r="I112" s="12"/>
      <c r="J112" s="12"/>
      <c r="K112" s="12"/>
      <c r="L112" s="12"/>
    </row>
    <row r="113" spans="1:12">
      <c r="B113" s="88" t="s">
        <v>18</v>
      </c>
      <c r="C113" s="12">
        <f t="shared" ca="1" si="72"/>
        <v>287988386.73000002</v>
      </c>
      <c r="D113" s="12">
        <f t="shared" ref="D113:K115" ca="1" si="73">ROUND(D8*D62/100,2)</f>
        <v>132292800.93000001</v>
      </c>
      <c r="E113" s="12">
        <f t="shared" ca="1" si="73"/>
        <v>50948519.780000001</v>
      </c>
      <c r="F113" s="12">
        <f t="shared" ref="F113" ca="1" si="74">ROUND(F8*F62/100,2)</f>
        <v>0</v>
      </c>
      <c r="G113" s="12">
        <f t="shared" ca="1" si="73"/>
        <v>92664763.290000007</v>
      </c>
      <c r="H113" s="12">
        <f t="shared" ref="H113" ca="1" si="75">ROUND(H8*H62/100,2)</f>
        <v>0</v>
      </c>
      <c r="I113" s="12">
        <f ca="1">ROUND(I8*I62/100,2)</f>
        <v>6936300</v>
      </c>
      <c r="J113" s="12">
        <f ca="1">ROUND(J8*J62/100,2)</f>
        <v>330300</v>
      </c>
      <c r="K113" s="12">
        <f t="shared" ca="1" si="73"/>
        <v>4815702.7300000004</v>
      </c>
      <c r="L113" s="12"/>
    </row>
    <row r="114" spans="1:12">
      <c r="B114" s="88" t="s">
        <v>19</v>
      </c>
      <c r="C114" s="12">
        <f t="shared" ca="1" si="72"/>
        <v>108191837.3</v>
      </c>
      <c r="D114" s="12">
        <f t="shared" ca="1" si="73"/>
        <v>47564180.009999998</v>
      </c>
      <c r="E114" s="12">
        <f t="shared" ca="1" si="73"/>
        <v>16413075.07</v>
      </c>
      <c r="F114" s="12">
        <f t="shared" ref="F114" ca="1" si="76">ROUND(F9*F63/100,2)</f>
        <v>0</v>
      </c>
      <c r="G114" s="12">
        <f t="shared" ca="1" si="73"/>
        <v>9859354.1199999992</v>
      </c>
      <c r="H114" s="12">
        <f t="shared" ref="H114" ca="1" si="77">ROUND(H9*H63/100,2)</f>
        <v>0</v>
      </c>
      <c r="I114" s="12">
        <f ca="1">ROUND(I9*I63/100,2)</f>
        <v>24267708.859999999</v>
      </c>
      <c r="J114" s="12">
        <f ca="1">ROUND(J9*J63/100,2)</f>
        <v>3268980</v>
      </c>
      <c r="K114" s="12">
        <f t="shared" ca="1" si="73"/>
        <v>6818539.2400000002</v>
      </c>
      <c r="L114" s="12"/>
    </row>
    <row r="115" spans="1:12">
      <c r="B115" s="88" t="s">
        <v>20</v>
      </c>
      <c r="C115" s="12">
        <f t="shared" ca="1" si="72"/>
        <v>49287440.649999999</v>
      </c>
      <c r="D115" s="12">
        <f ca="1">ROUND(D10*D64/100,2)</f>
        <v>33056492.530000001</v>
      </c>
      <c r="E115" s="12"/>
      <c r="F115" s="12"/>
      <c r="G115" s="12"/>
      <c r="H115" s="12"/>
      <c r="I115" s="12">
        <f t="shared" ca="1" si="73"/>
        <v>176086.5</v>
      </c>
      <c r="J115" s="12">
        <f t="shared" ref="J115" ca="1" si="78">ROUND(J10*J64/100,2)</f>
        <v>16054861.619999999</v>
      </c>
      <c r="K115" s="12"/>
      <c r="L115" s="12"/>
    </row>
    <row r="116" spans="1:12">
      <c r="B116" s="88" t="s">
        <v>21</v>
      </c>
      <c r="C116" s="12">
        <f t="shared" si="72"/>
        <v>0</v>
      </c>
      <c r="D116" s="12"/>
      <c r="E116" s="12"/>
      <c r="F116" s="12"/>
      <c r="G116" s="12"/>
      <c r="H116" s="12"/>
      <c r="I116" s="12"/>
      <c r="J116" s="12"/>
      <c r="K116" s="12"/>
      <c r="L116" s="12"/>
    </row>
    <row r="117" spans="1:12">
      <c r="B117" s="88" t="s">
        <v>40</v>
      </c>
      <c r="C117" s="12">
        <f t="shared" ca="1" si="72"/>
        <v>20709150</v>
      </c>
      <c r="D117" s="12"/>
      <c r="E117" s="12"/>
      <c r="F117" s="12"/>
      <c r="G117" s="12">
        <f ca="1">G25*G69</f>
        <v>12617550</v>
      </c>
      <c r="H117" s="12"/>
      <c r="I117" s="12">
        <f ca="1">I25*I69</f>
        <v>7723800</v>
      </c>
      <c r="J117" s="12">
        <f ca="1">J25*J69</f>
        <v>367800</v>
      </c>
      <c r="K117" s="12"/>
      <c r="L117" s="12"/>
    </row>
    <row r="118" spans="1:12">
      <c r="B118" s="88" t="s">
        <v>41</v>
      </c>
      <c r="C118" s="12">
        <f t="shared" ca="1" si="72"/>
        <v>32194229.658130772</v>
      </c>
      <c r="D118" s="12"/>
      <c r="E118" s="12">
        <f t="shared" ref="E118:J118" ca="1" si="79">E27*E70</f>
        <v>3068155.8384615388</v>
      </c>
      <c r="F118" s="12"/>
      <c r="G118" s="12">
        <f t="shared" ca="1" si="79"/>
        <v>18536249.210769232</v>
      </c>
      <c r="H118" s="12"/>
      <c r="I118" s="12">
        <f t="shared" ca="1" si="79"/>
        <v>4863525.0459000003</v>
      </c>
      <c r="J118" s="12">
        <f t="shared" ca="1" si="79"/>
        <v>5726299.5630000001</v>
      </c>
      <c r="K118" s="12"/>
      <c r="L118" s="12"/>
    </row>
    <row r="119" spans="1:12">
      <c r="A119" s="340" t="s">
        <v>815</v>
      </c>
      <c r="B119" s="88" t="s">
        <v>211</v>
      </c>
      <c r="C119" s="12">
        <f t="shared" si="72"/>
        <v>126292.44</v>
      </c>
      <c r="D119" s="12"/>
      <c r="E119" s="525">
        <f>'Bill Determ'!G17*0.5</f>
        <v>0</v>
      </c>
      <c r="F119" s="525">
        <f>'Bill Determ'!G27*0.5</f>
        <v>0</v>
      </c>
      <c r="G119" s="525">
        <f>('Bill Determ'!G38)*0.5</f>
        <v>126292.44</v>
      </c>
      <c r="H119" s="525">
        <f>('Bill Determ'!G49)*0.5</f>
        <v>0</v>
      </c>
      <c r="I119" s="525"/>
      <c r="J119" s="525"/>
      <c r="K119" s="525">
        <f>'Bill Determ'!G66*0.5</f>
        <v>0</v>
      </c>
      <c r="L119" s="111"/>
    </row>
    <row r="120" spans="1:12">
      <c r="A120" s="340" t="s">
        <v>816</v>
      </c>
      <c r="B120" s="88" t="s">
        <v>212</v>
      </c>
      <c r="C120" s="12">
        <f t="shared" si="72"/>
        <v>-1675806.1397000002</v>
      </c>
      <c r="D120" s="12"/>
      <c r="E120" s="111"/>
      <c r="F120" s="111"/>
      <c r="G120" s="525">
        <f>'REVRUNS 12ME1219'!P428+'REVRUNS 12ME1219'!P435</f>
        <v>-65169.210000000006</v>
      </c>
      <c r="H120" s="525">
        <f>'REVRUNS 12ME1219'!P442</f>
        <v>0</v>
      </c>
      <c r="I120" s="111">
        <f>'WA Sch 25'!P108</f>
        <v>-228706.1862</v>
      </c>
      <c r="J120" s="111">
        <f>'WA Sch 25'!P119</f>
        <v>-1381930.7435000001</v>
      </c>
      <c r="K120" s="111"/>
      <c r="L120" s="111"/>
    </row>
    <row r="121" spans="1:12" ht="12.75">
      <c r="A121" s="335"/>
      <c r="B121" s="88" t="s">
        <v>213</v>
      </c>
      <c r="C121" s="12">
        <f t="shared" si="72"/>
        <v>0</v>
      </c>
      <c r="D121" s="12"/>
      <c r="E121" s="111"/>
      <c r="F121" s="111"/>
      <c r="G121" s="111"/>
      <c r="H121" s="111"/>
      <c r="I121" s="111">
        <f>'WA Sch 25'!T167</f>
        <v>0</v>
      </c>
      <c r="J121" s="382"/>
      <c r="K121" s="111"/>
      <c r="L121" s="111"/>
    </row>
    <row r="122" spans="1:12">
      <c r="A122" s="336" t="s">
        <v>817</v>
      </c>
      <c r="B122" s="88" t="s">
        <v>214</v>
      </c>
      <c r="C122" s="103">
        <f t="shared" si="72"/>
        <v>6628665.0019919993</v>
      </c>
      <c r="D122" s="247"/>
      <c r="E122" s="248"/>
      <c r="F122" s="248"/>
      <c r="G122" s="248"/>
      <c r="H122" s="248"/>
      <c r="I122" s="248"/>
      <c r="J122" s="248"/>
      <c r="K122" s="248"/>
      <c r="L122" s="249">
        <f>'Lighting summary'!D19</f>
        <v>6628665.0019919993</v>
      </c>
    </row>
    <row r="123" spans="1:12">
      <c r="C123" s="11"/>
      <c r="D123" s="11"/>
      <c r="E123" s="11"/>
      <c r="F123" s="11"/>
      <c r="G123" s="11"/>
      <c r="H123" s="11"/>
      <c r="I123" s="11"/>
      <c r="J123" s="11"/>
      <c r="K123" s="11"/>
      <c r="L123" s="11"/>
    </row>
    <row r="124" spans="1:12">
      <c r="B124" s="5" t="s">
        <v>23</v>
      </c>
      <c r="C124" s="11">
        <f ca="1">IF(ROUND(SUM(C111:C122),3)&lt;&gt;ROUND(SUM(D124:L124),3),#VALUE!,SUM(D124:L124))</f>
        <v>535451708.6404227</v>
      </c>
      <c r="D124" s="11">
        <f t="shared" ref="D124:L124" ca="1" si="80">SUM(D111:D122)</f>
        <v>236489126.47</v>
      </c>
      <c r="E124" s="11">
        <f t="shared" ca="1" si="80"/>
        <v>78265770.688461527</v>
      </c>
      <c r="F124" s="11">
        <f t="shared" ref="F124" ca="1" si="81">SUM(F111:F122)</f>
        <v>0</v>
      </c>
      <c r="G124" s="11">
        <f t="shared" ca="1" si="80"/>
        <v>133739039.85076925</v>
      </c>
      <c r="H124" s="11">
        <f t="shared" ref="H124" ca="1" si="82">SUM(H111:H122)</f>
        <v>0</v>
      </c>
      <c r="I124" s="11">
        <f t="shared" ca="1" si="80"/>
        <v>43738714.219700001</v>
      </c>
      <c r="J124" s="11">
        <f t="shared" ref="J124" ca="1" si="83">SUM(J111:J122)</f>
        <v>24366310.439499997</v>
      </c>
      <c r="K124" s="11">
        <f t="shared" ca="1" si="80"/>
        <v>12224081.970000001</v>
      </c>
      <c r="L124" s="11">
        <f t="shared" si="80"/>
        <v>6628665.0019919993</v>
      </c>
    </row>
    <row r="125" spans="1:12">
      <c r="B125" s="87"/>
      <c r="C125" s="103">
        <f ca="1">SUM(D125:L125)</f>
        <v>0</v>
      </c>
      <c r="D125" s="103">
        <f ca="1">ROUND(D15*D67/100,2)</f>
        <v>0</v>
      </c>
      <c r="E125" s="103">
        <f ca="1">ROUND(E15*E67/100,2)</f>
        <v>0</v>
      </c>
      <c r="F125" s="103">
        <f>ROUND(F15*F67/100,2)</f>
        <v>0</v>
      </c>
      <c r="G125" s="103">
        <f ca="1">ROUND(G15*G67/100,2)</f>
        <v>0</v>
      </c>
      <c r="H125" s="103">
        <f>ROUND(H15*H67/100,2)</f>
        <v>0</v>
      </c>
      <c r="I125" s="103">
        <f ca="1">ROUND(I15*I63/100,2)</f>
        <v>0</v>
      </c>
      <c r="J125" s="103">
        <f ca="1">ROUND(J15*J63/100,2)</f>
        <v>0</v>
      </c>
      <c r="K125" s="103">
        <f ca="1">ROUND(K15*K67/100,2)</f>
        <v>0</v>
      </c>
      <c r="L125" s="103"/>
    </row>
    <row r="126" spans="1:12">
      <c r="C126" s="11"/>
      <c r="D126" s="11"/>
      <c r="E126" s="11"/>
      <c r="F126" s="11"/>
      <c r="G126" s="11"/>
      <c r="H126" s="11"/>
      <c r="I126" s="11"/>
      <c r="J126" s="11"/>
      <c r="K126" s="11"/>
      <c r="L126" s="11"/>
    </row>
    <row r="127" spans="1:12">
      <c r="B127" s="5" t="s">
        <v>23</v>
      </c>
      <c r="C127" s="11">
        <f ca="1">SUM(D127:L127)</f>
        <v>535451708.6404227</v>
      </c>
      <c r="D127" s="11">
        <f t="shared" ref="D127:L127" ca="1" si="84">D124+D125</f>
        <v>236489126.47</v>
      </c>
      <c r="E127" s="11">
        <f t="shared" ca="1" si="84"/>
        <v>78265770.688461527</v>
      </c>
      <c r="F127" s="11">
        <f t="shared" ref="F127" ca="1" si="85">F124+F125</f>
        <v>0</v>
      </c>
      <c r="G127" s="11">
        <f t="shared" ca="1" si="84"/>
        <v>133739039.85076925</v>
      </c>
      <c r="H127" s="11">
        <f t="shared" ref="H127" ca="1" si="86">H124+H125</f>
        <v>0</v>
      </c>
      <c r="I127" s="11">
        <f t="shared" ca="1" si="84"/>
        <v>43738714.219700001</v>
      </c>
      <c r="J127" s="11">
        <f t="shared" ref="J127" ca="1" si="87">J124+J125</f>
        <v>24366310.439499997</v>
      </c>
      <c r="K127" s="11">
        <f t="shared" ca="1" si="84"/>
        <v>12224081.970000001</v>
      </c>
      <c r="L127" s="11">
        <f t="shared" si="84"/>
        <v>6628665.0019919993</v>
      </c>
    </row>
    <row r="128" spans="1:12">
      <c r="B128" s="5" t="s">
        <v>44</v>
      </c>
      <c r="C128" s="103">
        <f ca="1">SUM(D128:L128)</f>
        <v>0</v>
      </c>
      <c r="D128" s="103">
        <f t="shared" ref="D128:L128" ca="1" si="88">ROUND(D18*D67/100,2)</f>
        <v>0</v>
      </c>
      <c r="E128" s="103">
        <f t="shared" ca="1" si="88"/>
        <v>0</v>
      </c>
      <c r="F128" s="103">
        <f t="shared" ref="F128" si="89">ROUND(F18*F67/100,2)</f>
        <v>0</v>
      </c>
      <c r="G128" s="103">
        <f t="shared" ca="1" si="88"/>
        <v>0</v>
      </c>
      <c r="H128" s="103">
        <f t="shared" ref="H128" si="90">ROUND(H18*H67/100,2)</f>
        <v>0</v>
      </c>
      <c r="I128" s="103">
        <f t="shared" si="88"/>
        <v>0</v>
      </c>
      <c r="J128" s="103">
        <f t="shared" ref="J128" si="91">ROUND(J18*J67/100,2)</f>
        <v>0</v>
      </c>
      <c r="K128" s="103">
        <f t="shared" ca="1" si="88"/>
        <v>0</v>
      </c>
      <c r="L128" s="103">
        <f t="shared" si="88"/>
        <v>0</v>
      </c>
    </row>
    <row r="129" spans="1:19">
      <c r="C129" s="11"/>
      <c r="D129" s="11"/>
      <c r="E129" s="11"/>
      <c r="F129" s="11"/>
      <c r="G129" s="11"/>
      <c r="H129" s="11"/>
      <c r="I129" s="11"/>
      <c r="J129" s="11"/>
      <c r="K129" s="11"/>
      <c r="L129" s="11"/>
    </row>
    <row r="130" spans="1:19">
      <c r="B130" s="5" t="str">
        <f>"TOTAL "&amp;UPPER(CHOOSE(Base1_Billing2,$Q$9,$Q$10))&amp;" REVENUE"</f>
        <v>TOTAL BASE TARIFF REVENUE</v>
      </c>
      <c r="C130" s="11">
        <f ca="1">IF(ROUND(SUM(D130:L130),3)&lt;&gt;ROUND(SUM(C127:C128),3),#VALUE!,SUM(D130:L130))</f>
        <v>535451708.6404227</v>
      </c>
      <c r="D130" s="11">
        <f t="shared" ref="D130:L130" ca="1" si="92">D127+D128</f>
        <v>236489126.47</v>
      </c>
      <c r="E130" s="11">
        <f t="shared" ca="1" si="92"/>
        <v>78265770.688461527</v>
      </c>
      <c r="F130" s="11">
        <f t="shared" ref="F130" ca="1" si="93">F127+F128</f>
        <v>0</v>
      </c>
      <c r="G130" s="11">
        <f t="shared" ca="1" si="92"/>
        <v>133739039.85076925</v>
      </c>
      <c r="H130" s="11">
        <f t="shared" ref="H130" ca="1" si="94">H127+H128</f>
        <v>0</v>
      </c>
      <c r="I130" s="11">
        <f t="shared" ca="1" si="92"/>
        <v>43738714.219700001</v>
      </c>
      <c r="J130" s="11">
        <f t="shared" ref="J130" ca="1" si="95">J127+J128</f>
        <v>24366310.439499997</v>
      </c>
      <c r="K130" s="11">
        <f t="shared" ca="1" si="92"/>
        <v>12224081.970000001</v>
      </c>
      <c r="L130" s="11">
        <f t="shared" si="92"/>
        <v>6628665.0019919993</v>
      </c>
    </row>
    <row r="131" spans="1:19">
      <c r="C131" s="11"/>
      <c r="D131" s="11"/>
      <c r="E131" s="11"/>
      <c r="F131" s="11"/>
      <c r="G131" s="11"/>
      <c r="H131" s="11"/>
      <c r="I131" s="11"/>
      <c r="J131" s="11"/>
      <c r="K131" s="11"/>
      <c r="L131" s="11"/>
    </row>
    <row r="132" spans="1:19">
      <c r="B132" s="5" t="s">
        <v>45</v>
      </c>
      <c r="C132" s="11"/>
      <c r="D132" s="11"/>
      <c r="E132" s="11"/>
      <c r="F132" s="11"/>
      <c r="G132" s="11"/>
      <c r="H132" s="11"/>
      <c r="I132" s="11"/>
      <c r="J132" s="11"/>
      <c r="K132" s="11"/>
      <c r="L132" s="11"/>
    </row>
    <row r="133" spans="1:19">
      <c r="B133" s="192" t="s">
        <v>46</v>
      </c>
      <c r="C133" s="11"/>
      <c r="D133" s="11"/>
      <c r="E133" s="11"/>
      <c r="F133" s="11"/>
      <c r="G133" s="11"/>
      <c r="H133" s="11"/>
      <c r="I133" s="11"/>
      <c r="J133" s="11"/>
      <c r="K133" s="11"/>
      <c r="L133" s="11"/>
      <c r="O133" s="436">
        <f>D8/$D$14</f>
        <v>0.67014046413149253</v>
      </c>
      <c r="Q133" s="8">
        <f>$D$134*O133</f>
        <v>-3298050.0545311156</v>
      </c>
      <c r="S133" s="437">
        <f ca="1">Q133*(D62/100)</f>
        <v>-267240.99591865629</v>
      </c>
    </row>
    <row r="134" spans="1:19" s="12" customFormat="1">
      <c r="A134" s="337" t="s">
        <v>818</v>
      </c>
      <c r="B134" s="89" t="s">
        <v>436</v>
      </c>
      <c r="C134" s="12">
        <f>SUM(D134:L134)</f>
        <v>-9617800</v>
      </c>
      <c r="D134" s="525">
        <f>'REVRUNS 12ME1219'!P382</f>
        <v>-4921431</v>
      </c>
      <c r="E134" s="525">
        <f>'REVRUNS 12ME1219'!P383</f>
        <v>-1087941</v>
      </c>
      <c r="F134" s="525">
        <f>'REVRUNS 12ME1219'!P384</f>
        <v>0</v>
      </c>
      <c r="G134" s="525">
        <f>'REVRUNS 12ME1219'!P385</f>
        <v>-3671502</v>
      </c>
      <c r="H134" s="525">
        <f>'REVRUNS 12ME1219'!P386</f>
        <v>0</v>
      </c>
      <c r="I134" s="525"/>
      <c r="J134" s="525"/>
      <c r="K134" s="525">
        <f>'REVRUNS 12ME1219'!P389</f>
        <v>63074</v>
      </c>
      <c r="L134" s="382"/>
      <c r="O134" s="436">
        <f>D9/$D$14</f>
        <v>0.20710089536472007</v>
      </c>
      <c r="P134" s="5"/>
      <c r="Q134" s="8">
        <f>$D$134*O134</f>
        <v>-1019232.7665756897</v>
      </c>
      <c r="R134" s="5"/>
      <c r="S134" s="437">
        <f ca="1">Q134*(D63/100)</f>
        <v>-96083.072905090259</v>
      </c>
    </row>
    <row r="135" spans="1:19" s="10" customFormat="1">
      <c r="A135" s="339" t="s">
        <v>819</v>
      </c>
      <c r="B135" s="90" t="s">
        <v>437</v>
      </c>
      <c r="D135" s="10">
        <f ca="1">D67</f>
        <v>8.7393395751256353</v>
      </c>
      <c r="E135" s="10">
        <f ca="1">E67</f>
        <v>10.74183989162527</v>
      </c>
      <c r="F135" s="10">
        <f>F67</f>
        <v>0</v>
      </c>
      <c r="G135" s="10">
        <f ca="1">G67</f>
        <v>7.4507237259552941</v>
      </c>
      <c r="H135" s="10">
        <f>H67</f>
        <v>0</v>
      </c>
      <c r="K135" s="193">
        <f ca="1">K67</f>
        <v>8.3363741166074004</v>
      </c>
      <c r="O135" s="441">
        <f>D10/$D$14</f>
        <v>0.12275864050378736</v>
      </c>
      <c r="P135" s="12"/>
      <c r="Q135" s="439">
        <f>$D$134*O135</f>
        <v>-604148.17889319477</v>
      </c>
      <c r="R135" s="105"/>
      <c r="S135" s="440">
        <f ca="1">Q135*(D64/100)</f>
        <v>-66776.498213064813</v>
      </c>
    </row>
    <row r="136" spans="1:19" s="11" customFormat="1">
      <c r="A136" s="339"/>
      <c r="B136" s="91" t="s">
        <v>438</v>
      </c>
      <c r="C136" s="11">
        <f ca="1">SUM(D136:L136)</f>
        <v>-815260.84</v>
      </c>
      <c r="D136" s="194">
        <f ca="1">ROUND(D134*D135/100,2)</f>
        <v>-430100.57</v>
      </c>
      <c r="E136" s="194">
        <f ca="1">ROUND(E134*E135/100,2)</f>
        <v>-116864.88</v>
      </c>
      <c r="F136" s="194">
        <f>ROUND(F134*F135/100,2)</f>
        <v>0</v>
      </c>
      <c r="G136" s="194">
        <f ca="1">ROUND(G134*G135/100,2)</f>
        <v>-273553.46999999997</v>
      </c>
      <c r="H136" s="194">
        <f>ROUND(H134*H135/100,2)</f>
        <v>0</v>
      </c>
      <c r="I136" s="194"/>
      <c r="J136" s="194"/>
      <c r="K136" s="194">
        <f ca="1">ROUND(K134*K135/100,2)</f>
        <v>5258.08</v>
      </c>
      <c r="L136" s="194"/>
      <c r="O136" s="436">
        <f>SUM(O133:O135)</f>
        <v>1</v>
      </c>
      <c r="P136" s="10"/>
      <c r="Q136" s="8">
        <f>SUM(Q133:Q135)</f>
        <v>-4921431</v>
      </c>
      <c r="R136" s="10"/>
      <c r="S136" s="437">
        <f ca="1">SUM(S133:S135)</f>
        <v>-430100.56703681132</v>
      </c>
    </row>
    <row r="137" spans="1:19" s="11" customFormat="1">
      <c r="A137" s="339"/>
      <c r="B137" s="91"/>
    </row>
    <row r="138" spans="1:19" s="8" customFormat="1" ht="11.25" customHeight="1">
      <c r="A138" s="339" t="s">
        <v>820</v>
      </c>
      <c r="B138" s="91" t="s">
        <v>215</v>
      </c>
      <c r="C138" s="107">
        <f>SUM(D138:L138)</f>
        <v>0</v>
      </c>
      <c r="D138" s="322">
        <v>0</v>
      </c>
      <c r="E138" s="322">
        <v>0</v>
      </c>
      <c r="F138" s="322">
        <v>0</v>
      </c>
      <c r="G138" s="322">
        <v>0</v>
      </c>
      <c r="H138" s="322">
        <v>0</v>
      </c>
      <c r="I138" s="108"/>
      <c r="J138" s="108"/>
      <c r="K138" s="108"/>
      <c r="L138" s="108"/>
    </row>
    <row r="139" spans="1:19" s="10" customFormat="1" ht="11.25" customHeight="1">
      <c r="A139" s="339" t="s">
        <v>819</v>
      </c>
      <c r="B139" s="90" t="s">
        <v>216</v>
      </c>
      <c r="D139" s="193">
        <f ca="1">I226</f>
        <v>9.7746120488289812</v>
      </c>
      <c r="E139" s="193">
        <f ca="1">I245</f>
        <v>8.5879999999999992</v>
      </c>
      <c r="F139" s="193">
        <f>J245</f>
        <v>0</v>
      </c>
      <c r="G139" s="10">
        <f ca="1">G278</f>
        <v>7.1628323614999605</v>
      </c>
      <c r="H139" s="10">
        <f>H278</f>
        <v>0</v>
      </c>
    </row>
    <row r="140" spans="1:19" s="11" customFormat="1" ht="11.25" customHeight="1">
      <c r="A140" s="339"/>
      <c r="B140" s="91" t="s">
        <v>217</v>
      </c>
      <c r="C140" s="11">
        <f ca="1">SUM(D140:L140)</f>
        <v>0</v>
      </c>
      <c r="D140" s="196">
        <f ca="1">ROUND(D138*D139/100,2)</f>
        <v>0</v>
      </c>
      <c r="E140" s="196">
        <f ca="1">ROUND(E138*E139/100,2)</f>
        <v>0</v>
      </c>
      <c r="F140" s="196">
        <f>ROUND(F138*F139/100,2)</f>
        <v>0</v>
      </c>
      <c r="G140" s="196">
        <f ca="1">ROUND(G138*G139/100,2)</f>
        <v>0</v>
      </c>
      <c r="H140" s="196">
        <f>ROUND(H138*H139/100,2)</f>
        <v>0</v>
      </c>
      <c r="I140" s="194"/>
      <c r="J140" s="194"/>
      <c r="K140" s="194"/>
      <c r="L140" s="194"/>
    </row>
    <row r="141" spans="1:19" s="11" customFormat="1" ht="11.25" customHeight="1">
      <c r="A141" s="339"/>
      <c r="B141" s="91"/>
      <c r="D141" s="112"/>
      <c r="E141" s="112"/>
      <c r="F141" s="112"/>
    </row>
    <row r="142" spans="1:19" s="7" customFormat="1">
      <c r="A142" s="337" t="s">
        <v>818</v>
      </c>
      <c r="B142" s="92" t="s">
        <v>218</v>
      </c>
      <c r="C142" s="12">
        <f>IF(ROUND(C134+C138,3)&lt;&gt;ROUND(SUM(D142:L142),3),#VALUE!,C134+C138)</f>
        <v>-9617800</v>
      </c>
      <c r="D142" s="111">
        <f>D134+D138</f>
        <v>-4921431</v>
      </c>
      <c r="E142" s="111">
        <f>E134+E138</f>
        <v>-1087941</v>
      </c>
      <c r="F142" s="111">
        <f>F134+F138</f>
        <v>0</v>
      </c>
      <c r="G142" s="12">
        <f>G134+G138</f>
        <v>-3671502</v>
      </c>
      <c r="H142" s="12">
        <f>H134+H138</f>
        <v>0</v>
      </c>
      <c r="I142" s="12"/>
      <c r="J142" s="12"/>
      <c r="K142" s="12">
        <f>K134+K138</f>
        <v>63074</v>
      </c>
      <c r="L142" s="12">
        <f>L134+L138</f>
        <v>0</v>
      </c>
    </row>
    <row r="143" spans="1:19" s="11" customFormat="1">
      <c r="A143" s="339"/>
      <c r="B143" s="91" t="s">
        <v>219</v>
      </c>
      <c r="C143" s="11">
        <f ca="1">IF(ROUND(C136+C140,3)&lt;&gt;ROUND(SUM(D143:L143),3),#VALUE!,C136+C140)</f>
        <v>-815260.84</v>
      </c>
      <c r="D143" s="112">
        <f ca="1">D136+D140</f>
        <v>-430100.57</v>
      </c>
      <c r="E143" s="112">
        <f ca="1">E136+E140</f>
        <v>-116864.88</v>
      </c>
      <c r="F143" s="112">
        <f>F136+F140</f>
        <v>0</v>
      </c>
      <c r="G143" s="11">
        <f ca="1">G136+G140</f>
        <v>-273553.46999999997</v>
      </c>
      <c r="H143" s="11">
        <f>H136+H140</f>
        <v>0</v>
      </c>
      <c r="K143" s="11">
        <f ca="1">K136+K140</f>
        <v>5258.08</v>
      </c>
    </row>
    <row r="144" spans="1:19" ht="12.75">
      <c r="A144" s="338"/>
      <c r="B144" s="192" t="s">
        <v>47</v>
      </c>
      <c r="C144" s="11"/>
      <c r="D144" s="112"/>
      <c r="E144" s="112"/>
      <c r="F144" s="112"/>
      <c r="G144" s="11"/>
      <c r="H144" s="11"/>
      <c r="I144" s="11"/>
      <c r="J144" s="11"/>
      <c r="K144" s="11"/>
      <c r="L144" s="11"/>
    </row>
    <row r="145" spans="1:12" s="8" customFormat="1">
      <c r="A145" s="337" t="s">
        <v>820</v>
      </c>
      <c r="B145" s="90" t="s">
        <v>215</v>
      </c>
      <c r="C145" s="8">
        <f>SUM(D145:L145)</f>
        <v>-42754825</v>
      </c>
      <c r="D145" s="737">
        <v>-35858069</v>
      </c>
      <c r="E145" s="737">
        <v>-4109408</v>
      </c>
      <c r="F145" s="737">
        <v>0</v>
      </c>
      <c r="G145" s="737">
        <v>-2787348</v>
      </c>
      <c r="H145" s="737">
        <v>0</v>
      </c>
      <c r="I145" s="600"/>
      <c r="J145" s="600"/>
      <c r="K145" s="600"/>
      <c r="L145" s="99"/>
    </row>
    <row r="146" spans="1:12" s="10" customFormat="1">
      <c r="A146" s="339" t="s">
        <v>819</v>
      </c>
      <c r="B146" s="90" t="s">
        <v>216</v>
      </c>
      <c r="C146" s="18"/>
      <c r="D146" s="10">
        <f ca="1">I226</f>
        <v>9.7746120488289812</v>
      </c>
      <c r="E146" s="10">
        <f ca="1">I245</f>
        <v>8.5879999999999992</v>
      </c>
      <c r="F146" s="10">
        <f>J245</f>
        <v>0</v>
      </c>
      <c r="G146" s="10">
        <f ca="1">G278</f>
        <v>7.1628323614999605</v>
      </c>
      <c r="H146" s="10">
        <f>H278</f>
        <v>0</v>
      </c>
    </row>
    <row r="147" spans="1:12" s="11" customFormat="1">
      <c r="A147" s="1"/>
      <c r="B147" s="91" t="s">
        <v>217</v>
      </c>
      <c r="C147" s="11">
        <f ca="1">SUM(D147:L147)</f>
        <v>-4057556.15</v>
      </c>
      <c r="D147" s="194">
        <f ca="1">ROUND(D145*D146/100,2)</f>
        <v>-3504987.13</v>
      </c>
      <c r="E147" s="194">
        <f ca="1">ROUND(E145*E146/100,2)</f>
        <v>-352915.96</v>
      </c>
      <c r="F147" s="194">
        <f>ROUND(F145*F146/100,2)</f>
        <v>0</v>
      </c>
      <c r="G147" s="194">
        <f ca="1">ROUND(G145*G146/100,2)</f>
        <v>-199653.06</v>
      </c>
      <c r="H147" s="194">
        <f>ROUND(H145*H146/100,2)</f>
        <v>0</v>
      </c>
      <c r="I147" s="194"/>
      <c r="J147" s="194"/>
      <c r="K147" s="194"/>
      <c r="L147" s="194"/>
    </row>
    <row r="148" spans="1:12">
      <c r="C148" s="11"/>
      <c r="D148" s="11"/>
      <c r="E148" s="11"/>
      <c r="F148" s="11"/>
      <c r="G148" s="11"/>
      <c r="H148" s="11"/>
      <c r="I148" s="11"/>
      <c r="J148" s="11"/>
      <c r="K148" s="11"/>
      <c r="L148" s="11"/>
    </row>
    <row r="149" spans="1:12">
      <c r="B149" s="5" t="s">
        <v>48</v>
      </c>
      <c r="C149" s="11">
        <f ca="1">IF(ROUND(C143+C147,3)&lt;&gt;ROUND(SUM(D149:L149),3),#VALUE!,C143+C147)</f>
        <v>-4872816.99</v>
      </c>
      <c r="D149" s="11">
        <f ca="1">D147+D143</f>
        <v>-3935087.6999999997</v>
      </c>
      <c r="E149" s="11">
        <f ca="1">E147+E143</f>
        <v>-469780.84</v>
      </c>
      <c r="F149" s="11">
        <f>F147+F143</f>
        <v>0</v>
      </c>
      <c r="G149" s="11">
        <f ca="1">G147+G143</f>
        <v>-473206.52999999997</v>
      </c>
      <c r="H149" s="11">
        <f>H147+H143</f>
        <v>0</v>
      </c>
      <c r="I149" s="11"/>
      <c r="J149" s="11"/>
      <c r="K149" s="11">
        <f ca="1">K147+K143</f>
        <v>5258.08</v>
      </c>
      <c r="L149" s="11"/>
    </row>
    <row r="150" spans="1:12">
      <c r="B150" s="5" t="str">
        <f>B130</f>
        <v>TOTAL BASE TARIFF REVENUE</v>
      </c>
      <c r="C150" s="12">
        <f t="shared" ref="C150:L150" ca="1" si="96">C130</f>
        <v>535451708.6404227</v>
      </c>
      <c r="D150" s="12">
        <f t="shared" ca="1" si="96"/>
        <v>236489126.47</v>
      </c>
      <c r="E150" s="12">
        <f t="shared" ca="1" si="96"/>
        <v>78265770.688461527</v>
      </c>
      <c r="F150" s="12">
        <f t="shared" ref="F150" ca="1" si="97">F130</f>
        <v>0</v>
      </c>
      <c r="G150" s="12">
        <f t="shared" ca="1" si="96"/>
        <v>133739039.85076925</v>
      </c>
      <c r="H150" s="12">
        <f t="shared" ref="H150" ca="1" si="98">H130</f>
        <v>0</v>
      </c>
      <c r="I150" s="12">
        <f t="shared" ca="1" si="96"/>
        <v>43738714.219700001</v>
      </c>
      <c r="J150" s="12">
        <f t="shared" ref="J150" ca="1" si="99">J130</f>
        <v>24366310.439499997</v>
      </c>
      <c r="K150" s="12">
        <f t="shared" ca="1" si="96"/>
        <v>12224081.970000001</v>
      </c>
      <c r="L150" s="12">
        <f t="shared" si="96"/>
        <v>6628665.0019919993</v>
      </c>
    </row>
    <row r="151" spans="1:12">
      <c r="C151" s="194"/>
      <c r="D151" s="194"/>
      <c r="E151" s="194"/>
      <c r="F151" s="194"/>
      <c r="G151" s="194"/>
      <c r="H151" s="194"/>
      <c r="I151" s="194"/>
      <c r="J151" s="194"/>
      <c r="K151" s="194"/>
      <c r="L151" s="194"/>
    </row>
    <row r="152" spans="1:12">
      <c r="B152" s="5" t="s">
        <v>49</v>
      </c>
      <c r="C152" s="11">
        <f ca="1">IF(ROUND(C149+C150,3)&lt;&gt;ROUND(SUM(D152:L152),3),#VALUE!,SUM(D152:L152))</f>
        <v>530578891.65042275</v>
      </c>
      <c r="D152" s="11">
        <f t="shared" ref="D152:L152" ca="1" si="100">D149+D150</f>
        <v>232554038.77000001</v>
      </c>
      <c r="E152" s="11">
        <f t="shared" ca="1" si="100"/>
        <v>77795989.848461524</v>
      </c>
      <c r="F152" s="11">
        <f t="shared" ref="F152" ca="1" si="101">F149+F150</f>
        <v>0</v>
      </c>
      <c r="G152" s="11">
        <f t="shared" ca="1" si="100"/>
        <v>133265833.32076925</v>
      </c>
      <c r="H152" s="11">
        <f t="shared" ref="H152" ca="1" si="102">H149+H150</f>
        <v>0</v>
      </c>
      <c r="I152" s="11">
        <f t="shared" ca="1" si="100"/>
        <v>43738714.219700001</v>
      </c>
      <c r="J152" s="11">
        <f t="shared" ref="J152" ca="1" si="103">J149+J150</f>
        <v>24366310.439499997</v>
      </c>
      <c r="K152" s="11">
        <f t="shared" ca="1" si="100"/>
        <v>12229340.050000001</v>
      </c>
      <c r="L152" s="11">
        <f t="shared" si="100"/>
        <v>6628665.0019919993</v>
      </c>
    </row>
    <row r="153" spans="1:12">
      <c r="C153" s="11"/>
      <c r="D153" s="11"/>
      <c r="E153" s="219"/>
      <c r="F153" s="219"/>
      <c r="G153" s="11"/>
      <c r="H153" s="11"/>
      <c r="I153" s="11"/>
      <c r="J153" s="11"/>
      <c r="K153" s="11"/>
      <c r="L153" s="11"/>
    </row>
    <row r="154" spans="1:12">
      <c r="C154" s="11"/>
      <c r="D154" s="11"/>
      <c r="E154" s="11"/>
      <c r="F154" s="11"/>
      <c r="G154" s="11"/>
      <c r="H154" s="11"/>
      <c r="I154" s="11"/>
      <c r="J154" s="11"/>
      <c r="K154" s="11"/>
      <c r="L154" s="11"/>
    </row>
    <row r="155" spans="1:12">
      <c r="C155" s="655"/>
      <c r="D155" s="11"/>
      <c r="E155" s="11"/>
      <c r="F155" s="11"/>
      <c r="G155" s="11"/>
      <c r="H155" s="11"/>
      <c r="I155" s="11"/>
      <c r="J155" s="11"/>
      <c r="K155" s="11"/>
      <c r="L155" s="11"/>
    </row>
    <row r="156" spans="1:12">
      <c r="C156" s="11"/>
      <c r="D156" s="11"/>
      <c r="E156" s="11"/>
      <c r="F156" s="11"/>
      <c r="G156" s="11"/>
      <c r="H156" s="11"/>
      <c r="I156" s="11"/>
      <c r="J156" s="11"/>
      <c r="K156" s="11"/>
      <c r="L156" s="11"/>
    </row>
    <row r="157" spans="1:12">
      <c r="C157" s="11"/>
      <c r="D157" s="11"/>
      <c r="E157" s="11"/>
      <c r="F157" s="11"/>
      <c r="G157" s="11"/>
      <c r="H157" s="11"/>
      <c r="I157" s="11"/>
      <c r="J157" s="11"/>
      <c r="K157" s="11"/>
      <c r="L157" s="11"/>
    </row>
    <row r="158" spans="1:12">
      <c r="C158" s="11"/>
      <c r="D158" s="11"/>
      <c r="E158" s="11"/>
      <c r="F158" s="11"/>
      <c r="G158" s="11"/>
      <c r="H158" s="11"/>
      <c r="I158" s="11"/>
      <c r="J158" s="11"/>
      <c r="K158" s="11"/>
      <c r="L158" s="11"/>
    </row>
    <row r="159" spans="1:12">
      <c r="C159" s="11"/>
      <c r="D159" s="11"/>
      <c r="E159" s="11"/>
      <c r="F159" s="11"/>
      <c r="G159" s="11"/>
      <c r="H159" s="11"/>
      <c r="I159" s="11"/>
      <c r="J159" s="11"/>
      <c r="K159" s="11"/>
      <c r="L159" s="11"/>
    </row>
    <row r="160" spans="1:12" s="2" customFormat="1">
      <c r="A160" s="1" t="s">
        <v>0</v>
      </c>
      <c r="C160" s="2" t="s">
        <v>1</v>
      </c>
      <c r="D160" s="2" t="str">
        <f t="shared" ref="D160:L160" si="104">D$4</f>
        <v>RESIDENTIAL</v>
      </c>
      <c r="E160" s="2" t="str">
        <f t="shared" si="104"/>
        <v xml:space="preserve">GENERAL SVC. </v>
      </c>
      <c r="F160" s="2" t="str">
        <f t="shared" si="104"/>
        <v xml:space="preserve">GENERAL SVC. </v>
      </c>
      <c r="G160" s="2" t="str">
        <f t="shared" si="104"/>
        <v>LG. GEN. SVC.</v>
      </c>
      <c r="H160" s="2" t="str">
        <f t="shared" si="104"/>
        <v>LG. GEN. SVC.</v>
      </c>
      <c r="I160" s="2" t="str">
        <f t="shared" si="104"/>
        <v>EX LG GEN SVC</v>
      </c>
      <c r="J160" s="2" t="str">
        <f t="shared" si="104"/>
        <v>EX LG GEN SVC</v>
      </c>
      <c r="K160" s="2" t="str">
        <f t="shared" si="104"/>
        <v>PUMPING</v>
      </c>
      <c r="L160" s="2" t="str">
        <f t="shared" si="104"/>
        <v>ST &amp; AREA LTG</v>
      </c>
    </row>
    <row r="161" spans="1:12" s="2" customFormat="1">
      <c r="A161" s="1" t="s">
        <v>8</v>
      </c>
      <c r="C161" s="3" t="s">
        <v>9</v>
      </c>
      <c r="D161" s="3" t="str">
        <f t="shared" ref="D161:L161" si="105">D$5</f>
        <v>SCHEDULE 1,2</v>
      </c>
      <c r="E161" s="3" t="str">
        <f t="shared" si="105"/>
        <v>SCH. 11,12</v>
      </c>
      <c r="F161" s="3" t="str">
        <f t="shared" si="105"/>
        <v>SCH. 13</v>
      </c>
      <c r="G161" s="3" t="str">
        <f t="shared" si="105"/>
        <v>SCH. 21,22</v>
      </c>
      <c r="H161" s="3" t="str">
        <f t="shared" si="105"/>
        <v>SCH. 23</v>
      </c>
      <c r="I161" s="3" t="str">
        <f t="shared" si="105"/>
        <v>SCHEDULE 25</v>
      </c>
      <c r="J161" s="3" t="str">
        <f t="shared" si="105"/>
        <v>SCHEDULE 25I</v>
      </c>
      <c r="K161" s="3" t="str">
        <f t="shared" si="105"/>
        <v>SCH. 30, 31, 32</v>
      </c>
      <c r="L161" s="3" t="str">
        <f t="shared" si="105"/>
        <v>SCH. 41-48</v>
      </c>
    </row>
    <row r="162" spans="1:12" ht="12.75">
      <c r="B162" s="4" t="s">
        <v>50</v>
      </c>
      <c r="C162" s="11"/>
      <c r="D162" s="11"/>
      <c r="E162" s="11"/>
      <c r="F162" s="11"/>
      <c r="G162" s="11"/>
      <c r="H162" s="11"/>
      <c r="I162" s="11"/>
      <c r="J162" s="11"/>
      <c r="K162" s="11"/>
      <c r="L162" s="11"/>
    </row>
    <row r="163" spans="1:12">
      <c r="B163" s="5" t="str">
        <f>UPPER(CHOOSE(Base1_Billing2,$Q$9,$Q$10))&amp;" REVENUE"</f>
        <v>BASE TARIFF REVENUE</v>
      </c>
      <c r="C163" s="11"/>
      <c r="D163" s="11"/>
      <c r="E163" s="11"/>
      <c r="F163" s="11"/>
      <c r="G163" s="11"/>
      <c r="H163" s="11"/>
      <c r="I163" s="11"/>
      <c r="J163" s="11"/>
      <c r="K163" s="11"/>
      <c r="L163" s="11"/>
    </row>
    <row r="164" spans="1:12">
      <c r="B164" s="88" t="s">
        <v>33</v>
      </c>
      <c r="C164" s="11">
        <f t="shared" ref="C164:C175" ca="1" si="106">SUM(D164:L164)</f>
        <v>32001513</v>
      </c>
      <c r="D164" s="11">
        <f ca="1">D48*D76</f>
        <v>23575653</v>
      </c>
      <c r="E164" s="11">
        <f ca="1">E48*E76</f>
        <v>7836020</v>
      </c>
      <c r="F164" s="11">
        <f ca="1">F48*F76</f>
        <v>0</v>
      </c>
      <c r="G164" s="11"/>
      <c r="H164" s="11">
        <f ca="1">H48*H76</f>
        <v>0</v>
      </c>
      <c r="I164" s="11"/>
      <c r="J164" s="11"/>
      <c r="K164" s="11">
        <f ca="1">K48*K76</f>
        <v>589840</v>
      </c>
      <c r="L164" s="11"/>
    </row>
    <row r="165" spans="1:12">
      <c r="B165" s="88" t="s">
        <v>34</v>
      </c>
      <c r="C165" s="12">
        <f t="shared" si="106"/>
        <v>0</v>
      </c>
      <c r="D165" s="12">
        <f>D49*D77</f>
        <v>0</v>
      </c>
      <c r="E165" s="12"/>
      <c r="F165" s="12"/>
      <c r="G165" s="12"/>
      <c r="H165" s="12"/>
      <c r="I165" s="12"/>
      <c r="J165" s="12"/>
      <c r="K165" s="12"/>
      <c r="L165" s="12"/>
    </row>
    <row r="166" spans="1:12">
      <c r="B166" s="88" t="s">
        <v>18</v>
      </c>
      <c r="C166" s="12">
        <f t="shared" ca="1" si="106"/>
        <v>298491421.34999996</v>
      </c>
      <c r="D166" s="12">
        <f t="shared" ref="D166:K168" ca="1" si="107">ROUND(D31*D79/100,2)</f>
        <v>139084582.38999999</v>
      </c>
      <c r="E166" s="12">
        <f t="shared" ca="1" si="107"/>
        <v>52038467.57</v>
      </c>
      <c r="F166" s="12">
        <f t="shared" ref="F166" ca="1" si="108">ROUND(F31*F79/100,2)</f>
        <v>0</v>
      </c>
      <c r="G166" s="12">
        <f t="shared" ca="1" si="107"/>
        <v>94866089.450000003</v>
      </c>
      <c r="H166" s="12">
        <f t="shared" ref="H166" ca="1" si="109">ROUND(H31*H79/100,2)</f>
        <v>0</v>
      </c>
      <c r="I166" s="12">
        <f t="shared" ca="1" si="107"/>
        <v>7241220</v>
      </c>
      <c r="J166" s="12">
        <f ca="1">ROUND(J31*J79/100,2)</f>
        <v>279720</v>
      </c>
      <c r="K166" s="12">
        <f ca="1">ROUND(K31*K79/100,2)</f>
        <v>4981341.9400000004</v>
      </c>
      <c r="L166" s="12"/>
    </row>
    <row r="167" spans="1:12">
      <c r="B167" s="88" t="s">
        <v>19</v>
      </c>
      <c r="C167" s="12">
        <f t="shared" ca="1" si="106"/>
        <v>112015234.65000001</v>
      </c>
      <c r="D167" s="12">
        <f t="shared" ca="1" si="107"/>
        <v>50006214.920000002</v>
      </c>
      <c r="E167" s="12">
        <f t="shared" ca="1" si="107"/>
        <v>16762818.050000001</v>
      </c>
      <c r="F167" s="12">
        <f t="shared" ref="F167" ca="1" si="110">ROUND(F32*F80/100,2)</f>
        <v>0</v>
      </c>
      <c r="G167" s="12">
        <f t="shared" ca="1" si="107"/>
        <v>10093334.640000001</v>
      </c>
      <c r="H167" s="12">
        <f t="shared" ref="H167" ca="1" si="111">ROUND(H32*H80/100,2)</f>
        <v>0</v>
      </c>
      <c r="I167" s="12">
        <f t="shared" ca="1" si="107"/>
        <v>25330921.620000001</v>
      </c>
      <c r="J167" s="12">
        <f t="shared" ref="J167" ca="1" si="112">ROUND(J32*J80/100,2)</f>
        <v>2768700</v>
      </c>
      <c r="K167" s="12">
        <f t="shared" ca="1" si="107"/>
        <v>7053245.4199999999</v>
      </c>
      <c r="L167" s="12"/>
    </row>
    <row r="168" spans="1:12">
      <c r="B168" s="88" t="s">
        <v>20</v>
      </c>
      <c r="C168" s="12">
        <f t="shared" ca="1" si="106"/>
        <v>48529608.5</v>
      </c>
      <c r="D168" s="12">
        <f ca="1">ROUND(D33*D81/100,2)</f>
        <v>34755224.799999997</v>
      </c>
      <c r="E168" s="12"/>
      <c r="F168" s="12"/>
      <c r="G168" s="12"/>
      <c r="H168" s="12"/>
      <c r="I168" s="12">
        <f t="shared" ca="1" si="107"/>
        <v>176086.5</v>
      </c>
      <c r="J168" s="12">
        <f t="shared" ref="J168" ca="1" si="113">ROUND(J33*J81/100,2)</f>
        <v>13598297.199999999</v>
      </c>
      <c r="K168" s="12"/>
      <c r="L168" s="12"/>
    </row>
    <row r="169" spans="1:12">
      <c r="B169" s="88" t="s">
        <v>21</v>
      </c>
      <c r="C169" s="12">
        <f t="shared" si="106"/>
        <v>0</v>
      </c>
      <c r="D169" s="12">
        <f>ROUND(D34*D82/100,2)</f>
        <v>0</v>
      </c>
      <c r="E169" s="12"/>
      <c r="F169" s="12"/>
      <c r="G169" s="12"/>
      <c r="H169" s="12"/>
      <c r="I169" s="12"/>
      <c r="J169" s="12"/>
      <c r="K169" s="12"/>
      <c r="L169" s="12"/>
    </row>
    <row r="170" spans="1:12">
      <c r="B170" s="88" t="s">
        <v>40</v>
      </c>
      <c r="C170" s="12">
        <f t="shared" ca="1" si="106"/>
        <v>20709150</v>
      </c>
      <c r="D170" s="12"/>
      <c r="E170" s="12"/>
      <c r="F170" s="12"/>
      <c r="G170" s="12">
        <f ca="1">ROUND(G48*G86,2)</f>
        <v>12617550</v>
      </c>
      <c r="H170" s="12"/>
      <c r="I170" s="12">
        <f ca="1">ROUND(I48*I86,2)</f>
        <v>7723800</v>
      </c>
      <c r="J170" s="12">
        <f ca="1">ROUND(J48*J86,2)</f>
        <v>367800</v>
      </c>
      <c r="K170" s="12"/>
      <c r="L170" s="12"/>
    </row>
    <row r="171" spans="1:12">
      <c r="B171" s="88" t="s">
        <v>41</v>
      </c>
      <c r="C171" s="12">
        <f t="shared" ca="1" si="106"/>
        <v>32194229.66</v>
      </c>
      <c r="D171" s="12"/>
      <c r="E171" s="12">
        <f t="shared" ref="E171:J171" ca="1" si="114">ROUND(E50*E87,2)</f>
        <v>3068155.84</v>
      </c>
      <c r="F171" s="12"/>
      <c r="G171" s="12">
        <f t="shared" ca="1" si="114"/>
        <v>18536249.210000001</v>
      </c>
      <c r="H171" s="12"/>
      <c r="I171" s="12">
        <f t="shared" ca="1" si="114"/>
        <v>4863525.05</v>
      </c>
      <c r="J171" s="12">
        <f t="shared" ca="1" si="114"/>
        <v>5726299.5599999996</v>
      </c>
      <c r="K171" s="12"/>
      <c r="L171" s="12"/>
    </row>
    <row r="172" spans="1:12">
      <c r="B172" s="88" t="s">
        <v>211</v>
      </c>
      <c r="C172" s="12">
        <f t="shared" si="106"/>
        <v>126292.44</v>
      </c>
      <c r="D172" s="12"/>
      <c r="E172" s="12">
        <f>E119</f>
        <v>0</v>
      </c>
      <c r="F172" s="12">
        <f>F119</f>
        <v>0</v>
      </c>
      <c r="G172" s="12">
        <f>G119</f>
        <v>126292.44</v>
      </c>
      <c r="H172" s="12">
        <f>H119</f>
        <v>0</v>
      </c>
      <c r="I172" s="12"/>
      <c r="J172" s="12"/>
      <c r="K172" s="12">
        <f>K119</f>
        <v>0</v>
      </c>
      <c r="L172" s="12"/>
    </row>
    <row r="173" spans="1:12">
      <c r="B173" s="88" t="s">
        <v>212</v>
      </c>
      <c r="C173" s="12">
        <f t="shared" si="106"/>
        <v>-1675806.1397000002</v>
      </c>
      <c r="D173" s="12"/>
      <c r="E173" s="12"/>
      <c r="F173" s="12"/>
      <c r="G173" s="12">
        <f>G120</f>
        <v>-65169.210000000006</v>
      </c>
      <c r="H173" s="12">
        <f>H120</f>
        <v>0</v>
      </c>
      <c r="I173" s="111">
        <f>'WA Sch 25'!P113</f>
        <v>-228706.1862</v>
      </c>
      <c r="J173" s="111">
        <f>'WA Sch 25'!P124</f>
        <v>-1381930.7435000001</v>
      </c>
      <c r="K173" s="12"/>
      <c r="L173" s="12"/>
    </row>
    <row r="174" spans="1:12">
      <c r="B174" s="88" t="s">
        <v>213</v>
      </c>
      <c r="C174" s="12">
        <f t="shared" si="106"/>
        <v>0</v>
      </c>
      <c r="D174" s="12"/>
      <c r="E174" s="12"/>
      <c r="F174" s="12"/>
      <c r="G174" s="12"/>
      <c r="H174" s="12"/>
      <c r="I174" s="12">
        <v>0</v>
      </c>
      <c r="J174" s="12">
        <v>0</v>
      </c>
      <c r="K174" s="12"/>
      <c r="L174" s="12"/>
    </row>
    <row r="175" spans="1:12">
      <c r="A175" s="340" t="s">
        <v>817</v>
      </c>
      <c r="B175" s="88" t="s">
        <v>214</v>
      </c>
      <c r="C175" s="103">
        <f t="shared" si="106"/>
        <v>6862106.5219919989</v>
      </c>
      <c r="D175" s="103"/>
      <c r="E175" s="247"/>
      <c r="F175" s="247"/>
      <c r="G175" s="247"/>
      <c r="H175" s="247"/>
      <c r="I175" s="247"/>
      <c r="J175" s="247"/>
      <c r="K175" s="247"/>
      <c r="L175" s="249">
        <f>'Lighting summary'!G19</f>
        <v>6862106.5219919989</v>
      </c>
    </row>
    <row r="176" spans="1:12">
      <c r="C176" s="11"/>
      <c r="D176" s="11"/>
      <c r="E176" s="11"/>
      <c r="F176" s="11"/>
      <c r="G176" s="11"/>
      <c r="H176" s="11"/>
      <c r="I176" s="11"/>
      <c r="J176" s="11"/>
      <c r="K176" s="11"/>
      <c r="L176" s="11"/>
    </row>
    <row r="177" spans="1:12">
      <c r="B177" s="5" t="s">
        <v>23</v>
      </c>
      <c r="C177" s="11">
        <f ca="1">IF(ROUND(SUM(C164:C175),3)&lt;&gt;ROUND(SUM(D177:L177),3),#VALUE!,SUM(D177:L177))</f>
        <v>549253749.98229194</v>
      </c>
      <c r="D177" s="11">
        <f t="shared" ref="D177:L177" ca="1" si="115">SUM(D164:D175)</f>
        <v>247421675.11000001</v>
      </c>
      <c r="E177" s="11">
        <f t="shared" ca="1" si="115"/>
        <v>79705461.460000008</v>
      </c>
      <c r="F177" s="11">
        <f t="shared" ref="F177" ca="1" si="116">SUM(F164:F175)</f>
        <v>0</v>
      </c>
      <c r="G177" s="11">
        <f t="shared" ca="1" si="115"/>
        <v>136174346.53</v>
      </c>
      <c r="H177" s="11">
        <f t="shared" ref="H177" ca="1" si="117">SUM(H164:H175)</f>
        <v>0</v>
      </c>
      <c r="I177" s="11">
        <f t="shared" ca="1" si="115"/>
        <v>45106846.983800001</v>
      </c>
      <c r="J177" s="11">
        <f t="shared" ref="J177" ca="1" si="118">SUM(J164:J175)</f>
        <v>21358886.016499996</v>
      </c>
      <c r="K177" s="11">
        <f t="shared" ca="1" si="115"/>
        <v>12624427.359999999</v>
      </c>
      <c r="L177" s="11">
        <f t="shared" si="115"/>
        <v>6862106.5219919989</v>
      </c>
    </row>
    <row r="178" spans="1:12">
      <c r="B178" s="87"/>
      <c r="C178" s="103">
        <f ca="1">SUM(D178:L178)</f>
        <v>0</v>
      </c>
      <c r="D178" s="103">
        <f ca="1">ROUND(D38*D84/100,2)</f>
        <v>0</v>
      </c>
      <c r="E178" s="103">
        <f ca="1">ROUND(E38*E84/100,2)</f>
        <v>0</v>
      </c>
      <c r="F178" s="103">
        <f>ROUND(F38*F84/100,2)</f>
        <v>0</v>
      </c>
      <c r="G178" s="103">
        <f ca="1">ROUND(G38*G84/100,2)</f>
        <v>0</v>
      </c>
      <c r="H178" s="103">
        <f>ROUND(H38*H84/100,2)</f>
        <v>0</v>
      </c>
      <c r="I178" s="103">
        <f ca="1">ROUND(I38*I80/100,2)</f>
        <v>0</v>
      </c>
      <c r="J178" s="103">
        <f ca="1">ROUND(J38*J80/100,2)</f>
        <v>0</v>
      </c>
      <c r="K178" s="103">
        <f ca="1">ROUND(K38*K84/100,2)</f>
        <v>0</v>
      </c>
      <c r="L178" s="103">
        <v>0</v>
      </c>
    </row>
    <row r="179" spans="1:12">
      <c r="C179" s="11"/>
      <c r="D179" s="11"/>
      <c r="E179" s="93"/>
      <c r="F179" s="93"/>
      <c r="G179" s="93"/>
      <c r="H179" s="93"/>
      <c r="I179" s="11"/>
      <c r="J179" s="11"/>
      <c r="K179" s="11"/>
      <c r="L179" s="11"/>
    </row>
    <row r="180" spans="1:12">
      <c r="B180" s="5" t="s">
        <v>23</v>
      </c>
      <c r="C180" s="11">
        <f ca="1">SUM(D180:L180)</f>
        <v>549253749.98229194</v>
      </c>
      <c r="D180" s="11">
        <f t="shared" ref="D180:L180" ca="1" si="119">D177+D178</f>
        <v>247421675.11000001</v>
      </c>
      <c r="E180" s="11">
        <f t="shared" ca="1" si="119"/>
        <v>79705461.460000008</v>
      </c>
      <c r="F180" s="11">
        <f t="shared" ref="F180" ca="1" si="120">F177+F178</f>
        <v>0</v>
      </c>
      <c r="G180" s="11">
        <f t="shared" ca="1" si="119"/>
        <v>136174346.53</v>
      </c>
      <c r="H180" s="11">
        <f t="shared" ref="H180" ca="1" si="121">H177+H178</f>
        <v>0</v>
      </c>
      <c r="I180" s="11">
        <f t="shared" ca="1" si="119"/>
        <v>45106846.983800001</v>
      </c>
      <c r="J180" s="11">
        <f t="shared" ref="J180" ca="1" si="122">J177+J178</f>
        <v>21358886.016499996</v>
      </c>
      <c r="K180" s="11">
        <f t="shared" ca="1" si="119"/>
        <v>12624427.359999999</v>
      </c>
      <c r="L180" s="11">
        <f t="shared" si="119"/>
        <v>6862106.5219919989</v>
      </c>
    </row>
    <row r="181" spans="1:12">
      <c r="B181" s="5" t="s">
        <v>44</v>
      </c>
      <c r="C181" s="12">
        <f ca="1">SUM(D181:L181)</f>
        <v>0</v>
      </c>
      <c r="D181" s="12">
        <f t="shared" ref="D181:L181" ca="1" si="123">ROUND(D41*D84/100,2)</f>
        <v>0</v>
      </c>
      <c r="E181" s="12">
        <f t="shared" ca="1" si="123"/>
        <v>0</v>
      </c>
      <c r="F181" s="12">
        <f t="shared" ref="F181" si="124">ROUND(F41*F84/100,2)</f>
        <v>0</v>
      </c>
      <c r="G181" s="12">
        <f t="shared" ca="1" si="123"/>
        <v>0</v>
      </c>
      <c r="H181" s="12">
        <f t="shared" ref="H181" si="125">ROUND(H41*H84/100,2)</f>
        <v>0</v>
      </c>
      <c r="I181" s="12">
        <f t="shared" si="123"/>
        <v>0</v>
      </c>
      <c r="J181" s="12">
        <f t="shared" ref="J181" si="126">ROUND(J41*J84/100,2)</f>
        <v>0</v>
      </c>
      <c r="K181" s="12">
        <f t="shared" ca="1" si="123"/>
        <v>0</v>
      </c>
      <c r="L181" s="12">
        <f t="shared" si="123"/>
        <v>0</v>
      </c>
    </row>
    <row r="182" spans="1:12">
      <c r="C182" s="194"/>
      <c r="D182" s="194"/>
      <c r="E182" s="194"/>
      <c r="F182" s="194"/>
      <c r="G182" s="194"/>
      <c r="H182" s="194"/>
      <c r="I182" s="194"/>
      <c r="J182" s="194"/>
      <c r="K182" s="194"/>
      <c r="L182" s="194"/>
    </row>
    <row r="183" spans="1:12">
      <c r="B183" s="5" t="str">
        <f>"SUBTOTAL "&amp;UPPER(CHOOSE(Base1_Billing2,$Q$9,$Q$10))&amp;" REVENUE"</f>
        <v>SUBTOTAL BASE TARIFF REVENUE</v>
      </c>
      <c r="C183" s="11">
        <f ca="1">IF(ROUND(SUM(D183:L183),3)&lt;&gt;ROUND(SUM(C180:C181),3),#VALUE!,SUM(D183:L183))</f>
        <v>549253749.98229194</v>
      </c>
      <c r="D183" s="11">
        <f t="shared" ref="D183:L183" ca="1" si="127">D180+D181</f>
        <v>247421675.11000001</v>
      </c>
      <c r="E183" s="11">
        <f t="shared" ca="1" si="127"/>
        <v>79705461.460000008</v>
      </c>
      <c r="F183" s="11">
        <f t="shared" ref="F183" ca="1" si="128">F180+F181</f>
        <v>0</v>
      </c>
      <c r="G183" s="11">
        <f t="shared" ca="1" si="127"/>
        <v>136174346.53</v>
      </c>
      <c r="H183" s="11">
        <f t="shared" ref="H183" ca="1" si="129">H180+H181</f>
        <v>0</v>
      </c>
      <c r="I183" s="11">
        <f t="shared" ca="1" si="127"/>
        <v>45106846.983800001</v>
      </c>
      <c r="J183" s="11">
        <f t="shared" ref="J183" ca="1" si="130">J180+J181</f>
        <v>21358886.016499996</v>
      </c>
      <c r="K183" s="11">
        <f t="shared" ca="1" si="127"/>
        <v>12624427.359999999</v>
      </c>
      <c r="L183" s="11">
        <f t="shared" si="127"/>
        <v>6862106.5219919989</v>
      </c>
    </row>
    <row r="184" spans="1:12">
      <c r="C184" s="11"/>
      <c r="D184" s="11"/>
      <c r="E184" s="11"/>
      <c r="F184" s="11"/>
      <c r="G184" s="11"/>
      <c r="H184" s="11"/>
      <c r="I184" s="11"/>
      <c r="J184" s="11"/>
      <c r="K184" s="11"/>
      <c r="L184" s="11"/>
    </row>
    <row r="185" spans="1:12">
      <c r="B185" s="5" t="s">
        <v>45</v>
      </c>
      <c r="C185" s="11"/>
      <c r="D185" s="11"/>
      <c r="E185" s="11"/>
      <c r="F185" s="11"/>
      <c r="G185" s="11"/>
      <c r="H185" s="11"/>
      <c r="I185" s="11"/>
      <c r="J185" s="11"/>
      <c r="K185" s="11"/>
      <c r="L185" s="11"/>
    </row>
    <row r="186" spans="1:12">
      <c r="B186" s="192" t="s">
        <v>46</v>
      </c>
      <c r="C186" s="11"/>
      <c r="D186" s="11"/>
      <c r="E186" s="11"/>
      <c r="F186" s="11"/>
      <c r="G186" s="11"/>
      <c r="H186" s="11"/>
      <c r="I186" s="11"/>
      <c r="J186" s="11"/>
      <c r="K186" s="11"/>
      <c r="L186" s="11"/>
    </row>
    <row r="187" spans="1:12" s="8" customFormat="1">
      <c r="A187" s="1"/>
      <c r="B187" s="90" t="s">
        <v>436</v>
      </c>
      <c r="C187" s="107">
        <f>SUM(D187:L187)</f>
        <v>-9617800</v>
      </c>
      <c r="D187" s="12">
        <f>D134</f>
        <v>-4921431</v>
      </c>
      <c r="E187" s="12">
        <f>E134</f>
        <v>-1087941</v>
      </c>
      <c r="F187" s="12">
        <f>F134</f>
        <v>0</v>
      </c>
      <c r="G187" s="12">
        <f>G134</f>
        <v>-3671502</v>
      </c>
      <c r="H187" s="12">
        <f>H134</f>
        <v>0</v>
      </c>
      <c r="I187" s="12"/>
      <c r="J187" s="12"/>
      <c r="K187" s="12">
        <f>K134</f>
        <v>63074</v>
      </c>
      <c r="L187" s="107"/>
    </row>
    <row r="188" spans="1:12" s="10" customFormat="1">
      <c r="A188" s="1"/>
      <c r="B188" s="90" t="s">
        <v>437</v>
      </c>
      <c r="D188" s="10">
        <f ca="1">D84</f>
        <v>9.188081749255824</v>
      </c>
      <c r="E188" s="10">
        <f ca="1">E84</f>
        <v>10.971420675441745</v>
      </c>
      <c r="F188" s="10">
        <f>F84</f>
        <v>0</v>
      </c>
      <c r="G188" s="10">
        <f ca="1">G84</f>
        <v>7.627704496129506</v>
      </c>
      <c r="H188" s="10">
        <f>H84</f>
        <v>0</v>
      </c>
      <c r="K188" s="193">
        <f ca="1">K84</f>
        <v>8.6232367205918266</v>
      </c>
    </row>
    <row r="189" spans="1:12" s="11" customFormat="1">
      <c r="A189" s="1"/>
      <c r="B189" s="90" t="s">
        <v>438</v>
      </c>
      <c r="C189" s="11">
        <f ca="1">SUM(D189:L189)</f>
        <v>-846159.98</v>
      </c>
      <c r="D189" s="194">
        <f ca="1">ROUND(D187*D188/100,2)</f>
        <v>-452185.1</v>
      </c>
      <c r="E189" s="194">
        <f ca="1">ROUND(E187*E188/100,2)</f>
        <v>-119362.58</v>
      </c>
      <c r="F189" s="194">
        <f>ROUND(F187*F188/100,2)</f>
        <v>0</v>
      </c>
      <c r="G189" s="194">
        <f ca="1">ROUND(G187*G188/100,2)</f>
        <v>-280051.32</v>
      </c>
      <c r="H189" s="194">
        <f>ROUND(H187*H188/100,2)</f>
        <v>0</v>
      </c>
      <c r="I189" s="194"/>
      <c r="J189" s="194"/>
      <c r="K189" s="194">
        <f ca="1">ROUND(K187*K188/100,2)</f>
        <v>5439.02</v>
      </c>
      <c r="L189" s="194"/>
    </row>
    <row r="190" spans="1:12" s="11" customFormat="1">
      <c r="A190" s="1"/>
      <c r="B190" s="90"/>
    </row>
    <row r="191" spans="1:12" s="8" customFormat="1">
      <c r="A191" s="1"/>
      <c r="B191" s="90" t="s">
        <v>215</v>
      </c>
      <c r="C191" s="107">
        <f>SUM(D191:L191)</f>
        <v>0</v>
      </c>
      <c r="D191" s="107">
        <f>D138</f>
        <v>0</v>
      </c>
      <c r="E191" s="107">
        <f>E138</f>
        <v>0</v>
      </c>
      <c r="F191" s="107">
        <f>F138</f>
        <v>0</v>
      </c>
      <c r="G191" s="107">
        <f>G138</f>
        <v>0</v>
      </c>
      <c r="H191" s="107">
        <f>H138</f>
        <v>0</v>
      </c>
      <c r="I191" s="107"/>
      <c r="J191" s="107"/>
      <c r="K191" s="107"/>
      <c r="L191" s="107"/>
    </row>
    <row r="192" spans="1:12" s="10" customFormat="1">
      <c r="A192" s="1"/>
      <c r="B192" s="90" t="s">
        <v>216</v>
      </c>
      <c r="D192" s="10">
        <f ca="1">I235</f>
        <v>10.276623064207246</v>
      </c>
      <c r="E192" s="10">
        <f ca="1">I253</f>
        <v>8.7710000000000008</v>
      </c>
      <c r="F192" s="10">
        <f>J253</f>
        <v>0</v>
      </c>
      <c r="G192" s="10">
        <f ca="1">G286</f>
        <v>7.3329747040428366</v>
      </c>
      <c r="H192" s="10">
        <f>H286</f>
        <v>0</v>
      </c>
    </row>
    <row r="193" spans="1:18" s="11" customFormat="1">
      <c r="A193" s="1"/>
      <c r="B193" s="90" t="s">
        <v>217</v>
      </c>
      <c r="C193" s="11">
        <f ca="1">SUM(D193:L193)</f>
        <v>0</v>
      </c>
      <c r="D193" s="194">
        <f ca="1">ROUND(D191*D192/100,2)</f>
        <v>0</v>
      </c>
      <c r="E193" s="194">
        <f ca="1">ROUND(E191*E192/100,2)</f>
        <v>0</v>
      </c>
      <c r="F193" s="194">
        <f>ROUND(F191*F192/100,2)</f>
        <v>0</v>
      </c>
      <c r="G193" s="194">
        <f ca="1">ROUND(G191*G192/100,2)</f>
        <v>0</v>
      </c>
      <c r="H193" s="194">
        <f>ROUND(H191*H192/100,2)</f>
        <v>0</v>
      </c>
      <c r="I193" s="194"/>
      <c r="J193" s="194"/>
      <c r="K193" s="194"/>
      <c r="L193" s="194"/>
    </row>
    <row r="194" spans="1:18" s="11" customFormat="1">
      <c r="A194" s="1"/>
      <c r="B194" s="90"/>
    </row>
    <row r="195" spans="1:18" s="7" customFormat="1">
      <c r="A195" s="1"/>
      <c r="B195" s="90" t="s">
        <v>218</v>
      </c>
      <c r="C195" s="12">
        <f>IF(ROUND(C187+C191,3)&lt;&gt;ROUND(SUM(D195:L195),3),#VALUE!,SUM(D195:L195))</f>
        <v>-9617800</v>
      </c>
      <c r="D195" s="12">
        <f>D187+D191</f>
        <v>-4921431</v>
      </c>
      <c r="E195" s="12">
        <f>E187+E191</f>
        <v>-1087941</v>
      </c>
      <c r="F195" s="12">
        <f>F187+F191</f>
        <v>0</v>
      </c>
      <c r="G195" s="12">
        <f>G187+G191</f>
        <v>-3671502</v>
      </c>
      <c r="H195" s="12">
        <f>H187+H191</f>
        <v>0</v>
      </c>
      <c r="I195" s="12"/>
      <c r="J195" s="12"/>
      <c r="K195" s="12">
        <f>K187+K191</f>
        <v>63074</v>
      </c>
      <c r="L195" s="12"/>
    </row>
    <row r="196" spans="1:18" s="11" customFormat="1">
      <c r="A196" s="1"/>
      <c r="B196" s="90" t="s">
        <v>219</v>
      </c>
      <c r="C196" s="11">
        <f ca="1">IF(ROUND(C189+C193,3)&lt;&gt;ROUND(SUM(D196:L196),3),#VALUE!,SUM(D196:L196))</f>
        <v>-846159.98</v>
      </c>
      <c r="D196" s="11">
        <f ca="1">D189+D193</f>
        <v>-452185.1</v>
      </c>
      <c r="E196" s="11">
        <f ca="1">E189+E193</f>
        <v>-119362.58</v>
      </c>
      <c r="F196" s="11">
        <f>F189+F193</f>
        <v>0</v>
      </c>
      <c r="G196" s="11">
        <f ca="1">G189+G193</f>
        <v>-280051.32</v>
      </c>
      <c r="H196" s="11">
        <f>H189+H193</f>
        <v>0</v>
      </c>
      <c r="K196" s="11">
        <f ca="1">K189+K193</f>
        <v>5439.02</v>
      </c>
    </row>
    <row r="197" spans="1:18">
      <c r="B197" s="192" t="s">
        <v>47</v>
      </c>
      <c r="C197" s="11"/>
      <c r="D197" s="11"/>
      <c r="E197" s="11"/>
      <c r="F197" s="11"/>
      <c r="G197" s="11"/>
      <c r="H197" s="11"/>
      <c r="I197" s="11"/>
      <c r="J197" s="11"/>
      <c r="K197" s="11"/>
      <c r="L197" s="11"/>
    </row>
    <row r="198" spans="1:18" s="8" customFormat="1">
      <c r="A198" s="1"/>
      <c r="B198" s="90" t="s">
        <v>215</v>
      </c>
      <c r="C198" s="107">
        <f>SUM(D198:L198)</f>
        <v>-42754825</v>
      </c>
      <c r="D198" s="107">
        <f>D145</f>
        <v>-35858069</v>
      </c>
      <c r="E198" s="107">
        <f>E145</f>
        <v>-4109408</v>
      </c>
      <c r="F198" s="107">
        <f>F145</f>
        <v>0</v>
      </c>
      <c r="G198" s="107">
        <f>G145</f>
        <v>-2787348</v>
      </c>
      <c r="H198" s="107">
        <f>H145</f>
        <v>0</v>
      </c>
      <c r="I198" s="107"/>
      <c r="J198" s="107"/>
      <c r="K198" s="107"/>
      <c r="L198" s="107"/>
    </row>
    <row r="199" spans="1:18" s="10" customFormat="1">
      <c r="A199" s="1"/>
      <c r="B199" s="90" t="s">
        <v>216</v>
      </c>
      <c r="C199" s="18" t="s">
        <v>1</v>
      </c>
      <c r="D199" s="10">
        <f ca="1">I235</f>
        <v>10.276623064207246</v>
      </c>
      <c r="E199" s="10">
        <f ca="1">I253</f>
        <v>8.7710000000000008</v>
      </c>
      <c r="F199" s="10">
        <f>J253</f>
        <v>0</v>
      </c>
      <c r="G199" s="10">
        <f ca="1">G286</f>
        <v>7.3329747040428366</v>
      </c>
      <c r="H199" s="10">
        <f>H286</f>
        <v>0</v>
      </c>
    </row>
    <row r="200" spans="1:18" s="11" customFormat="1">
      <c r="A200" s="1"/>
      <c r="B200" s="91" t="s">
        <v>217</v>
      </c>
      <c r="C200" s="11">
        <f ca="1">SUM(D200:L200)</f>
        <v>-4249830.29</v>
      </c>
      <c r="D200" s="194">
        <f ca="1">ROUND(D198*D199/100,2)</f>
        <v>-3684998.59</v>
      </c>
      <c r="E200" s="194">
        <f ca="1">ROUND(E198*E199/100,2)</f>
        <v>-360436.18</v>
      </c>
      <c r="F200" s="194">
        <f>ROUND(F198*F199/100,2)</f>
        <v>0</v>
      </c>
      <c r="G200" s="194">
        <f ca="1">ROUND(G198*G199/100,2)</f>
        <v>-204395.51999999999</v>
      </c>
      <c r="H200" s="194">
        <f>ROUND(H198*H199/100,2)</f>
        <v>0</v>
      </c>
      <c r="I200" s="194"/>
      <c r="J200" s="194"/>
      <c r="K200" s="194"/>
      <c r="L200" s="194"/>
    </row>
    <row r="201" spans="1:18" s="11" customFormat="1">
      <c r="A201" s="1"/>
      <c r="C201" s="93"/>
      <c r="D201" s="93"/>
      <c r="E201" s="93"/>
      <c r="F201" s="93"/>
      <c r="G201" s="93"/>
      <c r="H201" s="93"/>
      <c r="I201" s="93"/>
      <c r="J201" s="93"/>
      <c r="K201" s="93"/>
      <c r="L201" s="93"/>
    </row>
    <row r="202" spans="1:18">
      <c r="B202" s="5" t="s">
        <v>48</v>
      </c>
      <c r="C202" s="194">
        <f ca="1">IF(ROUND(SUM(D202:L202),3)&lt;&gt;ROUND(C196+C200,3),#VALUE!,SUM(D202:L202))</f>
        <v>-5095990.2700000005</v>
      </c>
      <c r="D202" s="194">
        <f ca="1">D200+D196</f>
        <v>-4137183.69</v>
      </c>
      <c r="E202" s="194">
        <f ca="1">E200+E196</f>
        <v>-479798.76</v>
      </c>
      <c r="F202" s="194">
        <f>F200+F196</f>
        <v>0</v>
      </c>
      <c r="G202" s="194">
        <f ca="1">G200+G196</f>
        <v>-484446.83999999997</v>
      </c>
      <c r="H202" s="194">
        <f>H200+H196</f>
        <v>0</v>
      </c>
      <c r="I202" s="194"/>
      <c r="J202" s="194"/>
      <c r="K202" s="194">
        <f ca="1">K200+K196</f>
        <v>5439.02</v>
      </c>
      <c r="L202" s="194"/>
    </row>
    <row r="203" spans="1:18">
      <c r="B203" s="5" t="str">
        <f>"TOTAL "&amp;UPPER(CHOOSE(Base1_Billing2,$Q$9,$Q$10))&amp;" REVENUE"</f>
        <v>TOTAL BASE TARIFF REVENUE</v>
      </c>
      <c r="C203" s="12">
        <f ca="1">SUM(D203:L203)</f>
        <v>549253749.98229194</v>
      </c>
      <c r="D203" s="12">
        <f t="shared" ref="D203:L203" ca="1" si="131">D183</f>
        <v>247421675.11000001</v>
      </c>
      <c r="E203" s="12">
        <f t="shared" ca="1" si="131"/>
        <v>79705461.460000008</v>
      </c>
      <c r="F203" s="12">
        <f t="shared" ref="F203" ca="1" si="132">F183</f>
        <v>0</v>
      </c>
      <c r="G203" s="12">
        <f t="shared" ca="1" si="131"/>
        <v>136174346.53</v>
      </c>
      <c r="H203" s="12">
        <f t="shared" ref="H203" ca="1" si="133">H183</f>
        <v>0</v>
      </c>
      <c r="I203" s="12">
        <f t="shared" ca="1" si="131"/>
        <v>45106846.983800001</v>
      </c>
      <c r="J203" s="12">
        <f t="shared" ref="J203" ca="1" si="134">J183</f>
        <v>21358886.016499996</v>
      </c>
      <c r="K203" s="12">
        <f t="shared" ca="1" si="131"/>
        <v>12624427.359999999</v>
      </c>
      <c r="L203" s="12">
        <f t="shared" si="131"/>
        <v>6862106.5219919989</v>
      </c>
    </row>
    <row r="204" spans="1:18">
      <c r="B204" s="5" t="s">
        <v>51</v>
      </c>
      <c r="C204" s="194">
        <f ca="1">IF(ROUND(SUM(D204:L204),3)&lt;&gt;ROUND(SUM(C202:C203),3),#VALUE!,SUM(D204:L204))</f>
        <v>544157759.71229196</v>
      </c>
      <c r="D204" s="194">
        <f t="shared" ref="D204:L204" ca="1" si="135">D202+D203</f>
        <v>243284491.42000002</v>
      </c>
      <c r="E204" s="194">
        <f t="shared" ca="1" si="135"/>
        <v>79225662.700000003</v>
      </c>
      <c r="F204" s="194">
        <f t="shared" ref="F204" ca="1" si="136">F202+F203</f>
        <v>0</v>
      </c>
      <c r="G204" s="194">
        <f t="shared" ca="1" si="135"/>
        <v>135689899.69</v>
      </c>
      <c r="H204" s="194">
        <f t="shared" ref="H204" ca="1" si="137">H202+H203</f>
        <v>0</v>
      </c>
      <c r="I204" s="194">
        <f ca="1">I202+I203</f>
        <v>45106846.983800001</v>
      </c>
      <c r="J204" s="194">
        <f ca="1">J202+J203</f>
        <v>21358886.016499996</v>
      </c>
      <c r="K204" s="194">
        <f t="shared" ca="1" si="135"/>
        <v>12629866.379999999</v>
      </c>
      <c r="L204" s="194">
        <f t="shared" si="135"/>
        <v>6862106.5219919989</v>
      </c>
      <c r="O204" s="11"/>
      <c r="R204" s="11"/>
    </row>
    <row r="205" spans="1:18">
      <c r="B205" s="5" t="s">
        <v>49</v>
      </c>
      <c r="C205" s="11">
        <f ca="1">SUM(D205:L205)</f>
        <v>530578891.65042275</v>
      </c>
      <c r="D205" s="11">
        <f t="shared" ref="D205:L205" ca="1" si="138">D152</f>
        <v>232554038.77000001</v>
      </c>
      <c r="E205" s="11">
        <f t="shared" ca="1" si="138"/>
        <v>77795989.848461524</v>
      </c>
      <c r="F205" s="11">
        <f t="shared" ref="F205" ca="1" si="139">F152</f>
        <v>0</v>
      </c>
      <c r="G205" s="11">
        <f t="shared" ca="1" si="138"/>
        <v>133265833.32076925</v>
      </c>
      <c r="H205" s="11">
        <f t="shared" ref="H205" ca="1" si="140">H152</f>
        <v>0</v>
      </c>
      <c r="I205" s="11">
        <f ca="1">I152</f>
        <v>43738714.219700001</v>
      </c>
      <c r="J205" s="11">
        <f ca="1">J152</f>
        <v>24366310.439499997</v>
      </c>
      <c r="K205" s="11">
        <f t="shared" ca="1" si="138"/>
        <v>12229340.050000001</v>
      </c>
      <c r="L205" s="11">
        <f t="shared" si="138"/>
        <v>6628665.0019919993</v>
      </c>
      <c r="O205" s="11"/>
      <c r="R205" s="11"/>
    </row>
    <row r="206" spans="1:18">
      <c r="C206" s="195"/>
      <c r="D206" s="195"/>
      <c r="E206" s="195"/>
      <c r="F206" s="195"/>
      <c r="G206" s="195"/>
      <c r="H206" s="195"/>
      <c r="I206" s="195"/>
      <c r="J206" s="195"/>
      <c r="K206" s="195"/>
      <c r="L206" s="195"/>
    </row>
    <row r="207" spans="1:18" s="14" customFormat="1">
      <c r="A207" s="13"/>
      <c r="B207" s="14" t="s">
        <v>52</v>
      </c>
      <c r="C207" s="15">
        <f ca="1">SUM(D207:L207)</f>
        <v>13578868.06186923</v>
      </c>
      <c r="D207" s="15">
        <f t="shared" ref="D207:L207" ca="1" si="141">D204-D205</f>
        <v>10730452.650000006</v>
      </c>
      <c r="E207" s="15">
        <f t="shared" ca="1" si="141"/>
        <v>1429672.8515384793</v>
      </c>
      <c r="F207" s="15">
        <f t="shared" ref="F207" ca="1" si="142">F204-F205</f>
        <v>0</v>
      </c>
      <c r="G207" s="15">
        <f t="shared" ca="1" si="141"/>
        <v>2424066.3692307472</v>
      </c>
      <c r="H207" s="15">
        <f t="shared" ref="H207" ca="1" si="143">H204-H205</f>
        <v>0</v>
      </c>
      <c r="I207" s="15">
        <f t="shared" ca="1" si="141"/>
        <v>1368132.7641000003</v>
      </c>
      <c r="J207" s="15">
        <f t="shared" ref="J207" ca="1" si="144">J204-J205</f>
        <v>-3007424.4230000004</v>
      </c>
      <c r="K207" s="15">
        <f t="shared" ca="1" si="141"/>
        <v>400526.32999999821</v>
      </c>
      <c r="L207" s="15">
        <f t="shared" si="141"/>
        <v>233441.51999999955</v>
      </c>
      <c r="O207" s="15"/>
      <c r="R207" s="15"/>
    </row>
    <row r="208" spans="1:18" s="14" customFormat="1">
      <c r="A208" s="13"/>
      <c r="B208" s="14" t="s">
        <v>53</v>
      </c>
      <c r="C208" s="16">
        <f t="shared" ref="C208:K208" ca="1" si="145">C207/C205</f>
        <v>2.5592552352828625E-2</v>
      </c>
      <c r="D208" s="16">
        <f ca="1">D207/D205</f>
        <v>4.6141760025989534E-2</v>
      </c>
      <c r="E208" s="16">
        <f t="shared" ca="1" si="145"/>
        <v>1.8377204973204057E-2</v>
      </c>
      <c r="F208" s="16" t="e">
        <f t="shared" ref="F208" ca="1" si="146">F207/F205</f>
        <v>#DIV/0!</v>
      </c>
      <c r="G208" s="16">
        <f t="shared" ca="1" si="145"/>
        <v>1.8189706309763951E-2</v>
      </c>
      <c r="H208" s="16" t="e">
        <f t="shared" ref="H208" ca="1" si="147">H207/H205</f>
        <v>#DIV/0!</v>
      </c>
      <c r="I208" s="16">
        <f t="shared" ca="1" si="145"/>
        <v>3.1279674963188349E-2</v>
      </c>
      <c r="J208" s="16">
        <f t="shared" ref="J208" ca="1" si="148">J207/J205</f>
        <v>-0.12342551534288478</v>
      </c>
      <c r="K208" s="16">
        <f t="shared" ca="1" si="145"/>
        <v>3.2751262812419565E-2</v>
      </c>
      <c r="L208" s="16">
        <f>L207/L205</f>
        <v>3.5216973542915107E-2</v>
      </c>
      <c r="M208" s="16"/>
      <c r="O208" s="16"/>
      <c r="R208" s="15"/>
    </row>
    <row r="209" spans="1:15" s="2" customFormat="1" ht="12.75">
      <c r="A209" s="1"/>
      <c r="B209" s="287" t="str">
        <f>IF(Base1_Billing2=2,"Pres and Prop Revenues may be incorrect due to Sch 59--for example all of Sch 11 gets benefit of Sch 59 but it s/only be Sch 12; see Billing Rev on Exhibit page for fix","")</f>
        <v/>
      </c>
      <c r="C209" s="17"/>
      <c r="D209" s="315"/>
      <c r="E209" s="315"/>
      <c r="F209" s="315"/>
      <c r="G209" s="315"/>
      <c r="H209" s="315"/>
      <c r="I209" s="315"/>
      <c r="J209" s="315"/>
      <c r="K209" s="315"/>
      <c r="L209" s="315"/>
    </row>
    <row r="210" spans="1:15" s="2" customFormat="1" ht="12.75">
      <c r="A210" s="1"/>
      <c r="C210" s="229"/>
      <c r="D210"/>
      <c r="E210" s="219"/>
      <c r="F210" s="219"/>
      <c r="G210" s="17"/>
      <c r="H210" s="17"/>
      <c r="I210" s="17"/>
      <c r="J210" s="17"/>
      <c r="K210" s="17"/>
      <c r="L210" s="17"/>
    </row>
    <row r="211" spans="1:15" s="2" customFormat="1" ht="12.75">
      <c r="A211" s="1"/>
      <c r="C211" s="332"/>
      <c r="D211" s="332"/>
      <c r="E211" s="219"/>
      <c r="F211" s="219"/>
      <c r="G211" s="17"/>
      <c r="H211" s="17"/>
      <c r="I211" s="17"/>
      <c r="J211" s="17"/>
      <c r="K211" s="17"/>
      <c r="L211" s="17"/>
    </row>
    <row r="212" spans="1:15" s="2" customFormat="1" ht="12.75">
      <c r="A212" s="1"/>
      <c r="C212" s="332"/>
      <c r="D212" s="332"/>
      <c r="E212" s="219"/>
      <c r="F212" s="219"/>
      <c r="G212" s="17"/>
      <c r="H212" s="17"/>
      <c r="I212" s="17"/>
      <c r="J212" s="17"/>
      <c r="K212" s="17"/>
      <c r="L212" s="17"/>
    </row>
    <row r="213" spans="1:15" s="2" customFormat="1" ht="12.75">
      <c r="A213" s="1"/>
      <c r="C213" s="332"/>
      <c r="D213" s="332"/>
      <c r="E213" s="219"/>
      <c r="F213" s="219"/>
      <c r="G213" s="17"/>
      <c r="H213" s="17"/>
      <c r="I213" s="17"/>
      <c r="J213" s="17"/>
      <c r="K213" s="17"/>
      <c r="L213" s="17"/>
    </row>
    <row r="214" spans="1:15" s="2" customFormat="1" ht="12.75">
      <c r="A214" s="1"/>
      <c r="C214" s="332"/>
      <c r="D214" s="332"/>
      <c r="E214" s="219"/>
      <c r="F214" s="219"/>
      <c r="G214" s="17"/>
      <c r="H214" s="17"/>
      <c r="I214" s="17"/>
      <c r="J214" s="17"/>
      <c r="K214" s="17"/>
      <c r="L214" s="17"/>
    </row>
    <row r="215" spans="1:15" s="2" customFormat="1">
      <c r="A215" s="1"/>
      <c r="C215" s="17"/>
      <c r="D215" s="17"/>
      <c r="E215" s="17"/>
      <c r="F215" s="17"/>
      <c r="G215" s="17"/>
      <c r="H215" s="17"/>
      <c r="I215" s="17"/>
      <c r="J215" s="17"/>
      <c r="K215" s="17"/>
      <c r="L215" s="17"/>
    </row>
    <row r="216" spans="1:15" s="2" customFormat="1">
      <c r="A216" s="1" t="s">
        <v>0</v>
      </c>
      <c r="C216" s="2" t="s">
        <v>1</v>
      </c>
      <c r="D216" s="2" t="s">
        <v>9</v>
      </c>
      <c r="E216" s="2" t="s">
        <v>9</v>
      </c>
      <c r="F216" s="2" t="s">
        <v>54</v>
      </c>
      <c r="G216" s="2" t="s">
        <v>54</v>
      </c>
      <c r="H216" s="2" t="s">
        <v>55</v>
      </c>
      <c r="I216" s="2" t="s">
        <v>55</v>
      </c>
    </row>
    <row r="217" spans="1:15" s="2" customFormat="1">
      <c r="A217" s="1" t="s">
        <v>8</v>
      </c>
      <c r="C217" s="3" t="s">
        <v>56</v>
      </c>
      <c r="D217" s="3" t="s">
        <v>57</v>
      </c>
      <c r="E217" s="3" t="s">
        <v>58</v>
      </c>
      <c r="F217" s="3" t="s">
        <v>57</v>
      </c>
      <c r="G217" s="3" t="s">
        <v>58</v>
      </c>
      <c r="H217" s="3" t="s">
        <v>57</v>
      </c>
      <c r="I217" s="3" t="s">
        <v>58</v>
      </c>
    </row>
    <row r="219" spans="1:15">
      <c r="B219" s="110" t="s">
        <v>59</v>
      </c>
    </row>
    <row r="220" spans="1:15">
      <c r="B220" s="14" t="s">
        <v>10</v>
      </c>
    </row>
    <row r="221" spans="1:15">
      <c r="B221" s="88" t="s">
        <v>707</v>
      </c>
      <c r="C221" s="10">
        <f ca="1">D62</f>
        <v>8.1029999999999998</v>
      </c>
      <c r="D221" s="12">
        <f>D8</f>
        <v>1632639774.4875689</v>
      </c>
      <c r="E221" s="11">
        <f ca="1">C221*D221/100</f>
        <v>132292800.9267277</v>
      </c>
      <c r="F221" s="12">
        <f>MIN(D221,F225)</f>
        <v>1508841792</v>
      </c>
      <c r="G221" s="11">
        <f ca="1">F221*C221/100</f>
        <v>122261450.40576001</v>
      </c>
      <c r="H221" s="12">
        <f>D221-F221</f>
        <v>123797982.48756886</v>
      </c>
      <c r="I221" s="11">
        <f ca="1">H221*C221/100</f>
        <v>10031350.520967703</v>
      </c>
      <c r="L221" s="436">
        <f>H221/$H$225</f>
        <v>0.13348596207760513</v>
      </c>
      <c r="N221" s="438">
        <f>L221*$D$145</f>
        <v>-4786548.8387101479</v>
      </c>
      <c r="O221" s="437">
        <f ca="1">N221*(C221/100)</f>
        <v>-387854.05240068323</v>
      </c>
    </row>
    <row r="222" spans="1:15">
      <c r="B222" s="88" t="s">
        <v>708</v>
      </c>
      <c r="C222" s="10">
        <f ca="1">D63</f>
        <v>9.4269999999999996</v>
      </c>
      <c r="D222" s="12">
        <f>D9</f>
        <v>504552667.9882521</v>
      </c>
      <c r="E222" s="11">
        <f ca="1">C222*D222/100</f>
        <v>47564180.01125253</v>
      </c>
      <c r="F222" s="12">
        <f>MIN(F225-F221,D222)</f>
        <v>0</v>
      </c>
      <c r="G222" s="11">
        <f ca="1">F222*C222/100</f>
        <v>0</v>
      </c>
      <c r="H222" s="12">
        <f>D222-F222</f>
        <v>504552667.9882521</v>
      </c>
      <c r="I222" s="11">
        <f ca="1">H222*C222/100</f>
        <v>47564180.01125253</v>
      </c>
      <c r="L222" s="436">
        <f>H222/$H$225</f>
        <v>0.54403712364211843</v>
      </c>
      <c r="N222" s="438">
        <f>L222*$D$145</f>
        <v>-19508120.718120612</v>
      </c>
      <c r="O222" s="437">
        <f ca="1">N222*(C222/100)</f>
        <v>-1839030.5400972299</v>
      </c>
    </row>
    <row r="223" spans="1:15">
      <c r="B223" s="88" t="s">
        <v>709</v>
      </c>
      <c r="C223" s="10">
        <f ca="1">D64</f>
        <v>11.053000000000001</v>
      </c>
      <c r="D223" s="12">
        <f>D10</f>
        <v>299072582.35517937</v>
      </c>
      <c r="E223" s="11">
        <f ca="1">C223*D223/100</f>
        <v>33056492.527717978</v>
      </c>
      <c r="F223" s="12">
        <f>MIN(F225-F221-F222,D223)</f>
        <v>0</v>
      </c>
      <c r="G223" s="11">
        <f ca="1">F223*C223/100</f>
        <v>0</v>
      </c>
      <c r="H223" s="12">
        <f>D223-F223</f>
        <v>299072582.35517937</v>
      </c>
      <c r="I223" s="11">
        <f ca="1">H223*C223/100</f>
        <v>33056492.527717978</v>
      </c>
      <c r="L223" s="436">
        <f>H223/$H$225</f>
        <v>0.32247691428027647</v>
      </c>
      <c r="N223" s="438">
        <f>L223*$D$145</f>
        <v>-11563399.44316924</v>
      </c>
      <c r="O223" s="437">
        <f ca="1">N223*(C223/100)</f>
        <v>-1278102.5404534962</v>
      </c>
    </row>
    <row r="224" spans="1:15">
      <c r="D224" s="106"/>
      <c r="E224" s="198"/>
      <c r="F224" s="106"/>
      <c r="G224" s="198"/>
      <c r="H224" s="106"/>
      <c r="I224" s="198"/>
      <c r="N224" s="438">
        <f>SUM(N221:N223)</f>
        <v>-35858069</v>
      </c>
      <c r="O224" s="437">
        <f ca="1">SUM(O221:O223)</f>
        <v>-3504987.1329514096</v>
      </c>
    </row>
    <row r="225" spans="2:9">
      <c r="B225" s="5" t="s">
        <v>9</v>
      </c>
      <c r="D225" s="12">
        <f t="shared" ref="D225:I225" si="149">D221+D222+D223</f>
        <v>2436265024.8310003</v>
      </c>
      <c r="E225" s="11">
        <f t="shared" ca="1" si="149"/>
        <v>212913473.46569821</v>
      </c>
      <c r="F225" s="670">
        <f>576*D25</f>
        <v>1508841792</v>
      </c>
      <c r="G225" s="11">
        <f t="shared" ca="1" si="149"/>
        <v>122261450.40576001</v>
      </c>
      <c r="H225" s="12">
        <f t="shared" si="149"/>
        <v>927423232.83100033</v>
      </c>
      <c r="I225" s="11">
        <f t="shared" ca="1" si="149"/>
        <v>90652023.059938207</v>
      </c>
    </row>
    <row r="226" spans="2:9">
      <c r="B226" s="5" t="s">
        <v>60</v>
      </c>
      <c r="D226" s="12"/>
      <c r="E226" s="10">
        <f ca="1">E225/D225*100</f>
        <v>8.7393395749490619</v>
      </c>
      <c r="F226" s="10"/>
      <c r="G226" s="10">
        <f ca="1">G225/F225*100</f>
        <v>8.1029999999999998</v>
      </c>
      <c r="H226" s="12"/>
      <c r="I226" s="10">
        <f ca="1">I225/H225*100</f>
        <v>9.7746120488289812</v>
      </c>
    </row>
    <row r="227" spans="2:9">
      <c r="D227" s="12"/>
      <c r="F227" s="12"/>
      <c r="H227" s="12"/>
    </row>
    <row r="228" spans="2:9">
      <c r="B228" s="110" t="s">
        <v>61</v>
      </c>
      <c r="D228" s="12"/>
      <c r="F228" s="12"/>
      <c r="H228" s="12"/>
    </row>
    <row r="229" spans="2:9">
      <c r="B229" s="14" t="s">
        <v>10</v>
      </c>
      <c r="D229" s="12"/>
      <c r="F229" s="12"/>
      <c r="H229" s="12"/>
    </row>
    <row r="230" spans="2:9">
      <c r="B230" s="88" t="s">
        <v>707</v>
      </c>
      <c r="C230" s="10">
        <f ca="1">D79</f>
        <v>8.5190000000000001</v>
      </c>
      <c r="D230" s="12">
        <f>D221</f>
        <v>1632639774.4875689</v>
      </c>
      <c r="E230" s="11">
        <f ca="1">C230*D230/100</f>
        <v>139084582.388596</v>
      </c>
      <c r="F230" s="12">
        <f>MIN(D230,F234)</f>
        <v>1508841792</v>
      </c>
      <c r="G230" s="11">
        <f ca="1">F230*C230/100</f>
        <v>128538232.26048</v>
      </c>
      <c r="H230" s="12">
        <f>H221</f>
        <v>123797982.48756886</v>
      </c>
      <c r="I230" s="11">
        <f ca="1">H230*C230/100</f>
        <v>10546350.128115991</v>
      </c>
    </row>
    <row r="231" spans="2:9">
      <c r="B231" s="88" t="s">
        <v>708</v>
      </c>
      <c r="C231" s="10">
        <f ca="1">D80</f>
        <v>9.9109999999999996</v>
      </c>
      <c r="D231" s="12">
        <f>D222</f>
        <v>504552667.9882521</v>
      </c>
      <c r="E231" s="11">
        <f ca="1">C231*D231/100</f>
        <v>50006214.924315661</v>
      </c>
      <c r="F231" s="12">
        <f>MIN(F234-F230,D231)</f>
        <v>0</v>
      </c>
      <c r="G231" s="11">
        <f ca="1">F231*C231/100</f>
        <v>0</v>
      </c>
      <c r="H231" s="12">
        <f>H222</f>
        <v>504552667.9882521</v>
      </c>
      <c r="I231" s="11">
        <f ca="1">H231*C231/100</f>
        <v>50006214.924315661</v>
      </c>
    </row>
    <row r="232" spans="2:9">
      <c r="B232" s="88" t="s">
        <v>710</v>
      </c>
      <c r="C232" s="10">
        <f ca="1">D81</f>
        <v>11.621</v>
      </c>
      <c r="D232" s="12">
        <f>D223</f>
        <v>299072582.35517937</v>
      </c>
      <c r="E232" s="11">
        <f ca="1">C232*D232/100</f>
        <v>34755224.795495398</v>
      </c>
      <c r="F232" s="12">
        <f>MIN(F234-F230-F231,D232)</f>
        <v>0</v>
      </c>
      <c r="G232" s="11">
        <f ca="1">F232*C232/100</f>
        <v>0</v>
      </c>
      <c r="H232" s="12">
        <f>H223</f>
        <v>299072582.35517937</v>
      </c>
      <c r="I232" s="11">
        <f ca="1">H232*C232/100</f>
        <v>34755224.795495398</v>
      </c>
    </row>
    <row r="233" spans="2:9">
      <c r="D233" s="106"/>
      <c r="E233" s="198"/>
      <c r="F233" s="106"/>
      <c r="G233" s="198"/>
      <c r="H233" s="106"/>
      <c r="I233" s="198"/>
    </row>
    <row r="234" spans="2:9">
      <c r="B234" s="5" t="s">
        <v>9</v>
      </c>
      <c r="D234" s="12">
        <f t="shared" ref="D234:I234" si="150">D230+D231+D232</f>
        <v>2436265024.8310003</v>
      </c>
      <c r="E234" s="11">
        <f t="shared" ca="1" si="150"/>
        <v>223846022.10840705</v>
      </c>
      <c r="F234" s="12">
        <f>F225</f>
        <v>1508841792</v>
      </c>
      <c r="G234" s="11">
        <f t="shared" ca="1" si="150"/>
        <v>128538232.26048</v>
      </c>
      <c r="H234" s="12">
        <f t="shared" si="150"/>
        <v>927423232.83100033</v>
      </c>
      <c r="I234" s="11">
        <f t="shared" ca="1" si="150"/>
        <v>95307789.847927049</v>
      </c>
    </row>
    <row r="235" spans="2:9">
      <c r="B235" s="5" t="s">
        <v>60</v>
      </c>
      <c r="D235" s="12"/>
      <c r="E235" s="10">
        <f ca="1">E234/D234*100</f>
        <v>9.1880817491904381</v>
      </c>
      <c r="F235" s="10"/>
      <c r="G235" s="10">
        <f ca="1">G234/F234*100</f>
        <v>8.5190000000000001</v>
      </c>
      <c r="H235" s="12"/>
      <c r="I235" s="10">
        <f ca="1">I234/H234*100</f>
        <v>10.276623064207246</v>
      </c>
    </row>
    <row r="236" spans="2:9">
      <c r="D236" s="12"/>
      <c r="F236" s="12"/>
      <c r="G236" s="10"/>
      <c r="H236" s="12"/>
      <c r="I236" s="10"/>
    </row>
    <row r="237" spans="2:9">
      <c r="D237" s="12"/>
      <c r="F237" s="12"/>
      <c r="H237" s="12"/>
    </row>
    <row r="238" spans="2:9">
      <c r="D238" s="12"/>
      <c r="F238" s="12"/>
      <c r="H238" s="12"/>
    </row>
    <row r="239" spans="2:9">
      <c r="B239" s="110" t="s">
        <v>59</v>
      </c>
      <c r="D239" s="12"/>
      <c r="F239" s="12"/>
      <c r="H239" s="12"/>
    </row>
    <row r="240" spans="2:9">
      <c r="B240" s="14" t="s">
        <v>62</v>
      </c>
      <c r="D240" s="12"/>
      <c r="F240" s="12"/>
      <c r="H240" s="12"/>
    </row>
    <row r="241" spans="2:9">
      <c r="B241" s="88" t="s">
        <v>239</v>
      </c>
      <c r="C241" s="10">
        <f ca="1">E62</f>
        <v>11.686</v>
      </c>
      <c r="D241" s="12">
        <f>E8</f>
        <v>435979118.38983351</v>
      </c>
      <c r="E241" s="11">
        <f ca="1">C241*D241/100</f>
        <v>50948519.775035948</v>
      </c>
      <c r="F241" s="12">
        <f>MIN(D241,F244)</f>
        <v>435979118.38983351</v>
      </c>
      <c r="G241" s="11">
        <f ca="1">F241*C241/100</f>
        <v>50948519.775035948</v>
      </c>
      <c r="H241" s="12">
        <f>D241-F241</f>
        <v>0</v>
      </c>
      <c r="I241" s="11">
        <f ca="1">H241*C241/100</f>
        <v>0</v>
      </c>
    </row>
    <row r="242" spans="2:9">
      <c r="B242" s="88" t="s">
        <v>240</v>
      </c>
      <c r="C242" s="10">
        <f ca="1">E63</f>
        <v>8.5879999999999992</v>
      </c>
      <c r="D242" s="12">
        <f>E9</f>
        <v>191116384.14616641</v>
      </c>
      <c r="E242" s="11">
        <f ca="1">C242*D242/100</f>
        <v>16413075.070472769</v>
      </c>
      <c r="F242" s="12">
        <f>MIN(F244-F241,D242)</f>
        <v>138009346.61016649</v>
      </c>
      <c r="G242" s="11">
        <f ca="1">F242*C242/100</f>
        <v>11852242.686881097</v>
      </c>
      <c r="H242" s="12">
        <f>D242-F242</f>
        <v>53107037.535999924</v>
      </c>
      <c r="I242" s="11">
        <f ca="1">H242*C242/100</f>
        <v>4560832.3835916724</v>
      </c>
    </row>
    <row r="243" spans="2:9">
      <c r="D243" s="106"/>
      <c r="E243" s="198"/>
      <c r="F243" s="106"/>
      <c r="G243" s="198"/>
      <c r="H243" s="106"/>
      <c r="I243" s="198"/>
    </row>
    <row r="244" spans="2:9">
      <c r="B244" s="5" t="s">
        <v>9</v>
      </c>
      <c r="D244" s="12">
        <f t="shared" ref="D244:I244" si="151">D241+D242</f>
        <v>627095502.53599989</v>
      </c>
      <c r="E244" s="11">
        <f t="shared" ca="1" si="151"/>
        <v>67361594.845508724</v>
      </c>
      <c r="F244" s="670">
        <f>1465*E25</f>
        <v>573988465</v>
      </c>
      <c r="G244" s="11">
        <f t="shared" ca="1" si="151"/>
        <v>62800762.461917043</v>
      </c>
      <c r="H244" s="12">
        <f t="shared" si="151"/>
        <v>53107037.535999924</v>
      </c>
      <c r="I244" s="11">
        <f t="shared" ca="1" si="151"/>
        <v>4560832.3835916724</v>
      </c>
    </row>
    <row r="245" spans="2:9">
      <c r="B245" s="5" t="s">
        <v>60</v>
      </c>
      <c r="D245" s="12"/>
      <c r="E245" s="10">
        <f ca="1">E244/D244*100</f>
        <v>10.741839890909068</v>
      </c>
      <c r="F245" s="10"/>
      <c r="G245" s="10">
        <f ca="1">G244/F244*100</f>
        <v>10.941119254359414</v>
      </c>
      <c r="H245" s="12"/>
      <c r="I245" s="10">
        <f ca="1">I244/H244*100</f>
        <v>8.5879999999999992</v>
      </c>
    </row>
    <row r="246" spans="2:9">
      <c r="D246" s="12"/>
      <c r="F246" s="12"/>
      <c r="G246" s="10"/>
      <c r="H246" s="12"/>
      <c r="I246" s="10"/>
    </row>
    <row r="247" spans="2:9">
      <c r="B247" s="110" t="s">
        <v>61</v>
      </c>
      <c r="D247" s="12"/>
      <c r="F247" s="12"/>
      <c r="H247" s="12"/>
    </row>
    <row r="248" spans="2:9">
      <c r="B248" s="14" t="s">
        <v>62</v>
      </c>
      <c r="D248" s="12"/>
      <c r="F248" s="12"/>
      <c r="H248" s="12"/>
    </row>
    <row r="249" spans="2:9">
      <c r="B249" s="88" t="s">
        <v>239</v>
      </c>
      <c r="C249" s="10">
        <f ca="1">E79</f>
        <v>11.936</v>
      </c>
      <c r="D249" s="12">
        <f>E31</f>
        <v>435979118.38983351</v>
      </c>
      <c r="E249" s="11">
        <f ca="1">C249*D249/100</f>
        <v>52038467.571010523</v>
      </c>
      <c r="F249" s="12">
        <f>MIN(D249,F252)</f>
        <v>435979118.38983351</v>
      </c>
      <c r="G249" s="11">
        <f ca="1">F249*C249/100</f>
        <v>52038467.571010523</v>
      </c>
      <c r="H249" s="12">
        <f>D249-F249</f>
        <v>0</v>
      </c>
      <c r="I249" s="11">
        <f ca="1">H249*C249/100</f>
        <v>0</v>
      </c>
    </row>
    <row r="250" spans="2:9">
      <c r="B250" s="88" t="s">
        <v>240</v>
      </c>
      <c r="C250" s="10">
        <f ca="1">E80</f>
        <v>8.7710000000000008</v>
      </c>
      <c r="D250" s="12">
        <f>E32</f>
        <v>191116384.14616641</v>
      </c>
      <c r="E250" s="11">
        <f ca="1">C250*D250/100</f>
        <v>16762818.053460257</v>
      </c>
      <c r="F250" s="12">
        <f>MIN(F252-F249,D250)</f>
        <v>138009346.61016649</v>
      </c>
      <c r="G250" s="11">
        <f ca="1">F250*C250/100</f>
        <v>12104799.791177705</v>
      </c>
      <c r="H250" s="12">
        <f>D250-F250</f>
        <v>53107037.535999924</v>
      </c>
      <c r="I250" s="11">
        <f ca="1">H250*C250/100</f>
        <v>4658018.2622825541</v>
      </c>
    </row>
    <row r="251" spans="2:9">
      <c r="D251" s="106"/>
      <c r="E251" s="198"/>
      <c r="F251" s="106"/>
      <c r="G251" s="198"/>
      <c r="H251" s="106"/>
      <c r="I251" s="198"/>
    </row>
    <row r="252" spans="2:9">
      <c r="B252" s="5" t="s">
        <v>9</v>
      </c>
      <c r="D252" s="12">
        <f t="shared" ref="D252:I252" si="152">D249+D250</f>
        <v>627095502.53599989</v>
      </c>
      <c r="E252" s="11">
        <f t="shared" ca="1" si="152"/>
        <v>68801285.624470785</v>
      </c>
      <c r="F252" s="12">
        <f>F244</f>
        <v>573988465</v>
      </c>
      <c r="G252" s="11">
        <f t="shared" ca="1" si="152"/>
        <v>64143267.362188227</v>
      </c>
      <c r="H252" s="12">
        <f t="shared" si="152"/>
        <v>53107037.535999924</v>
      </c>
      <c r="I252" s="11">
        <f t="shared" ca="1" si="152"/>
        <v>4658018.2622825541</v>
      </c>
    </row>
    <row r="253" spans="2:9">
      <c r="B253" s="5" t="s">
        <v>60</v>
      </c>
      <c r="E253" s="10">
        <f ca="1">E252/D252*100</f>
        <v>10.971420676154679</v>
      </c>
      <c r="F253" s="10"/>
      <c r="G253" s="10">
        <f ca="1">G252/F252*100</f>
        <v>11.175009825709342</v>
      </c>
      <c r="I253" s="10">
        <f ca="1">I252/H252*100</f>
        <v>8.7710000000000008</v>
      </c>
    </row>
    <row r="261" spans="1:9">
      <c r="B261" s="334" t="s">
        <v>859</v>
      </c>
      <c r="C261" s="334"/>
      <c r="D261" s="334"/>
      <c r="E261" s="334"/>
      <c r="F261" s="334"/>
    </row>
    <row r="262" spans="1:9">
      <c r="B262" s="334" t="str">
        <f>"663 X "&amp;TEXT(D25,"#,##0")&amp;" = "&amp;TEXT(F225,"#,##0")</f>
        <v>663 X 2,619,517 = 1,508,841,792</v>
      </c>
    </row>
    <row r="263" spans="1:9">
      <c r="B263" s="334" t="str">
        <f>"Total Base Load for Sch. 11 = 1,338 X "&amp;TEXT(E25,"#,##0")&amp;" = "&amp;TEXT(F244,"#,##0")</f>
        <v>Total Base Load for Sch. 11 = 1,338 X 391,801 = 573,988,465</v>
      </c>
    </row>
    <row r="264" spans="1:9" s="2" customFormat="1" ht="12.75">
      <c r="A264" s="1"/>
      <c r="B264" s="287" t="str">
        <f>IF(Base1_Billing2=2,"Pres and Prop Revenues may be incorrect due to Sch 59--for example all of Sch 11 gets benefit of Sch 59 but it s/only be Sch 12; see Billing Rev on Exhibit page for fix","")</f>
        <v/>
      </c>
      <c r="C264" s="17"/>
      <c r="D264"/>
      <c r="E264"/>
      <c r="F264"/>
      <c r="G264"/>
      <c r="H264"/>
      <c r="I264"/>
    </row>
    <row r="265" spans="1:9" s="2" customFormat="1" ht="12.75">
      <c r="A265" s="1"/>
      <c r="C265"/>
      <c r="D265"/>
      <c r="E265" s="219"/>
      <c r="F265" s="17"/>
      <c r="G265" s="17"/>
      <c r="H265" s="17"/>
      <c r="I265" s="17"/>
    </row>
    <row r="266" spans="1:9" s="2" customFormat="1" ht="12.75">
      <c r="A266" s="1"/>
      <c r="C266" s="333"/>
      <c r="D266" s="333"/>
      <c r="E266" s="219"/>
      <c r="F266" s="17"/>
      <c r="G266" s="17"/>
      <c r="H266" s="17"/>
      <c r="I266" s="17"/>
    </row>
    <row r="267" spans="1:9" s="2" customFormat="1" ht="12.75">
      <c r="A267" s="1"/>
      <c r="C267" s="333"/>
      <c r="D267" s="333"/>
      <c r="E267" s="219"/>
      <c r="F267" s="17"/>
      <c r="G267" s="17"/>
      <c r="H267" s="17"/>
      <c r="I267" s="17"/>
    </row>
    <row r="268" spans="1:9" s="2" customFormat="1">
      <c r="A268" s="1"/>
      <c r="C268" s="17"/>
      <c r="D268" s="17"/>
      <c r="E268" s="17"/>
      <c r="F268" s="17"/>
      <c r="G268" s="17"/>
      <c r="H268" s="17"/>
      <c r="I268" s="17"/>
    </row>
    <row r="269" spans="1:9" s="2" customFormat="1">
      <c r="A269" s="1" t="s">
        <v>0</v>
      </c>
      <c r="C269" s="2" t="s">
        <v>1</v>
      </c>
      <c r="D269" s="2" t="s">
        <v>9</v>
      </c>
      <c r="E269" s="2" t="s">
        <v>9</v>
      </c>
      <c r="F269" s="2" t="s">
        <v>54</v>
      </c>
      <c r="G269" s="2" t="s">
        <v>54</v>
      </c>
      <c r="H269" s="2" t="s">
        <v>55</v>
      </c>
      <c r="I269" s="2" t="s">
        <v>55</v>
      </c>
    </row>
    <row r="270" spans="1:9" s="2" customFormat="1">
      <c r="A270" s="1" t="s">
        <v>8</v>
      </c>
      <c r="C270" s="3" t="s">
        <v>56</v>
      </c>
      <c r="D270" s="3" t="s">
        <v>57</v>
      </c>
      <c r="E270" s="3" t="s">
        <v>58</v>
      </c>
      <c r="F270" s="3" t="s">
        <v>57</v>
      </c>
      <c r="G270" s="3" t="s">
        <v>58</v>
      </c>
      <c r="H270" s="3" t="s">
        <v>57</v>
      </c>
      <c r="I270" s="3" t="s">
        <v>58</v>
      </c>
    </row>
    <row r="272" spans="1:9">
      <c r="B272" s="110" t="s">
        <v>59</v>
      </c>
    </row>
    <row r="273" spans="2:9">
      <c r="B273" s="14" t="s">
        <v>409</v>
      </c>
    </row>
    <row r="274" spans="2:9">
      <c r="B274" s="88" t="s">
        <v>410</v>
      </c>
      <c r="C274" s="10">
        <f ca="1">G62</f>
        <v>7.5350000000000001</v>
      </c>
      <c r="D274" s="12">
        <f>G8</f>
        <v>1229791151.8036699</v>
      </c>
      <c r="E274" s="11">
        <f ca="1">C274*D274/100</f>
        <v>92664763.288406521</v>
      </c>
      <c r="F274" s="12">
        <f>MIN(D274,F277)</f>
        <v>1229791151.8036699</v>
      </c>
      <c r="G274" s="11">
        <f ca="1">F274*C274/100</f>
        <v>92664763.288406521</v>
      </c>
      <c r="H274" s="12">
        <f>D274-F274</f>
        <v>0</v>
      </c>
      <c r="I274" s="11">
        <f ca="1">H274*C274/100</f>
        <v>0</v>
      </c>
    </row>
    <row r="275" spans="2:9">
      <c r="B275" s="88" t="s">
        <v>411</v>
      </c>
      <c r="C275" s="10">
        <f ca="1">G63</f>
        <v>6.742</v>
      </c>
      <c r="D275" s="12">
        <f>G9</f>
        <v>146237824.45333001</v>
      </c>
      <c r="E275" s="11">
        <f ca="1">C275*D275/100</f>
        <v>9859354.1246435102</v>
      </c>
      <c r="F275" s="12">
        <f>MIN(F277-F274,D275)</f>
        <v>146237824.45333001</v>
      </c>
      <c r="G275" s="11">
        <f ca="1">F275*C275/100</f>
        <v>9859354.1246435102</v>
      </c>
      <c r="H275" s="12">
        <f>D275-F275</f>
        <v>0</v>
      </c>
      <c r="I275" s="11">
        <f ca="1">H275*C275/100</f>
        <v>0</v>
      </c>
    </row>
    <row r="276" spans="2:9">
      <c r="D276" s="106"/>
      <c r="E276" s="198"/>
      <c r="F276" s="106"/>
      <c r="G276" s="198"/>
      <c r="H276" s="106"/>
      <c r="I276" s="198"/>
    </row>
    <row r="277" spans="2:9">
      <c r="B277" s="5" t="s">
        <v>9</v>
      </c>
      <c r="D277" s="12">
        <f>D274+D275</f>
        <v>1376028976.257</v>
      </c>
      <c r="E277" s="12">
        <f ca="1">E274+E275</f>
        <v>102524117.41305003</v>
      </c>
      <c r="F277" s="670">
        <f>62392*G25</f>
        <v>1431334872</v>
      </c>
      <c r="G277" s="12">
        <f ca="1">G274+G275</f>
        <v>102524117.41305003</v>
      </c>
      <c r="H277" s="12">
        <f>H274+H275</f>
        <v>0</v>
      </c>
      <c r="I277" s="12">
        <f ca="1">I274+I275</f>
        <v>0</v>
      </c>
    </row>
    <row r="278" spans="2:9">
      <c r="B278" s="5" t="s">
        <v>60</v>
      </c>
      <c r="D278" s="12"/>
      <c r="E278" s="10">
        <f ca="1">E277/D277*100</f>
        <v>7.4507237261769461</v>
      </c>
      <c r="F278" s="12"/>
      <c r="G278" s="10">
        <f ca="1">G277/F277*100</f>
        <v>7.1628323614999605</v>
      </c>
      <c r="H278" s="12"/>
      <c r="I278" s="10" t="e">
        <f ca="1">I277/H277*100</f>
        <v>#DIV/0!</v>
      </c>
    </row>
    <row r="279" spans="2:9">
      <c r="D279" s="12"/>
      <c r="F279" s="12"/>
      <c r="H279" s="12"/>
    </row>
    <row r="280" spans="2:9">
      <c r="B280" s="110" t="s">
        <v>61</v>
      </c>
      <c r="D280" s="12"/>
      <c r="F280" s="12"/>
      <c r="H280" s="12"/>
    </row>
    <row r="281" spans="2:9">
      <c r="B281" s="14" t="s">
        <v>409</v>
      </c>
      <c r="D281" s="12"/>
      <c r="F281" s="12"/>
      <c r="H281" s="12"/>
    </row>
    <row r="282" spans="2:9">
      <c r="B282" s="88" t="s">
        <v>410</v>
      </c>
      <c r="C282" s="10">
        <f ca="1">G79</f>
        <v>7.7140000000000004</v>
      </c>
      <c r="D282" s="12">
        <f>D274</f>
        <v>1229791151.8036699</v>
      </c>
      <c r="E282" s="11">
        <f ca="1">C282*D282/100</f>
        <v>94866089.450135097</v>
      </c>
      <c r="F282" s="12">
        <f>MIN(D282,F285)</f>
        <v>1229791151.8036699</v>
      </c>
      <c r="G282" s="11">
        <f ca="1">F282*C282/100</f>
        <v>94866089.450135097</v>
      </c>
      <c r="H282" s="12">
        <f>H274</f>
        <v>0</v>
      </c>
      <c r="I282" s="11">
        <f ca="1">H282*C282/100</f>
        <v>0</v>
      </c>
    </row>
    <row r="283" spans="2:9">
      <c r="B283" s="88" t="s">
        <v>411</v>
      </c>
      <c r="C283" s="10">
        <f ca="1">G80</f>
        <v>6.9020000000000001</v>
      </c>
      <c r="D283" s="12">
        <f>D275</f>
        <v>146237824.45333001</v>
      </c>
      <c r="E283" s="11">
        <f ca="1">C283*D283/100</f>
        <v>10093334.643768838</v>
      </c>
      <c r="F283" s="12">
        <f>MIN(F285-F282,D283)</f>
        <v>146237824.45333001</v>
      </c>
      <c r="G283" s="11">
        <f ca="1">F283*C283/100</f>
        <v>10093334.643768838</v>
      </c>
      <c r="H283" s="12">
        <f>H275</f>
        <v>0</v>
      </c>
      <c r="I283" s="11">
        <f ca="1">H283*C283/100</f>
        <v>0</v>
      </c>
    </row>
    <row r="284" spans="2:9">
      <c r="D284" s="106"/>
      <c r="E284" s="198"/>
      <c r="F284" s="106"/>
      <c r="G284" s="198"/>
      <c r="H284" s="106"/>
      <c r="I284" s="198"/>
    </row>
    <row r="285" spans="2:9">
      <c r="B285" s="5" t="s">
        <v>9</v>
      </c>
      <c r="D285" s="12">
        <f>D282+D283</f>
        <v>1376028976.257</v>
      </c>
      <c r="E285" s="12">
        <f ca="1">E282+E283</f>
        <v>104959424.09390393</v>
      </c>
      <c r="F285" s="12">
        <f>F277</f>
        <v>1431334872</v>
      </c>
      <c r="G285" s="12">
        <f ca="1">G282+G283</f>
        <v>104959424.09390393</v>
      </c>
      <c r="H285" s="12">
        <f>H282+H283</f>
        <v>0</v>
      </c>
      <c r="I285" s="12">
        <f ca="1">I282+I283</f>
        <v>0</v>
      </c>
    </row>
    <row r="286" spans="2:9">
      <c r="B286" s="5" t="s">
        <v>60</v>
      </c>
      <c r="D286" s="12"/>
      <c r="F286" s="12"/>
      <c r="G286" s="10">
        <f ca="1">G285/F285*100</f>
        <v>7.3329747040428366</v>
      </c>
      <c r="H286" s="12"/>
      <c r="I286" s="10" t="e">
        <f ca="1">I285/H285*100</f>
        <v>#DIV/0!</v>
      </c>
    </row>
    <row r="294" spans="2:9">
      <c r="B294" s="334" t="s">
        <v>860</v>
      </c>
      <c r="C294" s="334"/>
      <c r="D294" s="334"/>
      <c r="E294" s="334"/>
      <c r="F294" s="334"/>
    </row>
    <row r="295" spans="2:9">
      <c r="B295" s="334" t="str">
        <f>"53,800 X "&amp;TEXT(G25,"#,##0")&amp;" = "&amp;TEXT(F277,"#,##0")</f>
        <v>53,800 X 22,941 = 1,431,334,872</v>
      </c>
    </row>
    <row r="299" spans="2:9">
      <c r="D299" s="9">
        <f ca="1">D207/D48</f>
        <v>4.0963477809077036</v>
      </c>
      <c r="E299" s="9">
        <f ca="1">E207/E48</f>
        <v>3.6489770356341085</v>
      </c>
      <c r="F299" s="9">
        <f ca="1">G207/G48</f>
        <v>105.66524428886044</v>
      </c>
      <c r="G299" s="9">
        <f ca="1">I207/I48</f>
        <v>5429.0982702380961</v>
      </c>
      <c r="H299" s="9">
        <f ca="1">K207/K48</f>
        <v>13.580846670283407</v>
      </c>
      <c r="I299" s="9"/>
    </row>
    <row r="300" spans="2:9">
      <c r="D300" s="8">
        <f>D23/D25</f>
        <v>914.47603693009069</v>
      </c>
      <c r="E300" s="8">
        <f>E23/E25</f>
        <v>1587.2806693602106</v>
      </c>
      <c r="F300" s="8">
        <f>G23/G25</f>
        <v>59699.669859945076</v>
      </c>
      <c r="G300" s="8">
        <f>I23/I25</f>
        <v>2460784.467916667</v>
      </c>
      <c r="H300" s="8">
        <f>K23/K25</f>
        <v>4734.268718364302</v>
      </c>
    </row>
    <row r="301" spans="2:9">
      <c r="D301" s="657">
        <f>D300*-'Tax Adj'!G13</f>
        <v>0</v>
      </c>
      <c r="E301" s="657">
        <f>E300*-'Tax Adj'!G15</f>
        <v>0</v>
      </c>
      <c r="F301" s="657">
        <f>F300*-'Tax Adj'!G17</f>
        <v>0</v>
      </c>
      <c r="G301" s="657">
        <f>G300*-'Tax Adj'!G19</f>
        <v>0</v>
      </c>
      <c r="H301" s="657">
        <f>H300*-'Tax Adj'!G21</f>
        <v>0</v>
      </c>
    </row>
    <row r="302" spans="2:9">
      <c r="D302" s="524">
        <f ca="1">(800*((D79-D62)/100))+(118*((D80-D63)/100))+(D76-D59)</f>
        <v>3.899120000000003</v>
      </c>
    </row>
    <row r="305" spans="4:8">
      <c r="D305" s="9">
        <f ca="1">D299+D301</f>
        <v>4.0963477809077036</v>
      </c>
      <c r="E305" s="9">
        <f ca="1">E299+E301</f>
        <v>3.6489770356341085</v>
      </c>
      <c r="F305" s="9">
        <f ca="1">F299+F301</f>
        <v>105.66524428886044</v>
      </c>
      <c r="G305" s="9">
        <f ca="1">G299+G301</f>
        <v>5429.0982702380961</v>
      </c>
      <c r="H305" s="9">
        <f ca="1">H299+H301</f>
        <v>13.580846670283407</v>
      </c>
    </row>
    <row r="309" spans="4:8">
      <c r="D309" s="12"/>
    </row>
    <row r="310" spans="4:8">
      <c r="D310" s="12"/>
    </row>
    <row r="311" spans="4:8">
      <c r="D311" s="8"/>
    </row>
  </sheetData>
  <mergeCells count="2">
    <mergeCell ref="S6:U11"/>
    <mergeCell ref="B95:K96"/>
  </mergeCells>
  <phoneticPr fontId="0" type="noConversion"/>
  <conditionalFormatting sqref="O55">
    <cfRule type="cellIs" dxfId="61" priority="1" stopIfTrue="1" operator="greaterThan">
      <formula>0</formula>
    </cfRule>
  </conditionalFormatting>
  <pageMargins left="0.75" right="0.75" top="0.5" bottom="0.5" header="0.25" footer="0.5"/>
  <pageSetup scale="90" orientation="landscape" r:id="rId1"/>
  <headerFooter alignWithMargins="0">
    <oddHeader>&amp;C&amp;"Arial,Bold"&amp;9AVISTA UTILITIES
WASHINGTON ELECTRIC
PRO FORMA REVENUE UNDER PRESENT AND PROPOSED BASE TARIFF RATES
12 MONTHS ENDED DECEMBER 31, 2019</oddHeader>
  </headerFooter>
  <rowBreaks count="5" manualBreakCount="5">
    <brk id="51" max="8" man="1"/>
    <brk id="100" max="8" man="1"/>
    <brk id="154" max="8" man="1"/>
    <brk id="209" max="8" man="1"/>
    <brk id="264" max="8"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3:R29"/>
  <sheetViews>
    <sheetView workbookViewId="0">
      <selection activeCell="M469" sqref="M469"/>
    </sheetView>
  </sheetViews>
  <sheetFormatPr defaultRowHeight="12.75"/>
  <cols>
    <col min="1" max="1" width="5.85546875" customWidth="1"/>
    <col min="2" max="2" width="11.7109375" customWidth="1"/>
    <col min="3" max="4" width="9.7109375" bestFit="1" customWidth="1"/>
    <col min="5" max="5" width="9.28515625" bestFit="1" customWidth="1"/>
    <col min="7" max="7" width="11.7109375" customWidth="1"/>
    <col min="8" max="9" width="10.140625" bestFit="1" customWidth="1"/>
    <col min="10" max="10" width="9.28515625" bestFit="1" customWidth="1"/>
    <col min="12" max="13" width="9.28515625" bestFit="1" customWidth="1"/>
    <col min="17" max="17" width="9.28515625" style="671"/>
  </cols>
  <sheetData>
    <row r="3" spans="1:17" ht="15.75">
      <c r="A3" s="508" t="s">
        <v>545</v>
      </c>
      <c r="B3" s="498"/>
      <c r="C3" s="498"/>
      <c r="D3" s="498"/>
      <c r="E3" s="498"/>
      <c r="F3" s="498"/>
      <c r="G3" s="498"/>
      <c r="H3" s="498"/>
      <c r="I3" s="498"/>
      <c r="J3" s="498"/>
      <c r="K3" s="498"/>
      <c r="L3" s="498"/>
      <c r="M3" s="498"/>
    </row>
    <row r="7" spans="1:17">
      <c r="A7" s="499" t="s">
        <v>548</v>
      </c>
      <c r="B7" s="499"/>
      <c r="C7" s="498"/>
      <c r="D7" s="498"/>
      <c r="E7" s="498"/>
      <c r="F7" s="498"/>
      <c r="G7" s="499" t="s">
        <v>549</v>
      </c>
      <c r="H7" s="499"/>
      <c r="I7" s="498"/>
      <c r="J7" s="498"/>
      <c r="K7" s="498"/>
      <c r="L7" s="498"/>
      <c r="M7" s="498"/>
    </row>
    <row r="8" spans="1:17">
      <c r="A8" s="498"/>
      <c r="B8" s="498" t="s">
        <v>266</v>
      </c>
      <c r="C8" s="498" t="s">
        <v>498</v>
      </c>
      <c r="D8" s="498" t="s">
        <v>499</v>
      </c>
      <c r="E8" s="498" t="s">
        <v>543</v>
      </c>
      <c r="F8" s="498"/>
      <c r="G8" s="498" t="s">
        <v>266</v>
      </c>
      <c r="H8" s="498" t="s">
        <v>498</v>
      </c>
      <c r="I8" s="498" t="s">
        <v>499</v>
      </c>
      <c r="J8" s="498" t="s">
        <v>543</v>
      </c>
      <c r="K8" s="498"/>
      <c r="L8" s="498" t="s">
        <v>544</v>
      </c>
      <c r="M8" s="498" t="s">
        <v>421</v>
      </c>
    </row>
    <row r="9" spans="1:17">
      <c r="A9" s="498"/>
      <c r="B9" s="495">
        <f>RD!D14</f>
        <v>9</v>
      </c>
      <c r="C9" s="505">
        <f>RD!H16</f>
        <v>7.7359999999999998E-2</v>
      </c>
      <c r="D9" s="505">
        <f>RD!H17</f>
        <v>9.06E-2</v>
      </c>
      <c r="E9" s="503"/>
      <c r="F9" s="502"/>
      <c r="G9" s="495">
        <f>RD!M14</f>
        <v>9</v>
      </c>
      <c r="H9" s="505">
        <f>RD!M16</f>
        <v>7.7359999999999998E-2</v>
      </c>
      <c r="I9" s="505">
        <f>RD!M17</f>
        <v>9.06E-2</v>
      </c>
      <c r="J9" s="498"/>
      <c r="K9" s="498"/>
      <c r="L9" s="498"/>
      <c r="M9" s="498"/>
    </row>
    <row r="10" spans="1:17">
      <c r="A10" s="498">
        <v>100</v>
      </c>
      <c r="B10" s="494">
        <f>$B$9</f>
        <v>9</v>
      </c>
      <c r="C10" s="502">
        <f t="shared" ref="C10:C17" si="0">A10*$C$9</f>
        <v>7.7359999999999998</v>
      </c>
      <c r="D10" s="502"/>
      <c r="E10" s="494">
        <f>SUM(B10:D10)</f>
        <v>16.736000000000001</v>
      </c>
      <c r="F10" s="502"/>
      <c r="G10" s="494">
        <f>$G$9</f>
        <v>9</v>
      </c>
      <c r="H10" s="502">
        <f t="shared" ref="H10:H17" si="1">A10*$H$9</f>
        <v>7.7359999999999998</v>
      </c>
      <c r="I10" s="502"/>
      <c r="J10" s="501">
        <f>SUM(G10:I10)</f>
        <v>16.736000000000001</v>
      </c>
      <c r="K10" s="498"/>
      <c r="L10" s="500">
        <f>J10-E10</f>
        <v>0</v>
      </c>
      <c r="M10" s="506">
        <f>L10/E10</f>
        <v>0</v>
      </c>
    </row>
    <row r="11" spans="1:17" s="491" customFormat="1">
      <c r="A11" s="498">
        <v>200</v>
      </c>
      <c r="B11" s="494">
        <f>$B$9</f>
        <v>9</v>
      </c>
      <c r="C11" s="502">
        <f t="shared" si="0"/>
        <v>15.472</v>
      </c>
      <c r="D11" s="502"/>
      <c r="E11" s="494">
        <f>SUM(B11:D11)</f>
        <v>24.472000000000001</v>
      </c>
      <c r="F11" s="502"/>
      <c r="G11" s="494">
        <f>$G$9</f>
        <v>9</v>
      </c>
      <c r="H11" s="502">
        <f t="shared" si="1"/>
        <v>15.472</v>
      </c>
      <c r="I11" s="502"/>
      <c r="J11" s="501">
        <f>SUM(G11:I11)</f>
        <v>24.472000000000001</v>
      </c>
      <c r="K11" s="498"/>
      <c r="L11" s="500">
        <f t="shared" ref="L11:L24" si="2">J11-E11</f>
        <v>0</v>
      </c>
      <c r="M11" s="506">
        <f>L11/E11</f>
        <v>0</v>
      </c>
      <c r="Q11" s="671"/>
    </row>
    <row r="12" spans="1:17" s="491" customFormat="1">
      <c r="A12" s="498">
        <v>300</v>
      </c>
      <c r="B12" s="494">
        <f>$B$9</f>
        <v>9</v>
      </c>
      <c r="C12" s="502">
        <f t="shared" si="0"/>
        <v>23.207999999999998</v>
      </c>
      <c r="D12" s="502"/>
      <c r="E12" s="494">
        <f>SUM(B12:D12)</f>
        <v>32.207999999999998</v>
      </c>
      <c r="F12" s="502"/>
      <c r="G12" s="494">
        <f>$G$9</f>
        <v>9</v>
      </c>
      <c r="H12" s="502">
        <f t="shared" si="1"/>
        <v>23.207999999999998</v>
      </c>
      <c r="I12" s="502"/>
      <c r="J12" s="501">
        <f>SUM(G12:I12)</f>
        <v>32.207999999999998</v>
      </c>
      <c r="K12" s="498"/>
      <c r="L12" s="500">
        <f t="shared" si="2"/>
        <v>0</v>
      </c>
      <c r="M12" s="506">
        <f>L12/E12</f>
        <v>0</v>
      </c>
      <c r="Q12" s="671"/>
    </row>
    <row r="13" spans="1:17" s="491" customFormat="1">
      <c r="A13" s="498">
        <v>400</v>
      </c>
      <c r="B13" s="494">
        <f>$B$9</f>
        <v>9</v>
      </c>
      <c r="C13" s="502">
        <f t="shared" si="0"/>
        <v>30.943999999999999</v>
      </c>
      <c r="D13" s="502"/>
      <c r="E13" s="494">
        <f>SUM(B13:D13)</f>
        <v>39.944000000000003</v>
      </c>
      <c r="F13" s="502"/>
      <c r="G13" s="494">
        <f>$G$9</f>
        <v>9</v>
      </c>
      <c r="H13" s="502">
        <f t="shared" si="1"/>
        <v>30.943999999999999</v>
      </c>
      <c r="I13" s="502"/>
      <c r="J13" s="501">
        <f>SUM(G13:I13)</f>
        <v>39.944000000000003</v>
      </c>
      <c r="K13" s="498"/>
      <c r="L13" s="500">
        <f t="shared" si="2"/>
        <v>0</v>
      </c>
      <c r="M13" s="506">
        <f>L13/E13</f>
        <v>0</v>
      </c>
      <c r="Q13" s="671"/>
    </row>
    <row r="14" spans="1:17" s="491" customFormat="1">
      <c r="A14" s="498">
        <v>500</v>
      </c>
      <c r="B14" s="494">
        <f>$B$9</f>
        <v>9</v>
      </c>
      <c r="C14" s="502">
        <f t="shared" si="0"/>
        <v>38.68</v>
      </c>
      <c r="D14" s="502"/>
      <c r="E14" s="494">
        <f>SUM(B14:D14)</f>
        <v>47.68</v>
      </c>
      <c r="F14" s="502"/>
      <c r="G14" s="494">
        <f>$G$9</f>
        <v>9</v>
      </c>
      <c r="H14" s="502">
        <f t="shared" si="1"/>
        <v>38.68</v>
      </c>
      <c r="I14" s="502"/>
      <c r="J14" s="501">
        <f>SUM(G14:I14)</f>
        <v>47.68</v>
      </c>
      <c r="K14" s="498"/>
      <c r="L14" s="500">
        <f t="shared" si="2"/>
        <v>0</v>
      </c>
      <c r="M14" s="506">
        <f>L14/E14</f>
        <v>0</v>
      </c>
      <c r="Q14" s="671"/>
    </row>
    <row r="15" spans="1:17">
      <c r="A15" s="498">
        <v>600</v>
      </c>
      <c r="B15" s="494">
        <f t="shared" ref="B15:B24" si="3">$B$9</f>
        <v>9</v>
      </c>
      <c r="C15" s="502">
        <f t="shared" si="0"/>
        <v>46.415999999999997</v>
      </c>
      <c r="D15" s="502"/>
      <c r="E15" s="494">
        <f t="shared" ref="E15:E24" si="4">SUM(B15:D15)</f>
        <v>55.415999999999997</v>
      </c>
      <c r="F15" s="502"/>
      <c r="G15" s="494">
        <f t="shared" ref="G15:G24" si="5">$G$9</f>
        <v>9</v>
      </c>
      <c r="H15" s="502">
        <f t="shared" si="1"/>
        <v>46.415999999999997</v>
      </c>
      <c r="I15" s="502"/>
      <c r="J15" s="501">
        <f t="shared" ref="J15:J24" si="6">SUM(G15:I15)</f>
        <v>55.415999999999997</v>
      </c>
      <c r="K15" s="498"/>
      <c r="L15" s="500">
        <f t="shared" si="2"/>
        <v>0</v>
      </c>
      <c r="M15" s="506">
        <f t="shared" ref="M15:M24" si="7">L15/E15</f>
        <v>0</v>
      </c>
    </row>
    <row r="16" spans="1:17" s="491" customFormat="1">
      <c r="A16" s="498">
        <v>700</v>
      </c>
      <c r="B16" s="494">
        <f t="shared" si="3"/>
        <v>9</v>
      </c>
      <c r="C16" s="502">
        <f t="shared" si="0"/>
        <v>54.152000000000001</v>
      </c>
      <c r="D16" s="502"/>
      <c r="E16" s="494">
        <f>SUM(B16:D16)</f>
        <v>63.152000000000001</v>
      </c>
      <c r="F16" s="502"/>
      <c r="G16" s="494">
        <f t="shared" si="5"/>
        <v>9</v>
      </c>
      <c r="H16" s="502">
        <f t="shared" si="1"/>
        <v>54.152000000000001</v>
      </c>
      <c r="I16" s="502"/>
      <c r="J16" s="501">
        <f>SUM(G16:I16)</f>
        <v>63.152000000000001</v>
      </c>
      <c r="K16" s="498"/>
      <c r="L16" s="500">
        <f t="shared" si="2"/>
        <v>0</v>
      </c>
      <c r="M16" s="506">
        <f>L16/E16</f>
        <v>0</v>
      </c>
      <c r="Q16" s="671"/>
    </row>
    <row r="17" spans="1:18" ht="13.5" thickBot="1">
      <c r="A17" s="498">
        <v>800</v>
      </c>
      <c r="B17" s="494">
        <f t="shared" si="3"/>
        <v>9</v>
      </c>
      <c r="C17" s="502">
        <f t="shared" si="0"/>
        <v>61.887999999999998</v>
      </c>
      <c r="D17" s="502"/>
      <c r="E17" s="494">
        <f t="shared" si="4"/>
        <v>70.888000000000005</v>
      </c>
      <c r="F17" s="502"/>
      <c r="G17" s="494">
        <f t="shared" si="5"/>
        <v>9</v>
      </c>
      <c r="H17" s="502">
        <f t="shared" si="1"/>
        <v>61.887999999999998</v>
      </c>
      <c r="I17" s="502"/>
      <c r="J17" s="501">
        <f t="shared" si="6"/>
        <v>70.888000000000005</v>
      </c>
      <c r="K17" s="498"/>
      <c r="L17" s="500">
        <f t="shared" si="2"/>
        <v>0</v>
      </c>
      <c r="M17" s="506">
        <f t="shared" si="7"/>
        <v>0</v>
      </c>
    </row>
    <row r="18" spans="1:18" ht="13.5" thickBot="1">
      <c r="A18" s="619">
        <f>ROUND('Pres &amp; Prop Rev'!D46/'Pres &amp; Prop Rev'!D48,0)</f>
        <v>914</v>
      </c>
      <c r="B18" s="496">
        <f t="shared" si="3"/>
        <v>9</v>
      </c>
      <c r="C18" s="504">
        <f>ROUND($C$17,2)</f>
        <v>61.89</v>
      </c>
      <c r="D18" s="504">
        <f>ROUND((A18-$A$17)*$D$9,2)</f>
        <v>10.33</v>
      </c>
      <c r="E18" s="496">
        <f t="shared" si="4"/>
        <v>81.22</v>
      </c>
      <c r="F18" s="504"/>
      <c r="G18" s="496">
        <f t="shared" si="5"/>
        <v>9</v>
      </c>
      <c r="H18" s="504">
        <f>ROUND($H$17,2)</f>
        <v>61.89</v>
      </c>
      <c r="I18" s="504">
        <f>ROUND((A18-$A$17)*$I$9,2)</f>
        <v>10.33</v>
      </c>
      <c r="J18" s="497">
        <f>SUM(G18:I18)</f>
        <v>81.22</v>
      </c>
      <c r="K18" s="507"/>
      <c r="L18" s="493">
        <f t="shared" si="2"/>
        <v>0</v>
      </c>
      <c r="M18" s="492">
        <f>L18/E18</f>
        <v>0</v>
      </c>
      <c r="N18" s="158"/>
      <c r="P18" s="573"/>
      <c r="Q18" s="677"/>
      <c r="R18" s="443"/>
    </row>
    <row r="19" spans="1:18">
      <c r="A19" s="498">
        <v>1000</v>
      </c>
      <c r="B19" s="494">
        <f t="shared" si="3"/>
        <v>9</v>
      </c>
      <c r="C19" s="502">
        <f>ROUND($C$17,2)</f>
        <v>61.89</v>
      </c>
      <c r="D19" s="502">
        <f>ROUND((A19-$A$17)*$D$9,2)</f>
        <v>18.12</v>
      </c>
      <c r="E19" s="494">
        <f t="shared" si="4"/>
        <v>89.01</v>
      </c>
      <c r="F19" s="502"/>
      <c r="G19" s="494">
        <f t="shared" si="5"/>
        <v>9</v>
      </c>
      <c r="H19" s="502">
        <f>ROUND($H$17,2)</f>
        <v>61.89</v>
      </c>
      <c r="I19" s="502">
        <f>ROUND((A19-$A$17)*$I$9,2)</f>
        <v>18.12</v>
      </c>
      <c r="J19" s="501">
        <f t="shared" si="6"/>
        <v>89.01</v>
      </c>
      <c r="K19" s="498"/>
      <c r="L19" s="500">
        <f t="shared" si="2"/>
        <v>0</v>
      </c>
      <c r="M19" s="506">
        <f t="shared" si="7"/>
        <v>0</v>
      </c>
    </row>
    <row r="20" spans="1:18" s="491" customFormat="1">
      <c r="A20" s="498">
        <v>1100</v>
      </c>
      <c r="B20" s="494">
        <f t="shared" si="3"/>
        <v>9</v>
      </c>
      <c r="C20" s="502">
        <f>$C$17</f>
        <v>61.887999999999998</v>
      </c>
      <c r="D20" s="502">
        <f>(A20-$A$17)*$D$9</f>
        <v>27.18</v>
      </c>
      <c r="E20" s="494">
        <f>SUM(B20:D20)</f>
        <v>98.068000000000012</v>
      </c>
      <c r="F20" s="502"/>
      <c r="G20" s="494">
        <f t="shared" si="5"/>
        <v>9</v>
      </c>
      <c r="H20" s="502">
        <f>$H$17</f>
        <v>61.887999999999998</v>
      </c>
      <c r="I20" s="502">
        <f>(A20-$A$17)*$I$9</f>
        <v>27.18</v>
      </c>
      <c r="J20" s="501">
        <f>SUM(G20:I20)</f>
        <v>98.068000000000012</v>
      </c>
      <c r="K20" s="498"/>
      <c r="L20" s="500">
        <f t="shared" si="2"/>
        <v>0</v>
      </c>
      <c r="M20" s="506">
        <f>L20/E20</f>
        <v>0</v>
      </c>
      <c r="Q20" s="671"/>
    </row>
    <row r="21" spans="1:18">
      <c r="A21" s="498">
        <v>1200</v>
      </c>
      <c r="B21" s="494">
        <f t="shared" si="3"/>
        <v>9</v>
      </c>
      <c r="C21" s="502">
        <f>$C$17</f>
        <v>61.887999999999998</v>
      </c>
      <c r="D21" s="502">
        <f>(A21-$A$17)*$D$9</f>
        <v>36.24</v>
      </c>
      <c r="E21" s="494">
        <f t="shared" si="4"/>
        <v>107.12800000000001</v>
      </c>
      <c r="F21" s="502"/>
      <c r="G21" s="494">
        <f t="shared" si="5"/>
        <v>9</v>
      </c>
      <c r="H21" s="502">
        <f>$H$17</f>
        <v>61.887999999999998</v>
      </c>
      <c r="I21" s="502">
        <f>(A21-$A$17)*$I$9</f>
        <v>36.24</v>
      </c>
      <c r="J21" s="501">
        <f t="shared" si="6"/>
        <v>107.12800000000001</v>
      </c>
      <c r="K21" s="498"/>
      <c r="L21" s="500">
        <f t="shared" si="2"/>
        <v>0</v>
      </c>
      <c r="M21" s="506">
        <f t="shared" si="7"/>
        <v>0</v>
      </c>
    </row>
    <row r="22" spans="1:18" s="491" customFormat="1">
      <c r="A22" s="498">
        <v>1300</v>
      </c>
      <c r="B22" s="494">
        <f t="shared" si="3"/>
        <v>9</v>
      </c>
      <c r="C22" s="502">
        <f>$C$17</f>
        <v>61.887999999999998</v>
      </c>
      <c r="D22" s="502">
        <f>(A22-$A$17)*$D$9</f>
        <v>45.3</v>
      </c>
      <c r="E22" s="494">
        <f>SUM(B22:D22)</f>
        <v>116.188</v>
      </c>
      <c r="F22" s="502"/>
      <c r="G22" s="494">
        <f t="shared" si="5"/>
        <v>9</v>
      </c>
      <c r="H22" s="502">
        <f>$H$17</f>
        <v>61.887999999999998</v>
      </c>
      <c r="I22" s="502">
        <f>(A22-$A$17)*$I$9</f>
        <v>45.3</v>
      </c>
      <c r="J22" s="501">
        <f>SUM(G22:I22)</f>
        <v>116.188</v>
      </c>
      <c r="K22" s="498"/>
      <c r="L22" s="500">
        <f t="shared" si="2"/>
        <v>0</v>
      </c>
      <c r="M22" s="506">
        <f>L22/E22</f>
        <v>0</v>
      </c>
      <c r="Q22" s="671"/>
    </row>
    <row r="23" spans="1:18" s="491" customFormat="1">
      <c r="A23" s="498">
        <v>1400</v>
      </c>
      <c r="B23" s="494">
        <f t="shared" si="3"/>
        <v>9</v>
      </c>
      <c r="C23" s="502">
        <f>$C$17</f>
        <v>61.887999999999998</v>
      </c>
      <c r="D23" s="502">
        <f>(A23-$A$17)*$D$9</f>
        <v>54.36</v>
      </c>
      <c r="E23" s="494">
        <f>SUM(B23:D23)</f>
        <v>125.248</v>
      </c>
      <c r="F23" s="502"/>
      <c r="G23" s="494">
        <f t="shared" si="5"/>
        <v>9</v>
      </c>
      <c r="H23" s="502">
        <f>$H$17</f>
        <v>61.887999999999998</v>
      </c>
      <c r="I23" s="502">
        <f>(A23-$A$17)*$I$9</f>
        <v>54.36</v>
      </c>
      <c r="J23" s="501">
        <f>SUM(G23:I23)</f>
        <v>125.248</v>
      </c>
      <c r="K23" s="498"/>
      <c r="L23" s="500">
        <f t="shared" si="2"/>
        <v>0</v>
      </c>
      <c r="M23" s="506">
        <f>L23/E23</f>
        <v>0</v>
      </c>
      <c r="Q23" s="671"/>
    </row>
    <row r="24" spans="1:18">
      <c r="A24" s="498">
        <v>1500</v>
      </c>
      <c r="B24" s="494">
        <f t="shared" si="3"/>
        <v>9</v>
      </c>
      <c r="C24" s="502">
        <f>$C$17</f>
        <v>61.887999999999998</v>
      </c>
      <c r="D24" s="502">
        <f>(A24-$A$17)*$D$9</f>
        <v>63.42</v>
      </c>
      <c r="E24" s="494">
        <f t="shared" si="4"/>
        <v>134.30799999999999</v>
      </c>
      <c r="F24" s="502"/>
      <c r="G24" s="494">
        <f t="shared" si="5"/>
        <v>9</v>
      </c>
      <c r="H24" s="502">
        <f>$H$17</f>
        <v>61.887999999999998</v>
      </c>
      <c r="I24" s="502">
        <f>(A24-$A$17)*$I$9</f>
        <v>63.42</v>
      </c>
      <c r="J24" s="501">
        <f t="shared" si="6"/>
        <v>134.30799999999999</v>
      </c>
      <c r="K24" s="498"/>
      <c r="L24" s="500">
        <f t="shared" si="2"/>
        <v>0</v>
      </c>
      <c r="M24" s="506">
        <f t="shared" si="7"/>
        <v>0</v>
      </c>
    </row>
    <row r="25" spans="1:18">
      <c r="E25" s="494"/>
    </row>
    <row r="28" spans="1:18">
      <c r="G28" s="315"/>
      <c r="H28" s="630"/>
      <c r="I28" s="630"/>
      <c r="L28" s="315"/>
      <c r="M28" s="443"/>
    </row>
    <row r="29" spans="1:18">
      <c r="G29" s="315"/>
      <c r="H29" s="573"/>
      <c r="I29" s="573"/>
      <c r="L29" s="315"/>
      <c r="M29" s="443"/>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B3:V49"/>
  <sheetViews>
    <sheetView zoomScale="85" zoomScaleNormal="85" workbookViewId="0">
      <selection activeCell="O39" sqref="O39"/>
    </sheetView>
  </sheetViews>
  <sheetFormatPr defaultColWidth="9.28515625" defaultRowHeight="12.75"/>
  <cols>
    <col min="1" max="1" width="4.42578125" style="701" customWidth="1"/>
    <col min="2" max="2" width="44.85546875" style="701" customWidth="1"/>
    <col min="3" max="3" width="8.7109375" style="701" bestFit="1" customWidth="1"/>
    <col min="4" max="4" width="13.42578125" style="701" bestFit="1" customWidth="1"/>
    <col min="5" max="6" width="13.5703125" style="701" bestFit="1" customWidth="1"/>
    <col min="7" max="7" width="4.7109375" style="701" customWidth="1"/>
    <col min="8" max="8" width="14" style="701" customWidth="1"/>
    <col min="9" max="9" width="10.28515625" style="701" customWidth="1"/>
    <col min="10" max="10" width="4.5703125" style="701" customWidth="1"/>
    <col min="11" max="11" width="11.28515625" style="701" customWidth="1"/>
    <col min="12" max="12" width="9.7109375" style="701" customWidth="1"/>
    <col min="13" max="13" width="11.28515625" style="701" customWidth="1"/>
    <col min="14" max="14" width="9.28515625" style="701" customWidth="1"/>
    <col min="15" max="15" width="14" style="701" customWidth="1"/>
    <col min="16" max="21" width="9.28515625" style="701" customWidth="1"/>
    <col min="22" max="16384" width="9.28515625" style="701"/>
  </cols>
  <sheetData>
    <row r="3" spans="2:22">
      <c r="B3" s="422" t="s">
        <v>947</v>
      </c>
    </row>
    <row r="6" spans="2:22">
      <c r="D6" s="527"/>
      <c r="H6" s="527"/>
      <c r="I6" s="713"/>
    </row>
    <row r="7" spans="2:22">
      <c r="D7" s="527" t="s">
        <v>865</v>
      </c>
      <c r="E7" s="569" t="s">
        <v>1046</v>
      </c>
      <c r="F7" s="569" t="s">
        <v>286</v>
      </c>
      <c r="G7" s="527"/>
      <c r="H7" s="527"/>
      <c r="I7" s="713"/>
      <c r="O7" s="910"/>
      <c r="P7" s="910"/>
      <c r="Q7" s="910"/>
      <c r="R7" s="910"/>
      <c r="S7" s="910"/>
      <c r="T7" s="702"/>
      <c r="U7" s="702"/>
      <c r="V7" s="19"/>
    </row>
    <row r="8" spans="2:22">
      <c r="B8" s="569" t="s">
        <v>287</v>
      </c>
      <c r="C8" s="569" t="s">
        <v>311</v>
      </c>
      <c r="D8" s="527" t="s">
        <v>425</v>
      </c>
      <c r="E8" s="527" t="s">
        <v>866</v>
      </c>
      <c r="F8" s="527" t="s">
        <v>866</v>
      </c>
      <c r="G8" s="527"/>
      <c r="H8" s="527"/>
      <c r="I8" s="713"/>
      <c r="O8" s="910"/>
      <c r="P8" s="910"/>
      <c r="Q8" s="910"/>
      <c r="R8" s="910"/>
      <c r="S8" s="910"/>
    </row>
    <row r="9" spans="2:22">
      <c r="B9" s="346" t="s">
        <v>290</v>
      </c>
      <c r="C9" s="346" t="s">
        <v>291</v>
      </c>
      <c r="D9" s="703" t="s">
        <v>453</v>
      </c>
      <c r="E9" s="703" t="s">
        <v>275</v>
      </c>
      <c r="F9" s="703" t="s">
        <v>106</v>
      </c>
      <c r="G9" s="703"/>
      <c r="H9" s="704"/>
      <c r="I9" s="713"/>
      <c r="O9" s="910"/>
      <c r="P9" s="910"/>
      <c r="Q9" s="910"/>
      <c r="R9" s="910"/>
      <c r="S9" s="910"/>
    </row>
    <row r="10" spans="2:22">
      <c r="B10" s="569" t="s">
        <v>293</v>
      </c>
      <c r="C10" s="569" t="s">
        <v>294</v>
      </c>
      <c r="D10" s="569" t="s">
        <v>295</v>
      </c>
      <c r="E10" s="569" t="s">
        <v>296</v>
      </c>
      <c r="F10" s="569" t="s">
        <v>297</v>
      </c>
      <c r="G10" s="569"/>
      <c r="H10" s="705"/>
      <c r="I10" s="360"/>
      <c r="O10" s="910"/>
      <c r="P10" s="910"/>
      <c r="Q10" s="910"/>
      <c r="R10" s="910"/>
      <c r="S10" s="910"/>
    </row>
    <row r="11" spans="2:22">
      <c r="B11" s="422"/>
      <c r="C11" s="569"/>
      <c r="I11" s="568"/>
      <c r="O11" s="910"/>
      <c r="P11" s="910"/>
      <c r="Q11" s="910"/>
      <c r="R11" s="910"/>
      <c r="S11" s="910"/>
    </row>
    <row r="12" spans="2:22">
      <c r="B12" s="422" t="s">
        <v>300</v>
      </c>
      <c r="C12" s="396" t="s">
        <v>686</v>
      </c>
      <c r="D12" s="641">
        <f>'Pres &amp; Prop Rev'!D46</f>
        <v>2395485524.8310003</v>
      </c>
      <c r="E12" s="706">
        <v>1.2E-4</v>
      </c>
      <c r="F12" s="395">
        <f>D12*E12</f>
        <v>287458.26297972002</v>
      </c>
      <c r="G12" s="538"/>
      <c r="H12" s="707"/>
      <c r="I12" s="714"/>
      <c r="O12" s="910"/>
      <c r="P12" s="910"/>
      <c r="Q12" s="910"/>
      <c r="R12" s="910"/>
      <c r="S12" s="910"/>
    </row>
    <row r="13" spans="2:22">
      <c r="B13" s="422"/>
      <c r="C13" s="569"/>
      <c r="F13" s="395"/>
      <c r="G13" s="538"/>
      <c r="H13" s="707"/>
      <c r="I13" s="714"/>
      <c r="O13" s="910"/>
      <c r="P13" s="910"/>
      <c r="Q13" s="910"/>
      <c r="R13" s="910"/>
      <c r="S13" s="910"/>
    </row>
    <row r="14" spans="2:22">
      <c r="B14" s="422" t="s">
        <v>301</v>
      </c>
      <c r="C14" s="396" t="s">
        <v>971</v>
      </c>
      <c r="D14" s="641">
        <f>'Pres &amp; Prop Rev'!E46+'Pres &amp; Prop Rev'!F46</f>
        <v>621898153.53599989</v>
      </c>
      <c r="E14" s="706">
        <v>1.7000000000000001E-4</v>
      </c>
      <c r="F14" s="395">
        <f>D14*E14</f>
        <v>105722.68610111999</v>
      </c>
      <c r="G14" s="538"/>
      <c r="H14" s="707"/>
      <c r="I14" s="714"/>
      <c r="O14" s="910"/>
      <c r="P14" s="910"/>
      <c r="Q14" s="910"/>
      <c r="R14" s="910"/>
      <c r="S14" s="910"/>
    </row>
    <row r="15" spans="2:22" s="755" customFormat="1">
      <c r="B15" s="422"/>
      <c r="C15" s="396"/>
      <c r="D15" s="641"/>
      <c r="E15" s="706"/>
      <c r="F15" s="395"/>
      <c r="G15" s="538"/>
      <c r="H15" s="707"/>
      <c r="I15" s="714"/>
      <c r="O15" s="910"/>
      <c r="P15" s="910"/>
      <c r="Q15" s="910"/>
      <c r="R15" s="910"/>
      <c r="S15" s="910"/>
    </row>
    <row r="16" spans="2:22">
      <c r="B16" s="422" t="s">
        <v>302</v>
      </c>
      <c r="C16" s="397" t="s">
        <v>972</v>
      </c>
      <c r="D16" s="641">
        <f>'Pres &amp; Prop Rev'!G46+'Pres &amp; Prop Rev'!H46</f>
        <v>1369570126.257</v>
      </c>
      <c r="E16" s="706">
        <v>1.2999999999999999E-4</v>
      </c>
      <c r="F16" s="395">
        <f t="shared" ref="F16:F24" si="0">D16*E16</f>
        <v>178044.11641340997</v>
      </c>
      <c r="G16" s="538"/>
      <c r="H16" s="707"/>
      <c r="I16" s="714"/>
      <c r="O16" s="910"/>
      <c r="P16" s="910"/>
      <c r="Q16" s="910"/>
      <c r="R16" s="910"/>
      <c r="S16" s="910"/>
    </row>
    <row r="17" spans="2:19" s="755" customFormat="1">
      <c r="B17" s="422"/>
      <c r="C17" s="397"/>
      <c r="D17" s="641"/>
      <c r="E17" s="706"/>
      <c r="F17" s="395"/>
      <c r="G17" s="538"/>
      <c r="H17" s="707"/>
      <c r="I17" s="714"/>
      <c r="O17" s="910"/>
      <c r="P17" s="910"/>
      <c r="Q17" s="910"/>
      <c r="R17" s="910"/>
      <c r="S17" s="910"/>
    </row>
    <row r="18" spans="2:19">
      <c r="B18" s="422" t="s">
        <v>321</v>
      </c>
      <c r="C18" s="569">
        <v>25</v>
      </c>
      <c r="D18" s="641">
        <f>'Pres &amp; Prop Rev'!I31+'Pres &amp; Prop Rev'!I32</f>
        <v>615959799.31499994</v>
      </c>
      <c r="E18" s="706">
        <v>8.0000000000000007E-5</v>
      </c>
      <c r="F18" s="395">
        <f t="shared" si="0"/>
        <v>49276.783945199997</v>
      </c>
      <c r="G18" s="538"/>
      <c r="H18" s="707"/>
      <c r="I18" s="714"/>
      <c r="O18" s="910"/>
      <c r="P18" s="910"/>
      <c r="Q18" s="910"/>
      <c r="R18" s="910"/>
      <c r="S18" s="910"/>
    </row>
    <row r="19" spans="2:19" s="755" customFormat="1">
      <c r="B19" s="422"/>
      <c r="C19" s="569"/>
      <c r="D19" s="641"/>
      <c r="E19" s="706"/>
      <c r="F19" s="395"/>
      <c r="G19" s="538"/>
      <c r="H19" s="707"/>
      <c r="I19" s="714"/>
      <c r="O19" s="910"/>
      <c r="P19" s="910"/>
      <c r="Q19" s="910"/>
      <c r="R19" s="910"/>
      <c r="S19" s="910"/>
    </row>
    <row r="20" spans="2:19" s="755" customFormat="1">
      <c r="B20" s="422" t="s">
        <v>968</v>
      </c>
      <c r="C20" s="569" t="s">
        <v>952</v>
      </c>
      <c r="D20" s="641">
        <f>'Pres &amp; Prop Rev'!J31+'Pres &amp; Prop Rev'!J32</f>
        <v>72000000</v>
      </c>
      <c r="E20" s="908">
        <f>E18</f>
        <v>8.0000000000000007E-5</v>
      </c>
      <c r="F20" s="395">
        <f t="shared" ref="F20" si="1">D20*E20</f>
        <v>5760.0000000000009</v>
      </c>
      <c r="G20" s="538"/>
      <c r="H20" s="707"/>
      <c r="I20" s="714"/>
      <c r="O20" s="910"/>
      <c r="P20" s="910"/>
      <c r="Q20" s="910"/>
      <c r="R20" s="910"/>
      <c r="S20" s="910"/>
    </row>
    <row r="21" spans="2:19">
      <c r="B21" s="422"/>
      <c r="C21" s="569"/>
      <c r="F21" s="395"/>
      <c r="G21" s="538"/>
      <c r="H21" s="707"/>
      <c r="I21" s="714"/>
      <c r="O21" s="910"/>
      <c r="P21" s="910"/>
      <c r="Q21" s="910"/>
      <c r="R21" s="910"/>
      <c r="S21" s="910"/>
    </row>
    <row r="22" spans="2:19">
      <c r="B22" s="422" t="s">
        <v>303</v>
      </c>
      <c r="C22" s="397" t="s">
        <v>462</v>
      </c>
      <c r="D22" s="641">
        <f>'Pres &amp; Prop Rev'!K46</f>
        <v>139623053.042</v>
      </c>
      <c r="E22" s="706">
        <v>1.1E-4</v>
      </c>
      <c r="F22" s="395">
        <f t="shared" si="0"/>
        <v>15358.535834620001</v>
      </c>
      <c r="G22" s="538"/>
      <c r="H22" s="707"/>
      <c r="I22" s="714"/>
      <c r="O22" s="910"/>
      <c r="P22" s="910"/>
      <c r="Q22" s="910"/>
      <c r="R22" s="910"/>
      <c r="S22" s="910"/>
    </row>
    <row r="23" spans="2:19">
      <c r="B23" s="422"/>
      <c r="C23" s="569"/>
      <c r="F23" s="395"/>
      <c r="G23" s="116"/>
      <c r="H23" s="707"/>
      <c r="I23" s="714"/>
      <c r="O23" s="910"/>
      <c r="P23" s="910"/>
      <c r="Q23" s="910"/>
      <c r="R23" s="910"/>
      <c r="S23" s="910"/>
    </row>
    <row r="24" spans="2:19">
      <c r="B24" s="422" t="s">
        <v>304</v>
      </c>
      <c r="C24" s="569" t="s">
        <v>352</v>
      </c>
      <c r="D24" s="641">
        <v>6862000</v>
      </c>
      <c r="E24" s="412">
        <v>1.2999999999999999E-3</v>
      </c>
      <c r="F24" s="395">
        <f t="shared" si="0"/>
        <v>8920.6</v>
      </c>
      <c r="G24" s="627"/>
      <c r="H24" s="412"/>
      <c r="I24" s="715"/>
      <c r="O24" s="910"/>
      <c r="P24" s="910"/>
      <c r="Q24" s="910"/>
      <c r="R24" s="910"/>
      <c r="S24" s="910"/>
    </row>
    <row r="25" spans="2:19">
      <c r="B25" s="422"/>
      <c r="C25" s="569"/>
      <c r="O25" s="910"/>
      <c r="P25" s="910"/>
      <c r="Q25" s="910"/>
      <c r="R25" s="910"/>
      <c r="S25" s="910"/>
    </row>
    <row r="26" spans="2:19">
      <c r="B26" s="370" t="s">
        <v>66</v>
      </c>
      <c r="C26" s="569"/>
      <c r="D26" s="641">
        <f>SUM(D12:D24)</f>
        <v>5221398656.9809999</v>
      </c>
      <c r="F26" s="57">
        <f>SUM(F12:F24)</f>
        <v>650540.98527406994</v>
      </c>
      <c r="G26" s="57"/>
      <c r="H26" s="57"/>
      <c r="O26" s="910"/>
      <c r="P26" s="910"/>
      <c r="Q26" s="910"/>
      <c r="R26" s="910"/>
      <c r="S26" s="910"/>
    </row>
    <row r="27" spans="2:19">
      <c r="H27" s="57"/>
      <c r="O27" s="910"/>
      <c r="P27" s="910"/>
      <c r="Q27" s="910"/>
      <c r="R27" s="910"/>
      <c r="S27" s="910"/>
    </row>
    <row r="28" spans="2:19">
      <c r="E28" s="708"/>
      <c r="F28" s="395"/>
      <c r="G28" s="395"/>
      <c r="H28" s="395"/>
      <c r="I28" s="57"/>
      <c r="O28" s="910"/>
      <c r="P28" s="910"/>
      <c r="Q28" s="910"/>
      <c r="R28" s="910"/>
      <c r="S28" s="910"/>
    </row>
    <row r="29" spans="2:19">
      <c r="O29" s="910"/>
      <c r="P29" s="910"/>
      <c r="Q29" s="910"/>
      <c r="R29" s="910"/>
      <c r="S29" s="910"/>
    </row>
    <row r="30" spans="2:19">
      <c r="O30" s="910"/>
      <c r="P30" s="910"/>
      <c r="Q30" s="910"/>
      <c r="R30" s="910"/>
      <c r="S30" s="910"/>
    </row>
    <row r="31" spans="2:19">
      <c r="B31" s="529"/>
      <c r="O31" s="910"/>
      <c r="P31" s="910"/>
      <c r="Q31" s="910"/>
      <c r="R31" s="910"/>
      <c r="S31" s="910"/>
    </row>
    <row r="32" spans="2:19">
      <c r="B32" s="422"/>
      <c r="C32" s="412"/>
      <c r="O32" s="910"/>
      <c r="P32" s="910"/>
      <c r="Q32" s="910"/>
      <c r="R32" s="910"/>
      <c r="S32" s="910"/>
    </row>
    <row r="33" spans="2:19">
      <c r="B33" s="422"/>
      <c r="C33" s="412"/>
      <c r="L33" s="630"/>
      <c r="O33" s="910"/>
      <c r="P33" s="910"/>
      <c r="Q33" s="910"/>
      <c r="R33" s="910"/>
      <c r="S33" s="910"/>
    </row>
    <row r="34" spans="2:19">
      <c r="B34" s="422"/>
      <c r="C34" s="716"/>
      <c r="O34" s="910"/>
      <c r="P34" s="910"/>
      <c r="Q34" s="910"/>
      <c r="R34" s="910"/>
      <c r="S34" s="910"/>
    </row>
    <row r="35" spans="2:19">
      <c r="B35" s="422"/>
      <c r="C35" s="204"/>
      <c r="O35" s="910"/>
      <c r="P35" s="910"/>
      <c r="Q35" s="910"/>
      <c r="R35" s="910"/>
      <c r="S35" s="910"/>
    </row>
    <row r="39" spans="2:19">
      <c r="H39" s="57"/>
      <c r="I39" s="443"/>
      <c r="J39" s="443"/>
      <c r="K39" s="709"/>
    </row>
    <row r="40" spans="2:19">
      <c r="H40" s="57"/>
      <c r="I40" s="443"/>
      <c r="J40" s="443"/>
      <c r="K40" s="443"/>
    </row>
    <row r="41" spans="2:19">
      <c r="H41" s="395"/>
      <c r="I41" s="443"/>
      <c r="J41" s="443"/>
      <c r="K41" s="443"/>
    </row>
    <row r="43" spans="2:19">
      <c r="G43" s="19"/>
      <c r="H43" s="710"/>
      <c r="I43" s="19"/>
      <c r="J43" s="19"/>
      <c r="K43" s="19"/>
    </row>
    <row r="44" spans="2:19">
      <c r="G44" s="19"/>
      <c r="H44" s="710"/>
      <c r="I44" s="19"/>
      <c r="J44" s="19"/>
      <c r="K44" s="19"/>
    </row>
    <row r="45" spans="2:19">
      <c r="G45" s="19"/>
      <c r="H45" s="711"/>
      <c r="I45" s="712"/>
      <c r="J45" s="712"/>
      <c r="K45" s="19"/>
    </row>
    <row r="49" spans="8:8">
      <c r="H49" s="516"/>
    </row>
  </sheetData>
  <pageMargins left="0.7" right="0.7" top="0.75" bottom="0.75" header="0.3" footer="0.3"/>
  <pageSetup orientation="landscape" r:id="rId1"/>
  <headerFooter>
    <oddHeader>&amp;LAvista Electric
LIRAP Rate Calculation
UE-190334</oddHeader>
    <oddFooter>&amp;LAttachment A&amp;RPage 3 of 6</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AK195"/>
  <sheetViews>
    <sheetView showGridLines="0" zoomScale="115" zoomScaleNormal="115" workbookViewId="0">
      <pane xSplit="3" ySplit="3" topLeftCell="D4" activePane="bottomRight" state="frozenSplit"/>
      <selection activeCell="M469" sqref="M469"/>
      <selection pane="topRight" activeCell="M469" sqref="M469"/>
      <selection pane="bottomLeft" activeCell="M469" sqref="M469"/>
      <selection pane="bottomRight" activeCell="M469" sqref="M469"/>
    </sheetView>
  </sheetViews>
  <sheetFormatPr defaultRowHeight="12.75"/>
  <cols>
    <col min="1" max="1" width="4.28515625" customWidth="1"/>
    <col min="2" max="2" width="20.5703125" customWidth="1"/>
    <col min="3" max="3" width="10.28515625" customWidth="1"/>
    <col min="4" max="4" width="12.7109375" bestFit="1" customWidth="1"/>
    <col min="5" max="5" width="13.28515625" customWidth="1"/>
    <col min="6" max="6" width="13.28515625" bestFit="1" customWidth="1"/>
    <col min="7" max="7" width="13.42578125" bestFit="1" customWidth="1"/>
    <col min="8" max="8" width="12.7109375" bestFit="1" customWidth="1"/>
    <col min="9" max="11" width="13.28515625" bestFit="1" customWidth="1"/>
    <col min="12" max="12" width="13" bestFit="1" customWidth="1"/>
    <col min="13" max="13" width="12.5703125" bestFit="1" customWidth="1"/>
    <col min="14" max="15" width="12.7109375" bestFit="1" customWidth="1"/>
    <col min="16" max="16" width="14.5703125" bestFit="1" customWidth="1"/>
    <col min="17" max="18" width="12.7109375" bestFit="1" customWidth="1"/>
    <col min="19" max="19" width="13.28515625" bestFit="1" customWidth="1"/>
    <col min="20" max="20" width="12.85546875" bestFit="1" customWidth="1"/>
    <col min="22" max="22" width="11.85546875" bestFit="1" customWidth="1"/>
    <col min="28" max="28" width="10.85546875" bestFit="1" customWidth="1"/>
  </cols>
  <sheetData>
    <row r="1" spans="1:23" ht="15">
      <c r="A1" s="61" t="s">
        <v>72</v>
      </c>
      <c r="Q1" s="45" t="s">
        <v>366</v>
      </c>
      <c r="R1" s="233">
        <f>Q2</f>
        <v>500000</v>
      </c>
      <c r="S1" s="233">
        <f>R2</f>
        <v>6000000</v>
      </c>
    </row>
    <row r="2" spans="1:23">
      <c r="E2" s="320"/>
      <c r="F2" s="320"/>
      <c r="G2" s="320"/>
      <c r="H2" s="320"/>
      <c r="I2" s="320"/>
      <c r="J2" s="320"/>
      <c r="K2" s="320"/>
      <c r="L2" s="320"/>
      <c r="M2" s="320"/>
      <c r="N2" s="320"/>
      <c r="O2" s="320"/>
      <c r="P2" s="35" t="s">
        <v>400</v>
      </c>
      <c r="Q2" s="154">
        <v>500000</v>
      </c>
      <c r="R2" s="154">
        <v>6000000</v>
      </c>
      <c r="S2" s="234">
        <v>99999999</v>
      </c>
    </row>
    <row r="3" spans="1:23">
      <c r="A3" s="116" t="s">
        <v>401</v>
      </c>
      <c r="B3" s="116"/>
      <c r="C3" s="422" t="s">
        <v>74</v>
      </c>
      <c r="D3" s="414">
        <v>43466</v>
      </c>
      <c r="E3" s="553">
        <v>43497</v>
      </c>
      <c r="F3" s="553">
        <v>43525</v>
      </c>
      <c r="G3" s="553">
        <v>43556</v>
      </c>
      <c r="H3" s="553">
        <v>43586</v>
      </c>
      <c r="I3" s="553">
        <v>43617</v>
      </c>
      <c r="J3" s="553">
        <v>43647</v>
      </c>
      <c r="K3" s="553">
        <v>43678</v>
      </c>
      <c r="L3" s="553">
        <v>43709</v>
      </c>
      <c r="M3" s="553">
        <v>43739</v>
      </c>
      <c r="N3" s="553">
        <v>43770</v>
      </c>
      <c r="O3" s="553">
        <v>43800</v>
      </c>
      <c r="P3" s="35" t="s">
        <v>66</v>
      </c>
      <c r="Q3" s="235" t="s">
        <v>367</v>
      </c>
      <c r="R3" s="235" t="s">
        <v>367</v>
      </c>
      <c r="S3" s="235" t="s">
        <v>367</v>
      </c>
    </row>
    <row r="4" spans="1:23">
      <c r="A4">
        <v>1</v>
      </c>
      <c r="B4" s="700"/>
      <c r="C4" s="658" t="s">
        <v>771</v>
      </c>
      <c r="D4" s="550">
        <v>6430355.4000000004</v>
      </c>
      <c r="E4" s="550">
        <v>5834220</v>
      </c>
      <c r="F4" s="550">
        <v>6772222.7999999998</v>
      </c>
      <c r="G4" s="550">
        <v>5461138.2000000002</v>
      </c>
      <c r="H4" s="550">
        <v>6566826</v>
      </c>
      <c r="I4" s="550">
        <v>6641355</v>
      </c>
      <c r="J4" s="551">
        <v>6479961.5999999996</v>
      </c>
      <c r="K4" s="551">
        <v>6676870.2000000002</v>
      </c>
      <c r="L4" s="551">
        <v>6590295.5999999996</v>
      </c>
      <c r="M4" s="542">
        <v>4241370</v>
      </c>
      <c r="N4" s="542">
        <v>3978168.6</v>
      </c>
      <c r="O4" s="542">
        <v>3647007</v>
      </c>
      <c r="P4" s="37">
        <f t="shared" ref="P4:P24" si="0">SUM(D4:O4)</f>
        <v>69319790.400000006</v>
      </c>
      <c r="Q4" s="172">
        <f>Q$2*12-SUMPRODUCT(--($D4:$O4&lt;=Q$2),Q$2-$D4:$O4)</f>
        <v>6000000</v>
      </c>
      <c r="R4" s="172">
        <f>R$2*12-SUM($Q4:Q4)-SUMPRODUCT(--($D4:$O4&lt;=R$2),R$2-$D4:$O4)</f>
        <v>59161903.799999997</v>
      </c>
      <c r="S4" s="172">
        <f>S$2*12-SUM($Q4:R4)-SUMPRODUCT(--($D4:$O4&lt;=S$2),S$2-$D4:$O4)</f>
        <v>4157886.6000001431</v>
      </c>
    </row>
    <row r="5" spans="1:23">
      <c r="A5">
        <v>2</v>
      </c>
      <c r="B5" s="700"/>
      <c r="C5" s="658" t="s">
        <v>772</v>
      </c>
      <c r="D5" s="550">
        <v>2489222.4</v>
      </c>
      <c r="E5" s="550">
        <v>2924871.6</v>
      </c>
      <c r="F5" s="550">
        <v>3069759</v>
      </c>
      <c r="G5" s="550">
        <v>2967686.4</v>
      </c>
      <c r="H5" s="550">
        <v>2938063.8</v>
      </c>
      <c r="I5" s="550">
        <v>2839666.2</v>
      </c>
      <c r="J5" s="551">
        <v>2858247</v>
      </c>
      <c r="K5" s="551">
        <v>2982000</v>
      </c>
      <c r="L5" s="551">
        <v>2826234.6</v>
      </c>
      <c r="M5" s="542">
        <v>2987325.6</v>
      </c>
      <c r="N5" s="542">
        <v>2858725.8</v>
      </c>
      <c r="O5" s="542">
        <v>2088534</v>
      </c>
      <c r="P5" s="37">
        <f t="shared" si="0"/>
        <v>33830336.400000006</v>
      </c>
      <c r="Q5" s="172">
        <f t="shared" ref="Q5:Q24" si="1">Q$2*12-SUMPRODUCT(--($D5:$O5&lt;=Q$2),Q$2-$D5:$O5)</f>
        <v>6000000</v>
      </c>
      <c r="R5" s="172">
        <f>R$2*12-SUM($Q5:Q5)-SUMPRODUCT(--($D5:$O5&lt;=R$2),R$2-$D5:$O5)</f>
        <v>27830336.399999999</v>
      </c>
      <c r="S5" s="172">
        <f>S$2*12-SUM($Q5:R5)-SUMPRODUCT(--($D5:$O5&lt;=S$2),S$2-$D5:$O5)</f>
        <v>0</v>
      </c>
    </row>
    <row r="6" spans="1:23">
      <c r="A6">
        <v>3</v>
      </c>
      <c r="B6" s="700"/>
      <c r="C6" s="658" t="s">
        <v>773</v>
      </c>
      <c r="D6" s="550">
        <v>1540777</v>
      </c>
      <c r="E6" s="550">
        <v>1346983.4</v>
      </c>
      <c r="F6" s="550">
        <v>1473201.8</v>
      </c>
      <c r="G6" s="550">
        <v>1247283.8</v>
      </c>
      <c r="H6" s="550">
        <v>1264634</v>
      </c>
      <c r="I6" s="550">
        <v>1231641.6000000001</v>
      </c>
      <c r="J6" s="551">
        <v>1276636.2</v>
      </c>
      <c r="K6" s="551">
        <v>1211726.6000000001</v>
      </c>
      <c r="L6" s="551">
        <v>1230002.2</v>
      </c>
      <c r="M6" s="542">
        <v>1437599.8</v>
      </c>
      <c r="N6" s="542">
        <v>1268366.3999999999</v>
      </c>
      <c r="O6" s="542">
        <v>1327428.2</v>
      </c>
      <c r="P6" s="37">
        <f t="shared" si="0"/>
        <v>15856280.999999998</v>
      </c>
      <c r="Q6" s="172">
        <f t="shared" si="1"/>
        <v>6000000</v>
      </c>
      <c r="R6" s="172">
        <f>R$2*12-SUM($Q6:Q6)-SUMPRODUCT(--($D6:$O6&lt;=R$2),R$2-$D6:$O6)</f>
        <v>9856281</v>
      </c>
      <c r="S6" s="172">
        <f>S$2*12-SUM($Q6:R6)-SUMPRODUCT(--($D6:$O6&lt;=S$2),S$2-$D6:$O6)</f>
        <v>0</v>
      </c>
    </row>
    <row r="7" spans="1:23">
      <c r="A7">
        <v>4</v>
      </c>
      <c r="B7" s="700"/>
      <c r="C7" s="658" t="s">
        <v>774</v>
      </c>
      <c r="D7" s="550">
        <v>1352948.1</v>
      </c>
      <c r="E7" s="550">
        <v>1264439.3999999999</v>
      </c>
      <c r="F7" s="550">
        <v>1402041.9</v>
      </c>
      <c r="G7" s="550">
        <v>1231146</v>
      </c>
      <c r="H7" s="550">
        <v>1287875.3999999999</v>
      </c>
      <c r="I7" s="550">
        <v>1221032.3999999999</v>
      </c>
      <c r="J7" s="551">
        <v>1295525.7</v>
      </c>
      <c r="K7" s="551">
        <v>1267560</v>
      </c>
      <c r="L7" s="550">
        <v>1223764.504</v>
      </c>
      <c r="M7" s="542">
        <v>1341954.6000000001</v>
      </c>
      <c r="N7" s="542">
        <v>1374168.6</v>
      </c>
      <c r="O7" s="541">
        <v>1435293.3</v>
      </c>
      <c r="P7" s="37">
        <f t="shared" si="0"/>
        <v>15697749.904000001</v>
      </c>
      <c r="Q7" s="172">
        <f t="shared" si="1"/>
        <v>6000000</v>
      </c>
      <c r="R7" s="172">
        <f>R$2*12-SUM($Q7:Q7)-SUMPRODUCT(--($D7:$O7&lt;=R$2),R$2-$D7:$O7)</f>
        <v>9697749.9039999917</v>
      </c>
      <c r="S7" s="172">
        <f>S$2*12-SUM($Q7:R7)-SUMPRODUCT(--($D7:$O7&lt;=S$2),S$2-$D7:$O7)</f>
        <v>0</v>
      </c>
    </row>
    <row r="8" spans="1:23">
      <c r="A8">
        <v>5</v>
      </c>
      <c r="B8" s="700"/>
      <c r="C8" s="658" t="s">
        <v>775</v>
      </c>
      <c r="D8" s="550">
        <v>1702092</v>
      </c>
      <c r="E8" s="550">
        <v>1591291.8</v>
      </c>
      <c r="F8" s="550">
        <v>1673399.7</v>
      </c>
      <c r="G8" s="550">
        <v>1630085.1</v>
      </c>
      <c r="H8" s="550">
        <v>1897795.2</v>
      </c>
      <c r="I8" s="550">
        <v>1883613.9</v>
      </c>
      <c r="J8" s="551">
        <v>2068525.2</v>
      </c>
      <c r="K8" s="551">
        <v>2152669.0499999998</v>
      </c>
      <c r="L8" s="551">
        <v>1809992.1</v>
      </c>
      <c r="M8" s="542">
        <v>1622814.9</v>
      </c>
      <c r="N8" s="542">
        <v>1526811.3</v>
      </c>
      <c r="O8" s="542">
        <v>1680707.7</v>
      </c>
      <c r="P8" s="37">
        <f t="shared" si="0"/>
        <v>21239797.949999999</v>
      </c>
      <c r="Q8" s="172">
        <f t="shared" si="1"/>
        <v>6000000</v>
      </c>
      <c r="R8" s="172">
        <f>R$2*12-SUM($Q8:Q8)-SUMPRODUCT(--($D8:$O8&lt;=R$2),R$2-$D8:$O8)</f>
        <v>15239797.949999996</v>
      </c>
      <c r="S8" s="172">
        <f>S$2*12-SUM($Q8:R8)-SUMPRODUCT(--($D8:$O8&lt;=S$2),S$2-$D8:$O8)</f>
        <v>0</v>
      </c>
    </row>
    <row r="9" spans="1:23">
      <c r="A9">
        <v>6</v>
      </c>
      <c r="B9" s="700"/>
      <c r="C9" s="658" t="s">
        <v>776</v>
      </c>
      <c r="D9" s="550">
        <v>2304565.2000000002</v>
      </c>
      <c r="E9" s="550">
        <v>2401187.6</v>
      </c>
      <c r="F9" s="550">
        <v>2216379.2000000002</v>
      </c>
      <c r="G9" s="550">
        <v>2001342</v>
      </c>
      <c r="H9" s="550">
        <v>1765531.6</v>
      </c>
      <c r="I9" s="550">
        <v>1635488.4</v>
      </c>
      <c r="J9" s="551">
        <v>1831124.4</v>
      </c>
      <c r="K9" s="551">
        <v>2051921.2</v>
      </c>
      <c r="L9" s="551">
        <v>2065095.2</v>
      </c>
      <c r="M9" s="542">
        <v>2194743.6</v>
      </c>
      <c r="N9" s="542">
        <v>2178733.2000000002</v>
      </c>
      <c r="O9" s="542">
        <v>2139620</v>
      </c>
      <c r="P9" s="37">
        <f t="shared" si="0"/>
        <v>24785731.600000001</v>
      </c>
      <c r="Q9" s="172">
        <f t="shared" si="1"/>
        <v>6000000</v>
      </c>
      <c r="R9" s="172">
        <f>R$2*12-SUM($Q9:Q9)-SUMPRODUCT(--($D9:$O9&lt;=R$2),R$2-$D9:$O9)</f>
        <v>18785731.600000001</v>
      </c>
      <c r="S9" s="172">
        <f>S$2*12-SUM($Q9:R9)-SUMPRODUCT(--($D9:$O9&lt;=S$2),S$2-$D9:$O9)</f>
        <v>0</v>
      </c>
    </row>
    <row r="10" spans="1:23">
      <c r="A10">
        <v>7</v>
      </c>
      <c r="B10" s="700"/>
      <c r="C10" s="658" t="s">
        <v>777</v>
      </c>
      <c r="D10" s="550">
        <v>1228851.3999999999</v>
      </c>
      <c r="E10" s="550">
        <v>1108142</v>
      </c>
      <c r="F10" s="550">
        <v>1209637.8</v>
      </c>
      <c r="G10" s="550">
        <v>1196998.6000000001</v>
      </c>
      <c r="H10" s="550">
        <v>1275577.8</v>
      </c>
      <c r="I10" s="550">
        <v>1274086.8</v>
      </c>
      <c r="J10" s="551">
        <v>1361623.2</v>
      </c>
      <c r="K10" s="550">
        <v>1441545</v>
      </c>
      <c r="L10" s="551">
        <v>1281733.6000000001</v>
      </c>
      <c r="M10" s="542">
        <v>1280935.6000000001</v>
      </c>
      <c r="N10" s="542">
        <v>1253442.3999999999</v>
      </c>
      <c r="O10" s="542">
        <v>1206101.3999999999</v>
      </c>
      <c r="P10" s="37">
        <f t="shared" si="0"/>
        <v>15118675.6</v>
      </c>
      <c r="Q10" s="172">
        <f t="shared" si="1"/>
        <v>6000000</v>
      </c>
      <c r="R10" s="172">
        <f>R$2*12-SUM($Q10:Q10)-SUMPRODUCT(--($D10:$O10&lt;=R$2),R$2-$D10:$O10)</f>
        <v>9118675.599999994</v>
      </c>
      <c r="S10" s="172">
        <f>S$2*12-SUM($Q10:R10)-SUMPRODUCT(--($D10:$O10&lt;=S$2),S$2-$D10:$O10)</f>
        <v>0</v>
      </c>
    </row>
    <row r="11" spans="1:23">
      <c r="A11">
        <v>8</v>
      </c>
      <c r="B11" s="700"/>
      <c r="C11" s="658" t="s">
        <v>778</v>
      </c>
      <c r="D11" s="550">
        <v>1014295.8</v>
      </c>
      <c r="E11" s="550">
        <v>920665.2</v>
      </c>
      <c r="F11" s="550">
        <v>1040461.8</v>
      </c>
      <c r="G11" s="550">
        <v>1028403.6</v>
      </c>
      <c r="H11" s="550">
        <v>1090068</v>
      </c>
      <c r="I11" s="550">
        <v>1089215.3999999999</v>
      </c>
      <c r="J11" s="550">
        <v>1102201.8</v>
      </c>
      <c r="K11" s="551">
        <v>1142723.3999999999</v>
      </c>
      <c r="L11" s="551">
        <v>1004530.8</v>
      </c>
      <c r="M11" s="541">
        <v>1109871</v>
      </c>
      <c r="N11" s="542">
        <v>957184.2</v>
      </c>
      <c r="O11" s="542">
        <v>1008655.2</v>
      </c>
      <c r="P11" s="37">
        <f t="shared" si="0"/>
        <v>12508276.199999999</v>
      </c>
      <c r="Q11" s="172">
        <f t="shared" si="1"/>
        <v>6000000</v>
      </c>
      <c r="R11" s="172">
        <f>R$2*12-SUM($Q11:Q11)-SUMPRODUCT(--($D11:$O11&lt;=R$2),R$2-$D11:$O11)</f>
        <v>6508276.1999999955</v>
      </c>
      <c r="S11" s="172">
        <f>S$2*12-SUM($Q11:R11)-SUMPRODUCT(--($D11:$O11&lt;=S$2),S$2-$D11:$O11)</f>
        <v>0</v>
      </c>
    </row>
    <row r="12" spans="1:23">
      <c r="A12">
        <v>9</v>
      </c>
      <c r="B12" s="700"/>
      <c r="C12" s="658" t="s">
        <v>779</v>
      </c>
      <c r="D12" s="749"/>
      <c r="E12" s="749"/>
      <c r="F12" s="749"/>
      <c r="G12" s="748"/>
      <c r="H12" s="748"/>
      <c r="I12" s="748"/>
      <c r="J12" s="748"/>
      <c r="K12" s="748"/>
      <c r="L12" s="748"/>
      <c r="M12" s="748"/>
      <c r="N12" s="748"/>
      <c r="O12" s="748"/>
      <c r="P12" s="37">
        <f t="shared" si="0"/>
        <v>0</v>
      </c>
      <c r="Q12" s="172">
        <f t="shared" si="1"/>
        <v>0</v>
      </c>
      <c r="R12" s="172">
        <f>R$2*12-SUM($Q12:Q12)-SUMPRODUCT(--($D12:$O12&lt;=R$2),R$2-$D12:$O12)</f>
        <v>0</v>
      </c>
      <c r="S12" s="172">
        <f>S$2*12-SUM($Q12:R12)-SUMPRODUCT(--($D12:$O12&lt;=S$2),S$2-$D12:$O12)</f>
        <v>0</v>
      </c>
      <c r="V12" s="220">
        <f>P12*0.00205</f>
        <v>0</v>
      </c>
      <c r="W12" s="422" t="s">
        <v>916</v>
      </c>
    </row>
    <row r="13" spans="1:23">
      <c r="A13">
        <v>10</v>
      </c>
      <c r="B13" s="700"/>
      <c r="C13" s="658" t="s">
        <v>780</v>
      </c>
      <c r="D13" s="550">
        <v>5425757.4000000004</v>
      </c>
      <c r="E13" s="550">
        <v>4067649.6</v>
      </c>
      <c r="F13" s="550">
        <v>5397126</v>
      </c>
      <c r="G13" s="550">
        <v>4048065</v>
      </c>
      <c r="H13" s="550">
        <v>5523718.2000000002</v>
      </c>
      <c r="I13" s="550">
        <v>5344491.5999999996</v>
      </c>
      <c r="J13" s="551">
        <v>5579019.5999999996</v>
      </c>
      <c r="K13" s="551">
        <v>5677425.5999999996</v>
      </c>
      <c r="L13" s="551">
        <v>5432989.7999999998</v>
      </c>
      <c r="M13" s="542">
        <v>5384127</v>
      </c>
      <c r="N13" s="542">
        <v>4750036.2</v>
      </c>
      <c r="O13" s="542">
        <v>4830865.2</v>
      </c>
      <c r="P13" s="37">
        <f t="shared" si="0"/>
        <v>61461271.200000003</v>
      </c>
      <c r="Q13" s="172">
        <f t="shared" si="1"/>
        <v>6000000</v>
      </c>
      <c r="R13" s="172">
        <f>R$2*12-SUM($Q13:Q13)-SUMPRODUCT(--($D13:$O13&lt;=R$2),R$2-$D13:$O13)</f>
        <v>55461271.200000003</v>
      </c>
      <c r="S13" s="172">
        <f>S$2*12-SUM($Q13:R13)-SUMPRODUCT(--($D13:$O13&lt;=S$2),S$2-$D13:$O13)</f>
        <v>0</v>
      </c>
    </row>
    <row r="14" spans="1:23">
      <c r="A14">
        <v>11</v>
      </c>
      <c r="B14" s="700"/>
      <c r="C14" s="658" t="s">
        <v>781</v>
      </c>
      <c r="D14" s="550">
        <v>5699153.5999999996</v>
      </c>
      <c r="E14" s="550">
        <v>4675479.2</v>
      </c>
      <c r="F14" s="550">
        <v>5387804.7999999998</v>
      </c>
      <c r="G14" s="550">
        <v>3086608</v>
      </c>
      <c r="H14" s="550">
        <v>5451588.7999999998</v>
      </c>
      <c r="I14" s="550">
        <v>5317446.4000000004</v>
      </c>
      <c r="J14" s="551">
        <v>5464401.5999999996</v>
      </c>
      <c r="K14" s="551">
        <v>5389888</v>
      </c>
      <c r="L14" s="551">
        <v>4830078.4000000004</v>
      </c>
      <c r="M14" s="542">
        <v>5042686.5999999996</v>
      </c>
      <c r="N14" s="542">
        <v>3148917.8</v>
      </c>
      <c r="O14" s="542">
        <v>4548415.2</v>
      </c>
      <c r="P14" s="37">
        <f t="shared" si="0"/>
        <v>58042468.400000006</v>
      </c>
      <c r="Q14" s="172">
        <f t="shared" si="1"/>
        <v>6000000</v>
      </c>
      <c r="R14" s="172">
        <f>R$2*12-SUM($Q14:Q14)-SUMPRODUCT(--($D14:$O14&lt;=R$2),R$2-$D14:$O14)</f>
        <v>52042468.399999999</v>
      </c>
      <c r="S14" s="172">
        <f>S$2*12-SUM($Q14:R14)-SUMPRODUCT(--($D14:$O14&lt;=S$2),S$2-$D14:$O14)</f>
        <v>0</v>
      </c>
    </row>
    <row r="15" spans="1:23">
      <c r="A15">
        <v>12</v>
      </c>
      <c r="B15" s="700"/>
      <c r="C15" s="658" t="s">
        <v>782</v>
      </c>
      <c r="D15" s="550">
        <v>3145375.8</v>
      </c>
      <c r="E15" s="550">
        <v>2906864.1</v>
      </c>
      <c r="F15" s="550">
        <v>3123668.1</v>
      </c>
      <c r="G15" s="550">
        <v>3080977.2</v>
      </c>
      <c r="H15" s="550">
        <v>3501913.8</v>
      </c>
      <c r="I15" s="550">
        <v>3576136.2</v>
      </c>
      <c r="J15" s="550">
        <v>3982116.6</v>
      </c>
      <c r="K15" s="550">
        <v>4114332.6</v>
      </c>
      <c r="L15" s="550">
        <v>3464176.8</v>
      </c>
      <c r="M15" s="541">
        <v>3097831.8</v>
      </c>
      <c r="N15" s="541">
        <v>2982909.3</v>
      </c>
      <c r="O15" s="541">
        <v>3113638.5</v>
      </c>
      <c r="P15" s="37">
        <f t="shared" si="0"/>
        <v>40089940.799999997</v>
      </c>
      <c r="Q15" s="172">
        <f t="shared" si="1"/>
        <v>6000000</v>
      </c>
      <c r="R15" s="172">
        <f>R$2*12-SUM($Q15:Q15)-SUMPRODUCT(--($D15:$O15&lt;=R$2),R$2-$D15:$O15)</f>
        <v>34089940.800000004</v>
      </c>
      <c r="S15" s="172">
        <f>S$2*12-SUM($Q15:R15)-SUMPRODUCT(--($D15:$O15&lt;=S$2),S$2-$D15:$O15)</f>
        <v>0</v>
      </c>
    </row>
    <row r="16" spans="1:23">
      <c r="A16">
        <v>13</v>
      </c>
      <c r="B16" s="700"/>
      <c r="C16" s="658" t="s">
        <v>783</v>
      </c>
      <c r="D16" s="550">
        <v>908495.7</v>
      </c>
      <c r="E16" s="550">
        <v>840762.3</v>
      </c>
      <c r="F16" s="550">
        <v>892970.4</v>
      </c>
      <c r="G16" s="550">
        <v>907827.9</v>
      </c>
      <c r="H16" s="550">
        <v>1046360.7</v>
      </c>
      <c r="I16" s="550">
        <v>1030852.2</v>
      </c>
      <c r="J16" s="551">
        <v>1122424.8</v>
      </c>
      <c r="K16" s="551">
        <v>1142553.3</v>
      </c>
      <c r="L16" s="551">
        <v>998959.5</v>
      </c>
      <c r="M16" s="542">
        <v>891912</v>
      </c>
      <c r="N16" s="542">
        <v>850724.7</v>
      </c>
      <c r="O16" s="542">
        <v>890435.7</v>
      </c>
      <c r="P16" s="37">
        <f t="shared" si="0"/>
        <v>11524279.199999999</v>
      </c>
      <c r="Q16" s="172">
        <f t="shared" si="1"/>
        <v>6000000</v>
      </c>
      <c r="R16" s="172">
        <f>R$2*12-SUM($Q16:Q16)-SUMPRODUCT(--($D16:$O16&lt;=R$2),R$2-$D16:$O16)</f>
        <v>5524279.200000003</v>
      </c>
      <c r="S16" s="172">
        <f>S$2*12-SUM($Q16:R16)-SUMPRODUCT(--($D16:$O16&lt;=S$2),S$2-$D16:$O16)</f>
        <v>0</v>
      </c>
    </row>
    <row r="17" spans="1:19">
      <c r="A17">
        <v>14</v>
      </c>
      <c r="B17" s="700"/>
      <c r="C17" s="659" t="s">
        <v>784</v>
      </c>
      <c r="D17" s="550">
        <v>1041768</v>
      </c>
      <c r="E17" s="550">
        <v>961987.2</v>
      </c>
      <c r="F17" s="550">
        <v>979598.4</v>
      </c>
      <c r="G17" s="550">
        <v>998028</v>
      </c>
      <c r="H17" s="550">
        <v>1073128.8</v>
      </c>
      <c r="I17" s="550">
        <v>963899.4</v>
      </c>
      <c r="J17" s="551">
        <v>1020265.2</v>
      </c>
      <c r="K17" s="551">
        <v>951238.2</v>
      </c>
      <c r="L17" s="551">
        <v>939187.19999999995</v>
      </c>
      <c r="M17" s="541">
        <v>1032136.8</v>
      </c>
      <c r="N17" s="541">
        <v>791913</v>
      </c>
      <c r="O17" s="541">
        <v>874927.2</v>
      </c>
      <c r="P17" s="37">
        <f t="shared" si="0"/>
        <v>11628077.4</v>
      </c>
      <c r="Q17" s="172">
        <f t="shared" si="1"/>
        <v>6000000</v>
      </c>
      <c r="R17" s="172">
        <f>R$2*12-SUM($Q17:Q17)-SUMPRODUCT(--($D17:$O17&lt;=R$2),R$2-$D17:$O17)</f>
        <v>5628077.4000000134</v>
      </c>
      <c r="S17" s="172">
        <f>S$2*12-SUM($Q17:R17)-SUMPRODUCT(--($D17:$O17&lt;=S$2),S$2-$D17:$O17)</f>
        <v>0</v>
      </c>
    </row>
    <row r="18" spans="1:19">
      <c r="A18">
        <v>15</v>
      </c>
      <c r="B18" s="700"/>
      <c r="C18" s="658" t="s">
        <v>785</v>
      </c>
      <c r="D18" s="748"/>
      <c r="E18" s="748"/>
      <c r="F18" s="748"/>
      <c r="G18" s="748"/>
      <c r="H18" s="748"/>
      <c r="I18" s="748"/>
      <c r="J18" s="748"/>
      <c r="K18" s="748"/>
      <c r="L18" s="748"/>
      <c r="M18" s="749"/>
      <c r="N18" s="749"/>
      <c r="O18" s="749"/>
      <c r="P18" s="37">
        <f t="shared" si="0"/>
        <v>0</v>
      </c>
      <c r="Q18" s="172">
        <f t="shared" si="1"/>
        <v>0</v>
      </c>
      <c r="R18" s="172">
        <f>R$2*12-SUM($Q18:Q18)-SUMPRODUCT(--($D18:$O18&lt;=R$2),R$2-$D18:$O18)</f>
        <v>0</v>
      </c>
      <c r="S18" s="172">
        <f>S$2*12-SUM($Q18:R18)-SUMPRODUCT(--($D18:$O18&lt;=S$2),S$2-$D18:$O18)</f>
        <v>0</v>
      </c>
    </row>
    <row r="19" spans="1:19">
      <c r="A19">
        <v>16</v>
      </c>
      <c r="B19" s="700"/>
      <c r="C19" s="658" t="s">
        <v>786</v>
      </c>
      <c r="D19" s="550">
        <v>2443134.4</v>
      </c>
      <c r="E19" s="550">
        <v>2144335.2000000002</v>
      </c>
      <c r="F19" s="550">
        <v>2337361.6</v>
      </c>
      <c r="G19" s="550">
        <v>2038019.2</v>
      </c>
      <c r="H19" s="550">
        <v>1872600.8</v>
      </c>
      <c r="I19" s="550">
        <v>1966053.6</v>
      </c>
      <c r="J19" s="551">
        <v>2046626.4</v>
      </c>
      <c r="K19" s="551">
        <v>1872029.6</v>
      </c>
      <c r="L19" s="551">
        <v>1706678.4</v>
      </c>
      <c r="M19" s="542">
        <v>2161275.2000000002</v>
      </c>
      <c r="N19" s="542">
        <v>2097821.6</v>
      </c>
      <c r="O19" s="542">
        <v>2095228.8</v>
      </c>
      <c r="P19" s="37">
        <f t="shared" si="0"/>
        <v>24781164.800000001</v>
      </c>
      <c r="Q19" s="172">
        <f t="shared" si="1"/>
        <v>6000000</v>
      </c>
      <c r="R19" s="172">
        <f>R$2*12-SUM($Q19:Q19)-SUMPRODUCT(--($D19:$O19&lt;=R$2),R$2-$D19:$O19)</f>
        <v>18781164.800000004</v>
      </c>
      <c r="S19" s="172">
        <f>S$2*12-SUM($Q19:R19)-SUMPRODUCT(--($D19:$O19&lt;=S$2),S$2-$D19:$O19)</f>
        <v>0</v>
      </c>
    </row>
    <row r="20" spans="1:19">
      <c r="A20">
        <v>17</v>
      </c>
      <c r="B20" s="700"/>
      <c r="C20" s="658" t="s">
        <v>787</v>
      </c>
      <c r="D20" s="550">
        <v>2625235.2000000002</v>
      </c>
      <c r="E20" s="550">
        <v>2513677.6</v>
      </c>
      <c r="F20" s="550">
        <v>2712830.4</v>
      </c>
      <c r="G20" s="550">
        <v>2454127.2000000002</v>
      </c>
      <c r="H20" s="550">
        <v>2385269.6</v>
      </c>
      <c r="I20" s="550">
        <v>2260983.2000000002</v>
      </c>
      <c r="J20" s="551">
        <v>2338896</v>
      </c>
      <c r="K20" s="551">
        <v>2448112.7999999998</v>
      </c>
      <c r="L20" s="550">
        <v>2425589.6</v>
      </c>
      <c r="M20" s="542">
        <v>2592273.6</v>
      </c>
      <c r="N20" s="542">
        <v>2521019.2000000002</v>
      </c>
      <c r="O20" s="541">
        <v>2595868.7999999998</v>
      </c>
      <c r="P20" s="37">
        <f t="shared" si="0"/>
        <v>29873883.200000007</v>
      </c>
      <c r="Q20" s="172">
        <f t="shared" si="1"/>
        <v>6000000</v>
      </c>
      <c r="R20" s="172">
        <f>R$2*12-SUM($Q20:Q20)-SUMPRODUCT(--($D20:$O20&lt;=R$2),R$2-$D20:$O20)</f>
        <v>23873883.200000003</v>
      </c>
      <c r="S20" s="172">
        <f>S$2*12-SUM($Q20:R20)-SUMPRODUCT(--($D20:$O20&lt;=S$2),S$2-$D20:$O20)</f>
        <v>0</v>
      </c>
    </row>
    <row r="21" spans="1:19">
      <c r="A21">
        <v>18</v>
      </c>
      <c r="B21" s="700"/>
      <c r="C21" s="658" t="s">
        <v>788</v>
      </c>
      <c r="D21" s="550">
        <v>4074088.47</v>
      </c>
      <c r="E21" s="550">
        <v>3735432.08</v>
      </c>
      <c r="F21" s="550">
        <v>3894820</v>
      </c>
      <c r="G21" s="550">
        <v>3475766.9</v>
      </c>
      <c r="H21" s="550">
        <v>3975953.7</v>
      </c>
      <c r="I21" s="550">
        <v>4146438.3</v>
      </c>
      <c r="J21" s="551">
        <v>4743233.49</v>
      </c>
      <c r="K21" s="551">
        <v>5200295.8899999997</v>
      </c>
      <c r="L21" s="551">
        <v>4225127.6900000004</v>
      </c>
      <c r="M21" s="542">
        <v>3955310.27</v>
      </c>
      <c r="N21" s="542">
        <v>4073921.27</v>
      </c>
      <c r="O21" s="541">
        <v>4189061</v>
      </c>
      <c r="P21" s="37">
        <f t="shared" si="0"/>
        <v>49689449.06000001</v>
      </c>
      <c r="Q21" s="172">
        <f t="shared" si="1"/>
        <v>6000000</v>
      </c>
      <c r="R21" s="172">
        <f>R$2*12-SUM($Q21:Q21)-SUMPRODUCT(--($D21:$O21&lt;=R$2),R$2-$D21:$O21)</f>
        <v>43689449.060000002</v>
      </c>
      <c r="S21" s="172">
        <f>S$2*12-SUM($Q21:R21)-SUMPRODUCT(--($D21:$O21&lt;=S$2),S$2-$D21:$O21)</f>
        <v>0</v>
      </c>
    </row>
    <row r="22" spans="1:19">
      <c r="A22">
        <v>19</v>
      </c>
      <c r="B22" s="700"/>
      <c r="C22" s="658" t="s">
        <v>789</v>
      </c>
      <c r="D22" s="550">
        <v>3338542.2</v>
      </c>
      <c r="E22" s="550">
        <v>3082228.8</v>
      </c>
      <c r="F22" s="550">
        <v>3179446.2</v>
      </c>
      <c r="G22" s="550">
        <v>2963473.8</v>
      </c>
      <c r="H22" s="550">
        <v>2905484.4</v>
      </c>
      <c r="I22" s="550">
        <v>2736304.2</v>
      </c>
      <c r="J22" s="551">
        <v>2831325</v>
      </c>
      <c r="K22" s="551">
        <v>2882762.4010000001</v>
      </c>
      <c r="L22" s="551">
        <v>2935837.8</v>
      </c>
      <c r="M22" s="542">
        <v>3192197.4</v>
      </c>
      <c r="N22" s="542">
        <v>3254874</v>
      </c>
      <c r="O22" s="542">
        <v>3400227.6</v>
      </c>
      <c r="P22" s="37">
        <f t="shared" si="0"/>
        <v>36702703.800999999</v>
      </c>
      <c r="Q22" s="172">
        <f t="shared" si="1"/>
        <v>6000000</v>
      </c>
      <c r="R22" s="172">
        <f>R$2*12-SUM($Q22:Q22)-SUMPRODUCT(--($D22:$O22&lt;=R$2),R$2-$D22:$O22)</f>
        <v>30702703.800999999</v>
      </c>
      <c r="S22" s="172">
        <f>S$2*12-SUM($Q22:R22)-SUMPRODUCT(--($D22:$O22&lt;=S$2),S$2-$D22:$O22)</f>
        <v>0</v>
      </c>
    </row>
    <row r="23" spans="1:19">
      <c r="A23">
        <v>20</v>
      </c>
      <c r="B23" s="700"/>
      <c r="C23" s="658" t="s">
        <v>790</v>
      </c>
      <c r="D23" s="635">
        <v>3026576</v>
      </c>
      <c r="E23" s="635">
        <v>2990184</v>
      </c>
      <c r="F23" s="635">
        <v>3046976</v>
      </c>
      <c r="G23" s="635">
        <v>2713032</v>
      </c>
      <c r="H23" s="635">
        <v>2616832</v>
      </c>
      <c r="I23" s="635">
        <v>2535008</v>
      </c>
      <c r="J23" s="635">
        <v>2541848</v>
      </c>
      <c r="K23" s="635">
        <v>2592288</v>
      </c>
      <c r="L23" s="635">
        <v>2438608</v>
      </c>
      <c r="M23" s="634">
        <v>2575288</v>
      </c>
      <c r="N23" s="634">
        <v>2593312</v>
      </c>
      <c r="O23" s="634">
        <v>2605920</v>
      </c>
      <c r="P23" s="37">
        <f t="shared" si="0"/>
        <v>32275872</v>
      </c>
      <c r="Q23" s="172">
        <f t="shared" si="1"/>
        <v>6000000</v>
      </c>
      <c r="R23" s="172">
        <f>R$2*12-SUM($Q23:Q23)-SUMPRODUCT(--($D23:$O23&lt;=R$2),R$2-$D23:$O23)</f>
        <v>26275872</v>
      </c>
      <c r="S23" s="172">
        <f>S$2*12-SUM($Q23:R23)-SUMPRODUCT(--($D23:$O23&lt;=S$2),S$2-$D23:$O23)</f>
        <v>0</v>
      </c>
    </row>
    <row r="24" spans="1:19">
      <c r="A24">
        <v>21</v>
      </c>
      <c r="B24" s="700"/>
      <c r="C24" s="658" t="s">
        <v>791</v>
      </c>
      <c r="D24" s="635">
        <v>2366302.4</v>
      </c>
      <c r="E24" s="635">
        <v>2198089.6</v>
      </c>
      <c r="F24" s="635">
        <v>2276612.7999999998</v>
      </c>
      <c r="G24" s="635">
        <v>2306925.6</v>
      </c>
      <c r="H24" s="635">
        <v>2288518.4</v>
      </c>
      <c r="I24" s="635">
        <v>2609135.2000000002</v>
      </c>
      <c r="J24" s="635">
        <v>3090948</v>
      </c>
      <c r="K24" s="635">
        <v>3605996.8</v>
      </c>
      <c r="L24" s="635">
        <v>3042250.4</v>
      </c>
      <c r="M24" s="635">
        <v>2602236</v>
      </c>
      <c r="N24" s="635">
        <v>2213898.4</v>
      </c>
      <c r="O24" s="635">
        <v>2088850.4</v>
      </c>
      <c r="P24" s="37">
        <f t="shared" si="0"/>
        <v>30689763.999999996</v>
      </c>
      <c r="Q24" s="172">
        <f t="shared" si="1"/>
        <v>6000000</v>
      </c>
      <c r="R24" s="172">
        <f>R$2*12-SUM($Q24:Q24)-SUMPRODUCT(--($D24:$O24&lt;=R$2),R$2-$D24:$O24)</f>
        <v>24689764</v>
      </c>
      <c r="S24" s="172">
        <f>S$2*12-SUM($Q24:R24)-SUMPRODUCT(--($D24:$O24&lt;=S$2),S$2-$D24:$O24)</f>
        <v>0</v>
      </c>
    </row>
    <row r="25" spans="1:19" s="19" customFormat="1">
      <c r="A25" s="19">
        <v>22</v>
      </c>
      <c r="B25" s="700"/>
      <c r="C25" s="659">
        <v>2311155858</v>
      </c>
      <c r="D25" s="550">
        <v>756162.4</v>
      </c>
      <c r="E25" s="550">
        <v>715803.2</v>
      </c>
      <c r="F25" s="550">
        <v>698616.8</v>
      </c>
      <c r="G25" s="550">
        <v>760233.6</v>
      </c>
      <c r="H25" s="550">
        <v>810712</v>
      </c>
      <c r="I25" s="550">
        <v>771814.40000000002</v>
      </c>
      <c r="J25" s="550">
        <v>766337.6</v>
      </c>
      <c r="K25" s="550">
        <v>799288</v>
      </c>
      <c r="L25" s="550">
        <v>783356</v>
      </c>
      <c r="M25" s="541">
        <v>2483056.7999999998</v>
      </c>
      <c r="N25" s="541">
        <v>2890652.8</v>
      </c>
      <c r="O25" s="541">
        <v>2797082.4</v>
      </c>
      <c r="P25" s="303">
        <f>SUM(D25:O25)</f>
        <v>15033116.000000002</v>
      </c>
      <c r="Q25" s="678">
        <f>Q$2*12-SUMPRODUCT(--($D25:$O25&lt;=Q$2),Q$2-$D25:$O25)</f>
        <v>6000000</v>
      </c>
      <c r="R25" s="678">
        <f>R$2*12-SUM($Q25:Q25)-SUMPRODUCT(--($D25:$O25&lt;=R$2),R$2-$D25:$O25)</f>
        <v>9033115.9999999925</v>
      </c>
      <c r="S25" s="678">
        <f>S$2*12-SUM($Q25:R25)-SUMPRODUCT(--($D25:$O25&lt;=S$2),S$2-$D25:$O25)</f>
        <v>0</v>
      </c>
    </row>
    <row r="26" spans="1:19" s="722" customFormat="1">
      <c r="A26" s="722">
        <v>23</v>
      </c>
      <c r="B26" s="700"/>
      <c r="C26" s="658">
        <v>7600951015</v>
      </c>
      <c r="D26" s="550">
        <v>900862.2</v>
      </c>
      <c r="E26" s="550">
        <v>857476.2</v>
      </c>
      <c r="F26" s="550">
        <v>846148.8</v>
      </c>
      <c r="G26" s="550">
        <v>766487.4</v>
      </c>
      <c r="H26" s="550">
        <v>827744.4</v>
      </c>
      <c r="I26" s="550">
        <v>800738.4</v>
      </c>
      <c r="J26" s="551">
        <v>837921</v>
      </c>
      <c r="K26" s="551">
        <v>860076</v>
      </c>
      <c r="L26" s="551">
        <v>779373</v>
      </c>
      <c r="M26" s="542">
        <v>846573</v>
      </c>
      <c r="N26" s="542">
        <v>830373.6</v>
      </c>
      <c r="O26" s="542">
        <v>815283</v>
      </c>
      <c r="P26" s="385">
        <f>SUM(D26:O26)</f>
        <v>9969057</v>
      </c>
      <c r="Q26" s="172">
        <f>Q$2*12-SUMPRODUCT(--($D26:$O26&lt;=Q$2),Q$2-$D26:$O26)</f>
        <v>6000000</v>
      </c>
      <c r="R26" s="172">
        <f>R$2*12-SUM($Q26:Q26)-SUMPRODUCT(--($D26:$O26&lt;=R$2),R$2-$D26:$O26)</f>
        <v>3969057</v>
      </c>
      <c r="S26" s="172">
        <f>S$2*12-SUM($Q26:R26)-SUMPRODUCT(--($D26:$O26&lt;=S$2),S$2-$D26:$O26)</f>
        <v>0</v>
      </c>
    </row>
    <row r="27" spans="1:19" ht="13.5" thickBot="1">
      <c r="B27" t="s">
        <v>365</v>
      </c>
      <c r="D27" s="232">
        <f>SUM(D4:D26)</f>
        <v>53814561.070000008</v>
      </c>
      <c r="E27" s="415">
        <f t="shared" ref="E27:O27" si="2">SUM(E4:E26)</f>
        <v>49081770.080000006</v>
      </c>
      <c r="F27" s="415">
        <f t="shared" si="2"/>
        <v>53631084.299999997</v>
      </c>
      <c r="G27" s="415">
        <f t="shared" si="2"/>
        <v>46363655.499999993</v>
      </c>
      <c r="H27" s="415">
        <f t="shared" si="2"/>
        <v>52366197.399999999</v>
      </c>
      <c r="I27" s="415">
        <f t="shared" si="2"/>
        <v>51875400.799999997</v>
      </c>
      <c r="J27" s="415">
        <f t="shared" si="2"/>
        <v>54639208.390000001</v>
      </c>
      <c r="K27" s="415">
        <f t="shared" si="2"/>
        <v>56463302.640999995</v>
      </c>
      <c r="L27" s="415">
        <f t="shared" si="2"/>
        <v>52033861.193999991</v>
      </c>
      <c r="M27" s="415">
        <f t="shared" si="2"/>
        <v>52073519.570000008</v>
      </c>
      <c r="N27" s="415">
        <f t="shared" si="2"/>
        <v>48395974.370000005</v>
      </c>
      <c r="O27" s="415">
        <f t="shared" si="2"/>
        <v>49379150.600000001</v>
      </c>
      <c r="P27" s="237">
        <f>IF(ROUND(SUM(P4:P26),0)&lt;&gt;ROUND(SUM(D27:O27),0),#VALUE!,SUM(P4:P26))</f>
        <v>620117685.91499996</v>
      </c>
      <c r="Q27" s="236">
        <f>SUM(Q4:Q26)</f>
        <v>126000000</v>
      </c>
      <c r="R27" s="236">
        <f>SUM(R4:R26)</f>
        <v>489959799.31499994</v>
      </c>
      <c r="S27" s="236">
        <f>SUM(S4:S26)</f>
        <v>4157886.6000001431</v>
      </c>
    </row>
    <row r="28" spans="1:19" ht="13.5" thickTop="1">
      <c r="D28" s="19"/>
      <c r="E28" s="19"/>
      <c r="F28" s="19"/>
      <c r="G28" s="19"/>
      <c r="H28" s="19"/>
      <c r="I28" s="19"/>
      <c r="J28" s="19"/>
      <c r="K28" s="19"/>
      <c r="L28" s="19"/>
      <c r="Q28" s="220"/>
      <c r="R28" s="220"/>
      <c r="S28" s="72">
        <f>SUM(Q27:S27)</f>
        <v>620117685.91500008</v>
      </c>
    </row>
    <row r="29" spans="1:19" ht="12.75" customHeight="1">
      <c r="B29" t="s">
        <v>95</v>
      </c>
      <c r="D29" s="550">
        <v>92475540.937000006</v>
      </c>
      <c r="E29" s="550">
        <v>91334911.620000005</v>
      </c>
      <c r="F29" s="550">
        <v>85256588.480000004</v>
      </c>
      <c r="G29" s="550">
        <v>90115026.299999997</v>
      </c>
      <c r="H29" s="550">
        <v>81790111.900000006</v>
      </c>
      <c r="I29" s="550">
        <v>92286223.400000006</v>
      </c>
      <c r="J29" s="550">
        <v>90638942</v>
      </c>
      <c r="K29" s="550">
        <v>96199701.689999998</v>
      </c>
      <c r="L29" s="550">
        <v>98369017.341000006</v>
      </c>
      <c r="M29" s="550">
        <v>91866248.393999994</v>
      </c>
      <c r="N29" s="550">
        <v>93890910.769999996</v>
      </c>
      <c r="O29" s="550">
        <v>82979731.170000002</v>
      </c>
      <c r="P29" s="37">
        <f>SUM(D29:O29)</f>
        <v>1087202954.0019999</v>
      </c>
      <c r="S29" s="72"/>
    </row>
    <row r="30" spans="1:19" ht="12.75" customHeight="1">
      <c r="B30" s="384" t="s">
        <v>446</v>
      </c>
      <c r="D30" s="550">
        <v>-92515285</v>
      </c>
      <c r="E30" s="550">
        <v>-91484247</v>
      </c>
      <c r="F30" s="550">
        <v>-84934068</v>
      </c>
      <c r="G30" s="550">
        <v>-89487500</v>
      </c>
      <c r="H30" s="550">
        <v>-79454560</v>
      </c>
      <c r="I30" s="550">
        <v>-92015166</v>
      </c>
      <c r="J30" s="550">
        <v>-91195162</v>
      </c>
      <c r="K30" s="550">
        <v>-95775976</v>
      </c>
      <c r="L30" s="550">
        <v>-94768404</v>
      </c>
      <c r="M30" s="550">
        <v>-91927127</v>
      </c>
      <c r="N30" s="550">
        <v>-93727705</v>
      </c>
      <c r="O30" s="550">
        <v>-83601582</v>
      </c>
      <c r="P30" s="385">
        <f t="shared" ref="P30:P35" si="3">SUM(D30:O30)</f>
        <v>-1080886782</v>
      </c>
    </row>
    <row r="31" spans="1:19" ht="12.75" customHeight="1">
      <c r="B31" s="384" t="s">
        <v>447</v>
      </c>
      <c r="D31" s="550">
        <v>91484247</v>
      </c>
      <c r="E31" s="550">
        <v>84934068</v>
      </c>
      <c r="F31" s="550">
        <v>89487500</v>
      </c>
      <c r="G31" s="550">
        <v>79454560</v>
      </c>
      <c r="H31" s="550">
        <v>92015166</v>
      </c>
      <c r="I31" s="550">
        <v>91195162</v>
      </c>
      <c r="J31" s="550">
        <v>95775976</v>
      </c>
      <c r="K31" s="550">
        <v>94768404</v>
      </c>
      <c r="L31" s="550">
        <v>91927127</v>
      </c>
      <c r="M31" s="550">
        <v>93727705</v>
      </c>
      <c r="N31" s="550">
        <v>83601582</v>
      </c>
      <c r="O31" s="550">
        <v>90893021</v>
      </c>
      <c r="P31" s="385">
        <f t="shared" si="3"/>
        <v>1079264518</v>
      </c>
    </row>
    <row r="32" spans="1:19" s="381" customFormat="1" ht="12.75" customHeight="1">
      <c r="B32" s="383" t="s">
        <v>448</v>
      </c>
      <c r="D32" s="550">
        <v>-229885.12999998033</v>
      </c>
      <c r="E32" s="550">
        <v>241970.73000000417</v>
      </c>
      <c r="F32" s="550">
        <v>546976.54999998212</v>
      </c>
      <c r="G32" s="550">
        <v>2255002.1499999762</v>
      </c>
      <c r="H32" s="550">
        <v>190507.64999997616</v>
      </c>
      <c r="I32" s="550">
        <v>-613342.15000000596</v>
      </c>
      <c r="J32" s="550">
        <v>482689.43999998271</v>
      </c>
      <c r="K32" s="550">
        <v>3520063.5909999609</v>
      </c>
      <c r="L32" s="550">
        <v>-141428.3560000509</v>
      </c>
      <c r="M32" s="550">
        <v>82656.019999951124</v>
      </c>
      <c r="N32" s="550">
        <v>-702400.58000004292</v>
      </c>
      <c r="O32" s="550">
        <v>281147.2499999553</v>
      </c>
      <c r="P32" s="385">
        <f t="shared" si="3"/>
        <v>5913957.1649997085</v>
      </c>
    </row>
    <row r="33" spans="1:37" ht="12.75" customHeight="1">
      <c r="B33" s="383" t="s">
        <v>449</v>
      </c>
      <c r="D33" s="550">
        <v>39744.062999993563</v>
      </c>
      <c r="E33" s="550">
        <v>229885.12999998033</v>
      </c>
      <c r="F33" s="550">
        <v>-241970.73000000417</v>
      </c>
      <c r="G33" s="550">
        <v>-546976.54999998212</v>
      </c>
      <c r="H33" s="550">
        <v>-2255002.1499999762</v>
      </c>
      <c r="I33" s="550">
        <v>-190507.64999997616</v>
      </c>
      <c r="J33" s="550">
        <v>613342.15000000596</v>
      </c>
      <c r="K33" s="550">
        <v>-482689.43999998271</v>
      </c>
      <c r="L33" s="550">
        <v>-3520063.5909999609</v>
      </c>
      <c r="M33" s="550">
        <v>141428.3560000509</v>
      </c>
      <c r="N33" s="550">
        <v>-82656.019999951124</v>
      </c>
      <c r="O33" s="550">
        <v>702400.58000004292</v>
      </c>
      <c r="P33" s="385">
        <f t="shared" si="3"/>
        <v>-5593065.8519997597</v>
      </c>
    </row>
    <row r="34" spans="1:37" s="490" customFormat="1" ht="12.75" customHeight="1">
      <c r="B34" s="383" t="s">
        <v>982</v>
      </c>
      <c r="D34" s="550">
        <v>-1277908.8</v>
      </c>
      <c r="E34" s="550">
        <v>-1119014.3999999999</v>
      </c>
      <c r="F34" s="550">
        <v>-1207836</v>
      </c>
      <c r="G34" s="550">
        <v>-1144088.3999999999</v>
      </c>
      <c r="H34" s="550">
        <v>-1235388</v>
      </c>
      <c r="I34" s="550">
        <v>-1242376.8</v>
      </c>
      <c r="J34" s="550">
        <v>-1362211.2</v>
      </c>
      <c r="K34" s="550">
        <v>-1430923.2</v>
      </c>
      <c r="L34" s="550">
        <v>-1217521.2</v>
      </c>
      <c r="M34" s="550">
        <v>-1178335.2</v>
      </c>
      <c r="N34" s="550">
        <v>-1179502.8</v>
      </c>
      <c r="O34" s="550">
        <v>-1089341.3999999999</v>
      </c>
      <c r="P34" s="385">
        <f t="shared" si="3"/>
        <v>-14684447.399999999</v>
      </c>
      <c r="AB34" s="528"/>
      <c r="AC34" s="528"/>
      <c r="AD34" s="528"/>
      <c r="AE34" s="528"/>
      <c r="AF34" s="528"/>
      <c r="AG34" s="528"/>
      <c r="AH34" s="528"/>
      <c r="AI34" s="528"/>
      <c r="AJ34" s="528"/>
      <c r="AK34" s="528"/>
    </row>
    <row r="35" spans="1:37" s="381" customFormat="1" ht="12.75" customHeight="1">
      <c r="B35" s="817" t="s">
        <v>981</v>
      </c>
      <c r="D35" s="416">
        <v>-36161892</v>
      </c>
      <c r="E35" s="417">
        <v>-35055804</v>
      </c>
      <c r="F35" s="417">
        <v>-35276106</v>
      </c>
      <c r="G35" s="416">
        <v>-34282368</v>
      </c>
      <c r="H35" s="416">
        <v>-38684638</v>
      </c>
      <c r="I35" s="416">
        <v>-37544592</v>
      </c>
      <c r="J35" s="416">
        <v>-40314368</v>
      </c>
      <c r="K35" s="416">
        <v>-40335278</v>
      </c>
      <c r="L35" s="416">
        <v>-38614866</v>
      </c>
      <c r="M35" s="416">
        <v>-40639056</v>
      </c>
      <c r="N35" s="416">
        <v>-33404254</v>
      </c>
      <c r="O35" s="416">
        <v>-40786226</v>
      </c>
      <c r="P35" s="385">
        <f t="shared" si="3"/>
        <v>-451099448</v>
      </c>
      <c r="AB35" s="528"/>
      <c r="AC35" s="528"/>
      <c r="AD35" s="528"/>
      <c r="AE35" s="528"/>
      <c r="AF35" s="528"/>
      <c r="AG35" s="528"/>
      <c r="AH35" s="528"/>
      <c r="AI35" s="528"/>
      <c r="AJ35" s="528"/>
      <c r="AK35" s="528"/>
    </row>
    <row r="36" spans="1:37" ht="12.75" customHeight="1" thickBot="1">
      <c r="B36" s="143" t="s">
        <v>368</v>
      </c>
      <c r="D36" s="415">
        <f t="shared" ref="D36:J36" si="4">SUM(D29:D35)</f>
        <v>53814561.070000023</v>
      </c>
      <c r="E36" s="415">
        <f t="shared" si="4"/>
        <v>49081770.079999983</v>
      </c>
      <c r="F36" s="415">
        <f t="shared" si="4"/>
        <v>53631084.299999982</v>
      </c>
      <c r="G36" s="415">
        <f>SUM(G29:G35)</f>
        <v>46363655.499999985</v>
      </c>
      <c r="H36" s="415">
        <f t="shared" si="4"/>
        <v>52366197.400000006</v>
      </c>
      <c r="I36" s="415">
        <f t="shared" si="4"/>
        <v>51875400.800000027</v>
      </c>
      <c r="J36" s="415">
        <f t="shared" si="4"/>
        <v>54639208.389999986</v>
      </c>
      <c r="K36" s="232">
        <f>SUM(K29:K35)</f>
        <v>56463302.640999973</v>
      </c>
      <c r="L36" s="232">
        <f>SUM(L29:L35)</f>
        <v>52033861.193999991</v>
      </c>
      <c r="M36" s="415">
        <f>SUM(M29:M35)</f>
        <v>52073519.569999993</v>
      </c>
      <c r="N36" s="415">
        <f>SUM(N29:N35)</f>
        <v>48395974.370000005</v>
      </c>
      <c r="O36" s="415">
        <f>SUM(O29:O35)</f>
        <v>49379150.599999994</v>
      </c>
      <c r="P36" s="238">
        <f>IF(ROUND(SUM(P29:P35),0)&lt;&gt;ROUND(SUM(D36:O36),0),#VALUE!,SUM(P29:P35))</f>
        <v>620117685.91499984</v>
      </c>
    </row>
    <row r="37" spans="1:37" ht="12.75" customHeight="1" thickTop="1">
      <c r="B37" s="143"/>
      <c r="D37" s="81">
        <f t="shared" ref="D37:P37" si="5">D36-D27</f>
        <v>0</v>
      </c>
      <c r="E37" s="81">
        <f t="shared" si="5"/>
        <v>0</v>
      </c>
      <c r="F37" s="81">
        <f t="shared" si="5"/>
        <v>0</v>
      </c>
      <c r="G37" s="81">
        <f>G36-G27</f>
        <v>0</v>
      </c>
      <c r="H37" s="81">
        <f t="shared" si="5"/>
        <v>0</v>
      </c>
      <c r="I37" s="81">
        <f t="shared" si="5"/>
        <v>0</v>
      </c>
      <c r="J37" s="81">
        <f t="shared" si="5"/>
        <v>0</v>
      </c>
      <c r="K37" s="81">
        <f t="shared" si="5"/>
        <v>0</v>
      </c>
      <c r="L37" s="81">
        <f t="shared" si="5"/>
        <v>0</v>
      </c>
      <c r="M37" s="68">
        <f t="shared" si="5"/>
        <v>0</v>
      </c>
      <c r="N37" s="68">
        <f t="shared" si="5"/>
        <v>0</v>
      </c>
      <c r="O37" s="68">
        <f t="shared" si="5"/>
        <v>0</v>
      </c>
      <c r="P37" s="68">
        <f t="shared" si="5"/>
        <v>0</v>
      </c>
    </row>
    <row r="38" spans="1:37">
      <c r="B38" s="41"/>
      <c r="C38" s="41"/>
      <c r="D38" s="698"/>
      <c r="E38" s="698"/>
      <c r="F38" s="698"/>
      <c r="G38" s="698"/>
      <c r="H38" s="698"/>
      <c r="I38" s="698"/>
      <c r="J38" s="698"/>
      <c r="K38" s="698"/>
      <c r="L38" s="698"/>
      <c r="M38" s="698"/>
      <c r="N38" s="698"/>
      <c r="O38" s="698"/>
      <c r="P38" s="229"/>
    </row>
    <row r="39" spans="1:37" s="755" customFormat="1">
      <c r="A39" s="116" t="s">
        <v>962</v>
      </c>
      <c r="B39" s="786"/>
      <c r="C39" s="41"/>
      <c r="D39" s="698"/>
      <c r="E39" s="698"/>
      <c r="F39" s="698"/>
      <c r="G39" s="698"/>
      <c r="H39" s="698"/>
      <c r="I39" s="698"/>
      <c r="J39" s="698"/>
      <c r="K39" s="698"/>
      <c r="L39" s="698"/>
      <c r="M39" s="698"/>
      <c r="N39" s="698"/>
      <c r="O39" s="698"/>
      <c r="P39" s="229"/>
    </row>
    <row r="40" spans="1:37" s="755" customFormat="1">
      <c r="A40" s="787">
        <v>1</v>
      </c>
      <c r="B40" s="788"/>
      <c r="C40" s="41"/>
      <c r="D40" s="550">
        <v>36161892</v>
      </c>
      <c r="E40" s="550">
        <v>35055804</v>
      </c>
      <c r="F40" s="550">
        <v>35276106</v>
      </c>
      <c r="G40" s="550">
        <v>34282368</v>
      </c>
      <c r="H40" s="550">
        <v>38684638</v>
      </c>
      <c r="I40" s="550">
        <v>37544592</v>
      </c>
      <c r="J40" s="551">
        <v>40314368</v>
      </c>
      <c r="K40" s="551">
        <v>40335278</v>
      </c>
      <c r="L40" s="551">
        <v>38614866</v>
      </c>
      <c r="M40" s="542">
        <v>40639056</v>
      </c>
      <c r="N40" s="542">
        <v>33404254</v>
      </c>
      <c r="O40" s="542">
        <v>40786226</v>
      </c>
      <c r="P40" s="792">
        <f>SUM(D40:O40)</f>
        <v>451099448</v>
      </c>
      <c r="Q40" s="172">
        <f t="shared" ref="Q40:Q41" si="6">Q$2*12-SUMPRODUCT(--($D40:$O40&lt;=Q$2),Q$2-$D40:$O40)</f>
        <v>6000000</v>
      </c>
      <c r="R40" s="172">
        <f>R$2*12-SUM($Q40:Q40)-SUMPRODUCT(--($D40:$O40&lt;=R$2),R$2-$D40:$O40)</f>
        <v>66000000</v>
      </c>
      <c r="S40" s="172">
        <f>S$2*12-SUM($Q40:R40)-SUMPRODUCT(--($D40:$O40&lt;=S$2),S$2-$D40:$O40)</f>
        <v>379099448</v>
      </c>
    </row>
    <row r="41" spans="1:37" s="755" customFormat="1">
      <c r="A41" s="787"/>
      <c r="B41" s="789"/>
      <c r="C41" s="41"/>
      <c r="D41" s="791"/>
      <c r="E41" s="791"/>
      <c r="F41" s="791"/>
      <c r="G41" s="791"/>
      <c r="H41" s="791"/>
      <c r="I41" s="791"/>
      <c r="J41" s="791"/>
      <c r="K41" s="791"/>
      <c r="L41" s="791"/>
      <c r="M41" s="791"/>
      <c r="N41" s="791"/>
      <c r="O41" s="791"/>
      <c r="P41" s="792">
        <f>SUM(D41:O41)</f>
        <v>0</v>
      </c>
      <c r="Q41" s="172">
        <f t="shared" si="6"/>
        <v>0</v>
      </c>
      <c r="R41" s="172">
        <f>R$2*12-SUM($Q41:Q41)-SUMPRODUCT(--($D41:$O41&lt;=R$2),R$2-$D41:$O41)</f>
        <v>0</v>
      </c>
      <c r="S41" s="172">
        <f>S$2*12-SUM($Q41:R41)-SUMPRODUCT(--($D41:$O41&lt;=S$2),S$2-$D41:$O41)</f>
        <v>0</v>
      </c>
    </row>
    <row r="42" spans="1:37" s="755" customFormat="1" ht="13.5" thickBot="1">
      <c r="A42" s="787"/>
      <c r="B42" s="755" t="s">
        <v>963</v>
      </c>
      <c r="C42" s="41"/>
      <c r="D42" s="793"/>
      <c r="E42" s="793"/>
      <c r="F42" s="793"/>
      <c r="G42" s="793"/>
      <c r="H42" s="793"/>
      <c r="I42" s="793"/>
      <c r="J42" s="793"/>
      <c r="K42" s="793"/>
      <c r="L42" s="793"/>
      <c r="M42" s="793"/>
      <c r="N42" s="793"/>
      <c r="O42" s="793"/>
      <c r="P42" s="794">
        <f>SUM(P40:P41)</f>
        <v>451099448</v>
      </c>
      <c r="Q42" s="236">
        <f>SUM(Q40:Q41)</f>
        <v>6000000</v>
      </c>
      <c r="R42" s="236">
        <f>SUM(R40:R41)</f>
        <v>66000000</v>
      </c>
      <c r="S42" s="236">
        <f>SUM(S40:S41)</f>
        <v>379099448</v>
      </c>
    </row>
    <row r="43" spans="1:37" s="755" customFormat="1" ht="13.5" thickTop="1">
      <c r="B43" s="790"/>
      <c r="C43" s="41"/>
      <c r="D43" s="795"/>
      <c r="E43" s="795"/>
      <c r="F43" s="795"/>
      <c r="G43" s="795"/>
      <c r="H43" s="795"/>
      <c r="I43" s="795"/>
      <c r="J43" s="795"/>
      <c r="K43" s="795"/>
      <c r="L43" s="795"/>
      <c r="M43" s="795"/>
      <c r="N43" s="795"/>
      <c r="O43" s="795"/>
      <c r="P43" s="796">
        <f>'REVRUNS 12ME1219'!P339</f>
        <v>451099448</v>
      </c>
    </row>
    <row r="44" spans="1:37">
      <c r="A44" s="755"/>
      <c r="B44" s="422" t="s">
        <v>95</v>
      </c>
      <c r="C44" s="41"/>
      <c r="D44" s="299"/>
      <c r="E44" s="299"/>
      <c r="F44" s="299"/>
      <c r="G44" s="299"/>
      <c r="H44" s="299"/>
      <c r="I44" s="299"/>
      <c r="J44" s="299"/>
      <c r="K44" s="299"/>
      <c r="L44" s="299"/>
      <c r="M44" s="41"/>
      <c r="N44" s="41"/>
      <c r="O44" s="42"/>
    </row>
    <row r="45" spans="1:37" s="755" customFormat="1">
      <c r="B45" s="422"/>
      <c r="C45" s="41"/>
      <c r="D45" s="299"/>
      <c r="E45" s="299"/>
      <c r="F45" s="299"/>
      <c r="G45" s="299"/>
      <c r="H45" s="299"/>
      <c r="I45" s="299"/>
      <c r="J45" s="299"/>
      <c r="K45" s="299"/>
      <c r="L45" s="299"/>
      <c r="M45" s="41"/>
      <c r="N45" s="41"/>
      <c r="O45" s="42"/>
    </row>
    <row r="46" spans="1:37">
      <c r="B46" s="116" t="s">
        <v>402</v>
      </c>
      <c r="D46" s="300">
        <f>D$3</f>
        <v>43466</v>
      </c>
      <c r="E46" s="300">
        <f t="shared" ref="E46:O46" si="7">E$3</f>
        <v>43497</v>
      </c>
      <c r="F46" s="300">
        <f t="shared" si="7"/>
        <v>43525</v>
      </c>
      <c r="G46" s="300">
        <f t="shared" si="7"/>
        <v>43556</v>
      </c>
      <c r="H46" s="300">
        <f t="shared" si="7"/>
        <v>43586</v>
      </c>
      <c r="I46" s="300">
        <f t="shared" si="7"/>
        <v>43617</v>
      </c>
      <c r="J46" s="300">
        <f t="shared" si="7"/>
        <v>43647</v>
      </c>
      <c r="K46" s="300">
        <f t="shared" si="7"/>
        <v>43678</v>
      </c>
      <c r="L46" s="300">
        <f t="shared" si="7"/>
        <v>43709</v>
      </c>
      <c r="M46" s="298">
        <f t="shared" si="7"/>
        <v>43739</v>
      </c>
      <c r="N46" s="298">
        <f t="shared" si="7"/>
        <v>43770</v>
      </c>
      <c r="O46" s="298">
        <f t="shared" si="7"/>
        <v>43800</v>
      </c>
      <c r="P46" s="35" t="s">
        <v>66</v>
      </c>
      <c r="Q46" s="45" t="s">
        <v>434</v>
      </c>
      <c r="R46" s="45" t="s">
        <v>435</v>
      </c>
      <c r="S46" s="45"/>
    </row>
    <row r="47" spans="1:37">
      <c r="A47">
        <v>1</v>
      </c>
      <c r="B47" s="660">
        <f t="shared" ref="B47:C67" si="8">B4</f>
        <v>0</v>
      </c>
      <c r="C47" s="661" t="str">
        <f t="shared" si="8"/>
        <v>2311008572</v>
      </c>
      <c r="D47" s="542">
        <v>11235.119000000001</v>
      </c>
      <c r="E47" s="542">
        <v>13097.044</v>
      </c>
      <c r="F47" s="542">
        <v>12788.42</v>
      </c>
      <c r="G47" s="550">
        <v>11813.075999999999</v>
      </c>
      <c r="H47" s="550">
        <v>19727.5</v>
      </c>
      <c r="I47" s="550">
        <v>11694.565000000001</v>
      </c>
      <c r="J47" s="550">
        <v>10955.651</v>
      </c>
      <c r="K47" s="550">
        <v>11234.874</v>
      </c>
      <c r="L47" s="550">
        <v>11020.227000000001</v>
      </c>
      <c r="M47" s="550">
        <v>9747.6959999999999</v>
      </c>
      <c r="N47" s="550">
        <v>7452.8119999999999</v>
      </c>
      <c r="O47" s="550">
        <v>7325.1319999999996</v>
      </c>
      <c r="P47" s="37">
        <f t="shared" ref="P47:P69" si="9">SUM(D47:O47)</f>
        <v>138092.11600000001</v>
      </c>
      <c r="Q47" s="43">
        <f>MAX(D47:O47)</f>
        <v>19727.5</v>
      </c>
      <c r="R47" s="331">
        <f>INDEX($D$46:$O$46,MATCH(Q47,$D47:$O47,0))</f>
        <v>43586</v>
      </c>
      <c r="S47" s="35"/>
    </row>
    <row r="48" spans="1:37">
      <c r="A48">
        <v>2</v>
      </c>
      <c r="B48" s="660">
        <f t="shared" si="8"/>
        <v>0</v>
      </c>
      <c r="C48" s="662" t="str">
        <f t="shared" si="8"/>
        <v>8920023327</v>
      </c>
      <c r="D48" s="541">
        <v>5486.0749999999998</v>
      </c>
      <c r="E48" s="541">
        <v>5434.125</v>
      </c>
      <c r="F48" s="541">
        <v>5276.1229999999996</v>
      </c>
      <c r="G48" s="550">
        <v>5056.1369999999997</v>
      </c>
      <c r="H48" s="550">
        <v>4983.9690000000001</v>
      </c>
      <c r="I48" s="550">
        <v>5005.4129999999996</v>
      </c>
      <c r="J48" s="550">
        <v>5087.6890000000003</v>
      </c>
      <c r="K48" s="550">
        <v>5057.6229999999996</v>
      </c>
      <c r="L48" s="550">
        <v>5126.2299999999996</v>
      </c>
      <c r="M48" s="550">
        <v>5102.8950000000004</v>
      </c>
      <c r="N48" s="550">
        <v>5137.21</v>
      </c>
      <c r="O48" s="550">
        <v>5127.7849999999999</v>
      </c>
      <c r="P48" s="37">
        <f t="shared" si="9"/>
        <v>61881.274000000005</v>
      </c>
      <c r="Q48" s="43">
        <f>MAX(D48:O48)</f>
        <v>5486.0749999999998</v>
      </c>
      <c r="R48" s="331">
        <f t="shared" ref="R48:R67" si="10">INDEX($D$46:$O$46,MATCH(Q48,$D48:$O48,0))</f>
        <v>43466</v>
      </c>
      <c r="S48" s="35"/>
    </row>
    <row r="49" spans="1:19">
      <c r="A49">
        <v>3</v>
      </c>
      <c r="B49" s="660">
        <f t="shared" si="8"/>
        <v>0</v>
      </c>
      <c r="C49" s="662" t="str">
        <f t="shared" si="8"/>
        <v>9920023116</v>
      </c>
      <c r="D49" s="541">
        <v>3170.4920000000002</v>
      </c>
      <c r="E49" s="541">
        <v>2956.6480000000001</v>
      </c>
      <c r="F49" s="541">
        <v>3009.1469999999999</v>
      </c>
      <c r="G49" s="550">
        <v>2718.489</v>
      </c>
      <c r="H49" s="550">
        <v>2604.73</v>
      </c>
      <c r="I49" s="550">
        <v>2581.2370000000001</v>
      </c>
      <c r="J49" s="550">
        <v>2646.1439999999998</v>
      </c>
      <c r="K49" s="550">
        <v>2770.75</v>
      </c>
      <c r="L49" s="550">
        <v>2656.09</v>
      </c>
      <c r="M49" s="550">
        <v>2911.7049999999999</v>
      </c>
      <c r="N49" s="550">
        <v>2818.0540000000001</v>
      </c>
      <c r="O49" s="550">
        <v>2969.598</v>
      </c>
      <c r="P49" s="37">
        <f t="shared" si="9"/>
        <v>33813.084000000003</v>
      </c>
      <c r="Q49" s="43">
        <f t="shared" ref="Q49:Q67" si="11">MAX(D49:O49)</f>
        <v>3170.4920000000002</v>
      </c>
      <c r="R49" s="331">
        <f t="shared" si="10"/>
        <v>43466</v>
      </c>
      <c r="S49" s="35"/>
    </row>
    <row r="50" spans="1:19">
      <c r="A50">
        <v>4</v>
      </c>
      <c r="B50" s="660">
        <f t="shared" si="8"/>
        <v>0</v>
      </c>
      <c r="C50" s="662" t="str">
        <f t="shared" si="8"/>
        <v>8970099313</v>
      </c>
      <c r="D50" s="541">
        <v>2775.9839999999999</v>
      </c>
      <c r="E50" s="541">
        <v>2727.2489999999998</v>
      </c>
      <c r="F50" s="541">
        <v>2695.5529999999999</v>
      </c>
      <c r="G50" s="550">
        <v>2485.556</v>
      </c>
      <c r="H50" s="550">
        <v>2523.7530000000002</v>
      </c>
      <c r="I50" s="550">
        <v>2697.9369999999999</v>
      </c>
      <c r="J50" s="550">
        <v>2645.4070000000002</v>
      </c>
      <c r="K50" s="550">
        <v>2641.172</v>
      </c>
      <c r="L50" s="550">
        <v>2607.1990000000001</v>
      </c>
      <c r="M50" s="550">
        <v>2611.6439999999998</v>
      </c>
      <c r="N50" s="550">
        <v>2852.1060000000002</v>
      </c>
      <c r="O50" s="550">
        <v>2986.779</v>
      </c>
      <c r="P50" s="37">
        <f t="shared" si="9"/>
        <v>32250.339</v>
      </c>
      <c r="Q50" s="43">
        <f t="shared" si="11"/>
        <v>2986.779</v>
      </c>
      <c r="R50" s="331">
        <f t="shared" si="10"/>
        <v>43800</v>
      </c>
      <c r="S50" s="35"/>
    </row>
    <row r="51" spans="1:19">
      <c r="A51">
        <v>5</v>
      </c>
      <c r="B51" s="660">
        <f t="shared" si="8"/>
        <v>0</v>
      </c>
      <c r="C51" s="662" t="str">
        <f t="shared" si="8"/>
        <v>0080095044</v>
      </c>
      <c r="D51" s="541">
        <v>2798.1210000000001</v>
      </c>
      <c r="E51" s="541">
        <v>2925.64</v>
      </c>
      <c r="F51" s="541">
        <v>2824.83</v>
      </c>
      <c r="G51" s="550">
        <v>3132.223</v>
      </c>
      <c r="H51" s="550">
        <v>3477.3690000000001</v>
      </c>
      <c r="I51" s="550">
        <v>3747.4949999999999</v>
      </c>
      <c r="J51" s="550">
        <v>3914.42</v>
      </c>
      <c r="K51" s="550">
        <v>3810.7330000000002</v>
      </c>
      <c r="L51" s="550">
        <v>3653.3</v>
      </c>
      <c r="M51" s="550">
        <v>2698.2080000000001</v>
      </c>
      <c r="N51" s="550">
        <v>2697.904</v>
      </c>
      <c r="O51" s="550">
        <v>2856.3240000000001</v>
      </c>
      <c r="P51" s="37">
        <f t="shared" si="9"/>
        <v>38536.567000000003</v>
      </c>
      <c r="Q51" s="43">
        <f t="shared" si="11"/>
        <v>3914.42</v>
      </c>
      <c r="R51" s="331">
        <f t="shared" si="10"/>
        <v>43647</v>
      </c>
      <c r="S51" s="35"/>
    </row>
    <row r="52" spans="1:19">
      <c r="A52">
        <v>6</v>
      </c>
      <c r="B52" s="660">
        <f t="shared" si="8"/>
        <v>0</v>
      </c>
      <c r="C52" s="662" t="str">
        <f t="shared" si="8"/>
        <v>1420028876</v>
      </c>
      <c r="D52" s="541">
        <v>4693.9759999999997</v>
      </c>
      <c r="E52" s="541">
        <v>4607.82</v>
      </c>
      <c r="F52" s="541">
        <v>4350.3389999999999</v>
      </c>
      <c r="G52" s="550">
        <v>4168.8230000000003</v>
      </c>
      <c r="H52" s="550">
        <v>4653.5330000000004</v>
      </c>
      <c r="I52" s="550">
        <v>4532.701</v>
      </c>
      <c r="J52" s="550">
        <v>4783.741</v>
      </c>
      <c r="K52" s="550">
        <v>5478.8410000000003</v>
      </c>
      <c r="L52" s="550">
        <v>5486.0709999999999</v>
      </c>
      <c r="M52" s="550">
        <v>4220.9070000000002</v>
      </c>
      <c r="N52" s="550">
        <v>4550.799</v>
      </c>
      <c r="O52" s="550">
        <v>4495.9210000000003</v>
      </c>
      <c r="P52" s="37">
        <f t="shared" si="9"/>
        <v>56023.472000000002</v>
      </c>
      <c r="Q52" s="43">
        <f t="shared" si="11"/>
        <v>5486.0709999999999</v>
      </c>
      <c r="R52" s="331">
        <f t="shared" si="10"/>
        <v>43709</v>
      </c>
      <c r="S52" s="35"/>
    </row>
    <row r="53" spans="1:19">
      <c r="A53">
        <v>7</v>
      </c>
      <c r="B53" s="660">
        <f t="shared" si="8"/>
        <v>0</v>
      </c>
      <c r="C53" s="662" t="str">
        <f t="shared" si="8"/>
        <v>0170122152</v>
      </c>
      <c r="D53" s="541">
        <v>2837.009</v>
      </c>
      <c r="E53" s="541">
        <v>2880.2910000000002</v>
      </c>
      <c r="F53" s="541">
        <v>2821.7139999999999</v>
      </c>
      <c r="G53" s="550">
        <v>2974.2080000000001</v>
      </c>
      <c r="H53" s="550">
        <v>3029.1109999999999</v>
      </c>
      <c r="I53" s="550">
        <v>3196.0479999999998</v>
      </c>
      <c r="J53" s="550">
        <v>3339.1889999999999</v>
      </c>
      <c r="K53" s="550">
        <v>3522.6179999999999</v>
      </c>
      <c r="L53" s="550">
        <v>3280.2060000000001</v>
      </c>
      <c r="M53" s="550">
        <v>3114.7240000000002</v>
      </c>
      <c r="N53" s="550">
        <v>3080.4810000000002</v>
      </c>
      <c r="O53" s="550">
        <v>3007.6979999999999</v>
      </c>
      <c r="P53" s="37">
        <f t="shared" si="9"/>
        <v>37083.296999999991</v>
      </c>
      <c r="Q53" s="43">
        <f t="shared" si="11"/>
        <v>3522.6179999999999</v>
      </c>
      <c r="R53" s="331">
        <f t="shared" si="10"/>
        <v>43678</v>
      </c>
      <c r="S53" s="35"/>
    </row>
    <row r="54" spans="1:19">
      <c r="A54">
        <v>8</v>
      </c>
      <c r="B54" s="660">
        <f t="shared" si="8"/>
        <v>0</v>
      </c>
      <c r="C54" s="662" t="str">
        <f t="shared" si="8"/>
        <v>8640841982</v>
      </c>
      <c r="D54" s="541">
        <v>4138.03</v>
      </c>
      <c r="E54" s="541">
        <v>4134.473</v>
      </c>
      <c r="F54" s="541">
        <v>4111.0600000000004</v>
      </c>
      <c r="G54" s="550">
        <v>4134.7290000000003</v>
      </c>
      <c r="H54" s="550">
        <v>4168.1779999999999</v>
      </c>
      <c r="I54" s="550">
        <v>4212.5640000000003</v>
      </c>
      <c r="J54" s="550">
        <v>4223.6970000000001</v>
      </c>
      <c r="K54" s="550">
        <v>4273.0990000000002</v>
      </c>
      <c r="L54" s="550">
        <v>4214.49</v>
      </c>
      <c r="M54" s="550">
        <v>4157.8900000000003</v>
      </c>
      <c r="N54" s="550">
        <v>4170.9449999999997</v>
      </c>
      <c r="O54" s="550">
        <v>4257.5990000000002</v>
      </c>
      <c r="P54" s="37">
        <f t="shared" si="9"/>
        <v>50196.754000000001</v>
      </c>
      <c r="Q54" s="43">
        <f t="shared" si="11"/>
        <v>4273.0990000000002</v>
      </c>
      <c r="R54" s="331">
        <f t="shared" si="10"/>
        <v>43678</v>
      </c>
      <c r="S54" s="35"/>
    </row>
    <row r="55" spans="1:19">
      <c r="A55">
        <v>9</v>
      </c>
      <c r="B55" s="660">
        <f t="shared" si="8"/>
        <v>0</v>
      </c>
      <c r="C55" s="662" t="str">
        <f t="shared" si="8"/>
        <v>0160126924</v>
      </c>
      <c r="D55" s="749"/>
      <c r="E55" s="749"/>
      <c r="F55" s="749"/>
      <c r="G55" s="748"/>
      <c r="H55" s="748"/>
      <c r="I55" s="748"/>
      <c r="J55" s="748"/>
      <c r="K55" s="748"/>
      <c r="L55" s="748"/>
      <c r="M55" s="748"/>
      <c r="N55" s="748"/>
      <c r="O55" s="748"/>
      <c r="P55" s="37">
        <f t="shared" si="9"/>
        <v>0</v>
      </c>
      <c r="Q55" s="43">
        <f t="shared" si="11"/>
        <v>0</v>
      </c>
      <c r="R55" s="331" t="e">
        <f t="shared" si="10"/>
        <v>#N/A</v>
      </c>
      <c r="S55" s="35"/>
    </row>
    <row r="56" spans="1:19">
      <c r="A56">
        <v>10</v>
      </c>
      <c r="B56" s="660">
        <f t="shared" si="8"/>
        <v>0</v>
      </c>
      <c r="C56" s="662" t="str">
        <f t="shared" si="8"/>
        <v>4250473907</v>
      </c>
      <c r="D56" s="541">
        <v>9494.3670000000002</v>
      </c>
      <c r="E56" s="541">
        <v>8151.6930000000002</v>
      </c>
      <c r="F56" s="541">
        <v>8444.6409999999996</v>
      </c>
      <c r="G56" s="550">
        <v>8251.3700000000008</v>
      </c>
      <c r="H56" s="550">
        <v>8416.0830000000005</v>
      </c>
      <c r="I56" s="550">
        <v>8438.518</v>
      </c>
      <c r="J56" s="550">
        <v>8465.4709999999995</v>
      </c>
      <c r="K56" s="550">
        <v>8617.5730000000003</v>
      </c>
      <c r="L56" s="550">
        <v>8465.0079999999998</v>
      </c>
      <c r="M56" s="550">
        <v>8444.6409999999996</v>
      </c>
      <c r="N56" s="550">
        <v>8123.326</v>
      </c>
      <c r="O56" s="550">
        <v>8375.3729999999996</v>
      </c>
      <c r="P56" s="37">
        <f t="shared" si="9"/>
        <v>101688.06400000001</v>
      </c>
      <c r="Q56" s="43">
        <f t="shared" si="11"/>
        <v>9494.3670000000002</v>
      </c>
      <c r="R56" s="331">
        <f t="shared" si="10"/>
        <v>43466</v>
      </c>
      <c r="S56" s="35"/>
    </row>
    <row r="57" spans="1:19">
      <c r="A57">
        <v>11</v>
      </c>
      <c r="B57" s="660">
        <f t="shared" si="8"/>
        <v>0</v>
      </c>
      <c r="C57" s="662" t="str">
        <f t="shared" si="8"/>
        <v>9060132009</v>
      </c>
      <c r="D57" s="541">
        <v>8557.5769999999993</v>
      </c>
      <c r="E57" s="541">
        <v>8575.1489999999994</v>
      </c>
      <c r="F57" s="541">
        <v>8703.8919999999998</v>
      </c>
      <c r="G57" s="550">
        <v>8473.3389999999999</v>
      </c>
      <c r="H57" s="550">
        <v>8775.9770000000008</v>
      </c>
      <c r="I57" s="550">
        <v>9149.5429999999997</v>
      </c>
      <c r="J57" s="550">
        <v>8848.1560000000009</v>
      </c>
      <c r="K57" s="550">
        <v>8727.2649999999994</v>
      </c>
      <c r="L57" s="550">
        <v>8415.0239999999994</v>
      </c>
      <c r="M57" s="550">
        <v>8497.0220000000008</v>
      </c>
      <c r="N57" s="550">
        <v>8603.2479999999996</v>
      </c>
      <c r="O57" s="550">
        <v>8631.5079999999998</v>
      </c>
      <c r="P57" s="37">
        <f t="shared" si="9"/>
        <v>103957.69999999998</v>
      </c>
      <c r="Q57" s="43">
        <f t="shared" si="11"/>
        <v>9149.5429999999997</v>
      </c>
      <c r="R57" s="331">
        <f t="shared" si="10"/>
        <v>43617</v>
      </c>
      <c r="S57" s="35"/>
    </row>
    <row r="58" spans="1:19">
      <c r="A58">
        <v>12</v>
      </c>
      <c r="B58" s="660">
        <f t="shared" si="8"/>
        <v>0</v>
      </c>
      <c r="C58" s="662" t="str">
        <f t="shared" si="8"/>
        <v>0030019644</v>
      </c>
      <c r="D58" s="541">
        <v>4980.2330000000002</v>
      </c>
      <c r="E58" s="541">
        <v>4999.5879999999997</v>
      </c>
      <c r="F58" s="541">
        <v>5543.7340000000004</v>
      </c>
      <c r="G58" s="550">
        <v>5907.4949999999999</v>
      </c>
      <c r="H58" s="550">
        <v>6389.4269999999997</v>
      </c>
      <c r="I58" s="550">
        <v>6828.66</v>
      </c>
      <c r="J58" s="550">
        <v>7121.8649999999998</v>
      </c>
      <c r="K58" s="550">
        <v>7273.9849999999997</v>
      </c>
      <c r="L58" s="550">
        <v>6707.2110000000002</v>
      </c>
      <c r="M58" s="550">
        <v>5606.3140000000003</v>
      </c>
      <c r="N58" s="550">
        <v>4896.1009999999997</v>
      </c>
      <c r="O58" s="550">
        <v>4949.0129999999999</v>
      </c>
      <c r="P58" s="37">
        <f t="shared" si="9"/>
        <v>71203.626000000004</v>
      </c>
      <c r="Q58" s="43">
        <f t="shared" si="11"/>
        <v>7273.9849999999997</v>
      </c>
      <c r="R58" s="331">
        <f t="shared" si="10"/>
        <v>43678</v>
      </c>
      <c r="S58" s="35"/>
    </row>
    <row r="59" spans="1:19">
      <c r="A59">
        <v>13</v>
      </c>
      <c r="B59" s="660">
        <f t="shared" si="8"/>
        <v>0</v>
      </c>
      <c r="C59" s="662" t="str">
        <f t="shared" si="8"/>
        <v>1080099801</v>
      </c>
      <c r="D59" s="541">
        <v>1801.0119999999999</v>
      </c>
      <c r="E59" s="541">
        <v>1807.5129999999999</v>
      </c>
      <c r="F59" s="541">
        <v>1766.2239999999999</v>
      </c>
      <c r="G59" s="550">
        <v>2097.4659999999999</v>
      </c>
      <c r="H59" s="550">
        <v>2342.8510000000001</v>
      </c>
      <c r="I59" s="550">
        <v>2440.1709999999998</v>
      </c>
      <c r="J59" s="550">
        <v>2558.3000000000002</v>
      </c>
      <c r="K59" s="550">
        <v>2603.3220000000001</v>
      </c>
      <c r="L59" s="550">
        <v>2421.0439999999999</v>
      </c>
      <c r="M59" s="550">
        <v>1998.9749999999999</v>
      </c>
      <c r="N59" s="550">
        <v>1729.87</v>
      </c>
      <c r="O59" s="550">
        <v>1770.8520000000001</v>
      </c>
      <c r="P59" s="37">
        <f t="shared" si="9"/>
        <v>25337.599999999995</v>
      </c>
      <c r="Q59" s="43">
        <f t="shared" si="11"/>
        <v>2603.3220000000001</v>
      </c>
      <c r="R59" s="331">
        <f t="shared" si="10"/>
        <v>43678</v>
      </c>
      <c r="S59" s="35"/>
    </row>
    <row r="60" spans="1:19">
      <c r="A60">
        <v>14</v>
      </c>
      <c r="B60" s="660">
        <f t="shared" si="8"/>
        <v>0</v>
      </c>
      <c r="C60" s="662" t="str">
        <f t="shared" si="8"/>
        <v>0070121063</v>
      </c>
      <c r="D60" s="541">
        <v>5920.46</v>
      </c>
      <c r="E60" s="541">
        <v>5993.2539999999999</v>
      </c>
      <c r="F60" s="541">
        <v>5928.2049999999999</v>
      </c>
      <c r="G60" s="550">
        <v>5817.009</v>
      </c>
      <c r="H60" s="550">
        <v>6388.3950000000004</v>
      </c>
      <c r="I60" s="550">
        <v>6221.201</v>
      </c>
      <c r="J60" s="550">
        <v>6304.875</v>
      </c>
      <c r="K60" s="550">
        <v>6173.893</v>
      </c>
      <c r="L60" s="550">
        <v>6325.0529999999999</v>
      </c>
      <c r="M60" s="550">
        <v>6242.3940000000002</v>
      </c>
      <c r="N60" s="550">
        <v>6406.4470000000001</v>
      </c>
      <c r="O60" s="550">
        <v>6101.6930000000002</v>
      </c>
      <c r="P60" s="37">
        <f t="shared" si="9"/>
        <v>73822.879000000001</v>
      </c>
      <c r="Q60" s="43">
        <f t="shared" si="11"/>
        <v>6406.4470000000001</v>
      </c>
      <c r="R60" s="331">
        <f t="shared" si="10"/>
        <v>43770</v>
      </c>
      <c r="S60" s="35"/>
    </row>
    <row r="61" spans="1:19">
      <c r="A61">
        <v>15</v>
      </c>
      <c r="B61" s="660">
        <f t="shared" si="8"/>
        <v>0</v>
      </c>
      <c r="C61" s="662" t="str">
        <f t="shared" si="8"/>
        <v>2260946595</v>
      </c>
      <c r="D61" s="749"/>
      <c r="E61" s="749"/>
      <c r="F61" s="749"/>
      <c r="G61" s="748"/>
      <c r="H61" s="748"/>
      <c r="I61" s="748"/>
      <c r="J61" s="748"/>
      <c r="K61" s="748"/>
      <c r="L61" s="748"/>
      <c r="M61" s="748"/>
      <c r="N61" s="748"/>
      <c r="O61" s="748"/>
      <c r="P61" s="37">
        <f t="shared" si="9"/>
        <v>0</v>
      </c>
      <c r="Q61" s="43">
        <f t="shared" si="11"/>
        <v>0</v>
      </c>
      <c r="R61" s="331"/>
      <c r="S61" s="35"/>
    </row>
    <row r="62" spans="1:19">
      <c r="A62">
        <v>16</v>
      </c>
      <c r="B62" s="660">
        <f t="shared" si="8"/>
        <v>0</v>
      </c>
      <c r="C62" s="662" t="str">
        <f t="shared" si="8"/>
        <v>2470070232</v>
      </c>
      <c r="D62" s="541">
        <v>5028.1019999999999</v>
      </c>
      <c r="E62" s="541">
        <v>4788.4679999999998</v>
      </c>
      <c r="F62" s="541">
        <v>4942.8050000000003</v>
      </c>
      <c r="G62" s="550">
        <v>4612.442</v>
      </c>
      <c r="H62" s="550">
        <v>4606.8090000000002</v>
      </c>
      <c r="I62" s="550">
        <v>4393.97</v>
      </c>
      <c r="J62" s="550">
        <v>4423.7870000000003</v>
      </c>
      <c r="K62" s="550">
        <v>4237.9390000000003</v>
      </c>
      <c r="L62" s="550">
        <v>4362.2529999999997</v>
      </c>
      <c r="M62" s="550">
        <v>4489.8590000000004</v>
      </c>
      <c r="N62" s="550">
        <v>4602.6000000000004</v>
      </c>
      <c r="O62" s="550">
        <v>4523.5379999999996</v>
      </c>
      <c r="P62" s="37">
        <f t="shared" si="9"/>
        <v>55012.571999999993</v>
      </c>
      <c r="Q62" s="43">
        <f t="shared" si="11"/>
        <v>5028.1019999999999</v>
      </c>
      <c r="R62" s="331">
        <f t="shared" si="10"/>
        <v>43466</v>
      </c>
      <c r="S62" s="35"/>
    </row>
    <row r="63" spans="1:19">
      <c r="A63">
        <v>17</v>
      </c>
      <c r="B63" s="660">
        <f t="shared" si="8"/>
        <v>0</v>
      </c>
      <c r="C63" s="662" t="str">
        <f t="shared" si="8"/>
        <v>3730460787</v>
      </c>
      <c r="D63" s="541">
        <v>4576.1419999999998</v>
      </c>
      <c r="E63" s="541">
        <v>4593.7479999999996</v>
      </c>
      <c r="F63" s="541">
        <v>4793.0240000000003</v>
      </c>
      <c r="G63" s="550">
        <v>4269.5659999999998</v>
      </c>
      <c r="H63" s="550">
        <v>4178.7259999999997</v>
      </c>
      <c r="I63" s="550">
        <v>4025.9749999999999</v>
      </c>
      <c r="J63" s="550">
        <v>4061.17</v>
      </c>
      <c r="K63" s="550">
        <v>4215.13</v>
      </c>
      <c r="L63" s="550">
        <v>4599.915</v>
      </c>
      <c r="M63" s="550">
        <v>4512.3909999999996</v>
      </c>
      <c r="N63" s="550">
        <v>4444.4250000000002</v>
      </c>
      <c r="O63" s="550">
        <v>4482.9390000000003</v>
      </c>
      <c r="P63" s="37">
        <f t="shared" si="9"/>
        <v>52753.150999999998</v>
      </c>
      <c r="Q63" s="43">
        <f t="shared" si="11"/>
        <v>4793.0240000000003</v>
      </c>
      <c r="R63" s="331">
        <f t="shared" si="10"/>
        <v>43525</v>
      </c>
      <c r="S63" s="35"/>
    </row>
    <row r="64" spans="1:19">
      <c r="A64">
        <v>18</v>
      </c>
      <c r="B64" s="660">
        <f t="shared" si="8"/>
        <v>0</v>
      </c>
      <c r="C64" s="662" t="str">
        <f t="shared" si="8"/>
        <v>6030021572</v>
      </c>
      <c r="D64" s="541">
        <v>7561.8</v>
      </c>
      <c r="E64" s="541">
        <v>7319.55</v>
      </c>
      <c r="F64" s="541">
        <v>6877.6</v>
      </c>
      <c r="G64" s="550">
        <v>7474.16</v>
      </c>
      <c r="H64" s="550">
        <v>8302.59</v>
      </c>
      <c r="I64" s="550">
        <v>9730.33</v>
      </c>
      <c r="J64" s="550">
        <v>10780.89</v>
      </c>
      <c r="K64" s="550">
        <v>11330.56</v>
      </c>
      <c r="L64" s="550">
        <v>10798.06</v>
      </c>
      <c r="M64" s="550">
        <v>7293.78</v>
      </c>
      <c r="N64" s="550">
        <v>7735.4</v>
      </c>
      <c r="O64" s="550">
        <v>7646.46</v>
      </c>
      <c r="P64" s="37">
        <f t="shared" si="9"/>
        <v>102851.18</v>
      </c>
      <c r="Q64" s="43">
        <f t="shared" si="11"/>
        <v>11330.56</v>
      </c>
      <c r="R64" s="331">
        <f t="shared" si="10"/>
        <v>43678</v>
      </c>
      <c r="S64" s="35"/>
    </row>
    <row r="65" spans="1:19">
      <c r="A65">
        <v>19</v>
      </c>
      <c r="B65" s="660">
        <f t="shared" si="8"/>
        <v>0</v>
      </c>
      <c r="C65" s="661" t="str">
        <f t="shared" si="8"/>
        <v>6100609210</v>
      </c>
      <c r="D65" s="542">
        <v>5925.4719999999998</v>
      </c>
      <c r="E65" s="542">
        <v>5829.2190000000001</v>
      </c>
      <c r="F65" s="542">
        <v>5446.55</v>
      </c>
      <c r="G65" s="550">
        <v>5450.83</v>
      </c>
      <c r="H65" s="550">
        <v>4763.3630000000003</v>
      </c>
      <c r="I65" s="550">
        <v>4751.4009999999998</v>
      </c>
      <c r="J65" s="550">
        <v>4657.95</v>
      </c>
      <c r="K65" s="550">
        <v>5287.0439999999999</v>
      </c>
      <c r="L65" s="550">
        <v>5266.2640000000001</v>
      </c>
      <c r="M65" s="551">
        <v>5678.3630000000003</v>
      </c>
      <c r="N65" s="551">
        <v>5797.1559999999999</v>
      </c>
      <c r="O65" s="551">
        <v>5921.9229999999998</v>
      </c>
      <c r="P65" s="37">
        <f t="shared" si="9"/>
        <v>64775.535000000003</v>
      </c>
      <c r="Q65" s="43">
        <f t="shared" si="11"/>
        <v>5925.4719999999998</v>
      </c>
      <c r="R65" s="331">
        <f t="shared" si="10"/>
        <v>43466</v>
      </c>
      <c r="S65" s="35"/>
    </row>
    <row r="66" spans="1:19">
      <c r="A66">
        <v>20</v>
      </c>
      <c r="B66" s="660">
        <f t="shared" si="8"/>
        <v>0</v>
      </c>
      <c r="C66" s="661" t="str">
        <f t="shared" si="8"/>
        <v>5030019646</v>
      </c>
      <c r="D66" s="634">
        <v>5543.0239999999994</v>
      </c>
      <c r="E66" s="634">
        <v>9427.7479999999996</v>
      </c>
      <c r="F66" s="634">
        <v>5699.7960000000003</v>
      </c>
      <c r="G66" s="635">
        <v>5095.9430000000002</v>
      </c>
      <c r="H66" s="635">
        <v>4944.7250000000004</v>
      </c>
      <c r="I66" s="635">
        <v>4815.7870000000003</v>
      </c>
      <c r="J66" s="635">
        <v>4644.2190000000001</v>
      </c>
      <c r="K66" s="635">
        <v>4858.576</v>
      </c>
      <c r="L66" s="635">
        <v>4945.268</v>
      </c>
      <c r="M66" s="635">
        <v>5057.24</v>
      </c>
      <c r="N66" s="635">
        <v>4988.9480000000003</v>
      </c>
      <c r="O66" s="635">
        <v>4920.2280000000001</v>
      </c>
      <c r="P66" s="37">
        <f t="shared" si="9"/>
        <v>64941.501999999993</v>
      </c>
      <c r="Q66" s="43">
        <f t="shared" si="11"/>
        <v>9427.7479999999996</v>
      </c>
      <c r="R66" s="331">
        <f t="shared" si="10"/>
        <v>43497</v>
      </c>
      <c r="S66" s="35"/>
    </row>
    <row r="67" spans="1:19">
      <c r="A67">
        <v>21</v>
      </c>
      <c r="B67" s="660">
        <f t="shared" si="8"/>
        <v>0</v>
      </c>
      <c r="C67" s="661" t="str">
        <f t="shared" si="8"/>
        <v>7030024549</v>
      </c>
      <c r="D67" s="634">
        <v>4283.5569999999998</v>
      </c>
      <c r="E67" s="634">
        <v>4289.8339999999998</v>
      </c>
      <c r="F67" s="634">
        <v>4226.067</v>
      </c>
      <c r="G67" s="635">
        <v>4553.32</v>
      </c>
      <c r="H67" s="635">
        <v>5085.1450000000004</v>
      </c>
      <c r="I67" s="635">
        <v>6309.3789999999999</v>
      </c>
      <c r="J67" s="635">
        <v>5919.558</v>
      </c>
      <c r="K67" s="635">
        <v>7191.9350000000004</v>
      </c>
      <c r="L67" s="635">
        <v>9554.7289999999994</v>
      </c>
      <c r="M67" s="635">
        <v>8275.527</v>
      </c>
      <c r="N67" s="635">
        <v>4245.8639999999996</v>
      </c>
      <c r="O67" s="635">
        <v>4204.433</v>
      </c>
      <c r="P67" s="37">
        <f t="shared" si="9"/>
        <v>68139.347999999998</v>
      </c>
      <c r="Q67" s="43">
        <f t="shared" si="11"/>
        <v>9554.7289999999994</v>
      </c>
      <c r="R67" s="331">
        <f t="shared" si="10"/>
        <v>43709</v>
      </c>
      <c r="S67" s="35"/>
    </row>
    <row r="68" spans="1:19" s="722" customFormat="1">
      <c r="A68" s="722">
        <v>22</v>
      </c>
      <c r="B68" s="660">
        <f>B25</f>
        <v>0</v>
      </c>
      <c r="C68" s="661"/>
      <c r="D68" s="634">
        <v>2223.39</v>
      </c>
      <c r="E68" s="634">
        <v>2148.5909999999999</v>
      </c>
      <c r="F68" s="634">
        <v>1909.559</v>
      </c>
      <c r="G68" s="635">
        <v>2118.7249999999999</v>
      </c>
      <c r="H68" s="635">
        <v>2298.212</v>
      </c>
      <c r="I68" s="635">
        <v>2136.0309999999999</v>
      </c>
      <c r="J68" s="635">
        <v>2246.8220000000001</v>
      </c>
      <c r="K68" s="635">
        <v>2660.0880000000002</v>
      </c>
      <c r="L68" s="635">
        <v>2377.2779999999998</v>
      </c>
      <c r="M68" s="635">
        <v>6979.9009999999998</v>
      </c>
      <c r="N68" s="635">
        <v>6503.0730000000003</v>
      </c>
      <c r="O68" s="635">
        <v>6407.7510000000002</v>
      </c>
      <c r="P68" s="385">
        <f t="shared" si="9"/>
        <v>40009.421000000002</v>
      </c>
      <c r="Q68" s="528">
        <f t="shared" ref="Q68:Q69" si="12">MAX(D68:O68)</f>
        <v>6979.9009999999998</v>
      </c>
      <c r="R68" s="331">
        <f t="shared" ref="R68:R69" si="13">INDEX($D$46:$O$46,MATCH(Q68,$D68:$O68,0))</f>
        <v>43739</v>
      </c>
      <c r="S68" s="527"/>
    </row>
    <row r="69" spans="1:19" s="722" customFormat="1">
      <c r="A69" s="722">
        <v>23</v>
      </c>
      <c r="B69" s="660">
        <f>B26</f>
        <v>0</v>
      </c>
      <c r="C69" s="661"/>
      <c r="D69" s="541">
        <v>3733.76</v>
      </c>
      <c r="E69" s="541">
        <v>3840.748</v>
      </c>
      <c r="F69" s="541">
        <v>3713.1419999999998</v>
      </c>
      <c r="G69" s="550">
        <v>3775.5549999999998</v>
      </c>
      <c r="H69" s="550">
        <v>3660.1640000000002</v>
      </c>
      <c r="I69" s="550">
        <v>3602.386</v>
      </c>
      <c r="J69" s="550">
        <v>3660.2130000000002</v>
      </c>
      <c r="K69" s="550">
        <v>3628.8780000000002</v>
      </c>
      <c r="L69" s="550">
        <v>3524.9789999999998</v>
      </c>
      <c r="M69" s="550">
        <v>3638.9459999999999</v>
      </c>
      <c r="N69" s="550">
        <v>3738.2359999999999</v>
      </c>
      <c r="O69" s="550">
        <v>3734.7139999999999</v>
      </c>
      <c r="P69" s="385">
        <f t="shared" si="9"/>
        <v>44251.72099999999</v>
      </c>
      <c r="Q69" s="528">
        <f t="shared" si="12"/>
        <v>3840.748</v>
      </c>
      <c r="R69" s="331">
        <f t="shared" si="13"/>
        <v>43497</v>
      </c>
      <c r="S69" s="527"/>
    </row>
    <row r="70" spans="1:19">
      <c r="B70" t="s">
        <v>365</v>
      </c>
      <c r="D70" s="301">
        <f>SUM(D47:D69)</f>
        <v>106763.70199999999</v>
      </c>
      <c r="E70" s="301">
        <f t="shared" ref="E70:O70" si="14">SUM(E47:E69)</f>
        <v>110528.39299999998</v>
      </c>
      <c r="F70" s="301">
        <f t="shared" si="14"/>
        <v>105872.42500000002</v>
      </c>
      <c r="G70" s="301">
        <f t="shared" si="14"/>
        <v>104380.46100000001</v>
      </c>
      <c r="H70" s="301">
        <f t="shared" si="14"/>
        <v>115320.61</v>
      </c>
      <c r="I70" s="301">
        <f t="shared" si="14"/>
        <v>110511.31200000001</v>
      </c>
      <c r="J70" s="301">
        <f t="shared" si="14"/>
        <v>111289.21400000001</v>
      </c>
      <c r="K70" s="301">
        <f t="shared" si="14"/>
        <v>115595.89799999999</v>
      </c>
      <c r="L70" s="301">
        <f t="shared" si="14"/>
        <v>115805.89899999998</v>
      </c>
      <c r="M70" s="301">
        <f t="shared" si="14"/>
        <v>111281.022</v>
      </c>
      <c r="N70" s="301">
        <f t="shared" si="14"/>
        <v>104575.00500000002</v>
      </c>
      <c r="O70" s="301">
        <f t="shared" si="14"/>
        <v>104697.261</v>
      </c>
      <c r="P70" s="39">
        <f>IF(ROUND(SUM(P47:P69),0)&lt;&gt;ROUND(SUM(D70:O70),0),#VALUE!,SUM(P47:P69))</f>
        <v>1316621.2019999998</v>
      </c>
    </row>
    <row r="71" spans="1:19">
      <c r="D71" s="302"/>
      <c r="E71" s="302"/>
      <c r="F71" s="302"/>
      <c r="G71" s="302"/>
      <c r="H71" s="302"/>
      <c r="I71" s="302"/>
      <c r="J71" s="302"/>
      <c r="K71" s="302"/>
      <c r="L71" s="302"/>
      <c r="M71" s="46"/>
      <c r="N71" s="46"/>
      <c r="O71" s="46"/>
      <c r="P71" s="46"/>
    </row>
    <row r="72" spans="1:19">
      <c r="D72" s="19"/>
      <c r="E72" s="19"/>
      <c r="F72" s="19"/>
      <c r="G72" s="19"/>
      <c r="H72" s="19"/>
      <c r="I72" s="19"/>
      <c r="J72" s="19"/>
      <c r="K72" s="19"/>
      <c r="L72" s="19"/>
      <c r="P72" s="35" t="str">
        <f>P$2</f>
        <v>12-mo Ended</v>
      </c>
    </row>
    <row r="73" spans="1:19">
      <c r="B73" s="116" t="s">
        <v>403</v>
      </c>
      <c r="D73" s="300">
        <f>D$3</f>
        <v>43466</v>
      </c>
      <c r="E73" s="300">
        <f t="shared" ref="E73:O73" si="15">E$3</f>
        <v>43497</v>
      </c>
      <c r="F73" s="300">
        <f t="shared" si="15"/>
        <v>43525</v>
      </c>
      <c r="G73" s="300">
        <f t="shared" si="15"/>
        <v>43556</v>
      </c>
      <c r="H73" s="300">
        <f t="shared" si="15"/>
        <v>43586</v>
      </c>
      <c r="I73" s="300">
        <f t="shared" si="15"/>
        <v>43617</v>
      </c>
      <c r="J73" s="300">
        <f t="shared" si="15"/>
        <v>43647</v>
      </c>
      <c r="K73" s="300">
        <f t="shared" si="15"/>
        <v>43678</v>
      </c>
      <c r="L73" s="300">
        <f t="shared" si="15"/>
        <v>43709</v>
      </c>
      <c r="M73" s="298">
        <f t="shared" si="15"/>
        <v>43739</v>
      </c>
      <c r="N73" s="298">
        <f t="shared" si="15"/>
        <v>43770</v>
      </c>
      <c r="O73" s="298">
        <f t="shared" si="15"/>
        <v>43800</v>
      </c>
      <c r="P73" s="35" t="s">
        <v>66</v>
      </c>
    </row>
    <row r="74" spans="1:19">
      <c r="A74">
        <v>1</v>
      </c>
      <c r="B74" s="625">
        <f t="shared" ref="B74:C80" si="16">B4</f>
        <v>0</v>
      </c>
      <c r="C74" s="325" t="str">
        <f t="shared" si="16"/>
        <v>2311008572</v>
      </c>
      <c r="D74" s="303">
        <f t="shared" ref="D74:F81" si="17">IF(D47&gt;3000,D47-3000,0)</f>
        <v>8235.1190000000006</v>
      </c>
      <c r="E74" s="303">
        <f t="shared" si="17"/>
        <v>10097.044</v>
      </c>
      <c r="F74" s="303">
        <f t="shared" si="17"/>
        <v>9788.42</v>
      </c>
      <c r="G74" s="303">
        <f t="shared" ref="G74:O74" si="18">MAX(0,G47-3000)</f>
        <v>8813.0759999999991</v>
      </c>
      <c r="H74" s="303">
        <f t="shared" si="18"/>
        <v>16727.5</v>
      </c>
      <c r="I74" s="303">
        <f t="shared" si="18"/>
        <v>8694.5650000000005</v>
      </c>
      <c r="J74" s="303">
        <f t="shared" si="18"/>
        <v>7955.6509999999998</v>
      </c>
      <c r="K74" s="303">
        <f t="shared" si="18"/>
        <v>8234.8739999999998</v>
      </c>
      <c r="L74" s="303">
        <f t="shared" si="18"/>
        <v>8020.2270000000008</v>
      </c>
      <c r="M74" s="303">
        <f t="shared" si="18"/>
        <v>6747.6959999999999</v>
      </c>
      <c r="N74" s="303">
        <f t="shared" si="18"/>
        <v>4452.8119999999999</v>
      </c>
      <c r="O74" s="303">
        <f t="shared" si="18"/>
        <v>4325.1319999999996</v>
      </c>
      <c r="P74" s="37">
        <f t="shared" ref="P74:P94" si="19">SUM(D74:O74)</f>
        <v>102092.11599999999</v>
      </c>
    </row>
    <row r="75" spans="1:19">
      <c r="A75">
        <v>2</v>
      </c>
      <c r="B75" s="625">
        <f t="shared" si="16"/>
        <v>0</v>
      </c>
      <c r="C75" s="325" t="str">
        <f t="shared" si="16"/>
        <v>8920023327</v>
      </c>
      <c r="D75" s="303">
        <f t="shared" si="17"/>
        <v>2486.0749999999998</v>
      </c>
      <c r="E75" s="303">
        <f t="shared" si="17"/>
        <v>2434.125</v>
      </c>
      <c r="F75" s="303">
        <f t="shared" si="17"/>
        <v>2276.1229999999996</v>
      </c>
      <c r="G75" s="303">
        <f t="shared" ref="G75:O75" si="20">MAX(0,G48-3000)</f>
        <v>2056.1369999999997</v>
      </c>
      <c r="H75" s="303">
        <f t="shared" si="20"/>
        <v>1983.9690000000001</v>
      </c>
      <c r="I75" s="303">
        <f t="shared" si="20"/>
        <v>2005.4129999999996</v>
      </c>
      <c r="J75" s="303">
        <f t="shared" si="20"/>
        <v>2087.6890000000003</v>
      </c>
      <c r="K75" s="303">
        <f t="shared" si="20"/>
        <v>2057.6229999999996</v>
      </c>
      <c r="L75" s="303">
        <f t="shared" si="20"/>
        <v>2126.2299999999996</v>
      </c>
      <c r="M75" s="303">
        <f t="shared" si="20"/>
        <v>2102.8950000000004</v>
      </c>
      <c r="N75" s="303">
        <f t="shared" si="20"/>
        <v>2137.21</v>
      </c>
      <c r="O75" s="303">
        <f t="shared" si="20"/>
        <v>2127.7849999999999</v>
      </c>
      <c r="P75" s="37">
        <f t="shared" si="19"/>
        <v>25881.274000000001</v>
      </c>
    </row>
    <row r="76" spans="1:19">
      <c r="A76">
        <v>3</v>
      </c>
      <c r="B76" s="625">
        <f t="shared" si="16"/>
        <v>0</v>
      </c>
      <c r="C76" s="325" t="str">
        <f t="shared" si="16"/>
        <v>9920023116</v>
      </c>
      <c r="D76" s="303">
        <f t="shared" si="17"/>
        <v>170.49200000000019</v>
      </c>
      <c r="E76" s="303">
        <f t="shared" si="17"/>
        <v>0</v>
      </c>
      <c r="F76" s="303">
        <f t="shared" si="17"/>
        <v>9.1469999999999345</v>
      </c>
      <c r="G76" s="303">
        <f t="shared" ref="G76:O76" si="21">MAX(0,G49-3000)</f>
        <v>0</v>
      </c>
      <c r="H76" s="303">
        <f t="shared" si="21"/>
        <v>0</v>
      </c>
      <c r="I76" s="303">
        <f t="shared" si="21"/>
        <v>0</v>
      </c>
      <c r="J76" s="303">
        <f t="shared" si="21"/>
        <v>0</v>
      </c>
      <c r="K76" s="303">
        <f t="shared" si="21"/>
        <v>0</v>
      </c>
      <c r="L76" s="303">
        <f t="shared" si="21"/>
        <v>0</v>
      </c>
      <c r="M76" s="303">
        <f t="shared" si="21"/>
        <v>0</v>
      </c>
      <c r="N76" s="303">
        <f t="shared" si="21"/>
        <v>0</v>
      </c>
      <c r="O76" s="303">
        <f t="shared" si="21"/>
        <v>0</v>
      </c>
      <c r="P76" s="37">
        <f t="shared" si="19"/>
        <v>179.63900000000012</v>
      </c>
    </row>
    <row r="77" spans="1:19">
      <c r="A77">
        <v>4</v>
      </c>
      <c r="B77" s="625">
        <f t="shared" si="16"/>
        <v>0</v>
      </c>
      <c r="C77" s="325" t="str">
        <f t="shared" si="16"/>
        <v>8970099313</v>
      </c>
      <c r="D77" s="303">
        <f t="shared" si="17"/>
        <v>0</v>
      </c>
      <c r="E77" s="303">
        <f t="shared" si="17"/>
        <v>0</v>
      </c>
      <c r="F77" s="303">
        <f t="shared" si="17"/>
        <v>0</v>
      </c>
      <c r="G77" s="303">
        <f t="shared" ref="G77:O77" si="22">MAX(0,G50-3000)</f>
        <v>0</v>
      </c>
      <c r="H77" s="303">
        <f t="shared" si="22"/>
        <v>0</v>
      </c>
      <c r="I77" s="303">
        <f t="shared" si="22"/>
        <v>0</v>
      </c>
      <c r="J77" s="303">
        <f t="shared" si="22"/>
        <v>0</v>
      </c>
      <c r="K77" s="303">
        <f t="shared" si="22"/>
        <v>0</v>
      </c>
      <c r="L77" s="303">
        <f t="shared" si="22"/>
        <v>0</v>
      </c>
      <c r="M77" s="303">
        <f t="shared" si="22"/>
        <v>0</v>
      </c>
      <c r="N77" s="303">
        <f t="shared" si="22"/>
        <v>0</v>
      </c>
      <c r="O77" s="303">
        <f t="shared" si="22"/>
        <v>0</v>
      </c>
      <c r="P77" s="37">
        <f t="shared" si="19"/>
        <v>0</v>
      </c>
    </row>
    <row r="78" spans="1:19">
      <c r="A78">
        <v>5</v>
      </c>
      <c r="B78" s="625">
        <f t="shared" si="16"/>
        <v>0</v>
      </c>
      <c r="C78" s="325" t="str">
        <f t="shared" si="16"/>
        <v>0080095044</v>
      </c>
      <c r="D78" s="303">
        <f t="shared" si="17"/>
        <v>0</v>
      </c>
      <c r="E78" s="303">
        <f t="shared" si="17"/>
        <v>0</v>
      </c>
      <c r="F78" s="303">
        <f t="shared" si="17"/>
        <v>0</v>
      </c>
      <c r="G78" s="303">
        <f t="shared" ref="G78:O78" si="23">MAX(0,G51-3000)</f>
        <v>132.22299999999996</v>
      </c>
      <c r="H78" s="303">
        <f t="shared" si="23"/>
        <v>477.36900000000014</v>
      </c>
      <c r="I78" s="303">
        <f t="shared" si="23"/>
        <v>747.49499999999989</v>
      </c>
      <c r="J78" s="303">
        <f t="shared" si="23"/>
        <v>914.42000000000007</v>
      </c>
      <c r="K78" s="303">
        <f t="shared" si="23"/>
        <v>810.73300000000017</v>
      </c>
      <c r="L78" s="303">
        <f t="shared" si="23"/>
        <v>653.30000000000018</v>
      </c>
      <c r="M78" s="303">
        <f t="shared" si="23"/>
        <v>0</v>
      </c>
      <c r="N78" s="303">
        <f t="shared" si="23"/>
        <v>0</v>
      </c>
      <c r="O78" s="303">
        <f t="shared" si="23"/>
        <v>0</v>
      </c>
      <c r="P78" s="37">
        <f t="shared" si="19"/>
        <v>3735.5400000000004</v>
      </c>
    </row>
    <row r="79" spans="1:19">
      <c r="A79">
        <v>6</v>
      </c>
      <c r="B79" s="625">
        <f t="shared" si="16"/>
        <v>0</v>
      </c>
      <c r="C79" s="325" t="str">
        <f t="shared" si="16"/>
        <v>1420028876</v>
      </c>
      <c r="D79" s="303">
        <f t="shared" si="17"/>
        <v>1693.9759999999997</v>
      </c>
      <c r="E79" s="303">
        <f t="shared" si="17"/>
        <v>1607.8199999999997</v>
      </c>
      <c r="F79" s="303">
        <f t="shared" si="17"/>
        <v>1350.3389999999999</v>
      </c>
      <c r="G79" s="303">
        <f t="shared" ref="G79:O79" si="24">MAX(0,G52-3000)</f>
        <v>1168.8230000000003</v>
      </c>
      <c r="H79" s="303">
        <f t="shared" si="24"/>
        <v>1653.5330000000004</v>
      </c>
      <c r="I79" s="303">
        <f t="shared" si="24"/>
        <v>1532.701</v>
      </c>
      <c r="J79" s="303">
        <f t="shared" si="24"/>
        <v>1783.741</v>
      </c>
      <c r="K79" s="303">
        <f t="shared" si="24"/>
        <v>2478.8410000000003</v>
      </c>
      <c r="L79" s="303">
        <f t="shared" si="24"/>
        <v>2486.0709999999999</v>
      </c>
      <c r="M79" s="303">
        <f t="shared" si="24"/>
        <v>1220.9070000000002</v>
      </c>
      <c r="N79" s="303">
        <f t="shared" si="24"/>
        <v>1550.799</v>
      </c>
      <c r="O79" s="303">
        <f t="shared" si="24"/>
        <v>1495.9210000000003</v>
      </c>
      <c r="P79" s="37">
        <f t="shared" si="19"/>
        <v>20023.472000000002</v>
      </c>
    </row>
    <row r="80" spans="1:19">
      <c r="A80">
        <v>7</v>
      </c>
      <c r="B80" s="625">
        <f t="shared" si="16"/>
        <v>0</v>
      </c>
      <c r="C80" s="325" t="str">
        <f t="shared" si="16"/>
        <v>0170122152</v>
      </c>
      <c r="D80" s="303">
        <f t="shared" si="17"/>
        <v>0</v>
      </c>
      <c r="E80" s="303">
        <f t="shared" si="17"/>
        <v>0</v>
      </c>
      <c r="F80" s="303">
        <f t="shared" si="17"/>
        <v>0</v>
      </c>
      <c r="G80" s="303">
        <f t="shared" ref="G80:O80" si="25">MAX(0,G53-3000)</f>
        <v>0</v>
      </c>
      <c r="H80" s="303">
        <f t="shared" si="25"/>
        <v>29.110999999999876</v>
      </c>
      <c r="I80" s="303">
        <f t="shared" si="25"/>
        <v>196.04799999999977</v>
      </c>
      <c r="J80" s="303">
        <f t="shared" si="25"/>
        <v>339.18899999999985</v>
      </c>
      <c r="K80" s="303">
        <f t="shared" si="25"/>
        <v>522.61799999999994</v>
      </c>
      <c r="L80" s="303">
        <f t="shared" si="25"/>
        <v>280.20600000000013</v>
      </c>
      <c r="M80" s="303">
        <f t="shared" si="25"/>
        <v>114.72400000000016</v>
      </c>
      <c r="N80" s="303">
        <f t="shared" si="25"/>
        <v>80.481000000000222</v>
      </c>
      <c r="O80" s="303">
        <f t="shared" si="25"/>
        <v>7.6979999999998654</v>
      </c>
      <c r="P80" s="37">
        <f t="shared" si="19"/>
        <v>1570.0749999999998</v>
      </c>
    </row>
    <row r="81" spans="1:16">
      <c r="A81">
        <v>8</v>
      </c>
      <c r="B81" s="625">
        <f t="shared" ref="B81:B96" si="26">B11</f>
        <v>0</v>
      </c>
      <c r="C81" s="325">
        <v>610074869</v>
      </c>
      <c r="D81" s="303">
        <f t="shared" si="17"/>
        <v>1138.0299999999997</v>
      </c>
      <c r="E81" s="303">
        <f t="shared" si="17"/>
        <v>1134.473</v>
      </c>
      <c r="F81" s="303">
        <f t="shared" si="17"/>
        <v>1111.0600000000004</v>
      </c>
      <c r="G81" s="303">
        <f t="shared" ref="G81:O81" si="27">MAX(0,G54-3000)</f>
        <v>1134.7290000000003</v>
      </c>
      <c r="H81" s="303">
        <f t="shared" si="27"/>
        <v>1168.1779999999999</v>
      </c>
      <c r="I81" s="303">
        <f t="shared" si="27"/>
        <v>1212.5640000000003</v>
      </c>
      <c r="J81" s="303">
        <f t="shared" si="27"/>
        <v>1223.6970000000001</v>
      </c>
      <c r="K81" s="303">
        <f t="shared" si="27"/>
        <v>1273.0990000000002</v>
      </c>
      <c r="L81" s="303">
        <f t="shared" si="27"/>
        <v>1214.4899999999998</v>
      </c>
      <c r="M81" s="303">
        <f t="shared" si="27"/>
        <v>1157.8900000000003</v>
      </c>
      <c r="N81" s="303">
        <f t="shared" si="27"/>
        <v>1170.9449999999997</v>
      </c>
      <c r="O81" s="303">
        <f t="shared" si="27"/>
        <v>1257.5990000000002</v>
      </c>
      <c r="P81" s="37">
        <f t="shared" si="19"/>
        <v>14196.754000000003</v>
      </c>
    </row>
    <row r="82" spans="1:16">
      <c r="A82">
        <v>9</v>
      </c>
      <c r="B82" s="625">
        <f t="shared" si="26"/>
        <v>0</v>
      </c>
      <c r="C82" s="325" t="str">
        <f t="shared" ref="C82:C94" si="28">C12</f>
        <v>0160126924</v>
      </c>
      <c r="D82" s="749">
        <f>MAX(0,D55-3000)</f>
        <v>0</v>
      </c>
      <c r="E82" s="749">
        <f>MAX(0,E55-3000)</f>
        <v>0</v>
      </c>
      <c r="F82" s="749">
        <f>MAX(0,F55-3000)</f>
        <v>0</v>
      </c>
      <c r="G82" s="748">
        <f t="shared" ref="G82:O82" si="29">MAX(0,G55-3000)</f>
        <v>0</v>
      </c>
      <c r="H82" s="748">
        <f t="shared" si="29"/>
        <v>0</v>
      </c>
      <c r="I82" s="748">
        <f t="shared" si="29"/>
        <v>0</v>
      </c>
      <c r="J82" s="748">
        <f t="shared" si="29"/>
        <v>0</v>
      </c>
      <c r="K82" s="748">
        <f t="shared" si="29"/>
        <v>0</v>
      </c>
      <c r="L82" s="748">
        <f t="shared" si="29"/>
        <v>0</v>
      </c>
      <c r="M82" s="748">
        <f t="shared" si="29"/>
        <v>0</v>
      </c>
      <c r="N82" s="748">
        <f t="shared" si="29"/>
        <v>0</v>
      </c>
      <c r="O82" s="748">
        <f t="shared" si="29"/>
        <v>0</v>
      </c>
      <c r="P82" s="37">
        <f t="shared" si="19"/>
        <v>0</v>
      </c>
    </row>
    <row r="83" spans="1:16">
      <c r="A83">
        <v>10</v>
      </c>
      <c r="B83" s="625">
        <f t="shared" si="26"/>
        <v>0</v>
      </c>
      <c r="C83" s="325" t="str">
        <f t="shared" si="28"/>
        <v>4250473907</v>
      </c>
      <c r="D83" s="303">
        <f t="shared" ref="D83:F94" si="30">IF(D56&gt;3000,D56-3000,0)</f>
        <v>6494.3670000000002</v>
      </c>
      <c r="E83" s="303">
        <f t="shared" si="30"/>
        <v>5151.6930000000002</v>
      </c>
      <c r="F83" s="303">
        <f t="shared" si="30"/>
        <v>5444.6409999999996</v>
      </c>
      <c r="G83" s="303">
        <f t="shared" ref="G83:O83" si="31">MAX(0,G56-3000)</f>
        <v>5251.3700000000008</v>
      </c>
      <c r="H83" s="303">
        <f t="shared" si="31"/>
        <v>5416.0830000000005</v>
      </c>
      <c r="I83" s="303">
        <f t="shared" si="31"/>
        <v>5438.518</v>
      </c>
      <c r="J83" s="303">
        <f t="shared" si="31"/>
        <v>5465.4709999999995</v>
      </c>
      <c r="K83" s="303">
        <f t="shared" si="31"/>
        <v>5617.5730000000003</v>
      </c>
      <c r="L83" s="303">
        <f t="shared" si="31"/>
        <v>5465.0079999999998</v>
      </c>
      <c r="M83" s="303">
        <f t="shared" si="31"/>
        <v>5444.6409999999996</v>
      </c>
      <c r="N83" s="303">
        <f t="shared" si="31"/>
        <v>5123.326</v>
      </c>
      <c r="O83" s="303">
        <f t="shared" si="31"/>
        <v>5375.3729999999996</v>
      </c>
      <c r="P83" s="37">
        <f t="shared" si="19"/>
        <v>65688.064000000013</v>
      </c>
    </row>
    <row r="84" spans="1:16">
      <c r="A84">
        <v>11</v>
      </c>
      <c r="B84" s="625">
        <f t="shared" si="26"/>
        <v>0</v>
      </c>
      <c r="C84" s="325" t="str">
        <f t="shared" si="28"/>
        <v>9060132009</v>
      </c>
      <c r="D84" s="303">
        <f t="shared" si="30"/>
        <v>5557.5769999999993</v>
      </c>
      <c r="E84" s="303">
        <f t="shared" si="30"/>
        <v>5575.1489999999994</v>
      </c>
      <c r="F84" s="303">
        <f t="shared" si="30"/>
        <v>5703.8919999999998</v>
      </c>
      <c r="G84" s="303">
        <f t="shared" ref="G84:O84" si="32">MAX(0,G57-3000)</f>
        <v>5473.3389999999999</v>
      </c>
      <c r="H84" s="303">
        <f t="shared" si="32"/>
        <v>5775.9770000000008</v>
      </c>
      <c r="I84" s="303">
        <f t="shared" si="32"/>
        <v>6149.5429999999997</v>
      </c>
      <c r="J84" s="303">
        <f t="shared" si="32"/>
        <v>5848.1560000000009</v>
      </c>
      <c r="K84" s="303">
        <f t="shared" si="32"/>
        <v>5727.2649999999994</v>
      </c>
      <c r="L84" s="303">
        <f t="shared" si="32"/>
        <v>5415.0239999999994</v>
      </c>
      <c r="M84" s="303">
        <f t="shared" si="32"/>
        <v>5497.0220000000008</v>
      </c>
      <c r="N84" s="303">
        <f t="shared" si="32"/>
        <v>5603.2479999999996</v>
      </c>
      <c r="O84" s="303">
        <f t="shared" si="32"/>
        <v>5631.5079999999998</v>
      </c>
      <c r="P84" s="37">
        <f t="shared" si="19"/>
        <v>67957.7</v>
      </c>
    </row>
    <row r="85" spans="1:16">
      <c r="A85">
        <v>12</v>
      </c>
      <c r="B85" s="625">
        <f t="shared" si="26"/>
        <v>0</v>
      </c>
      <c r="C85" s="325" t="str">
        <f t="shared" si="28"/>
        <v>0030019644</v>
      </c>
      <c r="D85" s="303">
        <f t="shared" si="30"/>
        <v>1980.2330000000002</v>
      </c>
      <c r="E85" s="303">
        <f t="shared" si="30"/>
        <v>1999.5879999999997</v>
      </c>
      <c r="F85" s="303">
        <f t="shared" si="30"/>
        <v>2543.7340000000004</v>
      </c>
      <c r="G85" s="303">
        <f t="shared" ref="G85:O85" si="33">MAX(0,G58-3000)</f>
        <v>2907.4949999999999</v>
      </c>
      <c r="H85" s="303">
        <f t="shared" si="33"/>
        <v>3389.4269999999997</v>
      </c>
      <c r="I85" s="303">
        <f t="shared" si="33"/>
        <v>3828.66</v>
      </c>
      <c r="J85" s="303">
        <f t="shared" si="33"/>
        <v>4121.8649999999998</v>
      </c>
      <c r="K85" s="303">
        <f t="shared" si="33"/>
        <v>4273.9849999999997</v>
      </c>
      <c r="L85" s="303">
        <f t="shared" si="33"/>
        <v>3707.2110000000002</v>
      </c>
      <c r="M85" s="303">
        <f t="shared" si="33"/>
        <v>2606.3140000000003</v>
      </c>
      <c r="N85" s="303">
        <f t="shared" si="33"/>
        <v>1896.1009999999997</v>
      </c>
      <c r="O85" s="303">
        <f t="shared" si="33"/>
        <v>1949.0129999999999</v>
      </c>
      <c r="P85" s="37">
        <f t="shared" si="19"/>
        <v>35203.626000000004</v>
      </c>
    </row>
    <row r="86" spans="1:16">
      <c r="A86">
        <v>13</v>
      </c>
      <c r="B86" s="625">
        <f t="shared" si="26"/>
        <v>0</v>
      </c>
      <c r="C86" s="325" t="str">
        <f t="shared" si="28"/>
        <v>1080099801</v>
      </c>
      <c r="D86" s="303">
        <f t="shared" si="30"/>
        <v>0</v>
      </c>
      <c r="E86" s="303">
        <f t="shared" si="30"/>
        <v>0</v>
      </c>
      <c r="F86" s="303">
        <f t="shared" si="30"/>
        <v>0</v>
      </c>
      <c r="G86" s="303">
        <f t="shared" ref="G86:O86" si="34">MAX(0,G59-3000)</f>
        <v>0</v>
      </c>
      <c r="H86" s="303">
        <f t="shared" si="34"/>
        <v>0</v>
      </c>
      <c r="I86" s="303">
        <f t="shared" si="34"/>
        <v>0</v>
      </c>
      <c r="J86" s="303">
        <f t="shared" si="34"/>
        <v>0</v>
      </c>
      <c r="K86" s="303">
        <f t="shared" si="34"/>
        <v>0</v>
      </c>
      <c r="L86" s="303">
        <f t="shared" si="34"/>
        <v>0</v>
      </c>
      <c r="M86" s="303">
        <f t="shared" si="34"/>
        <v>0</v>
      </c>
      <c r="N86" s="303">
        <f t="shared" si="34"/>
        <v>0</v>
      </c>
      <c r="O86" s="303">
        <f t="shared" si="34"/>
        <v>0</v>
      </c>
      <c r="P86" s="37">
        <f t="shared" si="19"/>
        <v>0</v>
      </c>
    </row>
    <row r="87" spans="1:16">
      <c r="A87">
        <v>14</v>
      </c>
      <c r="B87" s="625">
        <f t="shared" si="26"/>
        <v>0</v>
      </c>
      <c r="C87" s="325" t="str">
        <f t="shared" si="28"/>
        <v>0070121063</v>
      </c>
      <c r="D87" s="303">
        <f t="shared" si="30"/>
        <v>2920.46</v>
      </c>
      <c r="E87" s="303">
        <f t="shared" si="30"/>
        <v>2993.2539999999999</v>
      </c>
      <c r="F87" s="303">
        <f t="shared" si="30"/>
        <v>2928.2049999999999</v>
      </c>
      <c r="G87" s="303">
        <f t="shared" ref="G87:O87" si="35">MAX(0,G60-3000)</f>
        <v>2817.009</v>
      </c>
      <c r="H87" s="303">
        <f t="shared" si="35"/>
        <v>3388.3950000000004</v>
      </c>
      <c r="I87" s="303">
        <f t="shared" si="35"/>
        <v>3221.201</v>
      </c>
      <c r="J87" s="303">
        <f t="shared" si="35"/>
        <v>3304.875</v>
      </c>
      <c r="K87" s="303">
        <f t="shared" si="35"/>
        <v>3173.893</v>
      </c>
      <c r="L87" s="303">
        <f t="shared" si="35"/>
        <v>3325.0529999999999</v>
      </c>
      <c r="M87" s="303">
        <f t="shared" si="35"/>
        <v>3242.3940000000002</v>
      </c>
      <c r="N87" s="303">
        <f t="shared" si="35"/>
        <v>3406.4470000000001</v>
      </c>
      <c r="O87" s="303">
        <f t="shared" si="35"/>
        <v>3101.6930000000002</v>
      </c>
      <c r="P87" s="37">
        <f t="shared" si="19"/>
        <v>37822.879000000001</v>
      </c>
    </row>
    <row r="88" spans="1:16">
      <c r="A88">
        <v>15</v>
      </c>
      <c r="B88" s="625">
        <f t="shared" si="26"/>
        <v>0</v>
      </c>
      <c r="C88" s="325" t="str">
        <f t="shared" si="28"/>
        <v>2260946595</v>
      </c>
      <c r="D88" s="749">
        <f t="shared" si="30"/>
        <v>0</v>
      </c>
      <c r="E88" s="749">
        <f t="shared" si="30"/>
        <v>0</v>
      </c>
      <c r="F88" s="749">
        <f t="shared" si="30"/>
        <v>0</v>
      </c>
      <c r="G88" s="748">
        <f t="shared" ref="G88:O88" si="36">MAX(0,G61-3000)</f>
        <v>0</v>
      </c>
      <c r="H88" s="748">
        <f t="shared" si="36"/>
        <v>0</v>
      </c>
      <c r="I88" s="748">
        <f t="shared" si="36"/>
        <v>0</v>
      </c>
      <c r="J88" s="748">
        <f t="shared" si="36"/>
        <v>0</v>
      </c>
      <c r="K88" s="748">
        <f t="shared" si="36"/>
        <v>0</v>
      </c>
      <c r="L88" s="748">
        <f t="shared" si="36"/>
        <v>0</v>
      </c>
      <c r="M88" s="748">
        <f t="shared" si="36"/>
        <v>0</v>
      </c>
      <c r="N88" s="748">
        <f t="shared" si="36"/>
        <v>0</v>
      </c>
      <c r="O88" s="748">
        <f t="shared" si="36"/>
        <v>0</v>
      </c>
      <c r="P88" s="37">
        <f t="shared" si="19"/>
        <v>0</v>
      </c>
    </row>
    <row r="89" spans="1:16">
      <c r="A89">
        <v>16</v>
      </c>
      <c r="B89" s="625">
        <f t="shared" si="26"/>
        <v>0</v>
      </c>
      <c r="C89" s="325" t="str">
        <f t="shared" si="28"/>
        <v>2470070232</v>
      </c>
      <c r="D89" s="303">
        <f t="shared" si="30"/>
        <v>2028.1019999999999</v>
      </c>
      <c r="E89" s="303">
        <f t="shared" si="30"/>
        <v>1788.4679999999998</v>
      </c>
      <c r="F89" s="303">
        <f t="shared" si="30"/>
        <v>1942.8050000000003</v>
      </c>
      <c r="G89" s="303">
        <f t="shared" ref="G89:O89" si="37">MAX(0,G62-3000)</f>
        <v>1612.442</v>
      </c>
      <c r="H89" s="303">
        <f t="shared" si="37"/>
        <v>1606.8090000000002</v>
      </c>
      <c r="I89" s="303">
        <f t="shared" si="37"/>
        <v>1393.9700000000003</v>
      </c>
      <c r="J89" s="303">
        <f t="shared" si="37"/>
        <v>1423.7870000000003</v>
      </c>
      <c r="K89" s="303">
        <f t="shared" si="37"/>
        <v>1237.9390000000003</v>
      </c>
      <c r="L89" s="303">
        <f t="shared" si="37"/>
        <v>1362.2529999999997</v>
      </c>
      <c r="M89" s="303">
        <f t="shared" si="37"/>
        <v>1489.8590000000004</v>
      </c>
      <c r="N89" s="303">
        <f t="shared" si="37"/>
        <v>1602.6000000000004</v>
      </c>
      <c r="O89" s="303">
        <f t="shared" si="37"/>
        <v>1523.5379999999996</v>
      </c>
      <c r="P89" s="37">
        <f t="shared" si="19"/>
        <v>19012.572</v>
      </c>
    </row>
    <row r="90" spans="1:16">
      <c r="A90">
        <v>17</v>
      </c>
      <c r="B90" s="625">
        <f t="shared" si="26"/>
        <v>0</v>
      </c>
      <c r="C90" s="325" t="str">
        <f t="shared" si="28"/>
        <v>3730460787</v>
      </c>
      <c r="D90" s="303">
        <f t="shared" si="30"/>
        <v>1576.1419999999998</v>
      </c>
      <c r="E90" s="303">
        <f t="shared" si="30"/>
        <v>1593.7479999999996</v>
      </c>
      <c r="F90" s="303">
        <f t="shared" si="30"/>
        <v>1793.0240000000003</v>
      </c>
      <c r="G90" s="303">
        <f t="shared" ref="G90:O90" si="38">MAX(0,G63-3000)</f>
        <v>1269.5659999999998</v>
      </c>
      <c r="H90" s="303">
        <f t="shared" si="38"/>
        <v>1178.7259999999997</v>
      </c>
      <c r="I90" s="303">
        <f t="shared" si="38"/>
        <v>1025.9749999999999</v>
      </c>
      <c r="J90" s="303">
        <f t="shared" si="38"/>
        <v>1061.17</v>
      </c>
      <c r="K90" s="303">
        <f t="shared" si="38"/>
        <v>1215.1300000000001</v>
      </c>
      <c r="L90" s="303">
        <f t="shared" si="38"/>
        <v>1599.915</v>
      </c>
      <c r="M90" s="303">
        <f t="shared" si="38"/>
        <v>1512.3909999999996</v>
      </c>
      <c r="N90" s="303">
        <f t="shared" si="38"/>
        <v>1444.4250000000002</v>
      </c>
      <c r="O90" s="303">
        <f t="shared" si="38"/>
        <v>1482.9390000000003</v>
      </c>
      <c r="P90" s="37">
        <f t="shared" si="19"/>
        <v>16753.150999999998</v>
      </c>
    </row>
    <row r="91" spans="1:16">
      <c r="A91">
        <v>18</v>
      </c>
      <c r="B91" s="625">
        <f t="shared" si="26"/>
        <v>0</v>
      </c>
      <c r="C91" s="325" t="str">
        <f t="shared" si="28"/>
        <v>6030021572</v>
      </c>
      <c r="D91" s="303">
        <f t="shared" si="30"/>
        <v>4561.8</v>
      </c>
      <c r="E91" s="303">
        <f t="shared" si="30"/>
        <v>4319.55</v>
      </c>
      <c r="F91" s="303">
        <f t="shared" si="30"/>
        <v>3877.6000000000004</v>
      </c>
      <c r="G91" s="303">
        <f t="shared" ref="G91:O91" si="39">MAX(0,G64-3000)</f>
        <v>4474.16</v>
      </c>
      <c r="H91" s="303">
        <f t="shared" si="39"/>
        <v>5302.59</v>
      </c>
      <c r="I91" s="303">
        <f t="shared" si="39"/>
        <v>6730.33</v>
      </c>
      <c r="J91" s="303">
        <f t="shared" si="39"/>
        <v>7780.8899999999994</v>
      </c>
      <c r="K91" s="303">
        <f t="shared" si="39"/>
        <v>8330.56</v>
      </c>
      <c r="L91" s="303">
        <f t="shared" si="39"/>
        <v>7798.0599999999995</v>
      </c>
      <c r="M91" s="303">
        <f t="shared" si="39"/>
        <v>4293.78</v>
      </c>
      <c r="N91" s="303">
        <f t="shared" si="39"/>
        <v>4735.3999999999996</v>
      </c>
      <c r="O91" s="303">
        <f t="shared" si="39"/>
        <v>4646.46</v>
      </c>
      <c r="P91" s="37">
        <f t="shared" si="19"/>
        <v>66851.179999999993</v>
      </c>
    </row>
    <row r="92" spans="1:16">
      <c r="A92">
        <v>19</v>
      </c>
      <c r="B92" s="625">
        <f t="shared" si="26"/>
        <v>0</v>
      </c>
      <c r="C92" s="325" t="str">
        <f t="shared" si="28"/>
        <v>6100609210</v>
      </c>
      <c r="D92" s="303">
        <f t="shared" si="30"/>
        <v>2925.4719999999998</v>
      </c>
      <c r="E92" s="303">
        <f t="shared" si="30"/>
        <v>2829.2190000000001</v>
      </c>
      <c r="F92" s="303">
        <f t="shared" si="30"/>
        <v>2446.5500000000002</v>
      </c>
      <c r="G92" s="303">
        <f t="shared" ref="G92:O92" si="40">MAX(0,G65-3000)</f>
        <v>2450.83</v>
      </c>
      <c r="H92" s="303">
        <f t="shared" si="40"/>
        <v>1763.3630000000003</v>
      </c>
      <c r="I92" s="303">
        <f t="shared" si="40"/>
        <v>1751.4009999999998</v>
      </c>
      <c r="J92" s="303">
        <f t="shared" si="40"/>
        <v>1657.9499999999998</v>
      </c>
      <c r="K92" s="303">
        <f t="shared" si="40"/>
        <v>2287.0439999999999</v>
      </c>
      <c r="L92" s="303">
        <f t="shared" si="40"/>
        <v>2266.2640000000001</v>
      </c>
      <c r="M92" s="303">
        <f t="shared" si="40"/>
        <v>2678.3630000000003</v>
      </c>
      <c r="N92" s="303">
        <f t="shared" si="40"/>
        <v>2797.1559999999999</v>
      </c>
      <c r="O92" s="303">
        <f t="shared" si="40"/>
        <v>2921.9229999999998</v>
      </c>
      <c r="P92" s="37">
        <f t="shared" si="19"/>
        <v>28775.534999999996</v>
      </c>
    </row>
    <row r="93" spans="1:16">
      <c r="A93">
        <v>20</v>
      </c>
      <c r="B93" s="625">
        <f t="shared" si="26"/>
        <v>0</v>
      </c>
      <c r="C93" s="325" t="str">
        <f t="shared" si="28"/>
        <v>5030019646</v>
      </c>
      <c r="D93" s="303">
        <f t="shared" si="30"/>
        <v>2543.0239999999994</v>
      </c>
      <c r="E93" s="303">
        <f t="shared" si="30"/>
        <v>6427.7479999999996</v>
      </c>
      <c r="F93" s="303">
        <f t="shared" si="30"/>
        <v>2699.7960000000003</v>
      </c>
      <c r="G93" s="303">
        <f t="shared" ref="G93:O93" si="41">MAX(0,G66-3000)</f>
        <v>2095.9430000000002</v>
      </c>
      <c r="H93" s="303">
        <f t="shared" si="41"/>
        <v>1944.7250000000004</v>
      </c>
      <c r="I93" s="303">
        <f t="shared" si="41"/>
        <v>1815.7870000000003</v>
      </c>
      <c r="J93" s="303">
        <f t="shared" si="41"/>
        <v>1644.2190000000001</v>
      </c>
      <c r="K93" s="303">
        <f t="shared" si="41"/>
        <v>1858.576</v>
      </c>
      <c r="L93" s="303">
        <f t="shared" si="41"/>
        <v>1945.268</v>
      </c>
      <c r="M93" s="303">
        <f t="shared" si="41"/>
        <v>2057.2399999999998</v>
      </c>
      <c r="N93" s="303">
        <f t="shared" si="41"/>
        <v>1988.9480000000003</v>
      </c>
      <c r="O93" s="303">
        <f t="shared" si="41"/>
        <v>1920.2280000000001</v>
      </c>
      <c r="P93" s="37">
        <f t="shared" si="19"/>
        <v>28941.502</v>
      </c>
    </row>
    <row r="94" spans="1:16">
      <c r="A94">
        <v>21</v>
      </c>
      <c r="B94" s="625">
        <f t="shared" si="26"/>
        <v>0</v>
      </c>
      <c r="C94" s="325" t="str">
        <f t="shared" si="28"/>
        <v>7030024549</v>
      </c>
      <c r="D94" s="303">
        <f t="shared" si="30"/>
        <v>1283.5569999999998</v>
      </c>
      <c r="E94" s="303">
        <f t="shared" si="30"/>
        <v>1289.8339999999998</v>
      </c>
      <c r="F94" s="303">
        <f t="shared" si="30"/>
        <v>1226.067</v>
      </c>
      <c r="G94" s="303">
        <f t="shared" ref="G94:O94" si="42">MAX(0,G67-3000)</f>
        <v>1553.3199999999997</v>
      </c>
      <c r="H94" s="303">
        <f t="shared" si="42"/>
        <v>2085.1450000000004</v>
      </c>
      <c r="I94" s="303">
        <f t="shared" si="42"/>
        <v>3309.3789999999999</v>
      </c>
      <c r="J94" s="303">
        <f t="shared" si="42"/>
        <v>2919.558</v>
      </c>
      <c r="K94" s="303">
        <f t="shared" si="42"/>
        <v>4191.9350000000004</v>
      </c>
      <c r="L94" s="303">
        <f t="shared" si="42"/>
        <v>6554.7289999999994</v>
      </c>
      <c r="M94" s="303">
        <f t="shared" si="42"/>
        <v>5275.527</v>
      </c>
      <c r="N94" s="303">
        <f t="shared" si="42"/>
        <v>1245.8639999999996</v>
      </c>
      <c r="O94" s="303">
        <f t="shared" si="42"/>
        <v>1204.433</v>
      </c>
      <c r="P94" s="37">
        <f t="shared" si="19"/>
        <v>32139.348000000002</v>
      </c>
    </row>
    <row r="95" spans="1:16" s="722" customFormat="1">
      <c r="A95" s="722">
        <v>22</v>
      </c>
      <c r="B95" s="625">
        <f t="shared" si="26"/>
        <v>0</v>
      </c>
      <c r="C95" s="325"/>
      <c r="D95" s="303">
        <f t="shared" ref="D95:F95" si="43">IF(D68&gt;3000,D68-3000,0)</f>
        <v>0</v>
      </c>
      <c r="E95" s="303">
        <f t="shared" si="43"/>
        <v>0</v>
      </c>
      <c r="F95" s="303">
        <f t="shared" si="43"/>
        <v>0</v>
      </c>
      <c r="G95" s="303">
        <f t="shared" ref="G95:O95" si="44">MAX(0,G68-3000)</f>
        <v>0</v>
      </c>
      <c r="H95" s="303">
        <f t="shared" si="44"/>
        <v>0</v>
      </c>
      <c r="I95" s="303">
        <f t="shared" si="44"/>
        <v>0</v>
      </c>
      <c r="J95" s="303">
        <f t="shared" si="44"/>
        <v>0</v>
      </c>
      <c r="K95" s="303">
        <f t="shared" si="44"/>
        <v>0</v>
      </c>
      <c r="L95" s="303">
        <f t="shared" si="44"/>
        <v>0</v>
      </c>
      <c r="M95" s="303">
        <f t="shared" si="44"/>
        <v>3979.9009999999998</v>
      </c>
      <c r="N95" s="303">
        <f t="shared" si="44"/>
        <v>3503.0730000000003</v>
      </c>
      <c r="O95" s="303">
        <f t="shared" si="44"/>
        <v>3407.7510000000002</v>
      </c>
      <c r="P95" s="385">
        <f t="shared" ref="P95:P96" si="45">SUM(D95:O95)</f>
        <v>10890.725</v>
      </c>
    </row>
    <row r="96" spans="1:16" s="722" customFormat="1">
      <c r="A96" s="722">
        <v>23</v>
      </c>
      <c r="B96" s="625">
        <f t="shared" si="26"/>
        <v>0</v>
      </c>
      <c r="C96" s="325"/>
      <c r="D96" s="303">
        <f t="shared" ref="D96:F96" si="46">IF(D69&gt;3000,D69-3000,0)</f>
        <v>733.76000000000022</v>
      </c>
      <c r="E96" s="303">
        <f t="shared" si="46"/>
        <v>840.74800000000005</v>
      </c>
      <c r="F96" s="303">
        <f t="shared" si="46"/>
        <v>713.14199999999983</v>
      </c>
      <c r="G96" s="303">
        <f t="shared" ref="G96:O96" si="47">MAX(0,G69-3000)</f>
        <v>775.55499999999984</v>
      </c>
      <c r="H96" s="303">
        <f t="shared" si="47"/>
        <v>660.16400000000021</v>
      </c>
      <c r="I96" s="303">
        <f t="shared" si="47"/>
        <v>602.38599999999997</v>
      </c>
      <c r="J96" s="303">
        <f t="shared" si="47"/>
        <v>660.21300000000019</v>
      </c>
      <c r="K96" s="303">
        <f t="shared" si="47"/>
        <v>628.87800000000016</v>
      </c>
      <c r="L96" s="303">
        <f t="shared" si="47"/>
        <v>524.97899999999981</v>
      </c>
      <c r="M96" s="303">
        <f t="shared" si="47"/>
        <v>638.94599999999991</v>
      </c>
      <c r="N96" s="303">
        <f t="shared" si="47"/>
        <v>738.23599999999988</v>
      </c>
      <c r="O96" s="303">
        <f t="shared" si="47"/>
        <v>734.71399999999994</v>
      </c>
      <c r="P96" s="385">
        <f t="shared" si="45"/>
        <v>8251.7210000000014</v>
      </c>
    </row>
    <row r="97" spans="1:16">
      <c r="B97" t="s">
        <v>365</v>
      </c>
      <c r="C97" s="36"/>
      <c r="D97" s="304">
        <f>SUM(D74:D96)</f>
        <v>46328.186000000002</v>
      </c>
      <c r="E97" s="304">
        <f t="shared" ref="E97:O97" si="48">SUM(E74:E96)</f>
        <v>50082.460999999996</v>
      </c>
      <c r="F97" s="304">
        <f t="shared" si="48"/>
        <v>45854.545000000006</v>
      </c>
      <c r="G97" s="304">
        <f t="shared" si="48"/>
        <v>43986.017</v>
      </c>
      <c r="H97" s="304">
        <f t="shared" si="48"/>
        <v>54551.063999999991</v>
      </c>
      <c r="I97" s="304">
        <f t="shared" si="48"/>
        <v>49655.935999999987</v>
      </c>
      <c r="J97" s="304">
        <f t="shared" si="48"/>
        <v>50192.54099999999</v>
      </c>
      <c r="K97" s="304">
        <f t="shared" si="48"/>
        <v>53920.565999999992</v>
      </c>
      <c r="L97" s="304">
        <f t="shared" si="48"/>
        <v>54744.288</v>
      </c>
      <c r="M97" s="304">
        <f t="shared" si="48"/>
        <v>50060.489999999991</v>
      </c>
      <c r="N97" s="304">
        <f t="shared" si="48"/>
        <v>43477.071000000004</v>
      </c>
      <c r="O97" s="304">
        <f t="shared" si="48"/>
        <v>43113.708000000006</v>
      </c>
      <c r="P97" s="38">
        <f>IF(ROUND(SUM(P74:P96),0)&lt;&gt;ROUND(SUM(D97:O97),0),#VALUE!,SUM(P74:P96))</f>
        <v>585966.87300000002</v>
      </c>
    </row>
    <row r="98" spans="1:16">
      <c r="C98" s="36"/>
      <c r="D98" s="303"/>
      <c r="E98" s="303"/>
      <c r="F98" s="303"/>
      <c r="G98" s="303"/>
      <c r="H98" s="303"/>
      <c r="I98" s="303"/>
      <c r="J98" s="303"/>
      <c r="K98" s="303"/>
      <c r="L98" s="303"/>
      <c r="M98" s="37"/>
      <c r="N98" s="37"/>
      <c r="O98" s="37"/>
      <c r="P98" s="37"/>
    </row>
    <row r="99" spans="1:16" s="757" customFormat="1">
      <c r="A99" s="800" t="s">
        <v>964</v>
      </c>
      <c r="B99" s="787"/>
      <c r="D99" s="798"/>
      <c r="E99" s="798"/>
      <c r="F99" s="798"/>
      <c r="G99" s="798"/>
      <c r="H99" s="798"/>
      <c r="I99" s="798"/>
      <c r="J99" s="798"/>
      <c r="K99" s="798"/>
      <c r="L99" s="798"/>
      <c r="M99" s="799"/>
      <c r="N99" s="799"/>
      <c r="O99" s="799"/>
      <c r="P99" s="799"/>
    </row>
    <row r="100" spans="1:16" s="757" customFormat="1">
      <c r="A100" s="787"/>
      <c r="B100" s="787" t="s">
        <v>965</v>
      </c>
      <c r="D100" s="541">
        <v>56979.76</v>
      </c>
      <c r="E100" s="541">
        <v>58491.21</v>
      </c>
      <c r="F100" s="541">
        <v>60723.97</v>
      </c>
      <c r="G100" s="550">
        <v>60695.18</v>
      </c>
      <c r="H100" s="550">
        <v>59633.5</v>
      </c>
      <c r="I100" s="550">
        <v>59915.37</v>
      </c>
      <c r="J100" s="550">
        <v>60954.8</v>
      </c>
      <c r="K100" s="550">
        <v>62499.94</v>
      </c>
      <c r="L100" s="550">
        <v>60332.9</v>
      </c>
      <c r="M100" s="550">
        <v>61348.84</v>
      </c>
      <c r="N100" s="550">
        <v>61453.18</v>
      </c>
      <c r="O100" s="550">
        <v>62886.96</v>
      </c>
      <c r="P100" s="792">
        <f>SUM(D100:O100)</f>
        <v>725915.61</v>
      </c>
    </row>
    <row r="101" spans="1:16" s="757" customFormat="1">
      <c r="A101" s="787"/>
      <c r="B101" s="787" t="s">
        <v>977</v>
      </c>
      <c r="D101" s="801">
        <f t="shared" ref="D101:O101" si="49">MAX(0,D100-3000)</f>
        <v>53979.76</v>
      </c>
      <c r="E101" s="801">
        <f t="shared" si="49"/>
        <v>55491.21</v>
      </c>
      <c r="F101" s="801">
        <f t="shared" si="49"/>
        <v>57723.97</v>
      </c>
      <c r="G101" s="801">
        <f t="shared" si="49"/>
        <v>57695.18</v>
      </c>
      <c r="H101" s="801">
        <f t="shared" si="49"/>
        <v>56633.5</v>
      </c>
      <c r="I101" s="801">
        <f t="shared" si="49"/>
        <v>56915.37</v>
      </c>
      <c r="J101" s="801">
        <f t="shared" si="49"/>
        <v>57954.8</v>
      </c>
      <c r="K101" s="801">
        <f t="shared" si="49"/>
        <v>59499.94</v>
      </c>
      <c r="L101" s="801">
        <f t="shared" si="49"/>
        <v>57332.9</v>
      </c>
      <c r="M101" s="801">
        <f t="shared" si="49"/>
        <v>58348.84</v>
      </c>
      <c r="N101" s="801">
        <f t="shared" si="49"/>
        <v>58453.18</v>
      </c>
      <c r="O101" s="801">
        <f t="shared" si="49"/>
        <v>59886.96</v>
      </c>
      <c r="P101" s="801">
        <f>SUM(D101:O101)</f>
        <v>689915.61</v>
      </c>
    </row>
    <row r="102" spans="1:16">
      <c r="D102" s="305"/>
      <c r="E102" s="305"/>
      <c r="F102" s="305"/>
      <c r="G102" s="305"/>
      <c r="H102" s="305"/>
      <c r="I102" s="305"/>
      <c r="J102" s="305"/>
      <c r="K102" s="305"/>
      <c r="L102" s="305"/>
      <c r="M102" s="47"/>
      <c r="N102" s="47"/>
      <c r="O102" s="47"/>
      <c r="P102" s="47"/>
    </row>
    <row r="103" spans="1:16">
      <c r="D103" s="305"/>
      <c r="E103" s="305"/>
      <c r="F103" s="305"/>
      <c r="G103" s="305"/>
      <c r="H103" s="305"/>
      <c r="I103" s="305"/>
      <c r="J103" s="305"/>
      <c r="K103" s="305"/>
      <c r="L103" s="305"/>
      <c r="M103" s="47"/>
      <c r="N103" s="47"/>
      <c r="O103" s="47"/>
      <c r="P103" s="46"/>
    </row>
    <row r="104" spans="1:16">
      <c r="A104" s="818" t="s">
        <v>983</v>
      </c>
      <c r="B104" s="818"/>
      <c r="C104" s="535"/>
      <c r="D104" s="19"/>
      <c r="E104" s="19"/>
      <c r="F104" s="19"/>
      <c r="G104" s="19"/>
      <c r="H104" s="19"/>
      <c r="I104" s="19"/>
      <c r="J104" s="19"/>
      <c r="K104" s="19"/>
      <c r="L104" s="19"/>
    </row>
    <row r="105" spans="1:16">
      <c r="B105" t="s">
        <v>98</v>
      </c>
      <c r="C105" s="255">
        <v>-0.2</v>
      </c>
      <c r="D105" s="306">
        <f t="shared" ref="D105:O105" si="50">(D70-D66-D67-D55-D68)*$C105</f>
        <v>-18942.746199999998</v>
      </c>
      <c r="E105" s="420">
        <f t="shared" si="50"/>
        <v>-18932.444</v>
      </c>
      <c r="F105" s="420">
        <f t="shared" si="50"/>
        <v>-18807.400600000004</v>
      </c>
      <c r="G105" s="420">
        <f t="shared" si="50"/>
        <v>-18522.494600000002</v>
      </c>
      <c r="H105" s="420">
        <f t="shared" si="50"/>
        <v>-20598.5056</v>
      </c>
      <c r="I105" s="420">
        <f t="shared" si="50"/>
        <v>-19450.023000000001</v>
      </c>
      <c r="J105" s="420">
        <f t="shared" si="50"/>
        <v>-19695.723000000002</v>
      </c>
      <c r="K105" s="420">
        <f t="shared" si="50"/>
        <v>-20177.059799999999</v>
      </c>
      <c r="L105" s="420">
        <f t="shared" si="50"/>
        <v>-19785.724799999996</v>
      </c>
      <c r="M105" s="420">
        <f t="shared" si="50"/>
        <v>-18193.6708</v>
      </c>
      <c r="N105" s="420">
        <f t="shared" si="50"/>
        <v>-17767.424000000003</v>
      </c>
      <c r="O105" s="420">
        <f t="shared" si="50"/>
        <v>-17832.969799999999</v>
      </c>
      <c r="P105" s="50">
        <f>SUM(D105:O105)</f>
        <v>-228706.1862</v>
      </c>
    </row>
    <row r="106" spans="1:16">
      <c r="B106" t="s">
        <v>99</v>
      </c>
      <c r="C106" s="256">
        <f>-1.52</f>
        <v>-1.52</v>
      </c>
      <c r="D106" s="306">
        <v>0</v>
      </c>
      <c r="E106" s="420">
        <v>0</v>
      </c>
      <c r="F106" s="420">
        <v>0</v>
      </c>
      <c r="G106" s="420">
        <v>0</v>
      </c>
      <c r="H106" s="420">
        <v>0</v>
      </c>
      <c r="I106" s="420">
        <v>0</v>
      </c>
      <c r="J106" s="420">
        <v>0</v>
      </c>
      <c r="K106" s="420">
        <v>0</v>
      </c>
      <c r="L106" s="420">
        <v>0</v>
      </c>
      <c r="M106" s="420">
        <v>0</v>
      </c>
      <c r="N106" s="420">
        <v>0</v>
      </c>
      <c r="O106" s="420">
        <v>0</v>
      </c>
      <c r="P106" s="50">
        <f>SUM(D106:O106)</f>
        <v>0</v>
      </c>
    </row>
    <row r="107" spans="1:16">
      <c r="B107" t="s">
        <v>100</v>
      </c>
      <c r="C107" s="256">
        <v>-1.93</v>
      </c>
      <c r="D107" s="306">
        <v>0</v>
      </c>
      <c r="E107" s="420">
        <v>0</v>
      </c>
      <c r="F107" s="420">
        <v>0</v>
      </c>
      <c r="G107" s="420">
        <v>0</v>
      </c>
      <c r="H107" s="420">
        <v>0</v>
      </c>
      <c r="I107" s="420">
        <v>0</v>
      </c>
      <c r="J107" s="420">
        <v>0</v>
      </c>
      <c r="K107" s="420">
        <v>0</v>
      </c>
      <c r="L107" s="420">
        <v>0</v>
      </c>
      <c r="M107" s="420">
        <v>0</v>
      </c>
      <c r="N107" s="420">
        <v>0</v>
      </c>
      <c r="O107" s="420">
        <v>0</v>
      </c>
      <c r="P107" s="50">
        <f>SUM(D107:O107)</f>
        <v>0</v>
      </c>
    </row>
    <row r="108" spans="1:16">
      <c r="D108" s="307">
        <f t="shared" ref="D108:P108" si="51">SUM(D105:D107)</f>
        <v>-18942.746199999998</v>
      </c>
      <c r="E108" s="307">
        <f t="shared" si="51"/>
        <v>-18932.444</v>
      </c>
      <c r="F108" s="307">
        <f t="shared" si="51"/>
        <v>-18807.400600000004</v>
      </c>
      <c r="G108" s="307">
        <f t="shared" si="51"/>
        <v>-18522.494600000002</v>
      </c>
      <c r="H108" s="307">
        <f t="shared" si="51"/>
        <v>-20598.5056</v>
      </c>
      <c r="I108" s="307">
        <f t="shared" si="51"/>
        <v>-19450.023000000001</v>
      </c>
      <c r="J108" s="307">
        <f t="shared" si="51"/>
        <v>-19695.723000000002</v>
      </c>
      <c r="K108" s="307">
        <f t="shared" si="51"/>
        <v>-20177.059799999999</v>
      </c>
      <c r="L108" s="307">
        <f t="shared" si="51"/>
        <v>-19785.724799999996</v>
      </c>
      <c r="M108" s="51">
        <f t="shared" si="51"/>
        <v>-18193.6708</v>
      </c>
      <c r="N108" s="51">
        <f t="shared" si="51"/>
        <v>-17767.424000000003</v>
      </c>
      <c r="O108" s="51">
        <f t="shared" si="51"/>
        <v>-17832.969799999999</v>
      </c>
      <c r="P108" s="51">
        <f t="shared" si="51"/>
        <v>-228706.1862</v>
      </c>
    </row>
    <row r="109" spans="1:16" s="701" customFormat="1">
      <c r="A109" s="818" t="s">
        <v>984</v>
      </c>
      <c r="B109" s="818"/>
      <c r="C109" s="535"/>
      <c r="D109" s="19"/>
      <c r="E109" s="19"/>
      <c r="F109" s="19"/>
      <c r="G109" s="19"/>
      <c r="H109" s="19"/>
      <c r="I109" s="19"/>
      <c r="J109" s="19"/>
      <c r="K109" s="19"/>
      <c r="L109" s="19"/>
    </row>
    <row r="110" spans="1:16" s="701" customFormat="1">
      <c r="B110" s="701" t="s">
        <v>98</v>
      </c>
      <c r="C110" s="255">
        <v>-0.2</v>
      </c>
      <c r="D110" s="420">
        <f t="shared" ref="D110:O110" si="52">(D70-D66-D67-D55-D68)*$C110</f>
        <v>-18942.746199999998</v>
      </c>
      <c r="E110" s="420">
        <f t="shared" si="52"/>
        <v>-18932.444</v>
      </c>
      <c r="F110" s="420">
        <f t="shared" si="52"/>
        <v>-18807.400600000004</v>
      </c>
      <c r="G110" s="420">
        <f t="shared" si="52"/>
        <v>-18522.494600000002</v>
      </c>
      <c r="H110" s="420">
        <f t="shared" si="52"/>
        <v>-20598.5056</v>
      </c>
      <c r="I110" s="420">
        <f t="shared" si="52"/>
        <v>-19450.023000000001</v>
      </c>
      <c r="J110" s="420">
        <f t="shared" si="52"/>
        <v>-19695.723000000002</v>
      </c>
      <c r="K110" s="420">
        <f t="shared" si="52"/>
        <v>-20177.059799999999</v>
      </c>
      <c r="L110" s="420">
        <f t="shared" si="52"/>
        <v>-19785.724799999996</v>
      </c>
      <c r="M110" s="420">
        <f t="shared" si="52"/>
        <v>-18193.6708</v>
      </c>
      <c r="N110" s="420">
        <f t="shared" si="52"/>
        <v>-17767.424000000003</v>
      </c>
      <c r="O110" s="420">
        <f t="shared" si="52"/>
        <v>-17832.969799999999</v>
      </c>
      <c r="P110" s="50">
        <f>SUM(D110:O110)</f>
        <v>-228706.1862</v>
      </c>
    </row>
    <row r="111" spans="1:16" s="701" customFormat="1">
      <c r="B111" s="701" t="s">
        <v>99</v>
      </c>
      <c r="C111" s="256">
        <v>-1.52</v>
      </c>
      <c r="D111" s="420">
        <v>0</v>
      </c>
      <c r="E111" s="420">
        <v>0</v>
      </c>
      <c r="F111" s="420">
        <v>0</v>
      </c>
      <c r="G111" s="420">
        <v>0</v>
      </c>
      <c r="H111" s="420">
        <v>0</v>
      </c>
      <c r="I111" s="420">
        <v>0</v>
      </c>
      <c r="J111" s="420">
        <v>0</v>
      </c>
      <c r="K111" s="420">
        <v>0</v>
      </c>
      <c r="L111" s="420">
        <v>0</v>
      </c>
      <c r="M111" s="420">
        <v>0</v>
      </c>
      <c r="N111" s="420">
        <v>0</v>
      </c>
      <c r="O111" s="420">
        <v>0</v>
      </c>
      <c r="P111" s="50">
        <f>SUM(D111:O111)</f>
        <v>0</v>
      </c>
    </row>
    <row r="112" spans="1:16" s="701" customFormat="1">
      <c r="B112" s="701" t="s">
        <v>100</v>
      </c>
      <c r="C112" s="256">
        <v>-1.93</v>
      </c>
      <c r="D112" s="420">
        <v>0</v>
      </c>
      <c r="E112" s="420">
        <v>0</v>
      </c>
      <c r="F112" s="420">
        <v>0</v>
      </c>
      <c r="G112" s="420">
        <v>0</v>
      </c>
      <c r="H112" s="420">
        <v>0</v>
      </c>
      <c r="I112" s="420">
        <v>0</v>
      </c>
      <c r="J112" s="420">
        <v>0</v>
      </c>
      <c r="K112" s="420">
        <v>0</v>
      </c>
      <c r="L112" s="420">
        <v>0</v>
      </c>
      <c r="M112" s="420">
        <v>0</v>
      </c>
      <c r="N112" s="420">
        <v>0</v>
      </c>
      <c r="O112" s="420">
        <v>0</v>
      </c>
      <c r="P112" s="50">
        <f>SUM(D112:O112)</f>
        <v>0</v>
      </c>
    </row>
    <row r="113" spans="1:16" s="701" customFormat="1">
      <c r="D113" s="307">
        <f t="shared" ref="D113:P113" si="53">SUM(D110:D112)</f>
        <v>-18942.746199999998</v>
      </c>
      <c r="E113" s="307">
        <f t="shared" si="53"/>
        <v>-18932.444</v>
      </c>
      <c r="F113" s="307">
        <f t="shared" si="53"/>
        <v>-18807.400600000004</v>
      </c>
      <c r="G113" s="307">
        <f t="shared" si="53"/>
        <v>-18522.494600000002</v>
      </c>
      <c r="H113" s="307">
        <f t="shared" si="53"/>
        <v>-20598.5056</v>
      </c>
      <c r="I113" s="307">
        <f t="shared" si="53"/>
        <v>-19450.023000000001</v>
      </c>
      <c r="J113" s="307">
        <f t="shared" si="53"/>
        <v>-19695.723000000002</v>
      </c>
      <c r="K113" s="307">
        <f t="shared" si="53"/>
        <v>-20177.059799999999</v>
      </c>
      <c r="L113" s="307">
        <f t="shared" si="53"/>
        <v>-19785.724799999996</v>
      </c>
      <c r="M113" s="51">
        <f t="shared" si="53"/>
        <v>-18193.6708</v>
      </c>
      <c r="N113" s="51">
        <f t="shared" si="53"/>
        <v>-17767.424000000003</v>
      </c>
      <c r="O113" s="51">
        <f t="shared" si="53"/>
        <v>-17832.969799999999</v>
      </c>
      <c r="P113" s="51">
        <f t="shared" si="53"/>
        <v>-228706.1862</v>
      </c>
    </row>
    <row r="114" spans="1:16" s="757" customFormat="1">
      <c r="D114" s="798"/>
      <c r="E114" s="798"/>
      <c r="F114" s="798"/>
      <c r="G114" s="798"/>
      <c r="H114" s="798"/>
      <c r="I114" s="798"/>
      <c r="J114" s="798"/>
      <c r="K114" s="798"/>
      <c r="L114" s="798"/>
      <c r="M114" s="799"/>
      <c r="N114" s="799"/>
      <c r="O114" s="799"/>
      <c r="P114" s="799"/>
    </row>
    <row r="115" spans="1:16" s="797" customFormat="1">
      <c r="A115" s="818" t="s">
        <v>985</v>
      </c>
      <c r="B115" s="818"/>
      <c r="C115" s="535"/>
      <c r="D115" s="19"/>
      <c r="E115" s="19"/>
      <c r="F115" s="19"/>
      <c r="G115" s="19"/>
      <c r="H115" s="19"/>
      <c r="I115" s="19"/>
      <c r="J115" s="19"/>
      <c r="K115" s="19"/>
      <c r="L115" s="19"/>
    </row>
    <row r="116" spans="1:16" s="797" customFormat="1">
      <c r="B116" s="797" t="s">
        <v>98</v>
      </c>
      <c r="C116" s="255">
        <v>-0.2</v>
      </c>
      <c r="D116" s="420">
        <v>0</v>
      </c>
      <c r="E116" s="420">
        <v>0</v>
      </c>
      <c r="F116" s="420">
        <v>0</v>
      </c>
      <c r="G116" s="420">
        <v>0</v>
      </c>
      <c r="H116" s="420">
        <v>0</v>
      </c>
      <c r="I116" s="420">
        <v>0</v>
      </c>
      <c r="J116" s="420">
        <v>0</v>
      </c>
      <c r="K116" s="420">
        <v>0</v>
      </c>
      <c r="L116" s="420">
        <v>0</v>
      </c>
      <c r="M116" s="420">
        <v>0</v>
      </c>
      <c r="N116" s="420">
        <v>0</v>
      </c>
      <c r="O116" s="420">
        <v>0</v>
      </c>
      <c r="P116" s="50">
        <f>SUM(D116:O116)</f>
        <v>0</v>
      </c>
    </row>
    <row r="117" spans="1:16" s="797" customFormat="1">
      <c r="B117" s="797" t="s">
        <v>99</v>
      </c>
      <c r="C117" s="256">
        <f>-1.52</f>
        <v>-1.52</v>
      </c>
      <c r="D117" s="420">
        <f>$C117*D$133</f>
        <v>-18464.245600000002</v>
      </c>
      <c r="E117" s="420">
        <f>$C117*E$133</f>
        <v>-16298.108800000002</v>
      </c>
      <c r="F117" s="420">
        <f t="shared" ref="F117:O117" si="54">$C117*F$133</f>
        <v>-16457.176800000001</v>
      </c>
      <c r="G117" s="420">
        <f t="shared" si="54"/>
        <v>-13209.635999999999</v>
      </c>
      <c r="H117" s="420">
        <f t="shared" si="54"/>
        <v>-13393.768800000002</v>
      </c>
      <c r="I117" s="420">
        <f t="shared" si="54"/>
        <v>-14002.331199999999</v>
      </c>
      <c r="J117" s="420">
        <f>$C117*J$133</f>
        <v>-13027.4944</v>
      </c>
      <c r="K117" s="420">
        <f t="shared" si="54"/>
        <v>-12566.554399999999</v>
      </c>
      <c r="L117" s="420">
        <f t="shared" si="54"/>
        <v>-13683.495999999999</v>
      </c>
      <c r="M117" s="420">
        <f t="shared" si="54"/>
        <v>-15015.228800000001</v>
      </c>
      <c r="N117" s="420">
        <f t="shared" si="54"/>
        <v>-20614.847999999998</v>
      </c>
      <c r="O117" s="420">
        <f t="shared" si="54"/>
        <v>-15965.122400000002</v>
      </c>
      <c r="P117" s="50">
        <f>SUM(D117:O117)</f>
        <v>-182698.01119999998</v>
      </c>
    </row>
    <row r="118" spans="1:16" s="797" customFormat="1">
      <c r="B118" s="797" t="s">
        <v>100</v>
      </c>
      <c r="C118" s="256">
        <v>-1.93</v>
      </c>
      <c r="D118" s="420">
        <f>$C118*D$135</f>
        <v>-93936.959999999992</v>
      </c>
      <c r="E118" s="420">
        <f t="shared" ref="E118:O118" si="55">$C118*E$135</f>
        <v>-94214.87999999999</v>
      </c>
      <c r="F118" s="420">
        <f t="shared" si="55"/>
        <v>-100608.584</v>
      </c>
      <c r="G118" s="420">
        <f t="shared" si="55"/>
        <v>-99217.825999999986</v>
      </c>
      <c r="H118" s="420">
        <f t="shared" si="55"/>
        <v>-97828.225999999995</v>
      </c>
      <c r="I118" s="420">
        <f t="shared" si="55"/>
        <v>-99495.745999999985</v>
      </c>
      <c r="J118" s="420">
        <f t="shared" si="55"/>
        <v>-100885.34599999999</v>
      </c>
      <c r="K118" s="420">
        <f t="shared" si="55"/>
        <v>-104223.3389</v>
      </c>
      <c r="L118" s="420">
        <f t="shared" si="55"/>
        <v>-100607.42599999999</v>
      </c>
      <c r="M118" s="420">
        <f t="shared" si="55"/>
        <v>-104498.2867</v>
      </c>
      <c r="N118" s="420">
        <f t="shared" si="55"/>
        <v>-98939.905999999988</v>
      </c>
      <c r="O118" s="420">
        <f t="shared" si="55"/>
        <v>-104776.2067</v>
      </c>
      <c r="P118" s="50">
        <f>SUM(D118:O118)</f>
        <v>-1199232.7323</v>
      </c>
    </row>
    <row r="119" spans="1:16" s="797" customFormat="1">
      <c r="D119" s="307">
        <f t="shared" ref="D119:P119" si="56">SUM(D116:D118)</f>
        <v>-112401.20559999999</v>
      </c>
      <c r="E119" s="307">
        <f t="shared" si="56"/>
        <v>-110512.98879999999</v>
      </c>
      <c r="F119" s="307">
        <f t="shared" si="56"/>
        <v>-117065.7608</v>
      </c>
      <c r="G119" s="307">
        <f t="shared" si="56"/>
        <v>-112427.46199999998</v>
      </c>
      <c r="H119" s="307">
        <f t="shared" si="56"/>
        <v>-111221.9948</v>
      </c>
      <c r="I119" s="307">
        <f t="shared" si="56"/>
        <v>-113498.07719999999</v>
      </c>
      <c r="J119" s="307">
        <f t="shared" si="56"/>
        <v>-113912.84039999999</v>
      </c>
      <c r="K119" s="307">
        <f t="shared" si="56"/>
        <v>-116789.8933</v>
      </c>
      <c r="L119" s="307">
        <f t="shared" si="56"/>
        <v>-114290.92199999999</v>
      </c>
      <c r="M119" s="51">
        <f t="shared" si="56"/>
        <v>-119513.51549999999</v>
      </c>
      <c r="N119" s="51">
        <f t="shared" si="56"/>
        <v>-119554.75399999999</v>
      </c>
      <c r="O119" s="51">
        <f t="shared" si="56"/>
        <v>-120741.3291</v>
      </c>
      <c r="P119" s="51">
        <f t="shared" si="56"/>
        <v>-1381930.7435000001</v>
      </c>
    </row>
    <row r="120" spans="1:16" s="797" customFormat="1">
      <c r="A120" s="818" t="s">
        <v>985</v>
      </c>
      <c r="B120" s="818"/>
      <c r="C120" s="535"/>
      <c r="D120" s="19"/>
      <c r="E120" s="19"/>
      <c r="F120" s="19"/>
      <c r="G120" s="19"/>
      <c r="H120" s="19"/>
      <c r="I120" s="19"/>
      <c r="J120" s="19"/>
      <c r="K120" s="19"/>
      <c r="L120" s="19"/>
    </row>
    <row r="121" spans="1:16" s="797" customFormat="1">
      <c r="B121" s="797" t="s">
        <v>98</v>
      </c>
      <c r="C121" s="255">
        <v>-0.2</v>
      </c>
      <c r="D121" s="420">
        <v>0</v>
      </c>
      <c r="E121" s="420">
        <v>0</v>
      </c>
      <c r="F121" s="420">
        <v>0</v>
      </c>
      <c r="G121" s="420">
        <v>0</v>
      </c>
      <c r="H121" s="420">
        <v>0</v>
      </c>
      <c r="I121" s="420">
        <v>0</v>
      </c>
      <c r="J121" s="420">
        <v>0</v>
      </c>
      <c r="K121" s="420">
        <v>0</v>
      </c>
      <c r="L121" s="420">
        <v>0</v>
      </c>
      <c r="M121" s="420">
        <v>0</v>
      </c>
      <c r="N121" s="420">
        <v>0</v>
      </c>
      <c r="O121" s="420">
        <v>0</v>
      </c>
      <c r="P121" s="50">
        <f>SUM(D121:O121)</f>
        <v>0</v>
      </c>
    </row>
    <row r="122" spans="1:16" s="797" customFormat="1">
      <c r="B122" s="797" t="s">
        <v>99</v>
      </c>
      <c r="C122" s="256">
        <v>-1.52</v>
      </c>
      <c r="D122" s="420">
        <f>$C122*D$133</f>
        <v>-18464.245600000002</v>
      </c>
      <c r="E122" s="420">
        <f>$C122*E$133</f>
        <v>-16298.108800000002</v>
      </c>
      <c r="F122" s="420">
        <f t="shared" ref="F122:O122" si="57">$C122*F$133</f>
        <v>-16457.176800000001</v>
      </c>
      <c r="G122" s="420">
        <f t="shared" si="57"/>
        <v>-13209.635999999999</v>
      </c>
      <c r="H122" s="420">
        <f t="shared" si="57"/>
        <v>-13393.768800000002</v>
      </c>
      <c r="I122" s="420">
        <f t="shared" si="57"/>
        <v>-14002.331199999999</v>
      </c>
      <c r="J122" s="420">
        <f t="shared" si="57"/>
        <v>-13027.4944</v>
      </c>
      <c r="K122" s="420">
        <f t="shared" si="57"/>
        <v>-12566.554399999999</v>
      </c>
      <c r="L122" s="420">
        <f t="shared" si="57"/>
        <v>-13683.495999999999</v>
      </c>
      <c r="M122" s="420">
        <f t="shared" si="57"/>
        <v>-15015.228800000001</v>
      </c>
      <c r="N122" s="420">
        <f t="shared" si="57"/>
        <v>-20614.847999999998</v>
      </c>
      <c r="O122" s="420">
        <f t="shared" si="57"/>
        <v>-15965.122400000002</v>
      </c>
      <c r="P122" s="50">
        <f>SUM(D122:O122)</f>
        <v>-182698.01119999998</v>
      </c>
    </row>
    <row r="123" spans="1:16" s="797" customFormat="1">
      <c r="B123" s="797" t="s">
        <v>100</v>
      </c>
      <c r="C123" s="256">
        <v>-1.93</v>
      </c>
      <c r="D123" s="420">
        <f>$C123*D$135</f>
        <v>-93936.959999999992</v>
      </c>
      <c r="E123" s="420">
        <f t="shared" ref="E123:O123" si="58">$C123*E$135</f>
        <v>-94214.87999999999</v>
      </c>
      <c r="F123" s="420">
        <f t="shared" si="58"/>
        <v>-100608.584</v>
      </c>
      <c r="G123" s="420">
        <f t="shared" si="58"/>
        <v>-99217.825999999986</v>
      </c>
      <c r="H123" s="420">
        <f t="shared" si="58"/>
        <v>-97828.225999999995</v>
      </c>
      <c r="I123" s="420">
        <f t="shared" si="58"/>
        <v>-99495.745999999985</v>
      </c>
      <c r="J123" s="420">
        <f t="shared" si="58"/>
        <v>-100885.34599999999</v>
      </c>
      <c r="K123" s="420">
        <f t="shared" si="58"/>
        <v>-104223.3389</v>
      </c>
      <c r="L123" s="420">
        <f t="shared" si="58"/>
        <v>-100607.42599999999</v>
      </c>
      <c r="M123" s="420">
        <f t="shared" si="58"/>
        <v>-104498.2867</v>
      </c>
      <c r="N123" s="420">
        <f t="shared" si="58"/>
        <v>-98939.905999999988</v>
      </c>
      <c r="O123" s="420">
        <f t="shared" si="58"/>
        <v>-104776.2067</v>
      </c>
      <c r="P123" s="50">
        <f>SUM(D123:O123)</f>
        <v>-1199232.7323</v>
      </c>
    </row>
    <row r="124" spans="1:16" s="797" customFormat="1">
      <c r="D124" s="307">
        <f t="shared" ref="D124:P124" si="59">SUM(D121:D123)</f>
        <v>-112401.20559999999</v>
      </c>
      <c r="E124" s="307">
        <f t="shared" si="59"/>
        <v>-110512.98879999999</v>
      </c>
      <c r="F124" s="307">
        <f t="shared" si="59"/>
        <v>-117065.7608</v>
      </c>
      <c r="G124" s="307">
        <f t="shared" si="59"/>
        <v>-112427.46199999998</v>
      </c>
      <c r="H124" s="307">
        <f t="shared" si="59"/>
        <v>-111221.9948</v>
      </c>
      <c r="I124" s="307">
        <f t="shared" si="59"/>
        <v>-113498.07719999999</v>
      </c>
      <c r="J124" s="307">
        <f t="shared" si="59"/>
        <v>-113912.84039999999</v>
      </c>
      <c r="K124" s="307">
        <f t="shared" si="59"/>
        <v>-116789.8933</v>
      </c>
      <c r="L124" s="307">
        <f t="shared" si="59"/>
        <v>-114290.92199999999</v>
      </c>
      <c r="M124" s="51">
        <f t="shared" si="59"/>
        <v>-119513.51549999999</v>
      </c>
      <c r="N124" s="51">
        <f t="shared" si="59"/>
        <v>-119554.75399999999</v>
      </c>
      <c r="O124" s="51">
        <f t="shared" si="59"/>
        <v>-120741.3291</v>
      </c>
      <c r="P124" s="51">
        <f t="shared" si="59"/>
        <v>-1381930.7435000001</v>
      </c>
    </row>
    <row r="125" spans="1:16" s="797" customFormat="1">
      <c r="D125" s="798"/>
      <c r="E125" s="798"/>
      <c r="F125" s="798"/>
      <c r="G125" s="798"/>
      <c r="H125" s="798"/>
      <c r="I125" s="798"/>
      <c r="J125" s="798"/>
      <c r="K125" s="798"/>
      <c r="L125" s="798"/>
      <c r="M125" s="799"/>
      <c r="N125" s="799"/>
      <c r="O125" s="799"/>
      <c r="P125" s="799"/>
    </row>
    <row r="126" spans="1:16" s="807" customFormat="1">
      <c r="A126" s="808" t="s">
        <v>978</v>
      </c>
      <c r="B126" s="808"/>
      <c r="D126" s="809">
        <f>D$3</f>
        <v>43466</v>
      </c>
      <c r="E126" s="809">
        <f t="shared" ref="E126:O126" si="60">E$3</f>
        <v>43497</v>
      </c>
      <c r="F126" s="809">
        <f t="shared" si="60"/>
        <v>43525</v>
      </c>
      <c r="G126" s="809">
        <f t="shared" si="60"/>
        <v>43556</v>
      </c>
      <c r="H126" s="809">
        <f t="shared" si="60"/>
        <v>43586</v>
      </c>
      <c r="I126" s="809">
        <f t="shared" si="60"/>
        <v>43617</v>
      </c>
      <c r="J126" s="809">
        <f t="shared" si="60"/>
        <v>43647</v>
      </c>
      <c r="K126" s="809">
        <f t="shared" si="60"/>
        <v>43678</v>
      </c>
      <c r="L126" s="809">
        <f t="shared" si="60"/>
        <v>43709</v>
      </c>
      <c r="M126" s="809">
        <f t="shared" si="60"/>
        <v>43739</v>
      </c>
      <c r="N126" s="809">
        <f t="shared" si="60"/>
        <v>43770</v>
      </c>
      <c r="O126" s="809">
        <f t="shared" si="60"/>
        <v>43800</v>
      </c>
      <c r="P126" s="810" t="s">
        <v>66</v>
      </c>
    </row>
    <row r="127" spans="1:16" s="807" customFormat="1">
      <c r="B127" s="807" t="s">
        <v>572</v>
      </c>
      <c r="D127" s="811"/>
      <c r="E127" s="811"/>
      <c r="F127" s="811"/>
      <c r="G127" s="811"/>
      <c r="H127" s="811"/>
      <c r="I127" s="811"/>
      <c r="J127" s="811"/>
      <c r="K127" s="811"/>
      <c r="L127" s="811"/>
      <c r="M127" s="812"/>
      <c r="N127" s="812"/>
      <c r="O127" s="812"/>
      <c r="P127" s="813">
        <f>SUM(D127:O127)</f>
        <v>0</v>
      </c>
    </row>
    <row r="128" spans="1:16" s="807" customFormat="1">
      <c r="B128" s="807" t="s">
        <v>573</v>
      </c>
      <c r="D128" s="811"/>
      <c r="E128" s="811"/>
      <c r="F128" s="811"/>
      <c r="G128" s="811"/>
      <c r="H128" s="811"/>
      <c r="I128" s="811"/>
      <c r="J128" s="811"/>
      <c r="K128" s="811"/>
      <c r="L128" s="811"/>
      <c r="M128" s="812"/>
      <c r="N128" s="812"/>
      <c r="O128" s="812"/>
      <c r="P128" s="813">
        <f>SUM(D128:O128)</f>
        <v>0</v>
      </c>
    </row>
    <row r="129" spans="1:20" s="807" customFormat="1">
      <c r="B129" s="807" t="s">
        <v>574</v>
      </c>
      <c r="D129" s="811"/>
      <c r="E129" s="811"/>
      <c r="F129" s="811"/>
      <c r="G129" s="811"/>
      <c r="H129" s="811"/>
      <c r="I129" s="811"/>
      <c r="J129" s="811"/>
      <c r="K129" s="811"/>
      <c r="L129" s="811"/>
      <c r="M129" s="812"/>
      <c r="N129" s="812"/>
      <c r="O129" s="812"/>
      <c r="P129" s="813">
        <f>SUM(D129:O129)</f>
        <v>0</v>
      </c>
    </row>
    <row r="130" spans="1:20" s="807" customFormat="1">
      <c r="A130" s="807" t="s">
        <v>96</v>
      </c>
      <c r="B130" s="807" t="s">
        <v>456</v>
      </c>
      <c r="D130" s="814">
        <f>SUM(D127:D129)</f>
        <v>0</v>
      </c>
      <c r="E130" s="814">
        <f t="shared" ref="E130:P130" si="61">SUM(E127:E129)</f>
        <v>0</v>
      </c>
      <c r="F130" s="814">
        <f t="shared" si="61"/>
        <v>0</v>
      </c>
      <c r="G130" s="814">
        <f t="shared" si="61"/>
        <v>0</v>
      </c>
      <c r="H130" s="814">
        <f t="shared" si="61"/>
        <v>0</v>
      </c>
      <c r="I130" s="814">
        <f t="shared" si="61"/>
        <v>0</v>
      </c>
      <c r="J130" s="814">
        <f t="shared" si="61"/>
        <v>0</v>
      </c>
      <c r="K130" s="814">
        <f t="shared" si="61"/>
        <v>0</v>
      </c>
      <c r="L130" s="814">
        <f t="shared" si="61"/>
        <v>0</v>
      </c>
      <c r="M130" s="814">
        <f t="shared" si="61"/>
        <v>0</v>
      </c>
      <c r="N130" s="814">
        <f t="shared" si="61"/>
        <v>0</v>
      </c>
      <c r="O130" s="814">
        <f t="shared" si="61"/>
        <v>0</v>
      </c>
      <c r="P130" s="814">
        <f t="shared" si="61"/>
        <v>0</v>
      </c>
    </row>
    <row r="131" spans="1:20" s="807" customFormat="1">
      <c r="D131" s="815">
        <f t="shared" ref="D131:O131" si="62">D12</f>
        <v>0</v>
      </c>
      <c r="E131" s="815">
        <f t="shared" si="62"/>
        <v>0</v>
      </c>
      <c r="F131" s="815">
        <f t="shared" si="62"/>
        <v>0</v>
      </c>
      <c r="G131" s="815">
        <f t="shared" si="62"/>
        <v>0</v>
      </c>
      <c r="H131" s="815">
        <f t="shared" si="62"/>
        <v>0</v>
      </c>
      <c r="I131" s="815">
        <f t="shared" si="62"/>
        <v>0</v>
      </c>
      <c r="J131" s="815">
        <f t="shared" si="62"/>
        <v>0</v>
      </c>
      <c r="K131" s="815">
        <f t="shared" si="62"/>
        <v>0</v>
      </c>
      <c r="L131" s="815">
        <f t="shared" si="62"/>
        <v>0</v>
      </c>
      <c r="M131" s="815">
        <f t="shared" si="62"/>
        <v>0</v>
      </c>
      <c r="N131" s="815">
        <f t="shared" si="62"/>
        <v>0</v>
      </c>
      <c r="O131" s="815">
        <f t="shared" si="62"/>
        <v>0</v>
      </c>
      <c r="P131" s="816">
        <f>SUM(D131:O131)</f>
        <v>0</v>
      </c>
    </row>
    <row r="132" spans="1:20">
      <c r="A132" s="116" t="s">
        <v>979</v>
      </c>
      <c r="B132" s="116"/>
      <c r="D132" s="19"/>
      <c r="E132" s="19"/>
      <c r="F132" s="19"/>
      <c r="G132" s="19"/>
      <c r="H132" s="19"/>
      <c r="I132" s="19"/>
      <c r="J132" s="19"/>
      <c r="K132" s="19"/>
      <c r="L132" s="19"/>
    </row>
    <row r="133" spans="1:20">
      <c r="B133" s="540" t="s">
        <v>575</v>
      </c>
      <c r="D133" s="552">
        <v>12147.53</v>
      </c>
      <c r="E133" s="552">
        <v>10722.44</v>
      </c>
      <c r="F133" s="552">
        <v>10827.09</v>
      </c>
      <c r="G133" s="552">
        <v>8690.5499999999993</v>
      </c>
      <c r="H133" s="552">
        <v>8811.69</v>
      </c>
      <c r="I133" s="552">
        <v>9212.06</v>
      </c>
      <c r="J133" s="552">
        <v>8570.7199999999993</v>
      </c>
      <c r="K133" s="552">
        <v>8267.4699999999993</v>
      </c>
      <c r="L133" s="552">
        <v>9002.2999999999993</v>
      </c>
      <c r="M133" s="666">
        <v>9878.44</v>
      </c>
      <c r="N133" s="666">
        <v>13562.4</v>
      </c>
      <c r="O133" s="667">
        <v>10503.37</v>
      </c>
      <c r="P133" s="418">
        <f>SUM(D133:O133)</f>
        <v>120196.06</v>
      </c>
      <c r="T133" s="220">
        <f>24000</f>
        <v>24000</v>
      </c>
    </row>
    <row r="134" spans="1:20">
      <c r="B134" s="540" t="s">
        <v>573</v>
      </c>
      <c r="C134" s="797"/>
      <c r="D134" s="552">
        <v>0</v>
      </c>
      <c r="E134" s="552">
        <v>0</v>
      </c>
      <c r="F134" s="552">
        <v>0</v>
      </c>
      <c r="G134" s="552">
        <v>0</v>
      </c>
      <c r="H134" s="552">
        <v>0</v>
      </c>
      <c r="I134" s="552">
        <v>0</v>
      </c>
      <c r="J134" s="552">
        <v>0</v>
      </c>
      <c r="K134" s="552">
        <v>0</v>
      </c>
      <c r="L134" s="552">
        <v>0</v>
      </c>
      <c r="M134" s="666">
        <v>0</v>
      </c>
      <c r="N134" s="666">
        <v>0</v>
      </c>
      <c r="O134" s="667">
        <v>0</v>
      </c>
      <c r="P134" s="418">
        <f>SUM(D134:O134)</f>
        <v>0</v>
      </c>
      <c r="T134" s="220">
        <v>0</v>
      </c>
    </row>
    <row r="135" spans="1:20">
      <c r="B135" s="540" t="s">
        <v>574</v>
      </c>
      <c r="D135" s="552">
        <v>48672</v>
      </c>
      <c r="E135" s="552">
        <v>48816</v>
      </c>
      <c r="F135" s="552">
        <v>52128.800000000003</v>
      </c>
      <c r="G135" s="552">
        <v>51408.2</v>
      </c>
      <c r="H135" s="552">
        <v>50688.2</v>
      </c>
      <c r="I135" s="552">
        <v>51552.2</v>
      </c>
      <c r="J135" s="552">
        <v>52272.2</v>
      </c>
      <c r="K135" s="552">
        <v>54001.73</v>
      </c>
      <c r="L135" s="552">
        <v>52128.2</v>
      </c>
      <c r="M135" s="666">
        <v>54144.19</v>
      </c>
      <c r="N135" s="666">
        <v>51264.2</v>
      </c>
      <c r="O135" s="667">
        <v>54288.19</v>
      </c>
      <c r="P135" s="418">
        <f>SUM(D135:O135)</f>
        <v>621364.1100000001</v>
      </c>
      <c r="T135" s="220">
        <f>L101*6.5</f>
        <v>372663.85000000003</v>
      </c>
    </row>
    <row r="136" spans="1:20">
      <c r="A136" t="s">
        <v>96</v>
      </c>
      <c r="B136" s="540" t="s">
        <v>66</v>
      </c>
      <c r="D136" s="304">
        <f t="shared" ref="D136:P136" si="63">SUM(D133:D135)</f>
        <v>60819.53</v>
      </c>
      <c r="E136" s="304">
        <f t="shared" si="63"/>
        <v>59538.44</v>
      </c>
      <c r="F136" s="304">
        <f t="shared" si="63"/>
        <v>62955.89</v>
      </c>
      <c r="G136" s="304">
        <f t="shared" si="63"/>
        <v>60098.75</v>
      </c>
      <c r="H136" s="304">
        <f t="shared" si="63"/>
        <v>59499.89</v>
      </c>
      <c r="I136" s="304">
        <f t="shared" si="63"/>
        <v>60764.259999999995</v>
      </c>
      <c r="J136" s="304">
        <f t="shared" si="63"/>
        <v>60842.92</v>
      </c>
      <c r="K136" s="304">
        <f t="shared" si="63"/>
        <v>62269.200000000004</v>
      </c>
      <c r="L136" s="304">
        <f t="shared" si="63"/>
        <v>61130.5</v>
      </c>
      <c r="M136" s="38">
        <f t="shared" si="63"/>
        <v>64022.630000000005</v>
      </c>
      <c r="N136" s="38">
        <f t="shared" si="63"/>
        <v>64826.6</v>
      </c>
      <c r="O136" s="38">
        <f t="shared" si="63"/>
        <v>64791.560000000005</v>
      </c>
      <c r="P136" s="39">
        <f t="shared" si="63"/>
        <v>741560.17000000016</v>
      </c>
      <c r="T136" s="220">
        <f>500000*0.05762</f>
        <v>28810</v>
      </c>
    </row>
    <row r="137" spans="1:20">
      <c r="D137" s="40">
        <f t="shared" ref="D137:O137" si="64">D100</f>
        <v>56979.76</v>
      </c>
      <c r="E137" s="40">
        <f t="shared" si="64"/>
        <v>58491.21</v>
      </c>
      <c r="F137" s="40">
        <f t="shared" si="64"/>
        <v>60723.97</v>
      </c>
      <c r="G137" s="40">
        <f t="shared" si="64"/>
        <v>60695.18</v>
      </c>
      <c r="H137" s="40">
        <f t="shared" si="64"/>
        <v>59633.5</v>
      </c>
      <c r="I137" s="40">
        <f t="shared" si="64"/>
        <v>59915.37</v>
      </c>
      <c r="J137" s="40">
        <f t="shared" si="64"/>
        <v>60954.8</v>
      </c>
      <c r="K137" s="40">
        <f t="shared" si="64"/>
        <v>62499.94</v>
      </c>
      <c r="L137" s="40">
        <f t="shared" si="64"/>
        <v>60332.9</v>
      </c>
      <c r="M137" s="40">
        <f t="shared" si="64"/>
        <v>61348.84</v>
      </c>
      <c r="N137" s="40">
        <f t="shared" si="64"/>
        <v>61453.18</v>
      </c>
      <c r="O137" s="40">
        <f t="shared" si="64"/>
        <v>62886.96</v>
      </c>
      <c r="P137" s="43">
        <f>SUM(D137:O137)</f>
        <v>725915.61</v>
      </c>
      <c r="T137" s="220">
        <f>MIN(5500000,L40-500000)*0.0521</f>
        <v>286550</v>
      </c>
    </row>
    <row r="138" spans="1:20">
      <c r="D138" s="19"/>
      <c r="E138" s="19"/>
      <c r="F138" s="19"/>
      <c r="G138" s="19"/>
      <c r="H138" s="19"/>
      <c r="I138" s="19"/>
      <c r="J138" s="19"/>
      <c r="K138" s="19"/>
      <c r="L138" s="19"/>
      <c r="T138" s="220">
        <f>MAX(0,L40-6000000)*0.04416</f>
        <v>1440272.4825599999</v>
      </c>
    </row>
    <row r="139" spans="1:20">
      <c r="B139" s="422" t="s">
        <v>980</v>
      </c>
      <c r="D139" s="373">
        <f>500000*0.0575+MIN(5500000,D40-500000)*0.05198+MAX(0,D40-6000000)*0.04404+24000+D101*6.5-D133*1.1-D135*1.4</f>
        <v>1936335.0806799999</v>
      </c>
      <c r="E139" s="516">
        <f>500000*0.0575+MIN(5500000,E40-500000)*0.05198+MAX(0,E40-6000000)*0.04404+24000+E101*6.5-E133*1.1-E135*1.4</f>
        <v>1898813.3891600003</v>
      </c>
      <c r="F139" s="516">
        <f>500000*0.0575+MIN(5500000,F40-500000)*0.05198+MAX(0,F40-6000000)*0.04404+24000+F101*6.5-F133*1.1-F135*1.4</f>
        <v>1918275.3942399998</v>
      </c>
      <c r="G139" s="516">
        <f>500000*0.0575+MIN(5500000,G40-500000)*0.05198+MAX(0,G40-6000000)*0.04404+24000+G101*6.5-G133*1.1-G135*1.4</f>
        <v>1877683.0717200001</v>
      </c>
      <c r="H139" s="516">
        <f>500000*0.0575+MIN(5500000,H40-500000)*0.05198+MAX(0,H40-6000000)*0.04404+24000+H101*6.5-H133*1.1-H135*1.4</f>
        <v>2065532.86852</v>
      </c>
      <c r="I139" s="516">
        <f>500000*0.05843+MIN(5500000,I40-500000)*0.05291+MAX(0,I40-6000000)*0.04497+24000+I101*6.5-I133*1.1-I135*1.4</f>
        <v>2050423.8612400005</v>
      </c>
      <c r="J139" s="516">
        <f>500000*0.05854+MIN(5500000,J40-500000)*0.05302+MAX(0,J40-6000000)*0.04508+24000+J101*6.5-J133*1.1-J135*1.4</f>
        <v>2185869.0374400001</v>
      </c>
      <c r="K139" s="516">
        <f>500000*0.05762+MIN(5500000,K40-500000)*0.0521+MAX(0,K40-6000000)*0.04416+24000+K101*6.5-K133*1.1-K135*1.4</f>
        <v>2157658.84748</v>
      </c>
      <c r="L139" s="516">
        <f>500000*0.05762+MIN(5500000,L40-500000)*0.0521+MAX(0,L40-6000000)*0.04416+24000+L101*6.5-L133*1.1-L135*1.4</f>
        <v>2069414.3225600002</v>
      </c>
      <c r="M139" s="516">
        <f>500000*0.05766+MIN(5500000,M40-500000)*0.05214+MAX(0,M40-6000000)*0.04416+24000+M101*6.5-M133*1.1-M135*1.4</f>
        <v>2161860.0229600002</v>
      </c>
      <c r="N139" s="516">
        <f>500000*0.05766+MIN(5500000,N40-500000)*0.05214+MAX(0,N40-6000000)*0.04416+24000+N101*6.5-N133*1.1-N135*1.4</f>
        <v>1843029.00664</v>
      </c>
      <c r="O139" s="516">
        <f>500000*0.05766+MIN(5500000,O40-500000)*0.05214+MAX(0,O40-6000000)*0.04416+24000+O101*6.5-O133*1.1-O135*1.4</f>
        <v>2177467.8071599999</v>
      </c>
      <c r="P139" s="49">
        <f>SUM(D139:O139)</f>
        <v>24342362.709800001</v>
      </c>
      <c r="T139" s="819">
        <f>-L133*1.1</f>
        <v>-9902.5300000000007</v>
      </c>
    </row>
    <row r="140" spans="1:20">
      <c r="B140" s="422" t="s">
        <v>986</v>
      </c>
      <c r="D140" s="554"/>
      <c r="E140" s="554"/>
      <c r="F140" s="554"/>
      <c r="G140" s="554"/>
      <c r="H140" s="554"/>
      <c r="I140" s="554"/>
      <c r="J140" s="554"/>
      <c r="K140" s="554"/>
      <c r="L140" s="554">
        <f>2166286.26-13989.93-72979.48-9902.53</f>
        <v>2069414.3199999996</v>
      </c>
      <c r="M140" s="555"/>
      <c r="N140" s="555"/>
      <c r="O140" s="555"/>
      <c r="P140" s="49">
        <f>SUM(D140:O140)</f>
        <v>2069414.3199999996</v>
      </c>
      <c r="T140" s="819">
        <f>-L135*1.4</f>
        <v>-72979.48</v>
      </c>
    </row>
    <row r="141" spans="1:20">
      <c r="D141" s="303">
        <f t="shared" ref="D141:K141" si="65">D139-D140</f>
        <v>1936335.0806799999</v>
      </c>
      <c r="E141" s="303">
        <f t="shared" si="65"/>
        <v>1898813.3891600003</v>
      </c>
      <c r="F141" s="303">
        <f t="shared" si="65"/>
        <v>1918275.3942399998</v>
      </c>
      <c r="G141" s="303">
        <f t="shared" si="65"/>
        <v>1877683.0717200001</v>
      </c>
      <c r="H141" s="303">
        <f t="shared" si="65"/>
        <v>2065532.86852</v>
      </c>
      <c r="I141" s="303">
        <f t="shared" si="65"/>
        <v>2050423.8612400005</v>
      </c>
      <c r="J141" s="303">
        <f t="shared" si="65"/>
        <v>2185869.0374400001</v>
      </c>
      <c r="K141" s="303">
        <f t="shared" si="65"/>
        <v>2157658.84748</v>
      </c>
      <c r="L141" s="303">
        <f>L139-L140</f>
        <v>2.5600006338208914E-3</v>
      </c>
      <c r="M141" s="303">
        <f t="shared" ref="M141:O141" si="66">M139-M140</f>
        <v>2161860.0229600002</v>
      </c>
      <c r="N141" s="303">
        <f t="shared" si="66"/>
        <v>1843029.00664</v>
      </c>
      <c r="O141" s="303">
        <f t="shared" si="66"/>
        <v>2177467.8071599999</v>
      </c>
      <c r="P141" s="49"/>
      <c r="T141" s="819">
        <f>SUM(T133:T140)</f>
        <v>2069414.3225600002</v>
      </c>
    </row>
    <row r="142" spans="1:20" s="757" customFormat="1">
      <c r="B142" s="422"/>
    </row>
    <row r="143" spans="1:20">
      <c r="B143" s="116" t="s">
        <v>431</v>
      </c>
      <c r="D143" s="19"/>
      <c r="E143" s="19"/>
      <c r="F143" s="19"/>
      <c r="G143" s="19"/>
      <c r="H143" s="19"/>
      <c r="I143" s="19"/>
      <c r="J143" s="19"/>
      <c r="K143" s="19"/>
      <c r="L143" s="19"/>
      <c r="T143" t="s">
        <v>337</v>
      </c>
    </row>
    <row r="144" spans="1:20">
      <c r="B144" s="625">
        <f t="shared" ref="B144:B166" si="67">B4</f>
        <v>0</v>
      </c>
      <c r="C144" s="325">
        <v>770037736</v>
      </c>
      <c r="D144" s="419">
        <f>500000*('Rate Design'!$I$5/100)+MIN(5500000,D4-500000)*('Rate Design'!$I$6/100)+MAX(0,D4-6000000)*('Rate Design'!$I$7/100)+'Rate Design'!$I$9+D74*'Rate Design'!$I$10-0.2*D47</f>
        <v>414920.01509</v>
      </c>
      <c r="E144" s="419">
        <f>500000*('Rate Design'!$I$5/100)+MIN(5500000,E4-500000)*('Rate Design'!$I$6/100)+MAX(0,E4-6000000)*('Rate Design'!$I$7/100)+'Rate Design'!$I$9+E74*'Rate Design'!$I$10-0.2*E47</f>
        <v>403564.973</v>
      </c>
      <c r="F144" s="419">
        <f>500000*('Rate Design'!$I$5/100)+MIN(5500000,F4-500000)*('Rate Design'!$I$6/100)+MAX(0,F4-6000000)*('Rate Design'!$I$7/100)+'Rate Design'!$I$9+F74*'Rate Design'!$I$10-0.2*F47</f>
        <v>441979.83757999999</v>
      </c>
      <c r="G144" s="419">
        <f>500000*('Rate Design'!$I$5/100)+MIN(5500000,G4-500000)*('Rate Design'!$I$6/100)+MAX(0,G4-6000000)*('Rate Design'!$I$7/100)+'Rate Design'!$I$9+G74*'Rate Design'!$I$10-0.2*G47</f>
        <v>374686.09064600006</v>
      </c>
      <c r="H144" s="419">
        <f>500000*('Rate Design'!$I$5/100)+MIN(5500000,H4-500000)*('Rate Design'!$I$6/100)+MAX(0,H4-6000000)*('Rate Design'!$I$7/100)+'Rate Design'!$I$9+H74*'Rate Design'!$I$10-0.2*H47</f>
        <v>489487.83110000001</v>
      </c>
      <c r="I144" s="419">
        <f>500000*('Rate Design'!$I$5/100)+MIN(5500000,I4-500000)*('Rate Design'!$I$6/100)+MAX(0,I4-6000000)*('Rate Design'!$I$7/100)+'Rate Design'!$I$9+I74*'Rate Design'!$I$10-0.2*I47</f>
        <v>427577.36074999999</v>
      </c>
      <c r="J144" s="419">
        <f>500000*('Rate Design'!$I$5/100)+MIN(5500000,J4-500000)*('Rate Design'!$I$6/100)+MAX(0,J4-6000000)*('Rate Design'!$I$7/100)+'Rate Design'!$I$9+J74*'Rate Design'!$I$10-0.2*J47</f>
        <v>414757.14685999998</v>
      </c>
      <c r="K144" s="419">
        <f>500000*('Rate Design'!$I$5/100)+MIN(5500000,K4-500000)*('Rate Design'!$I$6/100)+MAX(0,K4-6000000)*('Rate Design'!$I$7/100)+'Rate Design'!$I$9+K74*'Rate Design'!$I$10-0.2*K47</f>
        <v>425357.93236999999</v>
      </c>
      <c r="L144" s="419">
        <f>500000*('Rate Design'!$I$5/100)+MIN(5500000,L4-500000)*('Rate Design'!$I$6/100)+MAX(0,L4-6000000)*('Rate Design'!$I$7/100)+'Rate Design'!$I$9+L74*'Rate Design'!$I$10-0.2*L47</f>
        <v>419952.85736000002</v>
      </c>
      <c r="M144" s="419">
        <f>500000*('Rate Design'!$I$5/100)+MIN(5500000,M4-500000)*('Rate Design'!$I$6/100)+MAX(0,M4-6000000)*('Rate Design'!$I$7/100)+'Rate Design'!$I$9+M74*'Rate Design'!$I$10-0.2*M47</f>
        <v>297541.39370000002</v>
      </c>
      <c r="N144" s="419">
        <f>500000*('Rate Design'!$I$5/100)+MIN(5500000,N4-500000)*('Rate Design'!$I$6/100)+MAX(0,N4-6000000)*('Rate Design'!$I$7/100)+'Rate Design'!$I$9+N74*'Rate Design'!$I$10-0.2*N47</f>
        <v>265916.46795800002</v>
      </c>
      <c r="O144" s="419">
        <f>500000*('Rate Design'!$I$5/100)+MIN(5500000,O4-500000)*('Rate Design'!$I$6/100)+MAX(0,O4-6000000)*('Rate Design'!$I$7/100)+'Rate Design'!$I$9+O74*'Rate Design'!$I$10-0.2*O47</f>
        <v>248479.82591000001</v>
      </c>
      <c r="P144" s="43">
        <f>SUM(D144:O144)</f>
        <v>4624221.7323240004</v>
      </c>
      <c r="T144">
        <f>IF(P144&lt;945750,945750-P144,0)</f>
        <v>0</v>
      </c>
    </row>
    <row r="145" spans="2:20">
      <c r="B145" s="625">
        <f t="shared" si="67"/>
        <v>0</v>
      </c>
      <c r="C145" s="325">
        <v>500017</v>
      </c>
      <c r="D145" s="419">
        <f>500000*('Rate Design'!$I$5/100)+MIN(5500000,D5-500000)*('Rate Design'!$I$6/100)+MAX(0,D5-6000000)*('Rate Design'!$I$7/100)+'Rate Design'!$I$9+D75*'Rate Design'!$I$10-0.2*D48</f>
        <v>176238.39297199997</v>
      </c>
      <c r="E145" s="419">
        <f>500000*('Rate Design'!$I$5/100)+MIN(5500000,E5-500000)*('Rate Design'!$I$6/100)+MAX(0,E5-6000000)*('Rate Design'!$I$7/100)+'Rate Design'!$I$9+E75*'Rate Design'!$I$10-0.2*E48</f>
        <v>197395.30284800002</v>
      </c>
      <c r="F145" s="419">
        <f>500000*('Rate Design'!$I$5/100)+MIN(5500000,F5-500000)*('Rate Design'!$I$6/100)+MAX(0,F5-6000000)*('Rate Design'!$I$7/100)+'Rate Design'!$I$9+F75*'Rate Design'!$I$10-0.2*F48</f>
        <v>203291.75957000002</v>
      </c>
      <c r="G145" s="419">
        <f>500000*('Rate Design'!$I$5/100)+MIN(5500000,G5-500000)*('Rate Design'!$I$6/100)+MAX(0,G5-6000000)*('Rate Design'!$I$7/100)+'Rate Design'!$I$9+G75*'Rate Design'!$I$10-0.2*G48</f>
        <v>196454.21709200001</v>
      </c>
      <c r="H145" s="419">
        <f>500000*('Rate Design'!$I$5/100)+MIN(5500000,H5-500000)*('Rate Design'!$I$6/100)+MAX(0,H5-6000000)*('Rate Design'!$I$7/100)+'Rate Design'!$I$9+H75*'Rate Design'!$I$10-0.2*H48</f>
        <v>194402.44891400001</v>
      </c>
      <c r="I145" s="419">
        <f>500000*('Rate Design'!$I$5/100)+MIN(5500000,I5-500000)*('Rate Design'!$I$6/100)+MAX(0,I5-6000000)*('Rate Design'!$I$7/100)+'Rate Design'!$I$9+I75*'Rate Design'!$I$10-0.2*I48</f>
        <v>189702.51218600004</v>
      </c>
      <c r="J145" s="419">
        <f>500000*('Rate Design'!$I$5/100)+MIN(5500000,J5-500000)*('Rate Design'!$I$6/100)+MAX(0,J5-6000000)*('Rate Design'!$I$7/100)+'Rate Design'!$I$9+J75*'Rate Design'!$I$10-0.2*J48</f>
        <v>191289.25481000001</v>
      </c>
      <c r="K145" s="419">
        <f>500000*('Rate Design'!$I$5/100)+MIN(5500000,K5-500000)*('Rate Design'!$I$6/100)+MAX(0,K5-6000000)*('Rate Design'!$I$7/100)+'Rate Design'!$I$9+K75*'Rate Design'!$I$10-0.2*K48</f>
        <v>197175.20630000002</v>
      </c>
      <c r="L145" s="419">
        <f>500000*('Rate Design'!$I$5/100)+MIN(5500000,L5-500000)*('Rate Design'!$I$6/100)+MAX(0,L5-6000000)*('Rate Design'!$I$7/100)+'Rate Design'!$I$9+L75*'Rate Design'!$I$10-0.2*L48</f>
        <v>190015.862738</v>
      </c>
      <c r="M145" s="419">
        <f>500000*('Rate Design'!$I$5/100)+MIN(5500000,M5-500000)*('Rate Design'!$I$6/100)+MAX(0,M5-6000000)*('Rate Design'!$I$7/100)+'Rate Design'!$I$9+M75*'Rate Design'!$I$10-0.2*M48</f>
        <v>197805.68646800003</v>
      </c>
      <c r="N145" s="419">
        <f>500000*('Rate Design'!$I$5/100)+MIN(5500000,N5-500000)*('Rate Design'!$I$6/100)+MAX(0,N5-6000000)*('Rate Design'!$I$7/100)+'Rate Design'!$I$9+N75*'Rate Design'!$I$10-0.2*N48</f>
        <v>191714.08987399997</v>
      </c>
      <c r="O145" s="419">
        <f>500000*('Rate Design'!$I$5/100)+MIN(5500000,O5-500000)*('Rate Design'!$I$6/100)+MAX(0,O5-6000000)*('Rate Design'!$I$7/100)+'Rate Design'!$I$9+O75*'Rate Design'!$I$10-0.2*O48</f>
        <v>153490.14752000003</v>
      </c>
      <c r="P145" s="43">
        <f t="shared" ref="P145:P164" si="68">SUM(D145:O145)</f>
        <v>2278974.8812920004</v>
      </c>
      <c r="T145" s="732">
        <f t="shared" ref="T145:T166" si="69">IF(P145&lt;945750,945750-P145,0)</f>
        <v>0</v>
      </c>
    </row>
    <row r="146" spans="2:20">
      <c r="B146" s="625">
        <f t="shared" si="67"/>
        <v>0</v>
      </c>
      <c r="C146" s="325">
        <v>500018</v>
      </c>
      <c r="D146" s="419">
        <f>500000*('Rate Design'!$I$5/100)+MIN(5500000,D6-500000)*('Rate Design'!$I$6/100)+MAX(0,D6-6000000)*('Rate Design'!$I$7/100)+'Rate Design'!$I$9+D76*'Rate Design'!$I$10-0.2*D49</f>
        <v>110505.67001</v>
      </c>
      <c r="E146" s="419">
        <f>500000*('Rate Design'!$I$5/100)+MIN(5500000,E6-500000)*('Rate Design'!$I$6/100)+MAX(0,E6-6000000)*('Rate Design'!$I$7/100)+'Rate Design'!$I$9+E76*'Rate Design'!$I$10-0.2*E49</f>
        <v>99534.758201999997</v>
      </c>
      <c r="F146" s="419">
        <f>500000*('Rate Design'!$I$5/100)+MIN(5500000,F6-500000)*('Rate Design'!$I$6/100)+MAX(0,F6-6000000)*('Rate Design'!$I$7/100)+'Rate Design'!$I$9+F76*'Rate Design'!$I$10-0.2*F49</f>
        <v>105851.77585400001</v>
      </c>
      <c r="G146" s="419">
        <f>500000*('Rate Design'!$I$5/100)+MIN(5500000,G6-500000)*('Rate Design'!$I$6/100)+MAX(0,G6-6000000)*('Rate Design'!$I$7/100)+'Rate Design'!$I$9+G76*'Rate Design'!$I$10-0.2*G49</f>
        <v>94644.26881400001</v>
      </c>
      <c r="H146" s="419">
        <f>500000*('Rate Design'!$I$5/100)+MIN(5500000,H6-500000)*('Rate Design'!$I$6/100)+MAX(0,H6-6000000)*('Rate Design'!$I$7/100)+'Rate Design'!$I$9+H76*'Rate Design'!$I$10-0.2*H49</f>
        <v>95526.376020000011</v>
      </c>
      <c r="I146" s="419">
        <f>500000*('Rate Design'!$I$5/100)+MIN(5500000,I6-500000)*('Rate Design'!$I$6/100)+MAX(0,I6-6000000)*('Rate Design'!$I$7/100)+'Rate Design'!$I$9+I76*'Rate Design'!$I$10-0.2*I49</f>
        <v>93896.961048000012</v>
      </c>
      <c r="J146" s="419">
        <f>500000*('Rate Design'!$I$5/100)+MIN(5500000,J6-500000)*('Rate Design'!$I$6/100)+MAX(0,J6-6000000)*('Rate Design'!$I$7/100)+'Rate Design'!$I$9+J76*'Rate Design'!$I$10-0.2*J49</f>
        <v>96112.56218600001</v>
      </c>
      <c r="K146" s="419">
        <f>500000*('Rate Design'!$I$5/100)+MIN(5500000,K6-500000)*('Rate Design'!$I$6/100)+MAX(0,K6-6000000)*('Rate Design'!$I$7/100)+'Rate Design'!$I$9+K76*'Rate Design'!$I$10-0.2*K49</f>
        <v>92872.668498000014</v>
      </c>
      <c r="L146" s="419">
        <f>500000*('Rate Design'!$I$5/100)+MIN(5500000,L6-500000)*('Rate Design'!$I$6/100)+MAX(0,L6-6000000)*('Rate Design'!$I$7/100)+'Rate Design'!$I$9+L76*'Rate Design'!$I$10-0.2*L49</f>
        <v>93800.790966</v>
      </c>
      <c r="M146" s="419">
        <f>500000*('Rate Design'!$I$5/100)+MIN(5500000,M6-500000)*('Rate Design'!$I$6/100)+MAX(0,M6-6000000)*('Rate Design'!$I$7/100)+'Rate Design'!$I$9+M76*'Rate Design'!$I$10-0.2*M49</f>
        <v>104031.97709400002</v>
      </c>
      <c r="N146" s="419">
        <f>500000*('Rate Design'!$I$5/100)+MIN(5500000,N6-500000)*('Rate Design'!$I$6/100)+MAX(0,N6-6000000)*('Rate Design'!$I$7/100)+'Rate Design'!$I$9+N76*'Rate Design'!$I$10-0.2*N49</f>
        <v>95668.576992000002</v>
      </c>
      <c r="O146" s="419">
        <f>500000*('Rate Design'!$I$5/100)+MIN(5500000,O6-500000)*('Rate Design'!$I$6/100)+MAX(0,O6-6000000)*('Rate Design'!$I$7/100)+'Rate Design'!$I$9+O76*'Rate Design'!$I$10-0.2*O49</f>
        <v>98563.599146000008</v>
      </c>
      <c r="P146" s="43">
        <f t="shared" si="68"/>
        <v>1181009.9848300002</v>
      </c>
      <c r="T146" s="732">
        <f t="shared" si="69"/>
        <v>0</v>
      </c>
    </row>
    <row r="147" spans="2:20">
      <c r="B147" s="625">
        <f t="shared" si="67"/>
        <v>0</v>
      </c>
      <c r="C147" s="325">
        <v>1900002</v>
      </c>
      <c r="D147" s="419">
        <f>500000*('Rate Design'!$I$5/100)+MIN(5500000,D7-500000)*('Rate Design'!$I$6/100)+MAX(0,D7-6000000)*('Rate Design'!$I$7/100)+'Rate Design'!$I$9+D77*'Rate Design'!$I$10-0.2*D50</f>
        <v>99866.322593000004</v>
      </c>
      <c r="E147" s="419">
        <f>500000*('Rate Design'!$I$5/100)+MIN(5500000,E7-500000)*('Rate Design'!$I$6/100)+MAX(0,E7-6000000)*('Rate Design'!$I$7/100)+'Rate Design'!$I$9+E77*'Rate Design'!$I$10-0.2*E50</f>
        <v>95492.233681999991</v>
      </c>
      <c r="F147" s="419">
        <f>500000*('Rate Design'!$I$5/100)+MIN(5500000,F7-500000)*('Rate Design'!$I$6/100)+MAX(0,F7-6000000)*('Rate Design'!$I$7/100)+'Rate Design'!$I$9+F77*'Rate Design'!$I$10-0.2*F50</f>
        <v>102314.02470699999</v>
      </c>
      <c r="G147" s="419">
        <f>500000*('Rate Design'!$I$5/100)+MIN(5500000,G7-500000)*('Rate Design'!$I$6/100)+MAX(0,G7-6000000)*('Rate Design'!$I$7/100)+'Rate Design'!$I$9+G77*'Rate Design'!$I$10-0.2*G50</f>
        <v>93891.550180000006</v>
      </c>
      <c r="H147" s="419">
        <f>500000*('Rate Design'!$I$5/100)+MIN(5500000,H7-500000)*('Rate Design'!$I$6/100)+MAX(0,H7-6000000)*('Rate Design'!$I$7/100)+'Rate Design'!$I$9+H77*'Rate Design'!$I$10-0.2*H50</f>
        <v>96693.717961999995</v>
      </c>
      <c r="I147" s="419">
        <f>500000*('Rate Design'!$I$5/100)+MIN(5500000,I7-500000)*('Rate Design'!$I$6/100)+MAX(0,I7-6000000)*('Rate Design'!$I$7/100)+'Rate Design'!$I$9+I77*'Rate Design'!$I$10-0.2*I50</f>
        <v>93348.147371999992</v>
      </c>
      <c r="J147" s="419">
        <f>500000*('Rate Design'!$I$5/100)+MIN(5500000,J7-500000)*('Rate Design'!$I$6/100)+MAX(0,J7-6000000)*('Rate Design'!$I$7/100)+'Rate Design'!$I$9+J77*'Rate Design'!$I$10-0.2*J50</f>
        <v>97048.306521000006</v>
      </c>
      <c r="K147" s="419">
        <f>500000*('Rate Design'!$I$5/100)+MIN(5500000,K7-500000)*('Rate Design'!$I$6/100)+MAX(0,K7-6000000)*('Rate Design'!$I$7/100)+'Rate Design'!$I$9+K77*'Rate Design'!$I$10-0.2*K50</f>
        <v>95664.012399999992</v>
      </c>
      <c r="L147" s="419">
        <f>500000*('Rate Design'!$I$5/100)+MIN(5500000,L7-500000)*('Rate Design'!$I$6/100)+MAX(0,L7-6000000)*('Rate Design'!$I$7/100)+'Rate Design'!$I$9+L77*'Rate Design'!$I$10-0.2*L50</f>
        <v>93501.61608312001</v>
      </c>
      <c r="M147" s="419">
        <f>500000*('Rate Design'!$I$5/100)+MIN(5500000,M7-500000)*('Rate Design'!$I$6/100)+MAX(0,M7-6000000)*('Rate Design'!$I$7/100)+'Rate Design'!$I$9+M77*'Rate Design'!$I$10-0.2*M50</f>
        <v>99354.682538000008</v>
      </c>
      <c r="N147" s="419">
        <f>500000*('Rate Design'!$I$5/100)+MIN(5500000,N7-500000)*('Rate Design'!$I$6/100)+MAX(0,N7-6000000)*('Rate Design'!$I$7/100)+'Rate Design'!$I$9+N77*'Rate Design'!$I$10-0.2*N50</f>
        <v>100902.14955800002</v>
      </c>
      <c r="O147" s="419">
        <f>500000*('Rate Design'!$I$5/100)+MIN(5500000,O7-500000)*('Rate Design'!$I$6/100)+MAX(0,O7-6000000)*('Rate Design'!$I$7/100)+'Rate Design'!$I$9+O77*'Rate Design'!$I$10-0.2*O50</f>
        <v>103902.721349</v>
      </c>
      <c r="P147" s="43">
        <f t="shared" si="68"/>
        <v>1171979.4849451201</v>
      </c>
      <c r="T147" s="732">
        <f t="shared" si="69"/>
        <v>0</v>
      </c>
    </row>
    <row r="148" spans="2:20">
      <c r="B148" s="625">
        <f t="shared" si="67"/>
        <v>0</v>
      </c>
      <c r="C148" s="325">
        <v>1900011</v>
      </c>
      <c r="D148" s="419">
        <f>500000*('Rate Design'!$I$5/100)+MIN(5500000,D8-500000)*('Rate Design'!$I$6/100)+MAX(0,D8-6000000)*('Rate Design'!$I$7/100)+'Rate Design'!$I$9+D78*'Rate Design'!$I$10-0.2*D51</f>
        <v>117154.99256</v>
      </c>
      <c r="E148" s="419">
        <f>500000*('Rate Design'!$I$5/100)+MIN(5500000,E8-500000)*('Rate Design'!$I$6/100)+MAX(0,E8-6000000)*('Rate Design'!$I$7/100)+'Rate Design'!$I$9+E78*'Rate Design'!$I$10-0.2*E51</f>
        <v>111641.55485400002</v>
      </c>
      <c r="F148" s="419">
        <f>500000*('Rate Design'!$I$5/100)+MIN(5500000,F8-500000)*('Rate Design'!$I$6/100)+MAX(0,F8-6000000)*('Rate Design'!$I$7/100)+'Rate Design'!$I$9+F78*'Rate Design'!$I$10-0.2*F51</f>
        <v>115728.521141</v>
      </c>
      <c r="G148" s="419">
        <f>500000*('Rate Design'!$I$5/100)+MIN(5500000,G8-500000)*('Rate Design'!$I$6/100)+MAX(0,G8-6000000)*('Rate Design'!$I$7/100)+'Rate Design'!$I$9+G78*'Rate Design'!$I$10-0.2*G51</f>
        <v>114619.12130300001</v>
      </c>
      <c r="H148" s="419">
        <f>500000*('Rate Design'!$I$5/100)+MIN(5500000,H8-500000)*('Rate Design'!$I$6/100)+MAX(0,H8-6000000)*('Rate Design'!$I$7/100)+'Rate Design'!$I$9+H78*'Rate Design'!$I$10-0.2*H51</f>
        <v>130674.48515600001</v>
      </c>
      <c r="I148" s="419">
        <f>500000*('Rate Design'!$I$5/100)+MIN(5500000,I8-500000)*('Rate Design'!$I$6/100)+MAX(0,I8-6000000)*('Rate Design'!$I$7/100)+'Rate Design'!$I$9+I78*'Rate Design'!$I$10-0.2*I51</f>
        <v>132160.10596699998</v>
      </c>
      <c r="J148" s="419">
        <f>500000*('Rate Design'!$I$5/100)+MIN(5500000,J8-500000)*('Rate Design'!$I$6/100)+MAX(0,J8-6000000)*('Rate Design'!$I$7/100)+'Rate Design'!$I$9+J78*'Rate Design'!$I$10-0.2*J51</f>
        <v>142670.85515600003</v>
      </c>
      <c r="K148" s="419">
        <f>500000*('Rate Design'!$I$5/100)+MIN(5500000,K8-500000)*('Rate Design'!$I$6/100)+MAX(0,K8-6000000)*('Rate Design'!$I$7/100)+'Rate Design'!$I$9+K78*'Rate Design'!$I$10-0.2*K51</f>
        <v>145998.63534649997</v>
      </c>
      <c r="L148" s="419">
        <f>500000*('Rate Design'!$I$5/100)+MIN(5500000,L8-500000)*('Rate Design'!$I$6/100)+MAX(0,L8-6000000)*('Rate Design'!$I$7/100)+'Rate Design'!$I$9+L78*'Rate Design'!$I$10-0.2*L51</f>
        <v>127750.63871300001</v>
      </c>
      <c r="M148" s="419">
        <f>500000*('Rate Design'!$I$5/100)+MIN(5500000,M8-500000)*('Rate Design'!$I$6/100)+MAX(0,M8-6000000)*('Rate Design'!$I$7/100)+'Rate Design'!$I$9+M78*'Rate Design'!$I$10-0.2*M51</f>
        <v>113248.380397</v>
      </c>
      <c r="N148" s="419">
        <f>500000*('Rate Design'!$I$5/100)+MIN(5500000,N8-500000)*('Rate Design'!$I$6/100)+MAX(0,N8-6000000)*('Rate Design'!$I$7/100)+'Rate Design'!$I$9+N78*'Rate Design'!$I$10-0.2*N51</f>
        <v>108493.382889</v>
      </c>
      <c r="O148" s="419">
        <f>500000*('Rate Design'!$I$5/100)+MIN(5500000,O8-500000)*('Rate Design'!$I$6/100)+MAX(0,O8-6000000)*('Rate Design'!$I$7/100)+'Rate Design'!$I$9+O78*'Rate Design'!$I$10-0.2*O51</f>
        <v>116084.18758100001</v>
      </c>
      <c r="P148" s="43">
        <f t="shared" si="68"/>
        <v>1476224.8610635002</v>
      </c>
      <c r="T148" s="732">
        <f t="shared" si="69"/>
        <v>0</v>
      </c>
    </row>
    <row r="149" spans="2:20">
      <c r="B149" s="625">
        <f t="shared" si="67"/>
        <v>0</v>
      </c>
      <c r="C149" s="325">
        <v>622922</v>
      </c>
      <c r="D149" s="419">
        <f>500000*('Rate Design'!$I$5/100)+MIN(5500000,D9-500000)*('Rate Design'!$I$6/100)+MAX(0,D9-6000000)*('Rate Design'!$I$7/100)+'Rate Design'!$I$9+D79*'Rate Design'!$I$10-0.2*D52</f>
        <v>160676.31995600005</v>
      </c>
      <c r="E149" s="419">
        <f>500000*('Rate Design'!$I$5/100)+MIN(5500000,E9-500000)*('Rate Design'!$I$6/100)+MAX(0,E9-6000000)*('Rate Design'!$I$7/100)+'Rate Design'!$I$9+E79*'Rate Design'!$I$10-0.2*E52</f>
        <v>164764.16382799999</v>
      </c>
      <c r="F149" s="419">
        <f>500000*('Rate Design'!$I$5/100)+MIN(5500000,F9-500000)*('Rate Design'!$I$6/100)+MAX(0,F9-6000000)*('Rate Design'!$I$7/100)+'Rate Design'!$I$9+F79*'Rate Design'!$I$10-0.2*F52</f>
        <v>153525.00767600004</v>
      </c>
      <c r="G149" s="419">
        <f>500000*('Rate Design'!$I$5/100)+MIN(5500000,G9-500000)*('Rate Design'!$I$6/100)+MAX(0,G9-6000000)*('Rate Design'!$I$7/100)+'Rate Design'!$I$9+G79*'Rate Design'!$I$10-0.2*G52</f>
        <v>141403.93556000001</v>
      </c>
      <c r="H149" s="419">
        <f>500000*('Rate Design'!$I$5/100)+MIN(5500000,H9-500000)*('Rate Design'!$I$6/100)+MAX(0,H9-6000000)*('Rate Design'!$I$7/100)+'Rate Design'!$I$9+H79*'Rate Design'!$I$10-0.2*H52</f>
        <v>133650.39744800003</v>
      </c>
      <c r="I149" s="419">
        <f>500000*('Rate Design'!$I$5/100)+MIN(5500000,I9-500000)*('Rate Design'!$I$6/100)+MAX(0,I9-6000000)*('Rate Design'!$I$7/100)+'Rate Design'!$I$9+I79*'Rate Design'!$I$10-0.2*I52</f>
        <v>126230.618552</v>
      </c>
      <c r="J149" s="419">
        <f>500000*('Rate Design'!$I$5/100)+MIN(5500000,J9-500000)*('Rate Design'!$I$6/100)+MAX(0,J9-6000000)*('Rate Design'!$I$7/100)+'Rate Design'!$I$9+J79*'Rate Design'!$I$10-0.2*J52</f>
        <v>137953.89363199999</v>
      </c>
      <c r="K149" s="419">
        <f>500000*('Rate Design'!$I$5/100)+MIN(5500000,K9-500000)*('Rate Design'!$I$6/100)+MAX(0,K9-6000000)*('Rate Design'!$I$7/100)+'Rate Design'!$I$9+K79*'Rate Design'!$I$10-0.2*K52</f>
        <v>154520.26913600002</v>
      </c>
      <c r="L149" s="419">
        <f>500000*('Rate Design'!$I$5/100)+MIN(5500000,L9-500000)*('Rate Design'!$I$6/100)+MAX(0,L9-6000000)*('Rate Design'!$I$7/100)+'Rate Design'!$I$9+L79*'Rate Design'!$I$10-0.2*L52</f>
        <v>155231.34035600003</v>
      </c>
      <c r="M149" s="419">
        <f>500000*('Rate Design'!$I$5/100)+MIN(5500000,M9-500000)*('Rate Design'!$I$6/100)+MAX(0,M9-6000000)*('Rate Design'!$I$7/100)+'Rate Design'!$I$9+M79*'Rate Design'!$I$10-0.2*M52</f>
        <v>151404.99720799999</v>
      </c>
      <c r="N149" s="419">
        <f>500000*('Rate Design'!$I$5/100)+MIN(5500000,N9-500000)*('Rate Design'!$I$6/100)+MAX(0,N9-6000000)*('Rate Design'!$I$7/100)+'Rate Design'!$I$9+N79*'Rate Design'!$I$10-0.2*N52</f>
        <v>153284.12729600002</v>
      </c>
      <c r="O149" s="419">
        <f>500000*('Rate Design'!$I$5/100)+MIN(5500000,O9-500000)*('Rate Design'!$I$6/100)+MAX(0,O9-6000000)*('Rate Design'!$I$7/100)+'Rate Design'!$I$9+O79*'Rate Design'!$I$10-0.2*O52</f>
        <v>150902.33870000002</v>
      </c>
      <c r="P149" s="43">
        <f t="shared" si="68"/>
        <v>1783547.4093480001</v>
      </c>
      <c r="T149" s="732">
        <f t="shared" si="69"/>
        <v>0</v>
      </c>
    </row>
    <row r="150" spans="2:20">
      <c r="B150" s="625">
        <f t="shared" si="67"/>
        <v>0</v>
      </c>
      <c r="C150" s="325">
        <v>2304636</v>
      </c>
      <c r="D150" s="419">
        <f>500000*('Rate Design'!$I$5/100)+MIN(5500000,D10-500000)*('Rate Design'!$I$6/100)+MAX(0,D10-6000000)*('Rate Design'!$I$7/100)+'Rate Design'!$I$9+D80*'Rate Design'!$I$10-0.2*D53</f>
        <v>93707.608041999993</v>
      </c>
      <c r="E150" s="419">
        <f>500000*('Rate Design'!$I$5/100)+MIN(5500000,E10-500000)*('Rate Design'!$I$6/100)+MAX(0,E10-6000000)*('Rate Design'!$I$7/100)+'Rate Design'!$I$9+E80*'Rate Design'!$I$10-0.2*E53</f>
        <v>87720.215060000002</v>
      </c>
      <c r="F150" s="419">
        <f>500000*('Rate Design'!$I$5/100)+MIN(5500000,F10-500000)*('Rate Design'!$I$6/100)+MAX(0,F10-6000000)*('Rate Design'!$I$7/100)+'Rate Design'!$I$9+F80*'Rate Design'!$I$10-0.2*F53</f>
        <v>92759.017434000009</v>
      </c>
      <c r="G150" s="419">
        <f>500000*('Rate Design'!$I$5/100)+MIN(5500000,G10-500000)*('Rate Design'!$I$6/100)+MAX(0,G10-6000000)*('Rate Design'!$I$7/100)+'Rate Design'!$I$9+G80*'Rate Design'!$I$10-0.2*G53</f>
        <v>92102.499058000001</v>
      </c>
      <c r="H150" s="419">
        <f>500000*('Rate Design'!$I$5/100)+MIN(5500000,H10-500000)*('Rate Design'!$I$6/100)+MAX(0,H10-6000000)*('Rate Design'!$I$7/100)+'Rate Design'!$I$9+H80*'Rate Design'!$I$10-0.2*H53</f>
        <v>96225.167534000007</v>
      </c>
      <c r="I150" s="419">
        <f>500000*('Rate Design'!$I$5/100)+MIN(5500000,I10-500000)*('Rate Design'!$I$6/100)+MAX(0,I10-6000000)*('Rate Design'!$I$7/100)+'Rate Design'!$I$9+I80*'Rate Design'!$I$10-0.2*I53</f>
        <v>97503.508004000003</v>
      </c>
      <c r="J150" s="419">
        <f>500000*('Rate Design'!$I$5/100)+MIN(5500000,J10-500000)*('Rate Design'!$I$6/100)+MAX(0,J10-6000000)*('Rate Design'!$I$7/100)+'Rate Design'!$I$9+J80*'Rate Design'!$I$10-0.2*J53</f>
        <v>102998.62799600001</v>
      </c>
      <c r="K150" s="419">
        <f>500000*('Rate Design'!$I$5/100)+MIN(5500000,K10-500000)*('Rate Design'!$I$6/100)+MAX(0,K10-6000000)*('Rate Design'!$I$7/100)+'Rate Design'!$I$9+K80*'Rate Design'!$I$10-0.2*K53</f>
        <v>108442.92965000001</v>
      </c>
      <c r="L150" s="419">
        <f>500000*('Rate Design'!$I$5/100)+MIN(5500000,L10-500000)*('Rate Design'!$I$6/100)+MAX(0,L10-6000000)*('Rate Design'!$I$7/100)+'Rate Design'!$I$9+L80*'Rate Design'!$I$10-0.2*L53</f>
        <v>98563.933808000002</v>
      </c>
      <c r="M150" s="419">
        <f>500000*('Rate Design'!$I$5/100)+MIN(5500000,M10-500000)*('Rate Design'!$I$6/100)+MAX(0,M10-6000000)*('Rate Design'!$I$7/100)+'Rate Design'!$I$9+M80*'Rate Design'!$I$10-0.2*M53</f>
        <v>97184.004668000009</v>
      </c>
      <c r="N150" s="419">
        <f>500000*('Rate Design'!$I$5/100)+MIN(5500000,N10-500000)*('Rate Design'!$I$6/100)+MAX(0,N10-6000000)*('Rate Design'!$I$7/100)+'Rate Design'!$I$9+N80*'Rate Design'!$I$10-0.2*N53</f>
        <v>95544.898172000001</v>
      </c>
      <c r="O150" s="419">
        <f>500000*('Rate Design'!$I$5/100)+MIN(5500000,O10-500000)*('Rate Design'!$I$6/100)+MAX(0,O10-6000000)*('Rate Design'!$I$7/100)+'Rate Design'!$I$9+O80*'Rate Design'!$I$10-0.2*O53</f>
        <v>92610.556142000001</v>
      </c>
      <c r="P150" s="43">
        <f t="shared" si="68"/>
        <v>1155362.9655680002</v>
      </c>
      <c r="T150" s="732">
        <f t="shared" si="69"/>
        <v>0</v>
      </c>
    </row>
    <row r="151" spans="2:20">
      <c r="B151" s="625">
        <f t="shared" si="67"/>
        <v>0</v>
      </c>
      <c r="C151" s="325">
        <v>610074869</v>
      </c>
      <c r="D151" s="419">
        <f>500000*('Rate Design'!$I$5/100)+MIN(5500000,D11-500000)*('Rate Design'!$I$6/100)+MAX(0,D11-6000000)*('Rate Design'!$I$7/100)+'Rate Design'!$I$9+D81*'Rate Design'!$I$10-0.2*D54</f>
        <v>92266.113974000007</v>
      </c>
      <c r="E151" s="419">
        <f>500000*('Rate Design'!$I$5/100)+MIN(5500000,E11-500000)*('Rate Design'!$I$6/100)+MAX(0,E11-6000000)*('Rate Design'!$I$7/100)+'Rate Design'!$I$9+E81*'Rate Design'!$I$10-0.2*E54</f>
        <v>87599.778655999995</v>
      </c>
      <c r="F151" s="419">
        <f>500000*('Rate Design'!$I$5/100)+MIN(5500000,F11-500000)*('Rate Design'!$I$6/100)+MAX(0,F11-6000000)*('Rate Design'!$I$7/100)+'Rate Design'!$I$9+F81*'Rate Design'!$I$10-0.2*F54</f>
        <v>93343.658954000013</v>
      </c>
      <c r="G151" s="419">
        <f>500000*('Rate Design'!$I$5/100)+MIN(5500000,G11-500000)*('Rate Design'!$I$6/100)+MAX(0,G11-6000000)*('Rate Design'!$I$7/100)+'Rate Design'!$I$9+G81*'Rate Design'!$I$10-0.2*G54</f>
        <v>92938.135208000007</v>
      </c>
      <c r="H151" s="419">
        <f>500000*('Rate Design'!$I$5/100)+MIN(5500000,H11-500000)*('Rate Design'!$I$6/100)+MAX(0,H11-6000000)*('Rate Design'!$I$7/100)+'Rate Design'!$I$9+H81*'Rate Design'!$I$10-0.2*H54</f>
        <v>96263.309840000002</v>
      </c>
      <c r="I151" s="419">
        <f>500000*('Rate Design'!$I$5/100)+MIN(5500000,I11-500000)*('Rate Design'!$I$6/100)+MAX(0,I11-6000000)*('Rate Design'!$I$7/100)+'Rate Design'!$I$9+I81*'Rate Design'!$I$10-0.2*I54</f>
        <v>96580.607162</v>
      </c>
      <c r="J151" s="419">
        <f>500000*('Rate Design'!$I$5/100)+MIN(5500000,J11-500000)*('Rate Design'!$I$6/100)+MAX(0,J11-6000000)*('Rate Design'!$I$7/100)+'Rate Design'!$I$9+J81*'Rate Design'!$I$10-0.2*J54</f>
        <v>97314.000853999998</v>
      </c>
      <c r="K151" s="419">
        <f>500000*('Rate Design'!$I$5/100)+MIN(5500000,K11-500000)*('Rate Design'!$I$6/100)+MAX(0,K11-6000000)*('Rate Design'!$I$7/100)+'Rate Design'!$I$9+K81*'Rate Design'!$I$10-0.2*K54</f>
        <v>99721.191902000006</v>
      </c>
      <c r="L151" s="419">
        <f>500000*('Rate Design'!$I$5/100)+MIN(5500000,L11-500000)*('Rate Design'!$I$6/100)+MAX(0,L11-6000000)*('Rate Design'!$I$7/100)+'Rate Design'!$I$9+L81*'Rate Design'!$I$10-0.2*L54</f>
        <v>92401.779523999998</v>
      </c>
      <c r="M151" s="419">
        <f>500000*('Rate Design'!$I$5/100)+MIN(5500000,M11-500000)*('Rate Design'!$I$6/100)+MAX(0,M11-6000000)*('Rate Design'!$I$7/100)+'Rate Design'!$I$9+M81*'Rate Design'!$I$10-0.2*M54</f>
        <v>97160.819630000013</v>
      </c>
      <c r="N151" s="419">
        <f>500000*('Rate Design'!$I$5/100)+MIN(5500000,N11-500000)*('Rate Design'!$I$6/100)+MAX(0,N11-6000000)*('Rate Design'!$I$7/100)+'Rate Design'!$I$9+N81*'Rate Design'!$I$10-0.2*N54</f>
        <v>89703.987926000002</v>
      </c>
      <c r="O151" s="419">
        <f>500000*('Rate Design'!$I$5/100)+MIN(5500000,O11-500000)*('Rate Design'!$I$6/100)+MAX(0,O11-6000000)*('Rate Design'!$I$7/100)+'Rate Design'!$I$9+O81*'Rate Design'!$I$10-0.2*O54</f>
        <v>92955.243956000006</v>
      </c>
      <c r="P151" s="43">
        <f t="shared" si="68"/>
        <v>1128248.6275860001</v>
      </c>
      <c r="T151" s="732">
        <f t="shared" si="69"/>
        <v>0</v>
      </c>
    </row>
    <row r="152" spans="2:20">
      <c r="B152" s="625">
        <f t="shared" si="67"/>
        <v>0</v>
      </c>
      <c r="C152" s="325">
        <v>2500004</v>
      </c>
      <c r="D152" s="750">
        <v>0</v>
      </c>
      <c r="E152" s="750">
        <v>0</v>
      </c>
      <c r="F152" s="750">
        <v>0</v>
      </c>
      <c r="G152" s="750">
        <v>0</v>
      </c>
      <c r="H152" s="750">
        <v>0</v>
      </c>
      <c r="I152" s="750">
        <v>0</v>
      </c>
      <c r="J152" s="750">
        <v>0</v>
      </c>
      <c r="K152" s="750">
        <v>0</v>
      </c>
      <c r="L152" s="750">
        <v>0</v>
      </c>
      <c r="M152" s="750">
        <v>0</v>
      </c>
      <c r="N152" s="750">
        <v>0</v>
      </c>
      <c r="O152" s="750">
        <v>0</v>
      </c>
      <c r="P152" s="43">
        <f t="shared" si="68"/>
        <v>0</v>
      </c>
      <c r="T152" s="751">
        <v>0</v>
      </c>
    </row>
    <row r="153" spans="2:20">
      <c r="B153" s="625">
        <f t="shared" si="67"/>
        <v>0</v>
      </c>
      <c r="C153" s="325">
        <v>290048778</v>
      </c>
      <c r="D153" s="419">
        <f>500000*('Rate Design'!$I$5/100)+MIN(5500000,D13-500000)*('Rate Design'!$I$6/100)+MAX(0,D13-6000000)*('Rate Design'!$I$7/100)+'Rate Design'!$I$9+D83*'Rate Design'!$I$10-0.2*D56</f>
        <v>354152.13672200002</v>
      </c>
      <c r="E153" s="419">
        <f>500000*('Rate Design'!$I$5/100)+MIN(5500000,E13-500000)*('Rate Design'!$I$6/100)+MAX(0,E13-6000000)*('Rate Design'!$I$7/100)+'Rate Design'!$I$9+E83*'Rate Design'!$I$10-0.2*E56</f>
        <v>276009.39798800001</v>
      </c>
      <c r="F153" s="419">
        <f>500000*('Rate Design'!$I$5/100)+MIN(5500000,F13-500000)*('Rate Design'!$I$6/100)+MAX(0,F13-6000000)*('Rate Design'!$I$7/100)+'Rate Design'!$I$9+F83*'Rate Design'!$I$10-0.2*F56</f>
        <v>344231.24287999998</v>
      </c>
      <c r="G153" s="419">
        <f>500000*('Rate Design'!$I$5/100)+MIN(5500000,G13-500000)*('Rate Design'!$I$6/100)+MAX(0,G13-6000000)*('Rate Design'!$I$7/100)+'Rate Design'!$I$9+G83*'Rate Design'!$I$10-0.2*G56</f>
        <v>275846.75645000004</v>
      </c>
      <c r="H153" s="419">
        <f>500000*('Rate Design'!$I$5/100)+MIN(5500000,H13-500000)*('Rate Design'!$I$6/100)+MAX(0,H13-6000000)*('Rate Design'!$I$7/100)+'Rate Design'!$I$9+H83*'Rate Design'!$I$10-0.2*H56</f>
        <v>350270.03474600002</v>
      </c>
      <c r="I153" s="419">
        <f>500000*('Rate Design'!$I$5/100)+MIN(5500000,I13-500000)*('Rate Design'!$I$6/100)+MAX(0,I13-6000000)*('Rate Design'!$I$7/100)+'Rate Design'!$I$9+I83*'Rate Design'!$I$10-0.2*I56</f>
        <v>341574.66474799998</v>
      </c>
      <c r="J153" s="419">
        <f>500000*('Rate Design'!$I$5/100)+MIN(5500000,J13-500000)*('Rate Design'!$I$6/100)+MAX(0,J13-6000000)*('Rate Design'!$I$7/100)+'Rate Design'!$I$9+J83*'Rate Design'!$I$10-0.2*J56</f>
        <v>353409.15588800004</v>
      </c>
      <c r="K153" s="419">
        <f>500000*('Rate Design'!$I$5/100)+MIN(5500000,K13-500000)*('Rate Design'!$I$6/100)+MAX(0,K13-6000000)*('Rate Design'!$I$7/100)+'Rate Design'!$I$9+K83*'Rate Design'!$I$10-0.2*K56</f>
        <v>359515.23126800003</v>
      </c>
      <c r="L153" s="419">
        <f>500000*('Rate Design'!$I$5/100)+MIN(5500000,L13-500000)*('Rate Design'!$I$6/100)+MAX(0,L13-6000000)*('Rate Design'!$I$7/100)+'Rate Design'!$I$9+L83*'Rate Design'!$I$10-0.2*L56</f>
        <v>346172.54959400004</v>
      </c>
      <c r="M153" s="419">
        <f>500000*('Rate Design'!$I$5/100)+MIN(5500000,M13-500000)*('Rate Design'!$I$6/100)+MAX(0,M13-6000000)*('Rate Design'!$I$7/100)+'Rate Design'!$I$9+M83*'Rate Design'!$I$10-0.2*M56</f>
        <v>343587.40241000004</v>
      </c>
      <c r="N153" s="419">
        <f>500000*('Rate Design'!$I$5/100)+MIN(5500000,N13-500000)*('Rate Design'!$I$6/100)+MAX(0,N13-6000000)*('Rate Design'!$I$7/100)+'Rate Design'!$I$9+N83*'Rate Design'!$I$10-0.2*N56</f>
        <v>309578.23358600005</v>
      </c>
      <c r="O153" s="419">
        <f>500000*('Rate Design'!$I$5/100)+MIN(5500000,O13-500000)*('Rate Design'!$I$6/100)+MAX(0,O13-6000000)*('Rate Design'!$I$7/100)+'Rate Design'!$I$9+O83*'Rate Design'!$I$10-0.2*O56</f>
        <v>315623.27465600008</v>
      </c>
      <c r="P153" s="43">
        <f t="shared" si="68"/>
        <v>3969970.0809360002</v>
      </c>
      <c r="T153" s="732">
        <f t="shared" si="69"/>
        <v>0</v>
      </c>
    </row>
    <row r="154" spans="2:20">
      <c r="B154" s="625">
        <f t="shared" si="67"/>
        <v>0</v>
      </c>
      <c r="C154" s="325">
        <v>2500003</v>
      </c>
      <c r="D154" s="419">
        <f>500000*('Rate Design'!$I$5/100)+MIN(5500000,D14-500000)*('Rate Design'!$I$6/100)+MAX(0,D14-6000000)*('Rate Design'!$I$7/100)+'Rate Design'!$I$9+D84*'Rate Design'!$I$10-0.2*D57</f>
        <v>360105.45150800009</v>
      </c>
      <c r="E154" s="419">
        <f>500000*('Rate Design'!$I$5/100)+MIN(5500000,E14-500000)*('Rate Design'!$I$6/100)+MAX(0,E14-6000000)*('Rate Design'!$I$7/100)+'Rate Design'!$I$9+E84*'Rate Design'!$I$10-0.2*E57</f>
        <v>309545.19167600002</v>
      </c>
      <c r="F154" s="419">
        <f>500000*('Rate Design'!$I$5/100)+MIN(5500000,F14-500000)*('Rate Design'!$I$6/100)+MAX(0,F14-6000000)*('Rate Design'!$I$7/100)+'Rate Design'!$I$9+F84*'Rate Design'!$I$10-0.2*F57</f>
        <v>345869.49694399995</v>
      </c>
      <c r="G154" s="419">
        <f>500000*('Rate Design'!$I$5/100)+MIN(5500000,G14-500000)*('Rate Design'!$I$6/100)+MAX(0,G14-6000000)*('Rate Design'!$I$7/100)+'Rate Design'!$I$9+G84*'Rate Design'!$I$10-0.2*G57</f>
        <v>230023.74014000001</v>
      </c>
      <c r="H154" s="419">
        <f>500000*('Rate Design'!$I$5/100)+MIN(5500000,H14-500000)*('Rate Design'!$I$6/100)+MAX(0,H14-6000000)*('Rate Design'!$I$7/100)+'Rate Design'!$I$9+H84*'Rate Design'!$I$10-0.2*H57</f>
        <v>349612.60696399998</v>
      </c>
      <c r="I154" s="419">
        <f>500000*('Rate Design'!$I$5/100)+MIN(5500000,I14-500000)*('Rate Design'!$I$6/100)+MAX(0,I14-6000000)*('Rate Design'!$I$7/100)+'Rate Design'!$I$9+I84*'Rate Design'!$I$10-0.2*I57</f>
        <v>345994.41849200003</v>
      </c>
      <c r="J154" s="419">
        <f>500000*('Rate Design'!$I$5/100)+MIN(5500000,J14-500000)*('Rate Design'!$I$6/100)+MAX(0,J14-6000000)*('Rate Design'!$I$7/100)+'Rate Design'!$I$9+J84*'Rate Design'!$I$10-0.2*J57</f>
        <v>350831.87484800001</v>
      </c>
      <c r="K154" s="419">
        <f>500000*('Rate Design'!$I$5/100)+MIN(5500000,K14-500000)*('Rate Design'!$I$6/100)+MAX(0,K14-6000000)*('Rate Design'!$I$7/100)+'Rate Design'!$I$9+K84*'Rate Design'!$I$10-0.2*K57</f>
        <v>346161.99914000003</v>
      </c>
      <c r="L154" s="419">
        <f>500000*('Rate Design'!$I$5/100)+MIN(5500000,L14-500000)*('Rate Design'!$I$6/100)+MAX(0,L14-6000000)*('Rate Design'!$I$7/100)+'Rate Design'!$I$9+L84*'Rate Design'!$I$10-0.2*L57</f>
        <v>315905.47755200008</v>
      </c>
      <c r="M154" s="419">
        <f>500000*('Rate Design'!$I$5/100)+MIN(5500000,M14-500000)*('Rate Design'!$I$6/100)+MAX(0,M14-6000000)*('Rate Design'!$I$7/100)+'Rate Design'!$I$9+M84*'Rate Design'!$I$10-0.2*M57</f>
        <v>327100.14549800003</v>
      </c>
      <c r="N154" s="419">
        <f>500000*('Rate Design'!$I$5/100)+MIN(5500000,N14-500000)*('Rate Design'!$I$6/100)+MAX(0,N14-6000000)*('Rate Design'!$I$7/100)+'Rate Design'!$I$9+N84*'Rate Design'!$I$10-0.2*N57</f>
        <v>234162.20743400001</v>
      </c>
      <c r="O154" s="419">
        <f>500000*('Rate Design'!$I$5/100)+MIN(5500000,O14-500000)*('Rate Design'!$I$6/100)+MAX(0,O14-6000000)*('Rate Design'!$I$7/100)+'Rate Design'!$I$9+O84*'Rate Design'!$I$10-0.2*O57</f>
        <v>303708.21965600003</v>
      </c>
      <c r="P154" s="43">
        <f t="shared" si="68"/>
        <v>3819020.8298519999</v>
      </c>
      <c r="T154" s="732">
        <f t="shared" si="69"/>
        <v>0</v>
      </c>
    </row>
    <row r="155" spans="2:20">
      <c r="B155" s="625">
        <f t="shared" si="67"/>
        <v>0</v>
      </c>
      <c r="C155" s="325">
        <v>500020</v>
      </c>
      <c r="D155" s="419">
        <f>500000*('Rate Design'!$I$5/100)+MIN(5500000,D15-500000)*('Rate Design'!$I$6/100)+MAX(0,D15-6000000)*('Rate Design'!$I$7/100)+'Rate Design'!$I$9+D85*'Rate Design'!$I$10-0.2*D58</f>
        <v>204640.35067399999</v>
      </c>
      <c r="E155" s="419">
        <f>500000*('Rate Design'!$I$5/100)+MIN(5500000,E15-500000)*('Rate Design'!$I$6/100)+MAX(0,E15-6000000)*('Rate Design'!$I$7/100)+'Rate Design'!$I$9+E85*'Rate Design'!$I$10-0.2*E58</f>
        <v>192983.64167300003</v>
      </c>
      <c r="F155" s="419">
        <f>500000*('Rate Design'!$I$5/100)+MIN(5500000,F15-500000)*('Rate Design'!$I$6/100)+MAX(0,F15-6000000)*('Rate Design'!$I$7/100)+'Rate Design'!$I$9+F85*'Rate Design'!$I$10-0.2*F58</f>
        <v>208129.52639300004</v>
      </c>
      <c r="G155" s="419">
        <f>500000*('Rate Design'!$I$5/100)+MIN(5500000,G15-500000)*('Rate Design'!$I$6/100)+MAX(0,G15-6000000)*('Rate Design'!$I$7/100)+'Rate Design'!$I$9+G85*'Rate Design'!$I$10-0.2*G58</f>
        <v>208961.51021600002</v>
      </c>
      <c r="H155" s="419">
        <f>500000*('Rate Design'!$I$5/100)+MIN(5500000,H15-500000)*('Rate Design'!$I$6/100)+MAX(0,H15-6000000)*('Rate Design'!$I$7/100)+'Rate Design'!$I$9+H85*'Rate Design'!$I$10-0.2*H58</f>
        <v>233714.149214</v>
      </c>
      <c r="I155" s="419">
        <f>500000*('Rate Design'!$I$5/100)+MIN(5500000,I15-500000)*('Rate Design'!$I$6/100)+MAX(0,I15-6000000)*('Rate Design'!$I$7/100)+'Rate Design'!$I$9+I85*'Rate Design'!$I$10-0.2*I58</f>
        <v>240948.17198600003</v>
      </c>
      <c r="J155" s="419">
        <f>500000*('Rate Design'!$I$5/100)+MIN(5500000,J15-500000)*('Rate Design'!$I$6/100)+MAX(0,J15-6000000)*('Rate Design'!$I$7/100)+'Rate Design'!$I$9+J85*'Rate Design'!$I$10-0.2*J58</f>
        <v>263431.34169799997</v>
      </c>
      <c r="K155" s="419">
        <f>500000*('Rate Design'!$I$5/100)+MIN(5500000,K15-500000)*('Rate Design'!$I$6/100)+MAX(0,K15-6000000)*('Rate Design'!$I$7/100)+'Rate Design'!$I$9+K85*'Rate Design'!$I$10-0.2*K58</f>
        <v>271212.17217799998</v>
      </c>
      <c r="L155" s="419">
        <f>500000*('Rate Design'!$I$5/100)+MIN(5500000,L15-500000)*('Rate Design'!$I$6/100)+MAX(0,L15-6000000)*('Rate Design'!$I$7/100)+'Rate Design'!$I$9+L85*'Rate Design'!$I$10-0.2*L58</f>
        <v>234419.08600400001</v>
      </c>
      <c r="M155" s="419">
        <f>500000*('Rate Design'!$I$5/100)+MIN(5500000,M15-500000)*('Rate Design'!$I$6/100)+MAX(0,M15-6000000)*('Rate Design'!$I$7/100)+'Rate Design'!$I$9+M85*'Rate Design'!$I$10-0.2*M58</f>
        <v>207356.752454</v>
      </c>
      <c r="N155" s="419">
        <f>500000*('Rate Design'!$I$5/100)+MIN(5500000,N15-500000)*('Rate Design'!$I$6/100)+MAX(0,N15-6000000)*('Rate Design'!$I$7/100)+'Rate Design'!$I$9+N85*'Rate Design'!$I$10-0.2*N58</f>
        <v>195911.91572899997</v>
      </c>
      <c r="O155" s="419">
        <f>500000*('Rate Design'!$I$5/100)+MIN(5500000,O15-500000)*('Rate Design'!$I$6/100)+MAX(0,O15-6000000)*('Rate Design'!$I$7/100)+'Rate Design'!$I$9+O85*'Rate Design'!$I$10-0.2*O58</f>
        <v>202815.52020500004</v>
      </c>
      <c r="P155" s="43">
        <f t="shared" si="68"/>
        <v>2664524.1384239998</v>
      </c>
      <c r="T155" s="732">
        <f t="shared" si="69"/>
        <v>0</v>
      </c>
    </row>
    <row r="156" spans="2:20">
      <c r="B156" s="625">
        <f t="shared" si="67"/>
        <v>0</v>
      </c>
      <c r="C156" s="325">
        <v>1900012</v>
      </c>
      <c r="D156" s="419">
        <f>500000*('Rate Design'!$I$5/100)+MIN(5500000,D16-500000)*('Rate Design'!$I$6/100)+MAX(0,D16-6000000)*('Rate Design'!$I$7/100)+'Rate Design'!$I$9+D86*'Rate Design'!$I$10-0.2*D59</f>
        <v>78047.589621000006</v>
      </c>
      <c r="E156" s="419">
        <f>500000*('Rate Design'!$I$5/100)+MIN(5500000,E16-500000)*('Rate Design'!$I$6/100)+MAX(0,E16-6000000)*('Rate Design'!$I$7/100)+'Rate Design'!$I$9+E86*'Rate Design'!$I$10-0.2*E59</f>
        <v>74691.454119000002</v>
      </c>
      <c r="F156" s="419">
        <f>500000*('Rate Design'!$I$5/100)+MIN(5500000,F16-500000)*('Rate Design'!$I$6/100)+MAX(0,F16-6000000)*('Rate Design'!$I$7/100)+'Rate Design'!$I$9+F86*'Rate Design'!$I$10-0.2*F59</f>
        <v>77285.579112000007</v>
      </c>
      <c r="G156" s="419">
        <f>500000*('Rate Design'!$I$5/100)+MIN(5500000,G16-500000)*('Rate Design'!$I$6/100)+MAX(0,G16-6000000)*('Rate Design'!$I$7/100)+'Rate Design'!$I$9+G86*'Rate Design'!$I$10-0.2*G59</f>
        <v>77955.222687000001</v>
      </c>
      <c r="H156" s="419">
        <f>500000*('Rate Design'!$I$5/100)+MIN(5500000,H16-500000)*('Rate Design'!$I$6/100)+MAX(0,H16-6000000)*('Rate Design'!$I$7/100)+'Rate Design'!$I$9+H86*'Rate Design'!$I$10-0.2*H59</f>
        <v>84767.675271</v>
      </c>
      <c r="I156" s="419">
        <f>500000*('Rate Design'!$I$5/100)+MIN(5500000,I16-500000)*('Rate Design'!$I$6/100)+MAX(0,I16-6000000)*('Rate Design'!$I$7/100)+'Rate Design'!$I$9+I86*'Rate Design'!$I$10-0.2*I59</f>
        <v>83980.075266</v>
      </c>
      <c r="J156" s="419">
        <f>500000*('Rate Design'!$I$5/100)+MIN(5500000,J16-500000)*('Rate Design'!$I$6/100)+MAX(0,J16-6000000)*('Rate Design'!$I$7/100)+'Rate Design'!$I$9+J86*'Rate Design'!$I$10-0.2*J59</f>
        <v>88492.040344000008</v>
      </c>
      <c r="K156" s="419">
        <f>500000*('Rate Design'!$I$5/100)+MIN(5500000,K16-500000)*('Rate Design'!$I$6/100)+MAX(0,K16-6000000)*('Rate Design'!$I$7/100)+'Rate Design'!$I$9+K86*'Rate Design'!$I$10-0.2*K59</f>
        <v>89480.000549000004</v>
      </c>
      <c r="L156" s="419">
        <f>500000*('Rate Design'!$I$5/100)+MIN(5500000,L16-500000)*('Rate Design'!$I$6/100)+MAX(0,L16-6000000)*('Rate Design'!$I$7/100)+'Rate Design'!$I$9+L86*'Rate Design'!$I$10-0.2*L59</f>
        <v>82404.255235000004</v>
      </c>
      <c r="M156" s="419">
        <f>500000*('Rate Design'!$I$5/100)+MIN(5500000,M16-500000)*('Rate Design'!$I$6/100)+MAX(0,M16-6000000)*('Rate Design'!$I$7/100)+'Rate Design'!$I$9+M86*'Rate Design'!$I$10-0.2*M59</f>
        <v>77186.606360000005</v>
      </c>
      <c r="N156" s="419">
        <f>500000*('Rate Design'!$I$5/100)+MIN(5500000,N16-500000)*('Rate Design'!$I$6/100)+MAX(0,N16-6000000)*('Rate Design'!$I$7/100)+'Rate Design'!$I$9+N86*'Rate Design'!$I$10-0.2*N59</f>
        <v>75200.420390999992</v>
      </c>
      <c r="O156" s="419">
        <f>500000*('Rate Design'!$I$5/100)+MIN(5500000,O16-500000)*('Rate Design'!$I$6/100)+MAX(0,O16-6000000)*('Rate Design'!$I$7/100)+'Rate Design'!$I$9+O86*'Rate Design'!$I$10-0.2*O59</f>
        <v>77159.109820999991</v>
      </c>
      <c r="P156" s="43">
        <f t="shared" si="68"/>
        <v>966650.02877600002</v>
      </c>
      <c r="T156" s="732">
        <f t="shared" si="69"/>
        <v>0</v>
      </c>
    </row>
    <row r="157" spans="2:20">
      <c r="B157" s="625">
        <f t="shared" si="67"/>
        <v>0</v>
      </c>
      <c r="C157" s="325">
        <v>2400169</v>
      </c>
      <c r="D157" s="419">
        <f>500000*('Rate Design'!$I$5/100)+MIN(5500000,D17-500000)*('Rate Design'!$I$6/100)+MAX(0,D17-6000000)*('Rate Design'!$I$7/100)+'Rate Design'!$I$9+D87*'Rate Design'!$I$10-0.2*D60</f>
        <v>108064.49503999999</v>
      </c>
      <c r="E157" s="419">
        <f>500000*('Rate Design'!$I$5/100)+MIN(5500000,E17-500000)*('Rate Design'!$I$6/100)+MAX(0,E17-6000000)*('Rate Design'!$I$7/100)+'Rate Design'!$I$9+E87*'Rate Design'!$I$10-0.2*E60</f>
        <v>104702.58341599999</v>
      </c>
      <c r="F157" s="419">
        <f>500000*('Rate Design'!$I$5/100)+MIN(5500000,F17-500000)*('Rate Design'!$I$6/100)+MAX(0,F17-6000000)*('Rate Design'!$I$7/100)+'Rate Design'!$I$9+F87*'Rate Design'!$I$10-0.2*F60</f>
        <v>105047.969252</v>
      </c>
      <c r="G157" s="419">
        <f>500000*('Rate Design'!$I$5/100)+MIN(5500000,G17-500000)*('Rate Design'!$I$6/100)+MAX(0,G17-6000000)*('Rate Design'!$I$7/100)+'Rate Design'!$I$9+G87*'Rate Design'!$I$10-0.2*G60</f>
        <v>105060.09973999999</v>
      </c>
      <c r="H157" s="419">
        <f>500000*('Rate Design'!$I$5/100)+MIN(5500000,H17-500000)*('Rate Design'!$I$6/100)+MAX(0,H17-6000000)*('Rate Design'!$I$7/100)+'Rate Design'!$I$9+H87*'Rate Design'!$I$10-0.2*H60</f>
        <v>113408.06896400001</v>
      </c>
      <c r="I157" s="419">
        <f>500000*('Rate Design'!$I$5/100)+MIN(5500000,I17-500000)*('Rate Design'!$I$6/100)+MAX(0,I17-6000000)*('Rate Design'!$I$7/100)+'Rate Design'!$I$9+I87*'Rate Design'!$I$10-0.2*I60</f>
        <v>106643.66538200001</v>
      </c>
      <c r="J157" s="419">
        <f>500000*('Rate Design'!$I$5/100)+MIN(5500000,J17-500000)*('Rate Design'!$I$6/100)+MAX(0,J17-6000000)*('Rate Design'!$I$7/100)+'Rate Design'!$I$9+J87*'Rate Design'!$I$10-0.2*J60</f>
        <v>110113.22285600001</v>
      </c>
      <c r="K157" s="419">
        <f>500000*('Rate Design'!$I$5/100)+MIN(5500000,K17-500000)*('Rate Design'!$I$6/100)+MAX(0,K17-6000000)*('Rate Design'!$I$7/100)+'Rate Design'!$I$9+K87*'Rate Design'!$I$10-0.2*K60</f>
        <v>105633.36134599999</v>
      </c>
      <c r="L157" s="419">
        <f>500000*('Rate Design'!$I$5/100)+MIN(5500000,L17-500000)*('Rate Design'!$I$6/100)+MAX(0,L17-6000000)*('Rate Design'!$I$7/100)+'Rate Design'!$I$9+L87*'Rate Design'!$I$10-0.2*L60</f>
        <v>106260.871316</v>
      </c>
      <c r="M157" s="419">
        <f>500000*('Rate Design'!$I$5/100)+MIN(5500000,M17-500000)*('Rate Design'!$I$6/100)+MAX(0,M17-6000000)*('Rate Design'!$I$7/100)+'Rate Design'!$I$9+M87*'Rate Design'!$I$10-0.2*M60</f>
        <v>110195.12710400001</v>
      </c>
      <c r="N157" s="419">
        <f>500000*('Rate Design'!$I$5/100)+MIN(5500000,N17-500000)*('Rate Design'!$I$6/100)+MAX(0,N17-6000000)*('Rate Design'!$I$7/100)+'Rate Design'!$I$9+N87*'Rate Design'!$I$10-0.2*N60</f>
        <v>99625.671590000013</v>
      </c>
      <c r="O157" s="419">
        <f>500000*('Rate Design'!$I$5/100)+MIN(5500000,O17-500000)*('Rate Design'!$I$6/100)+MAX(0,O17-6000000)*('Rate Design'!$I$7/100)+'Rate Design'!$I$9+O87*'Rate Design'!$I$10-0.2*O60</f>
        <v>101268.857516</v>
      </c>
      <c r="P157" s="43">
        <f t="shared" si="68"/>
        <v>1276023.993522</v>
      </c>
      <c r="T157" s="732">
        <f t="shared" si="69"/>
        <v>0</v>
      </c>
    </row>
    <row r="158" spans="2:20">
      <c r="B158" s="625">
        <f t="shared" si="67"/>
        <v>0</v>
      </c>
      <c r="C158" s="325">
        <v>610018682</v>
      </c>
      <c r="D158" s="750">
        <v>0</v>
      </c>
      <c r="E158" s="750">
        <v>0</v>
      </c>
      <c r="F158" s="750">
        <v>0</v>
      </c>
      <c r="G158" s="750">
        <v>0</v>
      </c>
      <c r="H158" s="750">
        <v>0</v>
      </c>
      <c r="I158" s="750">
        <v>0</v>
      </c>
      <c r="J158" s="750">
        <v>0</v>
      </c>
      <c r="K158" s="750">
        <v>0</v>
      </c>
      <c r="L158" s="750">
        <v>0</v>
      </c>
      <c r="M158" s="750">
        <v>0</v>
      </c>
      <c r="N158" s="750">
        <v>0</v>
      </c>
      <c r="O158" s="750">
        <v>0</v>
      </c>
      <c r="P158" s="43">
        <f t="shared" si="68"/>
        <v>0</v>
      </c>
      <c r="T158" s="751">
        <v>0</v>
      </c>
    </row>
    <row r="159" spans="2:20">
      <c r="B159" s="625">
        <f t="shared" si="67"/>
        <v>0</v>
      </c>
      <c r="C159" s="325">
        <v>690067830</v>
      </c>
      <c r="D159" s="419">
        <f>500000*('Rate Design'!$I$5/100)+MIN(5500000,D19-500000)*('Rate Design'!$I$6/100)+MAX(0,D19-6000000)*('Rate Design'!$I$7/100)+'Rate Design'!$I$9+D89*'Rate Design'!$I$10-0.2*D62</f>
        <v>170246.07303199999</v>
      </c>
      <c r="E159" s="419">
        <f>500000*('Rate Design'!$I$5/100)+MIN(5500000,E19-500000)*('Rate Design'!$I$6/100)+MAX(0,E19-6000000)*('Rate Design'!$I$7/100)+'Rate Design'!$I$9+E89*'Rate Design'!$I$10-0.2*E62</f>
        <v>153505.51325600001</v>
      </c>
      <c r="F159" s="419">
        <f>500000*('Rate Design'!$I$5/100)+MIN(5500000,F19-500000)*('Rate Design'!$I$6/100)+MAX(0,F19-6000000)*('Rate Design'!$I$7/100)+'Rate Design'!$I$9+F89*'Rate Design'!$I$10-0.2*F62</f>
        <v>164316.24054800003</v>
      </c>
      <c r="G159" s="419">
        <f>500000*('Rate Design'!$I$5/100)+MIN(5500000,G19-500000)*('Rate Design'!$I$6/100)+MAX(0,G19-6000000)*('Rate Design'!$I$7/100)+'Rate Design'!$I$9+G89*'Rate Design'!$I$10-0.2*G62</f>
        <v>146813.87117600002</v>
      </c>
      <c r="H159" s="419">
        <f>500000*('Rate Design'!$I$5/100)+MIN(5500000,H19-500000)*('Rate Design'!$I$6/100)+MAX(0,H19-6000000)*('Rate Design'!$I$7/100)+'Rate Design'!$I$9+H89*'Rate Design'!$I$10-0.2*H62</f>
        <v>138575.07052400001</v>
      </c>
      <c r="I159" s="419">
        <f>500000*('Rate Design'!$I$5/100)+MIN(5500000,I19-500000)*('Rate Design'!$I$6/100)+MAX(0,I19-6000000)*('Rate Design'!$I$7/100)+'Rate Design'!$I$9+I89*'Rate Design'!$I$10-0.2*I62</f>
        <v>141479.79180800004</v>
      </c>
      <c r="J159" s="419">
        <f>500000*('Rate Design'!$I$5/100)+MIN(5500000,J19-500000)*('Rate Design'!$I$6/100)+MAX(0,J19-6000000)*('Rate Design'!$I$7/100)+'Rate Design'!$I$9+J89*'Rate Design'!$I$10-0.2*J62</f>
        <v>145712.080292</v>
      </c>
      <c r="K159" s="419">
        <f>500000*('Rate Design'!$I$5/100)+MIN(5500000,K19-500000)*('Rate Design'!$I$6/100)+MAX(0,K19-6000000)*('Rate Design'!$I$7/100)+'Rate Design'!$I$9+K89*'Rate Design'!$I$10-0.2*K62</f>
        <v>135558.931988</v>
      </c>
      <c r="L159" s="419">
        <f>500000*('Rate Design'!$I$5/100)+MIN(5500000,L19-500000)*('Rate Design'!$I$6/100)+MAX(0,L19-6000000)*('Rate Design'!$I$7/100)+'Rate Design'!$I$9+L89*'Rate Design'!$I$10-0.2*L62</f>
        <v>128376.03045200001</v>
      </c>
      <c r="M159" s="419">
        <f>500000*('Rate Design'!$I$5/100)+MIN(5500000,M19-500000)*('Rate Design'!$I$6/100)+MAX(0,M19-6000000)*('Rate Design'!$I$7/100)+'Rate Design'!$I$9+M89*'Rate Design'!$I$10-0.2*M62</f>
        <v>151925.81855600001</v>
      </c>
      <c r="N159" s="419">
        <f>500000*('Rate Design'!$I$5/100)+MIN(5500000,N19-500000)*('Rate Design'!$I$6/100)+MAX(0,N19-6000000)*('Rate Design'!$I$7/100)+'Rate Design'!$I$9+N89*'Rate Design'!$I$10-0.2*N62</f>
        <v>149696.16384800003</v>
      </c>
      <c r="O159" s="419">
        <f>500000*('Rate Design'!$I$5/100)+MIN(5500000,O19-500000)*('Rate Design'!$I$6/100)+MAX(0,O19-6000000)*('Rate Design'!$I$7/100)+'Rate Design'!$I$9+O89*'Rate Design'!$I$10-0.2*O62</f>
        <v>148927.34026400003</v>
      </c>
      <c r="P159" s="43">
        <f t="shared" si="68"/>
        <v>1775132.9257440001</v>
      </c>
      <c r="T159" s="732">
        <f t="shared" si="69"/>
        <v>0</v>
      </c>
    </row>
    <row r="160" spans="2:20">
      <c r="B160" s="625">
        <f t="shared" si="67"/>
        <v>0</v>
      </c>
      <c r="C160" s="325">
        <v>1300001</v>
      </c>
      <c r="D160" s="419">
        <f>500000*('Rate Design'!$I$5/100)+MIN(5500000,D20-500000)*('Rate Design'!$I$6/100)+MAX(0,D20-6000000)*('Rate Design'!$I$7/100)+'Rate Design'!$I$9+D90*'Rate Design'!$I$10-0.2*D63</f>
        <v>175604.64965600002</v>
      </c>
      <c r="E160" s="419">
        <f>500000*('Rate Design'!$I$5/100)+MIN(5500000,E20-500000)*('Rate Design'!$I$6/100)+MAX(0,E20-6000000)*('Rate Design'!$I$7/100)+'Rate Design'!$I$9+E90*'Rate Design'!$I$10-0.2*E63</f>
        <v>170221.81032799999</v>
      </c>
      <c r="F160" s="419">
        <f>500000*('Rate Design'!$I$5/100)+MIN(5500000,F20-500000)*('Rate Design'!$I$6/100)+MAX(0,F20-6000000)*('Rate Design'!$I$7/100)+'Rate Design'!$I$9+F90*'Rate Design'!$I$10-0.2*F63</f>
        <v>181699.98411200001</v>
      </c>
      <c r="G160" s="419">
        <f>500000*('Rate Design'!$I$5/100)+MIN(5500000,G20-500000)*('Rate Design'!$I$6/100)+MAX(0,G20-6000000)*('Rate Design'!$I$7/100)+'Rate Design'!$I$9+G90*'Rate Design'!$I$10-0.2*G63</f>
        <v>164646.40481599999</v>
      </c>
      <c r="H160" s="419">
        <f>500000*('Rate Design'!$I$5/100)+MIN(5500000,H20-500000)*('Rate Design'!$I$6/100)+MAX(0,H20-6000000)*('Rate Design'!$I$7/100)+'Rate Design'!$I$9+H90*'Rate Design'!$I$10-0.2*H63</f>
        <v>160500.08388800002</v>
      </c>
      <c r="I160" s="419">
        <f>500000*('Rate Design'!$I$5/100)+MIN(5500000,I20-500000)*('Rate Design'!$I$6/100)+MAX(0,I20-6000000)*('Rate Design'!$I$7/100)+'Rate Design'!$I$9+I90*'Rate Design'!$I$10-0.2*I63</f>
        <v>153106.89539600001</v>
      </c>
      <c r="J160" s="419">
        <f>500000*('Rate Design'!$I$5/100)+MIN(5500000,J20-500000)*('Rate Design'!$I$6/100)+MAX(0,J20-6000000)*('Rate Design'!$I$7/100)+'Rate Design'!$I$9+J90*'Rate Design'!$I$10-0.2*J63</f>
        <v>157250.99588</v>
      </c>
      <c r="K160" s="419">
        <f>500000*('Rate Design'!$I$5/100)+MIN(5500000,K20-500000)*('Rate Design'!$I$6/100)+MAX(0,K20-6000000)*('Rate Design'!$I$7/100)+'Rate Design'!$I$9+K90*'Rate Design'!$I$10-0.2*K63</f>
        <v>163907.57998399998</v>
      </c>
      <c r="L160" s="419">
        <f>500000*('Rate Design'!$I$5/100)+MIN(5500000,L20-500000)*('Rate Design'!$I$6/100)+MAX(0,L20-6000000)*('Rate Design'!$I$7/100)+'Rate Design'!$I$9+L90*'Rate Design'!$I$10-0.2*L63</f>
        <v>165908.76438799998</v>
      </c>
      <c r="M160" s="419">
        <f>500000*('Rate Design'!$I$5/100)+MIN(5500000,M20-500000)*('Rate Design'!$I$6/100)+MAX(0,M20-6000000)*('Rate Design'!$I$7/100)+'Rate Design'!$I$9+M90*'Rate Design'!$I$10-0.2*M63</f>
        <v>173455.67850799998</v>
      </c>
      <c r="N160" s="419">
        <f>500000*('Rate Design'!$I$5/100)+MIN(5500000,N20-500000)*('Rate Design'!$I$6/100)+MAX(0,N20-6000000)*('Rate Design'!$I$7/100)+'Rate Design'!$I$9+N90*'Rate Design'!$I$10-0.2*N63</f>
        <v>169375.923476</v>
      </c>
      <c r="O160" s="419">
        <f>500000*('Rate Design'!$I$5/100)+MIN(5500000,O20-500000)*('Rate Design'!$I$6/100)+MAX(0,O20-6000000)*('Rate Design'!$I$7/100)+'Rate Design'!$I$9+O90*'Rate Design'!$I$10-0.2*O63</f>
        <v>173395.18756399999</v>
      </c>
      <c r="P160" s="43">
        <f t="shared" si="68"/>
        <v>2009073.9579960001</v>
      </c>
      <c r="T160" s="732">
        <f t="shared" si="69"/>
        <v>0</v>
      </c>
    </row>
    <row r="161" spans="1:21">
      <c r="B161" s="625">
        <f t="shared" si="67"/>
        <v>0</v>
      </c>
      <c r="C161" s="325">
        <v>290081951</v>
      </c>
      <c r="D161" s="419">
        <f>500000*('Rate Design'!$I$5/100)+MIN(5500000,D21-500000)*('Rate Design'!$I$6/100)+MAX(0,D21-6000000)*('Rate Design'!$I$7/100)+'Rate Design'!$I$9+D91*'Rate Design'!$I$10-0.2*D64</f>
        <v>271550.18191910005</v>
      </c>
      <c r="E161" s="419">
        <f>500000*('Rate Design'!$I$5/100)+MIN(5500000,E21-500000)*('Rate Design'!$I$6/100)+MAX(0,E21-6000000)*('Rate Design'!$I$7/100)+'Rate Design'!$I$9+E91*'Rate Design'!$I$10-0.2*E64</f>
        <v>252814.30592240003</v>
      </c>
      <c r="F161" s="419">
        <f>500000*('Rate Design'!$I$5/100)+MIN(5500000,F21-500000)*('Rate Design'!$I$6/100)+MAX(0,F21-6000000)*('Rate Design'!$I$7/100)+'Rate Design'!$I$9+F91*'Rate Design'!$I$10-0.2*F64</f>
        <v>257128.99460000003</v>
      </c>
      <c r="G161" s="419">
        <f>500000*('Rate Design'!$I$5/100)+MIN(5500000,G21-500000)*('Rate Design'!$I$6/100)+MAX(0,G21-6000000)*('Rate Design'!$I$7/100)+'Rate Design'!$I$9+G91*'Rate Design'!$I$10-0.2*G64</f>
        <v>241205.43055700001</v>
      </c>
      <c r="H161" s="419">
        <f>500000*('Rate Design'!$I$5/100)+MIN(5500000,H21-500000)*('Rate Design'!$I$6/100)+MAX(0,H21-6000000)*('Rate Design'!$I$7/100)+'Rate Design'!$I$9+H91*'Rate Design'!$I$10-0.2*H64</f>
        <v>272689.96576100006</v>
      </c>
      <c r="I161" s="419">
        <f>500000*('Rate Design'!$I$5/100)+MIN(5500000,I21-500000)*('Rate Design'!$I$6/100)+MAX(0,I21-6000000)*('Rate Design'!$I$7/100)+'Rate Design'!$I$9+I91*'Rate Design'!$I$10-0.2*I64</f>
        <v>292698.76199899998</v>
      </c>
      <c r="J161" s="419">
        <f>500000*('Rate Design'!$I$5/100)+MIN(5500000,J21-500000)*('Rate Design'!$I$6/100)+MAX(0,J21-6000000)*('Rate Design'!$I$7/100)+'Rate Design'!$I$9+J91*'Rate Design'!$I$10-0.2*J64</f>
        <v>330767.56375969999</v>
      </c>
      <c r="K161" s="419">
        <f>500000*('Rate Design'!$I$5/100)+MIN(5500000,K21-500000)*('Rate Design'!$I$6/100)+MAX(0,K21-6000000)*('Rate Design'!$I$7/100)+'Rate Design'!$I$9+K91*'Rate Design'!$I$10-0.2*K64</f>
        <v>357858.19143169996</v>
      </c>
      <c r="L161" s="419">
        <f>500000*('Rate Design'!$I$5/100)+MIN(5500000,L21-500000)*('Rate Design'!$I$6/100)+MAX(0,L21-6000000)*('Rate Design'!$I$7/100)+'Rate Design'!$I$9+L91*'Rate Design'!$I$10-0.2*L64</f>
        <v>305244.86048570002</v>
      </c>
      <c r="M161" s="419">
        <f>500000*('Rate Design'!$I$5/100)+MIN(5500000,M21-500000)*('Rate Design'!$I$6/100)+MAX(0,M21-6000000)*('Rate Design'!$I$7/100)+'Rate Design'!$I$9+M91*'Rate Design'!$I$10-0.2*M64</f>
        <v>263496.13567310001</v>
      </c>
      <c r="N161" s="419">
        <f>500000*('Rate Design'!$I$5/100)+MIN(5500000,N21-500000)*('Rate Design'!$I$6/100)+MAX(0,N21-6000000)*('Rate Design'!$I$7/100)+'Rate Design'!$I$9+N91*'Rate Design'!$I$10-0.2*N64</f>
        <v>272948.06050309999</v>
      </c>
      <c r="O161" s="419">
        <f>500000*('Rate Design'!$I$5/100)+MIN(5500000,O21-500000)*('Rate Design'!$I$6/100)+MAX(0,O21-6000000)*('Rate Design'!$I$7/100)+'Rate Design'!$I$9+O91*'Rate Design'!$I$10-0.2*O64</f>
        <v>277930.51733</v>
      </c>
      <c r="P161" s="43">
        <f t="shared" si="68"/>
        <v>3396332.9699418</v>
      </c>
      <c r="T161" s="732">
        <f t="shared" si="69"/>
        <v>0</v>
      </c>
    </row>
    <row r="162" spans="1:21">
      <c r="B162" s="625">
        <f t="shared" si="67"/>
        <v>0</v>
      </c>
      <c r="C162" s="325">
        <v>500033</v>
      </c>
      <c r="D162" s="419">
        <f>500000*('Rate Design'!$I$5/100)+MIN(5500000,D22-500000)*('Rate Design'!$I$6/100)+MAX(0,D22-6000000)*('Rate Design'!$I$7/100)+'Rate Design'!$I$9+D92*'Rate Design'!$I$10-0.2*D65</f>
        <v>221864.31836600002</v>
      </c>
      <c r="E162" s="419">
        <f>500000*('Rate Design'!$I$5/100)+MIN(5500000,E22-500000)*('Rate Design'!$I$6/100)+MAX(0,E22-6000000)*('Rate Design'!$I$7/100)+'Rate Design'!$I$9+E92*'Rate Design'!$I$10-0.2*E65</f>
        <v>208389.46636399999</v>
      </c>
      <c r="F162" s="419">
        <f>500000*('Rate Design'!$I$5/100)+MIN(5500000,F22-500000)*('Rate Design'!$I$6/100)+MAX(0,F22-6000000)*('Rate Design'!$I$7/100)+'Rate Design'!$I$9+F92*'Rate Design'!$I$10-0.2*F65</f>
        <v>210105.02528600002</v>
      </c>
      <c r="G162" s="419">
        <f>500000*('Rate Design'!$I$5/100)+MIN(5500000,G22-500000)*('Rate Design'!$I$6/100)+MAX(0,G22-6000000)*('Rate Design'!$I$7/100)+'Rate Design'!$I$9+G92*'Rate Design'!$I$10-0.2*G65</f>
        <v>199442.58031400002</v>
      </c>
      <c r="H162" s="419">
        <f>500000*('Rate Design'!$I$5/100)+MIN(5500000,H22-500000)*('Rate Design'!$I$6/100)+MAX(0,H22-6000000)*('Rate Design'!$I$7/100)+'Rate Design'!$I$9+H92*'Rate Design'!$I$10-0.2*H65</f>
        <v>191001.88263200002</v>
      </c>
      <c r="I162" s="419">
        <f>500000*('Rate Design'!$I$5/100)+MIN(5500000,I22-500000)*('Rate Design'!$I$6/100)+MAX(0,I22-6000000)*('Rate Design'!$I$7/100)+'Rate Design'!$I$9+I92*'Rate Design'!$I$10-0.2*I65</f>
        <v>182525.49512600002</v>
      </c>
      <c r="J162" s="419">
        <f>500000*('Rate Design'!$I$5/100)+MIN(5500000,J22-500000)*('Rate Design'!$I$6/100)+MAX(0,J22-6000000)*('Rate Design'!$I$7/100)+'Rate Design'!$I$9+J92*'Rate Design'!$I$10-0.2*J65</f>
        <v>186474.92225</v>
      </c>
      <c r="K162" s="419">
        <f>500000*('Rate Design'!$I$5/100)+MIN(5500000,K22-500000)*('Rate Design'!$I$6/100)+MAX(0,K22-6000000)*('Rate Design'!$I$7/100)+'Rate Design'!$I$9+K92*'Rate Design'!$I$10-0.2*K65</f>
        <v>194118.27812153002</v>
      </c>
      <c r="L162" s="419">
        <f>500000*('Rate Design'!$I$5/100)+MIN(5500000,L22-500000)*('Rate Design'!$I$6/100)+MAX(0,L22-6000000)*('Rate Design'!$I$7/100)+'Rate Design'!$I$9+L92*'Rate Design'!$I$10-0.2*L65</f>
        <v>196578.78463400001</v>
      </c>
      <c r="M162" s="419">
        <f>500000*('Rate Design'!$I$5/100)+MIN(5500000,M22-500000)*('Rate Design'!$I$6/100)+MAX(0,M22-6000000)*('Rate Design'!$I$7/100)+'Rate Design'!$I$9+M92*'Rate Design'!$I$10-0.2*M65</f>
        <v>212614.27752200002</v>
      </c>
      <c r="N162" s="419">
        <f>500000*('Rate Design'!$I$5/100)+MIN(5500000,N22-500000)*('Rate Design'!$I$6/100)+MAX(0,N22-6000000)*('Rate Design'!$I$7/100)+'Rate Design'!$I$9+N92*'Rate Design'!$I$10-0.2*N65</f>
        <v>216680.87282000002</v>
      </c>
      <c r="O162" s="419">
        <f>500000*('Rate Design'!$I$5/100)+MIN(5500000,O22-500000)*('Rate Design'!$I$6/100)+MAX(0,O22-6000000)*('Rate Design'!$I$7/100)+'Rate Design'!$I$9+O92*'Rate Design'!$I$10-0.2*O65</f>
        <v>224890.84932800004</v>
      </c>
      <c r="P162" s="43">
        <f t="shared" si="68"/>
        <v>2444686.7527635302</v>
      </c>
      <c r="T162" s="732">
        <f t="shared" si="69"/>
        <v>0</v>
      </c>
    </row>
    <row r="163" spans="1:21">
      <c r="B163" s="625">
        <f t="shared" si="67"/>
        <v>0</v>
      </c>
      <c r="C163" s="325">
        <v>410031282</v>
      </c>
      <c r="D163" s="419">
        <f>500000*('Rate Design'!$I$5/100)+MIN(5500000,D23-500000)*('Rate Design'!$I$6/100)+MAX(0,D23-6000000)*('Rate Design'!$I$7/100)+'Rate Design'!$I$9+D93*'Rate Design'!$I$10</f>
        <v>204423.40848000001</v>
      </c>
      <c r="E163" s="419">
        <f>500000*('Rate Design'!$I$5/100)+MIN(5500000,E23-500000)*('Rate Design'!$I$6/100)+MAX(0,E23-6000000)*('Rate Design'!$I$7/100)+'Rate Design'!$I$9+E93*'Rate Design'!$I$10</f>
        <v>234864.12192000003</v>
      </c>
      <c r="F163" s="419">
        <f>500000*('Rate Design'!$I$5/100)+MIN(5500000,F23-500000)*('Rate Design'!$I$6/100)+MAX(0,F23-6000000)*('Rate Design'!$I$7/100)+'Rate Design'!$I$9+F93*'Rate Design'!$I$10</f>
        <v>206735.02808000002</v>
      </c>
      <c r="G163" s="419">
        <f>500000*('Rate Design'!$I$5/100)+MIN(5500000,G23-500000)*('Rate Design'!$I$6/100)+MAX(0,G23-6000000)*('Rate Design'!$I$7/100)+'Rate Design'!$I$9+G93*'Rate Design'!$I$10</f>
        <v>185182.80186000004</v>
      </c>
      <c r="H163" s="419">
        <f>500000*('Rate Design'!$I$5/100)+MIN(5500000,H23-500000)*('Rate Design'!$I$6/100)+MAX(0,H23-6000000)*('Rate Design'!$I$7/100)+'Rate Design'!$I$9+H93*'Rate Design'!$I$10</f>
        <v>179162.90646</v>
      </c>
      <c r="I163" s="419">
        <f>500000*('Rate Design'!$I$5/100)+MIN(5500000,I23-500000)*('Rate Design'!$I$6/100)+MAX(0,I23-6000000)*('Rate Design'!$I$7/100)+'Rate Design'!$I$9+I93*'Rate Design'!$I$10</f>
        <v>174039.97834000003</v>
      </c>
      <c r="J163" s="419">
        <f>500000*('Rate Design'!$I$5/100)+MIN(5500000,J23-500000)*('Rate Design'!$I$6/100)+MAX(0,J23-6000000)*('Rate Design'!$I$7/100)+'Rate Design'!$I$9+J93*'Rate Design'!$I$10</f>
        <v>172954.74914</v>
      </c>
      <c r="K163" s="419">
        <f>500000*('Rate Design'!$I$5/100)+MIN(5500000,K23-500000)*('Rate Design'!$I$6/100)+MAX(0,K23-6000000)*('Rate Design'!$I$7/100)+'Rate Design'!$I$9+K93*'Rate Design'!$I$10</f>
        <v>177232.20544000002</v>
      </c>
      <c r="L163" s="419">
        <f>500000*('Rate Design'!$I$5/100)+MIN(5500000,L23-500000)*('Rate Design'!$I$6/100)+MAX(0,L23-6000000)*('Rate Design'!$I$7/100)+'Rate Design'!$I$9+L93*'Rate Design'!$I$10</f>
        <v>170339.97864000002</v>
      </c>
      <c r="M163" s="419">
        <f>500000*('Rate Design'!$I$5/100)+MIN(5500000,M23-500000)*('Rate Design'!$I$6/100)+MAX(0,M23-6000000)*('Rate Design'!$I$7/100)+'Rate Design'!$I$9+M93*'Rate Design'!$I$10</f>
        <v>178039.10664000001</v>
      </c>
      <c r="N163" s="419">
        <f>500000*('Rate Design'!$I$5/100)+MIN(5500000,N23-500000)*('Rate Design'!$I$6/100)+MAX(0,N23-6000000)*('Rate Design'!$I$7/100)+'Rate Design'!$I$9+N93*'Rate Design'!$I$10</f>
        <v>178365.01176000002</v>
      </c>
      <c r="O163" s="419">
        <f>500000*('Rate Design'!$I$5/100)+MIN(5500000,O23-500000)*('Rate Design'!$I$6/100)+MAX(0,O23-6000000)*('Rate Design'!$I$7/100)+'Rate Design'!$I$9+O93*'Rate Design'!$I$10</f>
        <v>178419.11000000002</v>
      </c>
      <c r="P163" s="43">
        <f t="shared" si="68"/>
        <v>2239758.4067600002</v>
      </c>
      <c r="T163" s="732">
        <f t="shared" si="69"/>
        <v>0</v>
      </c>
    </row>
    <row r="164" spans="1:21">
      <c r="B164" s="625">
        <f t="shared" si="67"/>
        <v>0</v>
      </c>
      <c r="C164" s="325">
        <v>500032</v>
      </c>
      <c r="D164" s="419">
        <f>500000*('Rate Design'!$I$5/100)+MIN(5500000,D24-500000)*('Rate Design'!$I$6/100)+MAX(0,D24-6000000)*('Rate Design'!$I$7/100)+'Rate Design'!$I$9+D94*'Rate Design'!$I$10</f>
        <v>161266.48097199999</v>
      </c>
      <c r="E164" s="419">
        <f>500000*('Rate Design'!$I$5/100)+MIN(5500000,E24-500000)*('Rate Design'!$I$6/100)+MAX(0,E24-6000000)*('Rate Design'!$I$7/100)+'Rate Design'!$I$9+E94*'Rate Design'!$I$10</f>
        <v>152987.00008800003</v>
      </c>
      <c r="F164" s="419">
        <f>500000*('Rate Design'!$I$5/100)+MIN(5500000,F24-500000)*('Rate Design'!$I$6/100)+MAX(0,F24-6000000)*('Rate Design'!$I$7/100)+'Rate Design'!$I$9+F94*'Rate Design'!$I$10</f>
        <v>156346.98808399998</v>
      </c>
      <c r="G164" s="419">
        <f>500000*('Rate Design'!$I$5/100)+MIN(5500000,G24-500000)*('Rate Design'!$I$6/100)+MAX(0,G24-6000000)*('Rate Design'!$I$7/100)+'Rate Design'!$I$9+G94*'Rate Design'!$I$10</f>
        <v>160564.58096800002</v>
      </c>
      <c r="H164" s="419">
        <f>500000*('Rate Design'!$I$5/100)+MIN(5500000,H24-500000)*('Rate Design'!$I$6/100)+MAX(0,H24-6000000)*('Rate Design'!$I$7/100)+'Rate Design'!$I$9+H94*'Rate Design'!$I$10</f>
        <v>164067.019852</v>
      </c>
      <c r="I164" s="419">
        <f>500000*('Rate Design'!$I$5/100)+MIN(5500000,I24-500000)*('Rate Design'!$I$6/100)+MAX(0,I24-6000000)*('Rate Design'!$I$7/100)+'Rate Design'!$I$9+I94*'Rate Design'!$I$10</f>
        <v>190108.31215600003</v>
      </c>
      <c r="J164" s="419">
        <f>500000*('Rate Design'!$I$5/100)+MIN(5500000,J24-500000)*('Rate Design'!$I$6/100)+MAX(0,J24-6000000)*('Rate Design'!$I$7/100)+'Rate Design'!$I$9+J94*'Rate Design'!$I$10</f>
        <v>210736.98584000001</v>
      </c>
      <c r="K164" s="419">
        <f>500000*('Rate Design'!$I$5/100)+MIN(5500000,K24-500000)*('Rate Design'!$I$6/100)+MAX(0,K24-6000000)*('Rate Design'!$I$7/100)+'Rate Design'!$I$9+K94*'Rate Design'!$I$10</f>
        <v>246808.08200400003</v>
      </c>
      <c r="L164" s="419">
        <f>500000*('Rate Design'!$I$5/100)+MIN(5500000,L24-500000)*('Rate Design'!$I$6/100)+MAX(0,L24-6000000)*('Rate Design'!$I$7/100)+'Rate Design'!$I$9+L94*'Rate Design'!$I$10</f>
        <v>238496.913012</v>
      </c>
      <c r="M164" s="419">
        <f>500000*('Rate Design'!$I$5/100)+MIN(5500000,M24-500000)*('Rate Design'!$I$6/100)+MAX(0,M24-6000000)*('Rate Design'!$I$7/100)+'Rate Design'!$I$9+M94*'Rate Design'!$I$10</f>
        <v>206085.62318</v>
      </c>
      <c r="N164" s="419">
        <f>500000*('Rate Design'!$I$5/100)+MIN(5500000,N24-500000)*('Rate Design'!$I$6/100)+MAX(0,N24-6000000)*('Rate Design'!$I$7/100)+'Rate Design'!$I$9+N94*'Rate Design'!$I$10</f>
        <v>153405.05895199999</v>
      </c>
      <c r="O164" s="419">
        <f>500000*('Rate Design'!$I$5/100)+MIN(5500000,O24-500000)*('Rate Design'!$I$6/100)+MAX(0,O24-6000000)*('Rate Design'!$I$7/100)+'Rate Design'!$I$9+O94*'Rate Design'!$I$10</f>
        <v>146867.55421199999</v>
      </c>
      <c r="P164" s="43">
        <f t="shared" si="68"/>
        <v>2187740.59932</v>
      </c>
      <c r="T164" s="732">
        <f t="shared" si="69"/>
        <v>0</v>
      </c>
    </row>
    <row r="165" spans="1:21" s="722" customFormat="1">
      <c r="B165" s="625">
        <f t="shared" si="67"/>
        <v>0</v>
      </c>
      <c r="C165" s="325"/>
      <c r="D165" s="419">
        <f>500000*('Rate Design'!$I$5/100)+MIN(5500000,D25-500000)*('Rate Design'!$I$6/100)+MAX(0,D25-6000000)*('Rate Design'!$I$7/100)+'Rate Design'!$I$9+D95*'Rate Design'!$I$10</f>
        <v>70862.723671999993</v>
      </c>
      <c r="E165" s="419">
        <f>500000*('Rate Design'!$I$5/100)+MIN(5500000,E25-500000)*('Rate Design'!$I$6/100)+MAX(0,E25-6000000)*('Rate Design'!$I$7/100)+'Rate Design'!$I$9+E95*'Rate Design'!$I$10</f>
        <v>68863.732495999997</v>
      </c>
      <c r="F165" s="419">
        <f>500000*('Rate Design'!$I$5/100)+MIN(5500000,F25-500000)*('Rate Design'!$I$6/100)+MAX(0,F25-6000000)*('Rate Design'!$I$7/100)+'Rate Design'!$I$9+F95*'Rate Design'!$I$10</f>
        <v>68012.490103999997</v>
      </c>
      <c r="G165" s="419">
        <f>500000*('Rate Design'!$I$5/100)+MIN(5500000,G25-500000)*('Rate Design'!$I$6/100)+MAX(0,G25-6000000)*('Rate Design'!$I$7/100)+'Rate Design'!$I$9+G95*'Rate Design'!$I$10</f>
        <v>71064.370208000008</v>
      </c>
      <c r="H165" s="419">
        <f>500000*('Rate Design'!$I$5/100)+MIN(5500000,H25-500000)*('Rate Design'!$I$6/100)+MAX(0,H25-6000000)*('Rate Design'!$I$7/100)+'Rate Design'!$I$9+H95*'Rate Design'!$I$10</f>
        <v>73564.565360000008</v>
      </c>
      <c r="I165" s="419">
        <f>500000*('Rate Design'!$I$5/100)+MIN(5500000,I25-500000)*('Rate Design'!$I$6/100)+MAX(0,I25-6000000)*('Rate Design'!$I$7/100)+'Rate Design'!$I$9+I95*'Rate Design'!$I$10</f>
        <v>71637.967231999995</v>
      </c>
      <c r="J165" s="419">
        <f>500000*('Rate Design'!$I$5/100)+MIN(5500000,J25-500000)*('Rate Design'!$I$6/100)+MAX(0,J25-6000000)*('Rate Design'!$I$7/100)+'Rate Design'!$I$9+J95*'Rate Design'!$I$10</f>
        <v>71366.701327999996</v>
      </c>
      <c r="K165" s="419">
        <f>500000*('Rate Design'!$I$5/100)+MIN(5500000,K25-500000)*('Rate Design'!$I$6/100)+MAX(0,K25-6000000)*('Rate Design'!$I$7/100)+'Rate Design'!$I$9+K95*'Rate Design'!$I$10</f>
        <v>72998.73464000001</v>
      </c>
      <c r="L165" s="419">
        <f>500000*('Rate Design'!$I$5/100)+MIN(5500000,L25-500000)*('Rate Design'!$I$6/100)+MAX(0,L25-6000000)*('Rate Design'!$I$7/100)+'Rate Design'!$I$9+L95*'Rate Design'!$I$10</f>
        <v>72209.62268</v>
      </c>
      <c r="M165" s="419">
        <f>500000*('Rate Design'!$I$5/100)+MIN(5500000,M25-500000)*('Rate Design'!$I$6/100)+MAX(0,M25-6000000)*('Rate Design'!$I$7/100)+'Rate Design'!$I$9+M95*'Rate Design'!$I$10</f>
        <v>189428.981604</v>
      </c>
      <c r="N165" s="419">
        <f>500000*('Rate Design'!$I$5/100)+MIN(5500000,N25-500000)*('Rate Design'!$I$6/100)+MAX(0,N25-6000000)*('Rate Design'!$I$7/100)+'Rate Design'!$I$9+N95*'Rate Design'!$I$10</f>
        <v>205659.53908399999</v>
      </c>
      <c r="O165" s="419">
        <f>500000*('Rate Design'!$I$5/100)+MIN(5500000,O25-500000)*('Rate Design'!$I$6/100)+MAX(0,O25-6000000)*('Rate Design'!$I$7/100)+'Rate Design'!$I$9+O95*'Rate Design'!$I$10</f>
        <v>200233.82457200001</v>
      </c>
      <c r="P165" s="528">
        <f>SUM(D165:O165)</f>
        <v>1235903.2529799999</v>
      </c>
      <c r="T165" s="732">
        <f t="shared" si="69"/>
        <v>0</v>
      </c>
    </row>
    <row r="166" spans="1:21" s="722" customFormat="1">
      <c r="B166" s="625">
        <f t="shared" si="67"/>
        <v>0</v>
      </c>
      <c r="C166" s="325"/>
      <c r="D166" s="419">
        <f>500000*('Rate Design'!$I$5/100)+MIN(5500000,D26-500000)*('Rate Design'!$I$6/100)+MAX(0,D26-6000000)*('Rate Design'!$I$7/100)+'Rate Design'!$I$9+D96*'Rate Design'!$I$10-0.2*D69</f>
        <v>83373.160766000001</v>
      </c>
      <c r="E166" s="419">
        <f>500000*('Rate Design'!$I$5/100)+MIN(5500000,E26-500000)*('Rate Design'!$I$6/100)+MAX(0,E26-6000000)*('Rate Design'!$I$7/100)+'Rate Design'!$I$9+E96*'Rate Design'!$I$10-0.2*E69</f>
        <v>82090.854985999991</v>
      </c>
      <c r="F166" s="419">
        <f>500000*('Rate Design'!$I$5/100)+MIN(5500000,F26-500000)*('Rate Design'!$I$6/100)+MAX(0,F26-6000000)*('Rate Design'!$I$7/100)+'Rate Design'!$I$9+F96*'Rate Design'!$I$10-0.2*F69</f>
        <v>80496.200263999999</v>
      </c>
      <c r="G166" s="419">
        <f>500000*('Rate Design'!$I$5/100)+MIN(5500000,G26-500000)*('Rate Design'!$I$6/100)+MAX(0,G26-6000000)*('Rate Design'!$I$7/100)+'Rate Design'!$I$9+G96*'Rate Design'!$I$10-0.2*G69</f>
        <v>77056.116421999992</v>
      </c>
      <c r="H166" s="419">
        <f>500000*('Rate Design'!$I$5/100)+MIN(5500000,H26-500000)*('Rate Design'!$I$6/100)+MAX(0,H26-6000000)*('Rate Design'!$I$7/100)+'Rate Design'!$I$9+H96*'Rate Design'!$I$10-0.2*H69</f>
        <v>79155.508532000007</v>
      </c>
      <c r="I166" s="419">
        <f>500000*('Rate Design'!$I$5/100)+MIN(5500000,I26-500000)*('Rate Design'!$I$6/100)+MAX(0,I26-6000000)*('Rate Design'!$I$7/100)+'Rate Design'!$I$9+I96*'Rate Design'!$I$10-0.2*I69</f>
        <v>77349.899552000003</v>
      </c>
      <c r="J166" s="419">
        <f>500000*('Rate Design'!$I$5/100)+MIN(5500000,J26-500000)*('Rate Design'!$I$6/100)+MAX(0,J26-6000000)*('Rate Design'!$I$7/100)+'Rate Design'!$I$9+J96*'Rate Design'!$I$10-0.2*J69</f>
        <v>79659.952430000005</v>
      </c>
      <c r="K166" s="419">
        <f>500000*('Rate Design'!$I$5/100)+MIN(5500000,K26-500000)*('Rate Design'!$I$6/100)+MAX(0,K26-6000000)*('Rate Design'!$I$7/100)+'Rate Design'!$I$9+K96*'Rate Design'!$I$10-0.2*K69</f>
        <v>80503.476080000008</v>
      </c>
      <c r="L166" s="419">
        <f>500000*('Rate Design'!$I$5/100)+MIN(5500000,L26-500000)*('Rate Design'!$I$6/100)+MAX(0,L26-6000000)*('Rate Design'!$I$7/100)+'Rate Design'!$I$9+L96*'Rate Design'!$I$10-0.2*L69</f>
        <v>75664.674589999995</v>
      </c>
      <c r="M166" s="419">
        <f>500000*('Rate Design'!$I$5/100)+MIN(5500000,M26-500000)*('Rate Design'!$I$6/100)+MAX(0,M26-6000000)*('Rate Design'!$I$7/100)+'Rate Design'!$I$9+M96*'Rate Design'!$I$10-0.2*M69</f>
        <v>79916.223289999994</v>
      </c>
      <c r="N166" s="419">
        <f>500000*('Rate Design'!$I$5/100)+MIN(5500000,N26-500000)*('Rate Design'!$I$6/100)+MAX(0,N26-6000000)*('Rate Design'!$I$7/100)+'Rate Design'!$I$9+N96*'Rate Design'!$I$10-0.2*N69</f>
        <v>79918.116007999997</v>
      </c>
      <c r="O166" s="419">
        <f>500000*('Rate Design'!$I$5/100)+MIN(5500000,O26-500000)*('Rate Design'!$I$6/100)+MAX(0,O26-6000000)*('Rate Design'!$I$7/100)+'Rate Design'!$I$9+O96*'Rate Design'!$I$10-0.2*O69</f>
        <v>79142.150389999995</v>
      </c>
      <c r="P166" s="528">
        <f>SUM(D166:O166)</f>
        <v>954326.3333099999</v>
      </c>
      <c r="T166" s="732">
        <f t="shared" si="69"/>
        <v>0</v>
      </c>
    </row>
    <row r="167" spans="1:21">
      <c r="B167" t="s">
        <v>365</v>
      </c>
      <c r="P167" s="43">
        <f>SUM(P144:P166)</f>
        <v>43738714.21728196</v>
      </c>
      <c r="Q167" s="528">
        <f ca="1">P167-'Pres &amp; Prop Rev'!I152</f>
        <v>-2.4180412292480469E-3</v>
      </c>
      <c r="T167">
        <f>SUM(T144:T164)</f>
        <v>0</v>
      </c>
    </row>
    <row r="168" spans="1:21" s="540" customFormat="1">
      <c r="P168" s="528"/>
    </row>
    <row r="169" spans="1:21" s="751" customFormat="1">
      <c r="B169" s="820"/>
      <c r="C169" s="821"/>
      <c r="D169" s="750" t="e">
        <f>500000*('Rate Design'!$I$15/100)+MIN(5500000,#REF!-500000)*('Rate Design'!$I$16/100)+MAX(0,#REF!-6000000)*('Rate Design'!$I$17/100)+'Rate Design'!$I$31+#REF!*'Rate Design'!$I$32</f>
        <v>#REF!</v>
      </c>
      <c r="E169" s="750" t="e">
        <f>500000*('Rate Design'!$I$15/100)+MIN(5500000,#REF!-500000)*('Rate Design'!$I$16/100)+MAX(0,#REF!-6000000)*('Rate Design'!$I$17/100)+'Rate Design'!$I$31+#REF!*'Rate Design'!$I$32</f>
        <v>#REF!</v>
      </c>
      <c r="F169" s="750" t="e">
        <f>500000*('Rate Design'!$I$15/100)+MIN(5500000,#REF!-500000)*('Rate Design'!$I$16/100)+MAX(0,#REF!-6000000)*('Rate Design'!$I$17/100)+'Rate Design'!$I$31+#REF!*'Rate Design'!$I$32</f>
        <v>#REF!</v>
      </c>
      <c r="G169" s="822" t="e">
        <f>500000*('Rate Design'!$I$27/100)+MIN(5500000,#REF!-500000)*('Rate Design'!$I$28/100)+MAX(0,#REF!-6000000)*('Rate Design'!$I$29/100)+'Rate Design'!$I$31+#REF!*'Rate Design'!$I$32</f>
        <v>#REF!</v>
      </c>
      <c r="H169" s="822" t="e">
        <f>500000*('Rate Design'!$I$27/100)+MIN(5500000,#REF!-500000)*('Rate Design'!$I$28/100)+MAX(0,#REF!-6000000)*('Rate Design'!$I$29/100)+'Rate Design'!$I$31+#REF!*'Rate Design'!$I$32</f>
        <v>#REF!</v>
      </c>
      <c r="I169" s="822" t="e">
        <f>500000*('Rate Design'!$I$27/100)+MIN(5500000,#REF!-500000)*('Rate Design'!$I$28/100)+MAX(0,#REF!-6000000)*('Rate Design'!$I$29/100)+'Rate Design'!$I$31+#REF!*'Rate Design'!$I$32</f>
        <v>#REF!</v>
      </c>
      <c r="J169" s="822" t="e">
        <f>500000*('Rate Design'!$I$27/100)+MIN(5500000,#REF!-500000)*('Rate Design'!$I$28/100)+MAX(0,#REF!-6000000)*('Rate Design'!$I$29/100)+'Rate Design'!$I$31+#REF!*'Rate Design'!$I$32</f>
        <v>#REF!</v>
      </c>
      <c r="K169" s="822" t="e">
        <f>500000*('Rate Design'!$I$27/100)+MIN(5500000,#REF!-500000)*('Rate Design'!$I$28/100)+MAX(0,#REF!-6000000)*('Rate Design'!$I$29/100)+'Rate Design'!$I$31+#REF!*'Rate Design'!$I$32</f>
        <v>#REF!</v>
      </c>
      <c r="L169" s="822" t="e">
        <f>500000*('Rate Design'!$I$27/100)+MIN(5500000,#REF!-500000)*('Rate Design'!$I$28/100)+MAX(0,#REF!-6000000)*('Rate Design'!$I$29/100)+'Rate Design'!$I$31+#REF!*'Rate Design'!$I$32</f>
        <v>#REF!</v>
      </c>
      <c r="M169" s="822" t="e">
        <f>500000*('Rate Design'!$I$27/100)+MIN(5500000,#REF!-500000)*('Rate Design'!$I$28/100)+MAX(0,#REF!-6000000)*('Rate Design'!$I$29/100)+'Rate Design'!$I$31+#REF!*'Rate Design'!$I$32</f>
        <v>#REF!</v>
      </c>
      <c r="N169" s="822" t="e">
        <f>500000*('Rate Design'!$I$27/100)+MIN(5500000,#REF!-500000)*('Rate Design'!$I$28/100)+MAX(0,#REF!-6000000)*('Rate Design'!$I$29/100)+'Rate Design'!$I$31+#REF!*'Rate Design'!$I$32</f>
        <v>#REF!</v>
      </c>
      <c r="O169" s="822" t="e">
        <f>500000*('Rate Design'!$I$27/100)+MIN(5500000,#REF!-500000)*('Rate Design'!$I$28/100)+MAX(0,#REF!-6000000)*('Rate Design'!$I$29/100)+'Rate Design'!$I$31+#REF!*'Rate Design'!$I$32</f>
        <v>#REF!</v>
      </c>
      <c r="P169" s="823" t="e">
        <f>SUM(D169:O169)</f>
        <v>#REF!</v>
      </c>
      <c r="U169" s="751" t="e">
        <f>IF(P169&lt;RD!M67,RD!M67-P169,0)</f>
        <v>#REF!</v>
      </c>
    </row>
    <row r="170" spans="1:21" s="540" customFormat="1">
      <c r="P170" s="528"/>
    </row>
    <row r="171" spans="1:21">
      <c r="A171" s="526"/>
      <c r="B171" s="526"/>
      <c r="C171" s="526"/>
      <c r="D171" s="526">
        <v>24</v>
      </c>
      <c r="E171" s="526">
        <v>24</v>
      </c>
      <c r="F171" s="526">
        <v>24</v>
      </c>
      <c r="G171" s="526">
        <v>24</v>
      </c>
      <c r="H171" s="526">
        <v>24</v>
      </c>
      <c r="I171" s="526">
        <v>24</v>
      </c>
      <c r="J171" s="526">
        <v>24</v>
      </c>
      <c r="K171" s="526">
        <v>24</v>
      </c>
      <c r="L171" s="526">
        <v>24</v>
      </c>
      <c r="M171" s="526">
        <v>24</v>
      </c>
      <c r="N171" s="526">
        <v>24</v>
      </c>
      <c r="O171" s="526">
        <v>24</v>
      </c>
      <c r="P171" s="584"/>
    </row>
    <row r="172" spans="1:21">
      <c r="A172" s="526"/>
      <c r="B172" s="526"/>
      <c r="C172" s="526"/>
      <c r="D172" s="526">
        <v>31</v>
      </c>
      <c r="E172" s="526">
        <v>30</v>
      </c>
      <c r="F172" s="526">
        <v>31</v>
      </c>
      <c r="G172" s="526">
        <v>31</v>
      </c>
      <c r="H172" s="526">
        <v>28</v>
      </c>
      <c r="I172" s="526">
        <v>31</v>
      </c>
      <c r="J172" s="526">
        <v>30</v>
      </c>
      <c r="K172" s="526">
        <v>31</v>
      </c>
      <c r="L172" s="526">
        <v>30</v>
      </c>
      <c r="M172" s="526">
        <v>31</v>
      </c>
      <c r="N172" s="526">
        <v>31</v>
      </c>
      <c r="O172" s="526">
        <v>30</v>
      </c>
      <c r="P172" s="584">
        <f>SUM(D172:O172)</f>
        <v>365</v>
      </c>
    </row>
    <row r="173" spans="1:21">
      <c r="A173" s="526"/>
      <c r="B173" s="526"/>
      <c r="C173" s="526"/>
      <c r="D173" s="526">
        <f>D171*D172</f>
        <v>744</v>
      </c>
      <c r="E173" s="584">
        <f>E171*E172</f>
        <v>720</v>
      </c>
      <c r="F173" s="584">
        <f t="shared" ref="F173:O173" si="70">F171*F172</f>
        <v>744</v>
      </c>
      <c r="G173" s="584">
        <f t="shared" si="70"/>
        <v>744</v>
      </c>
      <c r="H173" s="584">
        <f t="shared" si="70"/>
        <v>672</v>
      </c>
      <c r="I173" s="584">
        <f t="shared" si="70"/>
        <v>744</v>
      </c>
      <c r="J173" s="584">
        <f t="shared" si="70"/>
        <v>720</v>
      </c>
      <c r="K173" s="584">
        <f t="shared" si="70"/>
        <v>744</v>
      </c>
      <c r="L173" s="584">
        <f t="shared" si="70"/>
        <v>720</v>
      </c>
      <c r="M173" s="584">
        <f t="shared" si="70"/>
        <v>744</v>
      </c>
      <c r="N173" s="584">
        <f t="shared" si="70"/>
        <v>744</v>
      </c>
      <c r="O173" s="584">
        <f t="shared" si="70"/>
        <v>720</v>
      </c>
      <c r="P173" s="526">
        <f>SUM(D173:O173)</f>
        <v>8760</v>
      </c>
    </row>
    <row r="174" spans="1:21">
      <c r="A174" s="526"/>
      <c r="B174" s="529" t="s">
        <v>561</v>
      </c>
      <c r="C174" s="526"/>
      <c r="D174" s="530">
        <f t="shared" ref="D174:O174" si="71">D3</f>
        <v>43466</v>
      </c>
      <c r="E174" s="553">
        <f t="shared" si="71"/>
        <v>43497</v>
      </c>
      <c r="F174" s="553">
        <f t="shared" si="71"/>
        <v>43525</v>
      </c>
      <c r="G174" s="553">
        <f t="shared" si="71"/>
        <v>43556</v>
      </c>
      <c r="H174" s="553">
        <f t="shared" si="71"/>
        <v>43586</v>
      </c>
      <c r="I174" s="553">
        <f t="shared" si="71"/>
        <v>43617</v>
      </c>
      <c r="J174" s="553">
        <f t="shared" si="71"/>
        <v>43647</v>
      </c>
      <c r="K174" s="553">
        <f t="shared" si="71"/>
        <v>43678</v>
      </c>
      <c r="L174" s="553">
        <f t="shared" si="71"/>
        <v>43709</v>
      </c>
      <c r="M174" s="553">
        <f t="shared" si="71"/>
        <v>43739</v>
      </c>
      <c r="N174" s="553">
        <f t="shared" si="71"/>
        <v>43770</v>
      </c>
      <c r="O174" s="553">
        <f t="shared" si="71"/>
        <v>43800</v>
      </c>
      <c r="P174" s="527" t="s">
        <v>562</v>
      </c>
      <c r="Q174" s="526" t="s">
        <v>563</v>
      </c>
    </row>
    <row r="175" spans="1:21">
      <c r="A175" s="526">
        <v>1</v>
      </c>
      <c r="B175" s="624" t="s">
        <v>75</v>
      </c>
      <c r="C175" s="526"/>
      <c r="D175" s="531">
        <f t="shared" ref="D175:O175" si="72">(D4/D$173)/D47</f>
        <v>0.76927986311952845</v>
      </c>
      <c r="E175" s="531">
        <f t="shared" si="72"/>
        <v>0.61869558759467658</v>
      </c>
      <c r="F175" s="531">
        <f t="shared" si="72"/>
        <v>0.71177283823959481</v>
      </c>
      <c r="G175" s="531">
        <f t="shared" si="72"/>
        <v>0.62136563890125085</v>
      </c>
      <c r="H175" s="531">
        <f t="shared" si="72"/>
        <v>0.49535230008870867</v>
      </c>
      <c r="I175" s="531">
        <f t="shared" si="72"/>
        <v>0.76330777753211332</v>
      </c>
      <c r="J175" s="531">
        <f t="shared" si="72"/>
        <v>0.82148898925921121</v>
      </c>
      <c r="K175" s="531">
        <f t="shared" si="72"/>
        <v>0.79878847802172115</v>
      </c>
      <c r="L175" s="531">
        <f t="shared" si="72"/>
        <v>0.83058074333072562</v>
      </c>
      <c r="M175" s="531">
        <f t="shared" si="72"/>
        <v>0.5848321622906848</v>
      </c>
      <c r="N175" s="531">
        <f t="shared" si="72"/>
        <v>0.71744742876267553</v>
      </c>
      <c r="O175" s="531">
        <f t="shared" si="72"/>
        <v>0.69149436487970461</v>
      </c>
      <c r="P175" s="532">
        <f>AVERAGE(D175:O175)</f>
        <v>0.70203384766838284</v>
      </c>
      <c r="Q175" s="532">
        <f t="shared" ref="Q175:Q188" si="73">(P4/8760)/Q47</f>
        <v>0.40112624925569795</v>
      </c>
    </row>
    <row r="176" spans="1:21">
      <c r="A176" s="526">
        <v>2</v>
      </c>
      <c r="B176" s="624" t="s">
        <v>76</v>
      </c>
      <c r="C176" s="526"/>
      <c r="D176" s="531">
        <f t="shared" ref="D176:O176" si="74">(D5/D$173)/D48</f>
        <v>0.60985842013790637</v>
      </c>
      <c r="E176" s="531">
        <f t="shared" si="74"/>
        <v>0.74755764114124479</v>
      </c>
      <c r="F176" s="531">
        <f t="shared" si="74"/>
        <v>0.78201743236280186</v>
      </c>
      <c r="G176" s="531">
        <f t="shared" si="74"/>
        <v>0.78890777810245505</v>
      </c>
      <c r="H176" s="531">
        <f t="shared" si="74"/>
        <v>0.87723634516988358</v>
      </c>
      <c r="I176" s="531">
        <f t="shared" si="74"/>
        <v>0.76252561879734815</v>
      </c>
      <c r="J176" s="531">
        <f t="shared" si="74"/>
        <v>0.78027322424778711</v>
      </c>
      <c r="K176" s="531">
        <f t="shared" si="74"/>
        <v>0.79247988949137427</v>
      </c>
      <c r="L176" s="531">
        <f t="shared" si="74"/>
        <v>0.76573345974201967</v>
      </c>
      <c r="M176" s="531">
        <f t="shared" si="74"/>
        <v>0.78685189106284981</v>
      </c>
      <c r="N176" s="531">
        <f t="shared" si="74"/>
        <v>0.74794944864951485</v>
      </c>
      <c r="O176" s="531">
        <f t="shared" si="74"/>
        <v>0.56569096923265438</v>
      </c>
      <c r="P176" s="532">
        <f t="shared" ref="P176:P195" si="75">AVERAGE(D176:O176)</f>
        <v>0.75059017651148663</v>
      </c>
      <c r="Q176" s="532">
        <f t="shared" si="73"/>
        <v>0.70394782206681572</v>
      </c>
    </row>
    <row r="177" spans="1:17">
      <c r="A177" s="526">
        <v>3</v>
      </c>
      <c r="B177" s="624" t="s">
        <v>77</v>
      </c>
      <c r="C177" s="526"/>
      <c r="D177" s="531">
        <f t="shared" ref="D177:O177" si="76">(D6/D$173)/D49</f>
        <v>0.65319099621036403</v>
      </c>
      <c r="E177" s="531">
        <f t="shared" si="76"/>
        <v>0.63274704252172642</v>
      </c>
      <c r="F177" s="531">
        <f t="shared" si="76"/>
        <v>0.65803031431716674</v>
      </c>
      <c r="G177" s="531">
        <f t="shared" si="76"/>
        <v>0.61668696118693422</v>
      </c>
      <c r="H177" s="531">
        <f t="shared" si="76"/>
        <v>0.72249171059316442</v>
      </c>
      <c r="I177" s="531">
        <f t="shared" si="76"/>
        <v>0.64133291831184669</v>
      </c>
      <c r="J177" s="531">
        <f t="shared" si="76"/>
        <v>0.6700715582119996</v>
      </c>
      <c r="K177" s="531">
        <f t="shared" si="76"/>
        <v>0.58780647295722699</v>
      </c>
      <c r="L177" s="531">
        <f t="shared" si="76"/>
        <v>0.64317714719338903</v>
      </c>
      <c r="M177" s="531">
        <f t="shared" si="76"/>
        <v>0.66361729491790034</v>
      </c>
      <c r="N177" s="531">
        <f t="shared" si="76"/>
        <v>0.60495418057535333</v>
      </c>
      <c r="O177" s="531">
        <f t="shared" si="76"/>
        <v>0.62084170240476244</v>
      </c>
      <c r="P177" s="532">
        <f t="shared" si="75"/>
        <v>0.64291235828348614</v>
      </c>
      <c r="Q177" s="532">
        <f t="shared" si="73"/>
        <v>0.57091383284551012</v>
      </c>
    </row>
    <row r="178" spans="1:17">
      <c r="A178" s="526">
        <v>4</v>
      </c>
      <c r="B178" s="624" t="s">
        <v>78</v>
      </c>
      <c r="C178" s="526"/>
      <c r="D178" s="531">
        <f t="shared" ref="D178:O178" si="77">(D7/D$173)/D50</f>
        <v>0.65507532789535461</v>
      </c>
      <c r="E178" s="531">
        <f t="shared" si="77"/>
        <v>0.64393307443996983</v>
      </c>
      <c r="F178" s="531">
        <f t="shared" si="77"/>
        <v>0.6991014160563116</v>
      </c>
      <c r="G178" s="531">
        <f t="shared" si="77"/>
        <v>0.66575290560029954</v>
      </c>
      <c r="H178" s="531">
        <f t="shared" si="77"/>
        <v>0.75937750247349867</v>
      </c>
      <c r="I178" s="531">
        <f t="shared" si="77"/>
        <v>0.60830648775162699</v>
      </c>
      <c r="J178" s="531">
        <f t="shared" si="77"/>
        <v>0.6801755835680483</v>
      </c>
      <c r="K178" s="531">
        <f t="shared" si="77"/>
        <v>0.64505820803013014</v>
      </c>
      <c r="L178" s="531">
        <f t="shared" si="77"/>
        <v>0.65191530152559207</v>
      </c>
      <c r="M178" s="531">
        <f t="shared" si="77"/>
        <v>0.69063870089293911</v>
      </c>
      <c r="N178" s="531">
        <f t="shared" si="77"/>
        <v>0.64759192205745963</v>
      </c>
      <c r="O178" s="531">
        <f t="shared" si="77"/>
        <v>0.66742899848521331</v>
      </c>
      <c r="P178" s="532">
        <f t="shared" si="75"/>
        <v>0.66786295239803695</v>
      </c>
      <c r="Q178" s="532">
        <f t="shared" si="73"/>
        <v>0.59997093278357783</v>
      </c>
    </row>
    <row r="179" spans="1:17">
      <c r="A179" s="526">
        <v>5</v>
      </c>
      <c r="B179" s="624" t="s">
        <v>79</v>
      </c>
      <c r="C179" s="526"/>
      <c r="D179" s="531">
        <f t="shared" ref="D179:O179" si="78">(D8/D$173)/D51</f>
        <v>0.81760512305083632</v>
      </c>
      <c r="E179" s="531">
        <f t="shared" si="78"/>
        <v>0.75543385378925643</v>
      </c>
      <c r="F179" s="531">
        <f t="shared" si="78"/>
        <v>0.79622247893193232</v>
      </c>
      <c r="G179" s="531">
        <f t="shared" si="78"/>
        <v>0.69949508600575172</v>
      </c>
      <c r="H179" s="531">
        <f t="shared" si="78"/>
        <v>0.81213699207648071</v>
      </c>
      <c r="I179" s="531">
        <f t="shared" si="78"/>
        <v>0.67558171869561556</v>
      </c>
      <c r="J179" s="531">
        <f t="shared" si="78"/>
        <v>0.73394057527466827</v>
      </c>
      <c r="K179" s="531">
        <f t="shared" si="78"/>
        <v>0.75926924794580408</v>
      </c>
      <c r="L179" s="531">
        <f t="shared" si="78"/>
        <v>0.68811154755061632</v>
      </c>
      <c r="M179" s="531">
        <f t="shared" si="78"/>
        <v>0.80838942830969485</v>
      </c>
      <c r="N179" s="531">
        <f t="shared" si="78"/>
        <v>0.76065187115866673</v>
      </c>
      <c r="O179" s="531">
        <f t="shared" si="78"/>
        <v>0.81724490989117471</v>
      </c>
      <c r="P179" s="532">
        <f t="shared" si="75"/>
        <v>0.7603402360567082</v>
      </c>
      <c r="Q179" s="532">
        <f t="shared" si="73"/>
        <v>0.61941091379516822</v>
      </c>
    </row>
    <row r="180" spans="1:17">
      <c r="A180" s="526">
        <v>6</v>
      </c>
      <c r="B180" s="624" t="s">
        <v>80</v>
      </c>
      <c r="C180" s="526"/>
      <c r="D180" s="531">
        <f t="shared" ref="D180:O180" si="79">(D9/D$173)/D52</f>
        <v>0.65989554930995442</v>
      </c>
      <c r="E180" s="531">
        <f t="shared" si="79"/>
        <v>0.72376585408670002</v>
      </c>
      <c r="F180" s="531">
        <f t="shared" si="79"/>
        <v>0.68477520971935046</v>
      </c>
      <c r="G180" s="531">
        <f t="shared" si="79"/>
        <v>0.64526025845942903</v>
      </c>
      <c r="H180" s="531">
        <f t="shared" si="79"/>
        <v>0.56457731505646713</v>
      </c>
      <c r="I180" s="531">
        <f t="shared" si="79"/>
        <v>0.48497288852147835</v>
      </c>
      <c r="J180" s="531">
        <f t="shared" si="79"/>
        <v>0.53164005604261033</v>
      </c>
      <c r="K180" s="531">
        <f t="shared" si="79"/>
        <v>0.50338358097096403</v>
      </c>
      <c r="L180" s="531">
        <f t="shared" si="79"/>
        <v>0.52281273388145677</v>
      </c>
      <c r="M180" s="531">
        <f t="shared" si="79"/>
        <v>0.69888395871986453</v>
      </c>
      <c r="N180" s="531">
        <f t="shared" si="79"/>
        <v>0.64349245895274165</v>
      </c>
      <c r="O180" s="531">
        <f t="shared" si="79"/>
        <v>0.6609756809437809</v>
      </c>
      <c r="P180" s="532">
        <f t="shared" si="75"/>
        <v>0.61036962872206646</v>
      </c>
      <c r="Q180" s="532">
        <f t="shared" si="73"/>
        <v>0.51574640859097787</v>
      </c>
    </row>
    <row r="181" spans="1:17">
      <c r="A181" s="526">
        <v>7</v>
      </c>
      <c r="B181" s="624" t="s">
        <v>81</v>
      </c>
      <c r="C181" s="526"/>
      <c r="D181" s="531">
        <f t="shared" ref="D181:O181" si="80">(D10/D$173)/D53</f>
        <v>0.58219131107702227</v>
      </c>
      <c r="E181" s="531">
        <f t="shared" si="80"/>
        <v>0.53435090798503038</v>
      </c>
      <c r="F181" s="531">
        <f t="shared" si="80"/>
        <v>0.57619491488666685</v>
      </c>
      <c r="G181" s="531">
        <f t="shared" si="80"/>
        <v>0.54094033975482059</v>
      </c>
      <c r="H181" s="531">
        <f t="shared" si="80"/>
        <v>0.62664631636146717</v>
      </c>
      <c r="I181" s="531">
        <f t="shared" si="80"/>
        <v>0.53581243400115275</v>
      </c>
      <c r="J181" s="531">
        <f t="shared" si="80"/>
        <v>0.56634809629923111</v>
      </c>
      <c r="K181" s="531">
        <f t="shared" si="80"/>
        <v>0.55003423132197926</v>
      </c>
      <c r="L181" s="531">
        <f t="shared" si="80"/>
        <v>0.54270541409763773</v>
      </c>
      <c r="M181" s="531">
        <f t="shared" si="80"/>
        <v>0.55275768716862306</v>
      </c>
      <c r="N181" s="531">
        <f t="shared" si="80"/>
        <v>0.54690628138987063</v>
      </c>
      <c r="O181" s="531">
        <f t="shared" si="80"/>
        <v>0.55695114114958788</v>
      </c>
      <c r="P181" s="532">
        <f t="shared" si="75"/>
        <v>0.55931992295775745</v>
      </c>
      <c r="Q181" s="532">
        <f t="shared" si="73"/>
        <v>0.48994134761295777</v>
      </c>
    </row>
    <row r="182" spans="1:17">
      <c r="A182" s="526">
        <v>8</v>
      </c>
      <c r="B182" s="624" t="s">
        <v>94</v>
      </c>
      <c r="C182" s="526"/>
      <c r="D182" s="531">
        <f t="shared" ref="D182:O182" si="81">(D11/D$173)/D54</f>
        <v>0.32945648205827727</v>
      </c>
      <c r="E182" s="531">
        <f t="shared" si="81"/>
        <v>0.30927803051723074</v>
      </c>
      <c r="F182" s="531">
        <f t="shared" si="81"/>
        <v>0.34017264678460607</v>
      </c>
      <c r="G182" s="531">
        <f t="shared" si="81"/>
        <v>0.3343055622813022</v>
      </c>
      <c r="H182" s="531">
        <f t="shared" si="81"/>
        <v>0.38916884067810925</v>
      </c>
      <c r="I182" s="531">
        <f t="shared" si="81"/>
        <v>0.34753162053998155</v>
      </c>
      <c r="J182" s="531">
        <f t="shared" si="81"/>
        <v>0.36243978517714059</v>
      </c>
      <c r="K182" s="531">
        <f t="shared" si="81"/>
        <v>0.35943902736330158</v>
      </c>
      <c r="L182" s="531">
        <f t="shared" si="81"/>
        <v>0.33104400927909827</v>
      </c>
      <c r="M182" s="531">
        <f t="shared" si="81"/>
        <v>0.35877863454160486</v>
      </c>
      <c r="N182" s="531">
        <f t="shared" si="81"/>
        <v>0.30845237787259394</v>
      </c>
      <c r="O182" s="531">
        <f t="shared" si="81"/>
        <v>0.32903756318995747</v>
      </c>
      <c r="P182" s="532">
        <f t="shared" si="75"/>
        <v>0.34159204835693369</v>
      </c>
      <c r="Q182" s="532">
        <f t="shared" si="73"/>
        <v>0.33415687559752394</v>
      </c>
    </row>
    <row r="183" spans="1:17">
      <c r="A183" s="526">
        <v>9</v>
      </c>
      <c r="B183" s="624" t="s">
        <v>345</v>
      </c>
      <c r="C183" s="526"/>
      <c r="D183" s="752" t="e">
        <f t="shared" ref="D183:O183" si="82">(D12/D$173)/D55</f>
        <v>#DIV/0!</v>
      </c>
      <c r="E183" s="752" t="e">
        <f t="shared" si="82"/>
        <v>#DIV/0!</v>
      </c>
      <c r="F183" s="752" t="e">
        <f t="shared" si="82"/>
        <v>#DIV/0!</v>
      </c>
      <c r="G183" s="752" t="e">
        <f t="shared" si="82"/>
        <v>#DIV/0!</v>
      </c>
      <c r="H183" s="752" t="e">
        <f t="shared" si="82"/>
        <v>#DIV/0!</v>
      </c>
      <c r="I183" s="752" t="e">
        <f t="shared" si="82"/>
        <v>#DIV/0!</v>
      </c>
      <c r="J183" s="752" t="e">
        <f t="shared" si="82"/>
        <v>#DIV/0!</v>
      </c>
      <c r="K183" s="752" t="e">
        <f t="shared" si="82"/>
        <v>#DIV/0!</v>
      </c>
      <c r="L183" s="752" t="e">
        <f t="shared" si="82"/>
        <v>#DIV/0!</v>
      </c>
      <c r="M183" s="752" t="e">
        <f t="shared" si="82"/>
        <v>#DIV/0!</v>
      </c>
      <c r="N183" s="752" t="e">
        <f t="shared" si="82"/>
        <v>#DIV/0!</v>
      </c>
      <c r="O183" s="752" t="e">
        <f t="shared" si="82"/>
        <v>#DIV/0!</v>
      </c>
      <c r="P183" s="753" t="e">
        <f t="shared" si="75"/>
        <v>#DIV/0!</v>
      </c>
      <c r="Q183" s="753" t="e">
        <f t="shared" si="73"/>
        <v>#DIV/0!</v>
      </c>
    </row>
    <row r="184" spans="1:17">
      <c r="A184" s="526">
        <v>10</v>
      </c>
      <c r="B184" s="624" t="s">
        <v>82</v>
      </c>
      <c r="C184" s="526"/>
      <c r="D184" s="531">
        <f t="shared" ref="D184:O184" si="83">(D13/D$173)/D56</f>
        <v>0.76810646538303773</v>
      </c>
      <c r="E184" s="531">
        <f t="shared" si="83"/>
        <v>0.6930478531678429</v>
      </c>
      <c r="F184" s="531">
        <f t="shared" si="83"/>
        <v>0.85903019594358432</v>
      </c>
      <c r="G184" s="531">
        <f t="shared" si="83"/>
        <v>0.65939929740699554</v>
      </c>
      <c r="H184" s="531">
        <f t="shared" si="83"/>
        <v>0.97667985807649471</v>
      </c>
      <c r="I184" s="531">
        <f t="shared" si="83"/>
        <v>0.85126990919648482</v>
      </c>
      <c r="J184" s="531">
        <f t="shared" si="83"/>
        <v>0.91532276625049369</v>
      </c>
      <c r="K184" s="531">
        <f t="shared" si="83"/>
        <v>0.88551015315991788</v>
      </c>
      <c r="L184" s="531">
        <f t="shared" si="83"/>
        <v>0.89141311699488845</v>
      </c>
      <c r="M184" s="531">
        <f t="shared" si="83"/>
        <v>0.85696121821042215</v>
      </c>
      <c r="N184" s="531">
        <f t="shared" si="83"/>
        <v>0.78594128292580112</v>
      </c>
      <c r="O184" s="531">
        <f t="shared" si="83"/>
        <v>0.80110282849492198</v>
      </c>
      <c r="P184" s="532">
        <f t="shared" si="75"/>
        <v>0.8286487454342405</v>
      </c>
      <c r="Q184" s="532">
        <f t="shared" si="73"/>
        <v>0.73897784331647065</v>
      </c>
    </row>
    <row r="185" spans="1:17">
      <c r="A185" s="526">
        <v>11</v>
      </c>
      <c r="B185" s="624" t="s">
        <v>83</v>
      </c>
      <c r="C185" s="526"/>
      <c r="D185" s="531">
        <f t="shared" ref="D185:O185" si="84">(D14/D$173)/D57</f>
        <v>0.89513102694513214</v>
      </c>
      <c r="E185" s="531">
        <f t="shared" si="84"/>
        <v>0.75727210234027553</v>
      </c>
      <c r="F185" s="531">
        <f t="shared" si="84"/>
        <v>0.83200401823455183</v>
      </c>
      <c r="G185" s="531">
        <f t="shared" si="84"/>
        <v>0.48961414935324399</v>
      </c>
      <c r="H185" s="531">
        <f t="shared" si="84"/>
        <v>0.92439660374375776</v>
      </c>
      <c r="I185" s="531">
        <f t="shared" si="84"/>
        <v>0.78114342720112762</v>
      </c>
      <c r="J185" s="531">
        <f t="shared" si="84"/>
        <v>0.85774331585775221</v>
      </c>
      <c r="K185" s="531">
        <f t="shared" si="84"/>
        <v>0.83009661311757688</v>
      </c>
      <c r="L185" s="531">
        <f t="shared" si="84"/>
        <v>0.7971982281003861</v>
      </c>
      <c r="M185" s="531">
        <f t="shared" si="84"/>
        <v>0.79766823834191225</v>
      </c>
      <c r="N185" s="531">
        <f t="shared" si="84"/>
        <v>0.49195564254912361</v>
      </c>
      <c r="O185" s="531">
        <f t="shared" si="84"/>
        <v>0.73188176774363578</v>
      </c>
      <c r="P185" s="532">
        <f t="shared" si="75"/>
        <v>0.76550876112737309</v>
      </c>
      <c r="Q185" s="532">
        <f t="shared" si="73"/>
        <v>0.72417306056462349</v>
      </c>
    </row>
    <row r="186" spans="1:17">
      <c r="A186" s="526">
        <v>12</v>
      </c>
      <c r="B186" s="624" t="s">
        <v>84</v>
      </c>
      <c r="C186" s="526"/>
      <c r="D186" s="531">
        <f t="shared" ref="D186:O186" si="85">(D15/D$173)/D58</f>
        <v>0.8488871193699753</v>
      </c>
      <c r="E186" s="531">
        <f t="shared" si="85"/>
        <v>0.80752879037232672</v>
      </c>
      <c r="F186" s="531">
        <f t="shared" si="85"/>
        <v>0.75733767692177467</v>
      </c>
      <c r="G186" s="531">
        <f t="shared" si="85"/>
        <v>0.700990586889498</v>
      </c>
      <c r="H186" s="531">
        <f t="shared" si="85"/>
        <v>0.81559445784418538</v>
      </c>
      <c r="I186" s="531">
        <f t="shared" si="85"/>
        <v>0.7038913458012781</v>
      </c>
      <c r="J186" s="531">
        <f t="shared" si="85"/>
        <v>0.77658274904115709</v>
      </c>
      <c r="K186" s="531">
        <f t="shared" si="85"/>
        <v>0.76024585361172325</v>
      </c>
      <c r="L186" s="531">
        <f t="shared" si="85"/>
        <v>0.71734088381395278</v>
      </c>
      <c r="M186" s="531">
        <f t="shared" si="85"/>
        <v>0.74268983495302587</v>
      </c>
      <c r="N186" s="531">
        <f t="shared" si="85"/>
        <v>0.81887336342701811</v>
      </c>
      <c r="O186" s="531">
        <f t="shared" si="85"/>
        <v>0.87381017521406112</v>
      </c>
      <c r="P186" s="532">
        <f t="shared" si="75"/>
        <v>0.77698106977166459</v>
      </c>
      <c r="Q186" s="532">
        <f t="shared" si="73"/>
        <v>0.6291568184803753</v>
      </c>
    </row>
    <row r="187" spans="1:17">
      <c r="A187" s="526">
        <v>13</v>
      </c>
      <c r="B187" s="624" t="s">
        <v>85</v>
      </c>
      <c r="C187" s="526"/>
      <c r="D187" s="531">
        <f t="shared" ref="D187:O187" si="86">(D16/D$173)/D59</f>
        <v>0.67800568289813834</v>
      </c>
      <c r="E187" s="531">
        <f t="shared" si="86"/>
        <v>0.64603984406566739</v>
      </c>
      <c r="F187" s="531">
        <f t="shared" si="86"/>
        <v>0.67954519486659937</v>
      </c>
      <c r="G187" s="531">
        <f t="shared" si="86"/>
        <v>0.5817490201617479</v>
      </c>
      <c r="H187" s="531">
        <f t="shared" si="86"/>
        <v>0.6646109270286501</v>
      </c>
      <c r="I187" s="531">
        <f t="shared" si="86"/>
        <v>0.5678102199632995</v>
      </c>
      <c r="J187" s="531">
        <f t="shared" si="86"/>
        <v>0.60935907959712832</v>
      </c>
      <c r="K187" s="531">
        <f t="shared" si="86"/>
        <v>0.58989626306497578</v>
      </c>
      <c r="L187" s="531">
        <f t="shared" si="86"/>
        <v>0.57307663553409194</v>
      </c>
      <c r="M187" s="531">
        <f t="shared" si="86"/>
        <v>0.59971057747740875</v>
      </c>
      <c r="N187" s="531">
        <f t="shared" si="86"/>
        <v>0.66100179633114331</v>
      </c>
      <c r="O187" s="531">
        <f t="shared" si="86"/>
        <v>0.69837357949732659</v>
      </c>
      <c r="P187" s="532">
        <f t="shared" si="75"/>
        <v>0.62909823504051487</v>
      </c>
      <c r="Q187" s="532">
        <f t="shared" si="73"/>
        <v>0.50533779006260837</v>
      </c>
    </row>
    <row r="188" spans="1:17">
      <c r="A188" s="526">
        <v>14</v>
      </c>
      <c r="B188" s="624" t="s">
        <v>86</v>
      </c>
      <c r="C188" s="526"/>
      <c r="D188" s="531">
        <f t="shared" ref="D188:O188" si="87">(D17/D$173)/D60</f>
        <v>0.2365062522931686</v>
      </c>
      <c r="E188" s="531">
        <f t="shared" si="87"/>
        <v>0.22293287308252466</v>
      </c>
      <c r="F188" s="531">
        <f t="shared" si="87"/>
        <v>0.22210171816410404</v>
      </c>
      <c r="G188" s="531">
        <f t="shared" si="87"/>
        <v>0.23060570885672824</v>
      </c>
      <c r="H188" s="531">
        <f t="shared" si="87"/>
        <v>0.24997168414646512</v>
      </c>
      <c r="I188" s="531">
        <f t="shared" si="87"/>
        <v>0.20824977519251017</v>
      </c>
      <c r="J188" s="531">
        <f t="shared" si="87"/>
        <v>0.22475227502527803</v>
      </c>
      <c r="K188" s="531">
        <f t="shared" si="87"/>
        <v>0.20708910370522057</v>
      </c>
      <c r="L188" s="531">
        <f t="shared" si="87"/>
        <v>0.20623173697780342</v>
      </c>
      <c r="M188" s="531">
        <f t="shared" si="87"/>
        <v>0.22223535476313899</v>
      </c>
      <c r="N188" s="531">
        <f t="shared" si="87"/>
        <v>0.16614500885567102</v>
      </c>
      <c r="O188" s="531">
        <f t="shared" si="87"/>
        <v>0.19915401621593654</v>
      </c>
      <c r="P188" s="532">
        <f t="shared" si="75"/>
        <v>0.21633129227321243</v>
      </c>
      <c r="Q188" s="532">
        <f t="shared" si="73"/>
        <v>0.20719848238663507</v>
      </c>
    </row>
    <row r="189" spans="1:17">
      <c r="A189" s="526">
        <v>15</v>
      </c>
      <c r="B189" s="624" t="s">
        <v>87</v>
      </c>
      <c r="C189" s="526"/>
      <c r="D189" s="752">
        <v>0</v>
      </c>
      <c r="E189" s="752">
        <v>0</v>
      </c>
      <c r="F189" s="752">
        <v>0</v>
      </c>
      <c r="G189" s="752">
        <v>0</v>
      </c>
      <c r="H189" s="752">
        <v>0</v>
      </c>
      <c r="I189" s="752">
        <v>0</v>
      </c>
      <c r="J189" s="752">
        <v>0</v>
      </c>
      <c r="K189" s="752">
        <v>0</v>
      </c>
      <c r="L189" s="752">
        <v>0</v>
      </c>
      <c r="M189" s="752">
        <v>0</v>
      </c>
      <c r="N189" s="752">
        <v>0</v>
      </c>
      <c r="O189" s="752">
        <v>0</v>
      </c>
      <c r="P189" s="753">
        <v>0</v>
      </c>
      <c r="Q189" s="753">
        <v>0</v>
      </c>
    </row>
    <row r="190" spans="1:17">
      <c r="A190" s="526">
        <v>16</v>
      </c>
      <c r="B190" s="624" t="s">
        <v>88</v>
      </c>
      <c r="C190" s="526"/>
      <c r="D190" s="531">
        <f t="shared" ref="D190:O190" si="88">(D19/D$173)/D62</f>
        <v>0.65308595483920662</v>
      </c>
      <c r="E190" s="531">
        <f t="shared" si="88"/>
        <v>0.62196162391256116</v>
      </c>
      <c r="F190" s="531">
        <f t="shared" si="88"/>
        <v>0.63559356554900326</v>
      </c>
      <c r="G190" s="531">
        <f t="shared" si="88"/>
        <v>0.59388781870418528</v>
      </c>
      <c r="H190" s="531">
        <f t="shared" si="88"/>
        <v>0.60488905299380402</v>
      </c>
      <c r="I190" s="531">
        <f t="shared" si="88"/>
        <v>0.60140264073043792</v>
      </c>
      <c r="J190" s="531">
        <f t="shared" si="88"/>
        <v>0.64255730817660661</v>
      </c>
      <c r="K190" s="531">
        <f t="shared" si="88"/>
        <v>0.59372464238024691</v>
      </c>
      <c r="L190" s="531">
        <f t="shared" si="88"/>
        <v>0.54338587575426422</v>
      </c>
      <c r="M190" s="531">
        <f t="shared" si="88"/>
        <v>0.64700022538485868</v>
      </c>
      <c r="N190" s="531">
        <f t="shared" si="88"/>
        <v>0.61262171124408882</v>
      </c>
      <c r="O190" s="531">
        <f t="shared" si="88"/>
        <v>0.64331061218011221</v>
      </c>
      <c r="P190" s="532">
        <f t="shared" si="75"/>
        <v>0.61611841932078137</v>
      </c>
      <c r="Q190" s="532">
        <f t="shared" ref="Q190:Q195" si="89">(P19/8760)/Q62</f>
        <v>0.56261788072799657</v>
      </c>
    </row>
    <row r="191" spans="1:17">
      <c r="A191" s="526">
        <v>17</v>
      </c>
      <c r="B191" s="624" t="s">
        <v>89</v>
      </c>
      <c r="C191" s="526"/>
      <c r="D191" s="531">
        <f t="shared" ref="D191:O191" si="90">(D20/D$173)/D63</f>
        <v>0.77107352339238411</v>
      </c>
      <c r="E191" s="531">
        <f t="shared" si="90"/>
        <v>0.75999355839477689</v>
      </c>
      <c r="F191" s="531">
        <f t="shared" si="90"/>
        <v>0.76074674763882644</v>
      </c>
      <c r="G191" s="531">
        <f t="shared" si="90"/>
        <v>0.77257455781597695</v>
      </c>
      <c r="H191" s="531">
        <f t="shared" si="90"/>
        <v>0.84942356434313571</v>
      </c>
      <c r="I191" s="531">
        <f t="shared" si="90"/>
        <v>0.75483725407596791</v>
      </c>
      <c r="J191" s="531">
        <f t="shared" si="90"/>
        <v>0.79988443396032838</v>
      </c>
      <c r="K191" s="531">
        <f t="shared" si="90"/>
        <v>0.78063409516394189</v>
      </c>
      <c r="L191" s="531">
        <f t="shared" si="90"/>
        <v>0.73237754272512523</v>
      </c>
      <c r="M191" s="531">
        <f t="shared" si="90"/>
        <v>0.77214911333645952</v>
      </c>
      <c r="N191" s="531">
        <f t="shared" si="90"/>
        <v>0.76240833553646792</v>
      </c>
      <c r="O191" s="531">
        <f t="shared" si="90"/>
        <v>0.80424322823338279</v>
      </c>
      <c r="P191" s="532">
        <f t="shared" si="75"/>
        <v>0.77669549621806444</v>
      </c>
      <c r="Q191" s="532">
        <f t="shared" si="89"/>
        <v>0.71150502047755382</v>
      </c>
    </row>
    <row r="192" spans="1:17">
      <c r="A192" s="526">
        <v>18</v>
      </c>
      <c r="B192" s="624" t="s">
        <v>90</v>
      </c>
      <c r="C192" s="526"/>
      <c r="D192" s="531">
        <f t="shared" ref="D192:O192" si="91">(D21/D$173)/D64</f>
        <v>0.7241563335321255</v>
      </c>
      <c r="E192" s="531">
        <f t="shared" si="91"/>
        <v>0.70880041957649187</v>
      </c>
      <c r="F192" s="531">
        <f t="shared" si="91"/>
        <v>0.76116277746300587</v>
      </c>
      <c r="G192" s="531">
        <f t="shared" si="91"/>
        <v>0.62505080227090071</v>
      </c>
      <c r="H192" s="531">
        <f t="shared" si="91"/>
        <v>0.71262073254937841</v>
      </c>
      <c r="I192" s="531">
        <f t="shared" si="91"/>
        <v>0.57276266663766962</v>
      </c>
      <c r="J192" s="531">
        <f t="shared" si="91"/>
        <v>0.61106497623727418</v>
      </c>
      <c r="K192" s="531">
        <f t="shared" si="91"/>
        <v>0.61688433876532667</v>
      </c>
      <c r="L192" s="531">
        <f t="shared" si="91"/>
        <v>0.54345251857998367</v>
      </c>
      <c r="M192" s="531">
        <f t="shared" si="91"/>
        <v>0.72887820096351352</v>
      </c>
      <c r="N192" s="531">
        <f t="shared" si="91"/>
        <v>0.70787556321850598</v>
      </c>
      <c r="O192" s="531">
        <f t="shared" si="91"/>
        <v>0.76089331243186753</v>
      </c>
      <c r="P192" s="532">
        <f t="shared" si="75"/>
        <v>0.67280022018550367</v>
      </c>
      <c r="Q192" s="532">
        <f t="shared" si="89"/>
        <v>0.50062058155375211</v>
      </c>
    </row>
    <row r="193" spans="1:17">
      <c r="A193" s="526">
        <v>19</v>
      </c>
      <c r="B193" s="624" t="s">
        <v>91</v>
      </c>
      <c r="C193" s="526"/>
      <c r="D193" s="531">
        <f t="shared" ref="D193:O193" si="92">(D22/D$173)/D65</f>
        <v>0.75728784191804588</v>
      </c>
      <c r="E193" s="531">
        <f t="shared" si="92"/>
        <v>0.73438197009467876</v>
      </c>
      <c r="F193" s="531">
        <f t="shared" si="92"/>
        <v>0.7846158014795398</v>
      </c>
      <c r="G193" s="531">
        <f t="shared" si="92"/>
        <v>0.73074443886113116</v>
      </c>
      <c r="H193" s="531">
        <f t="shared" si="92"/>
        <v>0.90768591434245083</v>
      </c>
      <c r="I193" s="531">
        <f t="shared" si="92"/>
        <v>0.77405132208509697</v>
      </c>
      <c r="J193" s="531">
        <f t="shared" si="92"/>
        <v>0.84423315693241308</v>
      </c>
      <c r="K193" s="531">
        <f t="shared" si="92"/>
        <v>0.73286332523530662</v>
      </c>
      <c r="L193" s="531">
        <f t="shared" si="92"/>
        <v>0.77427802707953863</v>
      </c>
      <c r="M193" s="531">
        <f t="shared" si="92"/>
        <v>0.75560296219628897</v>
      </c>
      <c r="N193" s="531">
        <f t="shared" si="92"/>
        <v>0.75465118502267159</v>
      </c>
      <c r="O193" s="531">
        <f t="shared" si="92"/>
        <v>0.79746702774307165</v>
      </c>
      <c r="P193" s="532">
        <f t="shared" si="75"/>
        <v>0.77898858108251945</v>
      </c>
      <c r="Q193" s="532">
        <f t="shared" si="89"/>
        <v>0.70708398756709501</v>
      </c>
    </row>
    <row r="194" spans="1:17">
      <c r="A194" s="526">
        <v>20</v>
      </c>
      <c r="B194" s="624" t="s">
        <v>92</v>
      </c>
      <c r="C194" s="526"/>
      <c r="D194" s="531">
        <f t="shared" ref="D194:O194" si="93">(D23/D$173)/D66</f>
        <v>0.73389155353172864</v>
      </c>
      <c r="E194" s="531">
        <f t="shared" si="93"/>
        <v>0.44051170367868697</v>
      </c>
      <c r="F194" s="531">
        <f t="shared" si="93"/>
        <v>0.71851656611260573</v>
      </c>
      <c r="G194" s="531">
        <f t="shared" si="93"/>
        <v>0.71557872352512064</v>
      </c>
      <c r="H194" s="531">
        <f t="shared" si="93"/>
        <v>0.78752513801985713</v>
      </c>
      <c r="I194" s="531">
        <f t="shared" si="93"/>
        <v>0.70752066426615234</v>
      </c>
      <c r="J194" s="531">
        <f t="shared" si="93"/>
        <v>0.76015890819197895</v>
      </c>
      <c r="K194" s="531">
        <f t="shared" si="93"/>
        <v>0.71713565137524438</v>
      </c>
      <c r="L194" s="531">
        <f t="shared" si="93"/>
        <v>0.6848881709859922</v>
      </c>
      <c r="M194" s="531">
        <f t="shared" si="93"/>
        <v>0.68444618055511264</v>
      </c>
      <c r="N194" s="531">
        <f t="shared" si="93"/>
        <v>0.69867122459527542</v>
      </c>
      <c r="O194" s="531">
        <f t="shared" si="93"/>
        <v>0.73560276745982778</v>
      </c>
      <c r="P194" s="532">
        <f t="shared" si="75"/>
        <v>0.69870393769146533</v>
      </c>
      <c r="Q194" s="532">
        <f t="shared" si="89"/>
        <v>0.39081022042301122</v>
      </c>
    </row>
    <row r="195" spans="1:17">
      <c r="A195" s="526">
        <v>21</v>
      </c>
      <c r="B195" s="624" t="s">
        <v>93</v>
      </c>
      <c r="C195" s="526"/>
      <c r="D195" s="531">
        <f t="shared" ref="D195:O195" si="94">(D24/D$173)/D67</f>
        <v>0.74249367488155849</v>
      </c>
      <c r="E195" s="531">
        <f t="shared" si="94"/>
        <v>0.71165975704939222</v>
      </c>
      <c r="F195" s="531">
        <f t="shared" si="94"/>
        <v>0.72406884246279446</v>
      </c>
      <c r="G195" s="531">
        <f t="shared" si="94"/>
        <v>0.68097705665600128</v>
      </c>
      <c r="H195" s="531">
        <f t="shared" si="94"/>
        <v>0.66970230609615522</v>
      </c>
      <c r="I195" s="531">
        <f t="shared" si="94"/>
        <v>0.55582366355510338</v>
      </c>
      <c r="J195" s="531">
        <f t="shared" si="94"/>
        <v>0.72522025011552105</v>
      </c>
      <c r="K195" s="531">
        <f t="shared" si="94"/>
        <v>0.67391736611539421</v>
      </c>
      <c r="L195" s="531">
        <f t="shared" si="94"/>
        <v>0.4422258106721581</v>
      </c>
      <c r="M195" s="531">
        <f t="shared" si="94"/>
        <v>0.42264728666320156</v>
      </c>
      <c r="N195" s="531">
        <f t="shared" si="94"/>
        <v>0.70083966242751028</v>
      </c>
      <c r="O195" s="531">
        <f t="shared" si="94"/>
        <v>0.69002909812360214</v>
      </c>
      <c r="P195" s="532">
        <f t="shared" si="75"/>
        <v>0.64496706456819941</v>
      </c>
      <c r="Q195" s="532">
        <f t="shared" si="89"/>
        <v>0.36666636143159864</v>
      </c>
    </row>
  </sheetData>
  <phoneticPr fontId="0" type="noConversion"/>
  <conditionalFormatting sqref="P38:P39">
    <cfRule type="expression" dxfId="22" priority="2" stopIfTrue="1">
      <formula>ABS(P38-#REF!)&gt;1</formula>
    </cfRule>
  </conditionalFormatting>
  <conditionalFormatting sqref="S28">
    <cfRule type="cellIs" dxfId="21" priority="1" operator="notEqual">
      <formula>$P$27</formula>
    </cfRule>
    <cfRule type="expression" dxfId="20" priority="3" stopIfTrue="1">
      <formula>ABS($P$27-$S$28)&gt;0.5</formula>
    </cfRule>
  </conditionalFormatting>
  <printOptions horizontalCentered="1"/>
  <pageMargins left="0.25" right="0.25" top="0.87" bottom="0.21" header="0.4" footer="0.18"/>
  <pageSetup scale="56" fitToHeight="2" orientation="landscape" r:id="rId1"/>
  <headerFooter alignWithMargins="0"/>
  <rowBreaks count="1" manualBreakCount="1">
    <brk id="72" max="1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fitToPage="1"/>
  </sheetPr>
  <dimension ref="B1:S55"/>
  <sheetViews>
    <sheetView showGridLines="0" zoomScale="115" zoomScaleNormal="115" zoomScaleSheetLayoutView="100" workbookViewId="0">
      <selection activeCell="O26" sqref="O26"/>
    </sheetView>
  </sheetViews>
  <sheetFormatPr defaultColWidth="11.42578125" defaultRowHeight="12.75"/>
  <cols>
    <col min="1" max="1" width="9.28515625" customWidth="1"/>
    <col min="2" max="2" width="15.42578125" customWidth="1"/>
    <col min="3" max="3" width="11.42578125" customWidth="1"/>
    <col min="4" max="4" width="12.42578125" customWidth="1"/>
    <col min="5" max="5" width="1.7109375" customWidth="1"/>
    <col min="6" max="6" width="11.42578125" customWidth="1"/>
    <col min="7" max="7" width="13.42578125" customWidth="1"/>
    <col min="8" max="8" width="1.7109375" customWidth="1"/>
    <col min="9" max="9" width="14" bestFit="1" customWidth="1"/>
    <col min="12" max="12" width="12.28515625" bestFit="1" customWidth="1"/>
    <col min="14" max="14" width="12.7109375" style="536" customWidth="1"/>
  </cols>
  <sheetData>
    <row r="1" spans="2:19">
      <c r="B1" s="137" t="s">
        <v>101</v>
      </c>
      <c r="C1" s="54"/>
      <c r="D1" s="55"/>
      <c r="E1" s="54"/>
      <c r="F1" s="54"/>
      <c r="G1" s="54"/>
      <c r="H1" s="54"/>
      <c r="I1" s="54"/>
      <c r="J1" s="54"/>
    </row>
    <row r="2" spans="2:19">
      <c r="B2" s="137" t="s">
        <v>404</v>
      </c>
      <c r="C2" s="54"/>
      <c r="D2" s="55"/>
      <c r="E2" s="54"/>
      <c r="F2" s="54"/>
      <c r="G2" s="54"/>
      <c r="H2" s="54"/>
      <c r="I2" s="54"/>
      <c r="J2" s="54"/>
    </row>
    <row r="3" spans="2:19">
      <c r="B3" s="137" t="s">
        <v>102</v>
      </c>
      <c r="C3" s="54"/>
      <c r="D3" s="55"/>
      <c r="E3" s="54"/>
      <c r="F3" s="54"/>
      <c r="G3" s="54"/>
      <c r="H3" s="54"/>
      <c r="I3" s="54"/>
      <c r="J3" s="54"/>
    </row>
    <row r="4" spans="2:19">
      <c r="B4" s="137" t="s">
        <v>910</v>
      </c>
      <c r="C4" s="54"/>
      <c r="D4" s="55"/>
      <c r="E4" s="54"/>
      <c r="F4" s="54"/>
      <c r="G4" s="54"/>
      <c r="H4" s="54"/>
      <c r="I4" s="54"/>
      <c r="J4" s="54"/>
    </row>
    <row r="5" spans="2:19">
      <c r="B5" s="54"/>
      <c r="C5" s="54"/>
      <c r="D5" s="54"/>
      <c r="F5" s="54"/>
      <c r="G5" s="54"/>
    </row>
    <row r="6" spans="2:19">
      <c r="B6" s="54"/>
      <c r="C6" s="54"/>
      <c r="D6" s="54"/>
      <c r="F6" s="54"/>
      <c r="G6" s="54"/>
    </row>
    <row r="7" spans="2:19">
      <c r="C7" s="924" t="str">
        <f>"Present "&amp;IF(Base1_Billing2=2,"Billing ","")&amp;"Rates(1)"</f>
        <v>Present Rates(1)</v>
      </c>
      <c r="D7" s="924" t="str">
        <f>"Present "&amp;IF(Base1_Billing2=2,"Billing","")&amp;" Rates"</f>
        <v>Present  Rates</v>
      </c>
      <c r="F7" s="924" t="str">
        <f>"Proposed "&amp;IF(Base1_Billing2=2,"Billing ","")&amp;"Rates(2)"</f>
        <v>Proposed Rates(2)</v>
      </c>
      <c r="G7" s="924" t="str">
        <f>"Proposed "&amp;IF(Base1_Billing2=2,"Billing ","")&amp;"Rates"</f>
        <v>Proposed Rates</v>
      </c>
      <c r="I7" s="309" t="s">
        <v>413</v>
      </c>
      <c r="J7" s="54"/>
    </row>
    <row r="8" spans="2:19">
      <c r="C8" s="35" t="s">
        <v>105</v>
      </c>
      <c r="D8" s="35" t="s">
        <v>73</v>
      </c>
      <c r="F8" s="35" t="s">
        <v>105</v>
      </c>
      <c r="G8" s="35" t="s">
        <v>73</v>
      </c>
      <c r="I8" s="54"/>
      <c r="J8" s="54"/>
      <c r="L8" s="58" t="s">
        <v>420</v>
      </c>
      <c r="N8" s="536" t="s">
        <v>73</v>
      </c>
      <c r="O8" s="442" t="s">
        <v>284</v>
      </c>
      <c r="P8" s="442" t="s">
        <v>286</v>
      </c>
    </row>
    <row r="9" spans="2:19">
      <c r="C9" s="56" t="s">
        <v>106</v>
      </c>
      <c r="D9" s="56" t="s">
        <v>106</v>
      </c>
      <c r="F9" s="56" t="s">
        <v>106</v>
      </c>
      <c r="G9" s="56" t="s">
        <v>106</v>
      </c>
      <c r="I9" s="56" t="s">
        <v>414</v>
      </c>
      <c r="J9" s="56" t="s">
        <v>227</v>
      </c>
      <c r="L9" s="280" t="s">
        <v>421</v>
      </c>
      <c r="N9" s="536" t="s">
        <v>515</v>
      </c>
      <c r="O9" s="442" t="s">
        <v>457</v>
      </c>
      <c r="P9" s="442" t="s">
        <v>457</v>
      </c>
    </row>
    <row r="10" spans="2:19">
      <c r="C10" s="56"/>
      <c r="D10" s="56"/>
      <c r="F10" s="56"/>
      <c r="G10" s="56"/>
    </row>
    <row r="11" spans="2:19">
      <c r="B11" t="s">
        <v>415</v>
      </c>
      <c r="C11" s="59">
        <f>'St Lts'!Y$97*IF(Base1_Billing2=2,(1+$I$39),1)</f>
        <v>181.27</v>
      </c>
      <c r="D11" s="49">
        <f>C11*12</f>
        <v>2175.2400000000002</v>
      </c>
      <c r="F11" s="59">
        <f>'St Lts'!AQ$97*IF(Base1_Billing2=2,1+$D$39,1)</f>
        <v>187.32</v>
      </c>
      <c r="G11" s="49">
        <f t="shared" ref="G11:G17" si="0">F11*12</f>
        <v>2247.84</v>
      </c>
      <c r="I11" s="157">
        <f t="shared" ref="I11:I17" si="1">G11/D11-1</f>
        <v>3.3375627516963657E-2</v>
      </c>
      <c r="J11" s="310">
        <v>0</v>
      </c>
      <c r="L11" s="898">
        <v>3.3299481392131298E-2</v>
      </c>
      <c r="M11" s="313"/>
      <c r="N11" s="596">
        <f>'REVRUNS 12ME1219'!P258</f>
        <v>28214.475000000002</v>
      </c>
      <c r="R11" s="894"/>
      <c r="S11" s="894"/>
    </row>
    <row r="12" spans="2:19">
      <c r="B12" t="s">
        <v>416</v>
      </c>
      <c r="C12" s="250">
        <f>'St Lts'!Z$97*IF(Base1_Billing2=2,1+$I$39,1)</f>
        <v>350635.22</v>
      </c>
      <c r="D12" s="251">
        <f t="shared" ref="D12:D17" si="2">C12*12</f>
        <v>4207622.6399999997</v>
      </c>
      <c r="E12" s="252"/>
      <c r="F12" s="250">
        <f>'St Lts'!AR$97*IF(Base1_Billing2=2,1+$D$39,1)</f>
        <v>363360.69</v>
      </c>
      <c r="G12" s="251">
        <f>F12*12</f>
        <v>4360328.28</v>
      </c>
      <c r="I12" s="157">
        <f t="shared" si="1"/>
        <v>3.6292617723912679E-2</v>
      </c>
      <c r="J12" s="310">
        <v>0</v>
      </c>
      <c r="L12" s="627">
        <f>L11</f>
        <v>3.3299481392131298E-2</v>
      </c>
      <c r="M12" s="313"/>
      <c r="N12" s="596">
        <f>'REVRUNS 12ME1219'!P267</f>
        <v>9111659.5536700003</v>
      </c>
      <c r="R12" s="894"/>
      <c r="S12" s="894"/>
    </row>
    <row r="13" spans="2:19">
      <c r="B13" t="s">
        <v>417</v>
      </c>
      <c r="C13" s="250">
        <f>'St Lts'!AA$97*IF(Base1_Billing2=2,1+$I$39,1)</f>
        <v>1995.6</v>
      </c>
      <c r="D13" s="251">
        <f t="shared" si="2"/>
        <v>23947.199999999997</v>
      </c>
      <c r="E13" s="252"/>
      <c r="F13" s="250">
        <f>'St Lts'!AS$97*IF(Base1_Billing2=2,1+$D$39,1)</f>
        <v>2062.14</v>
      </c>
      <c r="G13" s="251">
        <f t="shared" si="0"/>
        <v>24745.68</v>
      </c>
      <c r="I13" s="157">
        <f t="shared" si="1"/>
        <v>3.3343355381840079E-2</v>
      </c>
      <c r="J13" s="310">
        <v>0</v>
      </c>
      <c r="L13" s="394">
        <f>L11</f>
        <v>3.3299481392131298E-2</v>
      </c>
      <c r="M13" s="313"/>
      <c r="N13" s="596">
        <f>'REVRUNS 12ME1219'!P276</f>
        <v>123112.35188</v>
      </c>
      <c r="R13" s="894"/>
      <c r="S13" s="894"/>
    </row>
    <row r="14" spans="2:19">
      <c r="B14" t="s">
        <v>418</v>
      </c>
      <c r="C14" s="250">
        <f>'St Lts'!AB$97*IF(Base1_Billing2=2,1+$I$39,1)</f>
        <v>2720.82</v>
      </c>
      <c r="D14" s="251">
        <f t="shared" si="2"/>
        <v>32649.840000000004</v>
      </c>
      <c r="E14" s="252"/>
      <c r="F14" s="250">
        <f>'St Lts'!AT$97*IF(Base1_Billing2=2,1+$D$39,1)</f>
        <v>2811.32</v>
      </c>
      <c r="G14" s="251">
        <f t="shared" si="0"/>
        <v>33735.840000000004</v>
      </c>
      <c r="I14" s="157">
        <f t="shared" si="1"/>
        <v>3.3262031299387651E-2</v>
      </c>
      <c r="J14" s="310">
        <v>0</v>
      </c>
      <c r="L14" s="394">
        <f>L11</f>
        <v>3.3299481392131298E-2</v>
      </c>
      <c r="M14" s="313"/>
      <c r="N14" s="596">
        <f>'REVRUNS 12ME1219'!P285</f>
        <v>424923.17200000002</v>
      </c>
      <c r="R14" s="894"/>
      <c r="S14" s="894"/>
    </row>
    <row r="15" spans="2:19">
      <c r="B15" t="s">
        <v>419</v>
      </c>
      <c r="C15" s="250">
        <f>'St Lts'!AC$97*IF(Base1_Billing2=2,1+$I$39,1)</f>
        <v>9042.34</v>
      </c>
      <c r="D15" s="251">
        <f t="shared" si="2"/>
        <v>108508.08</v>
      </c>
      <c r="E15" s="252"/>
      <c r="F15" s="250">
        <f>'St Lts'!AU$97*IF(Base1_Billing2=2,1+$D$39,1)</f>
        <v>9344.7900000000009</v>
      </c>
      <c r="G15" s="251">
        <f t="shared" si="0"/>
        <v>112137.48000000001</v>
      </c>
      <c r="I15" s="157">
        <f t="shared" si="1"/>
        <v>3.3448200355217894E-2</v>
      </c>
      <c r="J15" s="310">
        <v>0</v>
      </c>
      <c r="L15" s="394">
        <f>L11</f>
        <v>3.3299481392131298E-2</v>
      </c>
      <c r="M15" s="313"/>
      <c r="N15" s="596">
        <f>'REVRUNS 12ME1219'!P294</f>
        <v>1041932.9840000002</v>
      </c>
      <c r="O15" s="538">
        <f>D15/N15</f>
        <v>0.10414113159508154</v>
      </c>
      <c r="P15" s="538">
        <f>G15/N15</f>
        <v>0.10762446502989294</v>
      </c>
      <c r="R15" s="894"/>
      <c r="S15" s="894"/>
    </row>
    <row r="16" spans="2:19">
      <c r="B16" t="s">
        <v>423</v>
      </c>
      <c r="C16" s="250">
        <f>'Area Lts'!S54*IF(Base1_Billing2=2,1+$I$39,1)</f>
        <v>120186.13999999998</v>
      </c>
      <c r="D16" s="251">
        <f t="shared" si="2"/>
        <v>1442233.6799999997</v>
      </c>
      <c r="E16" s="252"/>
      <c r="F16" s="250">
        <f>IF(Base1_Billing2=1,'Area Lts'!AG54,'Area Lts'!AG63)</f>
        <v>124194.32999999994</v>
      </c>
      <c r="G16" s="251">
        <f t="shared" si="0"/>
        <v>1490331.9599999993</v>
      </c>
      <c r="I16" s="157">
        <f t="shared" si="1"/>
        <v>3.3349852154332948E-2</v>
      </c>
      <c r="J16" s="310">
        <v>0</v>
      </c>
      <c r="L16" s="394">
        <f>L11</f>
        <v>3.3299481392131298E-2</v>
      </c>
      <c r="M16" s="313"/>
      <c r="N16" s="596">
        <f>'REVRUNS 12ME1219'!P303</f>
        <v>4732835.9471299993</v>
      </c>
      <c r="O16" s="538"/>
      <c r="R16" s="894"/>
      <c r="S16" s="894"/>
    </row>
    <row r="17" spans="2:19" ht="15">
      <c r="B17" t="s">
        <v>424</v>
      </c>
      <c r="C17" s="253">
        <f>'Area Lts'!T54*IF(Base1_Billing2=2,1+$I$39,1)</f>
        <v>67627.360165999984</v>
      </c>
      <c r="D17" s="253">
        <f t="shared" si="2"/>
        <v>811528.32199199987</v>
      </c>
      <c r="E17" s="252"/>
      <c r="F17" s="253">
        <f>IF(Base1_Billing2=1,'Area Lts'!AH54,'Area Lts'!AH63)</f>
        <v>69881.620165999993</v>
      </c>
      <c r="G17" s="253">
        <f t="shared" si="0"/>
        <v>838579.44199199998</v>
      </c>
      <c r="I17" s="157">
        <f t="shared" si="1"/>
        <v>3.3333550126260159E-2</v>
      </c>
      <c r="J17" s="310">
        <v>0</v>
      </c>
      <c r="L17" s="394">
        <f>L11</f>
        <v>3.3299481392131298E-2</v>
      </c>
      <c r="M17" s="313"/>
      <c r="N17" s="665">
        <f>'REVRUNS 12ME1219'!P313</f>
        <v>2499245.1762899999</v>
      </c>
      <c r="R17" s="894"/>
      <c r="S17" s="894"/>
    </row>
    <row r="18" spans="2:19">
      <c r="I18" s="84"/>
      <c r="L18" s="377"/>
      <c r="N18" s="408"/>
      <c r="R18" s="894"/>
      <c r="S18" s="894"/>
    </row>
    <row r="19" spans="2:19" ht="15">
      <c r="B19" t="s">
        <v>66</v>
      </c>
      <c r="C19" s="254">
        <f>SUM(C11:C17)</f>
        <v>552388.75016599998</v>
      </c>
      <c r="D19" s="254">
        <f>SUM(D11:D17)</f>
        <v>6628665.0019919993</v>
      </c>
      <c r="F19" s="254">
        <f>SUM(F11:F17)</f>
        <v>571842.21016599995</v>
      </c>
      <c r="G19" s="254">
        <f>SUM(G11:G17)</f>
        <v>6862106.5219919989</v>
      </c>
      <c r="I19" s="326">
        <f>G19/D19-1</f>
        <v>3.5216973542915087E-2</v>
      </c>
      <c r="J19" s="311">
        <v>0</v>
      </c>
      <c r="L19" s="377">
        <f>L11</f>
        <v>3.3299481392131298E-2</v>
      </c>
      <c r="N19" s="408">
        <f>SUM(N11:N18)</f>
        <v>17961923.65997</v>
      </c>
      <c r="R19" s="894"/>
      <c r="S19" s="894"/>
    </row>
    <row r="20" spans="2:19">
      <c r="C20" s="68">
        <f>ROUND(C19-CHOOSE(Base1_Billing2,'St Lts'!AC99+'Area Lts'!T55,'St Lts'!AC105+'Area Lts'!T64+G52),0)</f>
        <v>0</v>
      </c>
      <c r="F20" s="68">
        <f>ROUND(F19-CHOOSE(Base1_Billing2,'St Lts'!AU98+'Area Lts'!AH55,'St Lts'!AU104+'Area Lts'!AH64),0)</f>
        <v>0</v>
      </c>
      <c r="L20" s="157">
        <f>I19-L19</f>
        <v>1.917492150783788E-3</v>
      </c>
      <c r="N20" s="408"/>
      <c r="R20" s="894"/>
      <c r="S20" s="894"/>
    </row>
    <row r="21" spans="2:19" s="523" customFormat="1">
      <c r="B21" s="116" t="s">
        <v>557</v>
      </c>
      <c r="C21" s="68"/>
      <c r="D21" s="585">
        <f>D15/N15</f>
        <v>0.10414113159508154</v>
      </c>
      <c r="E21" s="581"/>
      <c r="F21" s="581"/>
      <c r="G21" s="585">
        <f>G15/N15</f>
        <v>0.10762446502989294</v>
      </c>
      <c r="L21" s="157"/>
      <c r="N21" s="536"/>
    </row>
    <row r="22" spans="2:19" s="523" customFormat="1">
      <c r="C22" s="68"/>
      <c r="F22" s="68"/>
      <c r="L22" s="157"/>
      <c r="N22" s="536"/>
    </row>
    <row r="23" spans="2:19">
      <c r="B23" s="736" t="s">
        <v>911</v>
      </c>
      <c r="C23" s="19"/>
      <c r="L23" s="315">
        <f ca="1">G19-('Rate Spread GRC'!J31*1000)</f>
        <v>94.046191356144845</v>
      </c>
    </row>
    <row r="24" spans="2:19">
      <c r="B24" s="736" t="s">
        <v>912</v>
      </c>
      <c r="C24" s="19"/>
      <c r="D24" s="19"/>
      <c r="E24" s="19"/>
      <c r="F24" s="19"/>
      <c r="G24" s="19"/>
      <c r="H24" s="19"/>
      <c r="I24" s="19"/>
      <c r="J24" s="19"/>
      <c r="K24" s="19"/>
    </row>
    <row r="25" spans="2:19" s="523" customFormat="1">
      <c r="B25" s="94"/>
      <c r="C25" s="19"/>
      <c r="D25" s="19"/>
      <c r="E25" s="19"/>
      <c r="F25" s="19"/>
      <c r="G25" s="19"/>
      <c r="H25" s="19"/>
      <c r="I25" s="19"/>
      <c r="J25" s="19"/>
      <c r="K25" s="19"/>
      <c r="N25" s="536"/>
    </row>
    <row r="26" spans="2:19">
      <c r="C26" s="85" t="s">
        <v>355</v>
      </c>
      <c r="D26" s="257">
        <f>D19*(1+I39)+'Area Lts'!T62*12</f>
        <v>6628665.0019919993</v>
      </c>
      <c r="E26" s="19"/>
      <c r="F26" s="85" t="s">
        <v>567</v>
      </c>
      <c r="G26" s="257">
        <f>G19*(1+J39)+'Area Lts'!AH62*12</f>
        <v>6862106.5219919989</v>
      </c>
      <c r="I26" s="258">
        <f>G26/D26-1</f>
        <v>3.5216973542915087E-2</v>
      </c>
      <c r="J26" s="19"/>
      <c r="K26" s="257">
        <f>G26-D26</f>
        <v>233441.51999999955</v>
      </c>
    </row>
    <row r="27" spans="2:19">
      <c r="C27" s="259" t="s">
        <v>71</v>
      </c>
      <c r="D27" s="260">
        <f>D26-D19</f>
        <v>0</v>
      </c>
      <c r="E27" s="261"/>
      <c r="F27" s="262" t="s">
        <v>567</v>
      </c>
      <c r="G27" s="263">
        <f>G26-G19</f>
        <v>0</v>
      </c>
      <c r="I27" s="19"/>
      <c r="J27" s="19"/>
      <c r="K27" s="19"/>
    </row>
    <row r="28" spans="2:19">
      <c r="C28" s="264" t="s">
        <v>565</v>
      </c>
      <c r="D28" s="265">
        <f>D$19*(I36+I37)</f>
        <v>0</v>
      </c>
      <c r="E28" s="266"/>
      <c r="F28" s="267" t="s">
        <v>566</v>
      </c>
      <c r="G28" s="268">
        <f>G$19*(J36+J37)</f>
        <v>0</v>
      </c>
      <c r="I28" s="19"/>
      <c r="J28" s="19"/>
      <c r="K28" s="19"/>
      <c r="L28" s="19"/>
      <c r="M28" s="19"/>
    </row>
    <row r="29" spans="2:19">
      <c r="C29" s="269" t="s">
        <v>356</v>
      </c>
      <c r="D29" s="270">
        <f>D$19*I38</f>
        <v>0</v>
      </c>
      <c r="E29" s="169"/>
      <c r="F29" s="271" t="s">
        <v>568</v>
      </c>
      <c r="G29" s="272">
        <f>G$19*J38</f>
        <v>0</v>
      </c>
      <c r="I29" s="19"/>
      <c r="J29" s="19"/>
      <c r="K29" s="19"/>
      <c r="L29" s="19"/>
      <c r="M29" s="19"/>
    </row>
    <row r="30" spans="2:19">
      <c r="C30" s="85" t="s">
        <v>569</v>
      </c>
      <c r="D30" s="257">
        <f>D28*($L$36+L37)</f>
        <v>0</v>
      </c>
      <c r="E30" s="19"/>
      <c r="F30" s="85"/>
      <c r="G30" s="257"/>
      <c r="I30" s="19"/>
      <c r="J30" s="19"/>
      <c r="K30" s="19"/>
      <c r="L30" s="19"/>
      <c r="M30" s="19"/>
    </row>
    <row r="31" spans="2:19">
      <c r="C31" s="85" t="s">
        <v>355</v>
      </c>
      <c r="D31" s="294">
        <f>D26</f>
        <v>6628665.0019919993</v>
      </c>
      <c r="E31" s="19"/>
      <c r="F31" s="85" t="s">
        <v>604</v>
      </c>
      <c r="G31" s="294">
        <f>G19*(1+D39)+'Area Lts'!AH62*12</f>
        <v>6862106.5219919989</v>
      </c>
      <c r="I31" s="258">
        <f>G31/D31-1</f>
        <v>3.5216973542915087E-2</v>
      </c>
      <c r="J31" s="19"/>
      <c r="K31" s="257">
        <f>G31-D26</f>
        <v>233441.51999999955</v>
      </c>
      <c r="L31" s="257">
        <f>K31-J$19</f>
        <v>233441.51999999955</v>
      </c>
      <c r="M31" s="19"/>
    </row>
    <row r="32" spans="2:19">
      <c r="C32" s="85"/>
      <c r="D32" s="257"/>
      <c r="E32" s="19"/>
      <c r="F32" s="85"/>
      <c r="G32" s="257"/>
      <c r="I32" s="19"/>
      <c r="J32" s="19"/>
      <c r="K32" s="19"/>
      <c r="L32" s="19"/>
      <c r="M32" s="19"/>
    </row>
    <row r="33" spans="2:15">
      <c r="C33" s="85"/>
      <c r="D33" s="257"/>
      <c r="E33" s="19"/>
      <c r="F33" s="85"/>
      <c r="G33" s="257"/>
      <c r="I33" s="19"/>
      <c r="J33" s="19"/>
      <c r="K33" s="19"/>
      <c r="L33" s="19"/>
      <c r="M33" s="19"/>
    </row>
    <row r="34" spans="2:15">
      <c r="C34" s="19"/>
      <c r="D34" s="257"/>
      <c r="E34" s="19"/>
      <c r="F34" s="19"/>
      <c r="G34" s="19"/>
      <c r="I34" s="19"/>
      <c r="J34" s="85" t="s">
        <v>354</v>
      </c>
      <c r="K34" s="258"/>
      <c r="L34" s="19"/>
      <c r="M34" s="19"/>
    </row>
    <row r="35" spans="2:15">
      <c r="D35" s="276" t="s">
        <v>286</v>
      </c>
      <c r="E35" s="19"/>
      <c r="F35" s="19"/>
      <c r="G35" s="19"/>
      <c r="I35" s="276" t="s">
        <v>284</v>
      </c>
      <c r="J35" s="276" t="s">
        <v>284</v>
      </c>
      <c r="K35" s="276" t="s">
        <v>286</v>
      </c>
      <c r="L35" s="19"/>
      <c r="M35" s="19"/>
    </row>
    <row r="36" spans="2:15">
      <c r="D36" s="277">
        <f>K36</f>
        <v>0</v>
      </c>
      <c r="E36" s="19"/>
      <c r="F36" s="19"/>
      <c r="G36" s="19" t="s">
        <v>432</v>
      </c>
      <c r="I36" s="273">
        <v>0</v>
      </c>
      <c r="J36" s="258">
        <f>(L19+(1+I36))/(1+L19)-1</f>
        <v>0</v>
      </c>
      <c r="K36" s="277">
        <f>J36*(1+L36)</f>
        <v>0</v>
      </c>
      <c r="L36" s="273">
        <v>0</v>
      </c>
      <c r="M36" s="19"/>
    </row>
    <row r="37" spans="2:15" s="327" customFormat="1">
      <c r="D37" s="277">
        <f>K37</f>
        <v>0</v>
      </c>
      <c r="E37" s="19"/>
      <c r="F37" s="19"/>
      <c r="G37" s="19" t="s">
        <v>564</v>
      </c>
      <c r="I37" s="273">
        <v>0</v>
      </c>
      <c r="J37" s="258">
        <f>(L19+(1+I37))/(1+L19)-1</f>
        <v>0</v>
      </c>
      <c r="K37" s="277">
        <f>J37*(1+L37)</f>
        <v>0</v>
      </c>
      <c r="L37" s="273">
        <v>0</v>
      </c>
      <c r="M37" s="19" t="s">
        <v>444</v>
      </c>
      <c r="N37" s="536"/>
    </row>
    <row r="38" spans="2:15">
      <c r="D38" s="277">
        <f>K38</f>
        <v>0</v>
      </c>
      <c r="E38" s="19"/>
      <c r="F38" s="19"/>
      <c r="G38" s="19"/>
      <c r="I38" s="273">
        <v>0</v>
      </c>
      <c r="J38" s="258">
        <f>(L19+(1+I38))/(1+L19)-1</f>
        <v>0</v>
      </c>
      <c r="K38" s="258">
        <f>J38*(1+$L$38)</f>
        <v>0</v>
      </c>
      <c r="L38" s="273">
        <v>0</v>
      </c>
      <c r="M38" s="19"/>
    </row>
    <row r="39" spans="2:15">
      <c r="C39" s="19"/>
      <c r="D39" s="274">
        <f>D36+D37+D38</f>
        <v>0</v>
      </c>
      <c r="E39" s="19"/>
      <c r="F39" s="19"/>
      <c r="G39" s="85" t="s">
        <v>353</v>
      </c>
      <c r="I39" s="275">
        <f>I36+I37+I38</f>
        <v>0</v>
      </c>
      <c r="J39" s="275">
        <f>J36+J37+J38</f>
        <v>0</v>
      </c>
      <c r="K39" s="274">
        <f>K36+K37+K38</f>
        <v>0</v>
      </c>
      <c r="L39" s="19"/>
      <c r="M39" s="19"/>
    </row>
    <row r="40" spans="2:15">
      <c r="C40" s="19"/>
      <c r="D40" s="19"/>
      <c r="E40" s="19"/>
      <c r="F40" s="19"/>
      <c r="G40" s="19"/>
      <c r="I40" s="19"/>
      <c r="J40" s="19"/>
      <c r="K40" s="19"/>
      <c r="L40" s="19"/>
      <c r="M40" s="19"/>
    </row>
    <row r="41" spans="2:15">
      <c r="C41" s="19" t="s">
        <v>620</v>
      </c>
      <c r="D41" s="19" t="s">
        <v>636</v>
      </c>
      <c r="E41" s="19" t="s">
        <v>621</v>
      </c>
      <c r="F41" s="19"/>
      <c r="G41" s="19" t="s">
        <v>754</v>
      </c>
      <c r="H41" s="19"/>
      <c r="J41" s="19"/>
      <c r="K41" s="19"/>
      <c r="L41" s="19"/>
      <c r="M41" s="19"/>
      <c r="N41" s="19"/>
      <c r="O41" s="536"/>
    </row>
    <row r="42" spans="2:15" hidden="1">
      <c r="B42" s="58" t="s">
        <v>375</v>
      </c>
      <c r="C42" s="323">
        <v>488916.65005000005</v>
      </c>
      <c r="D42" s="323">
        <v>488917.65005</v>
      </c>
      <c r="E42" s="323">
        <v>5866999.8006000007</v>
      </c>
      <c r="F42" s="324"/>
      <c r="G42" s="323">
        <v>556466.54005000007</v>
      </c>
      <c r="H42" s="323">
        <v>6677598.4805999994</v>
      </c>
      <c r="I42" s="19"/>
      <c r="J42" s="19"/>
      <c r="K42" s="19"/>
      <c r="L42" s="19"/>
      <c r="M42" s="19"/>
      <c r="N42"/>
      <c r="O42" s="536"/>
    </row>
    <row r="43" spans="2:15" hidden="1">
      <c r="B43" s="58" t="s">
        <v>376</v>
      </c>
      <c r="C43" s="57">
        <f>C19-C42</f>
        <v>63472.100115999929</v>
      </c>
      <c r="D43" s="57">
        <f>D19-D42</f>
        <v>6139747.351941999</v>
      </c>
      <c r="E43" s="57">
        <f>D19-E42</f>
        <v>761665.20139199868</v>
      </c>
      <c r="G43" s="57">
        <f>F19-G42</f>
        <v>15375.670115999877</v>
      </c>
      <c r="H43" s="57">
        <f>G19-H42</f>
        <v>184508.04139199946</v>
      </c>
      <c r="N43"/>
      <c r="O43" s="536"/>
    </row>
    <row r="44" spans="2:15" hidden="1">
      <c r="B44" s="58" t="s">
        <v>377</v>
      </c>
      <c r="C44" s="84">
        <f>C43/C42</f>
        <v>0.12982192385861441</v>
      </c>
      <c r="D44" s="84">
        <f>D43/D42</f>
        <v>12.557835355942064</v>
      </c>
      <c r="E44" s="84">
        <f>E43/E42</f>
        <v>0.12982192385861432</v>
      </c>
      <c r="F44" s="84"/>
      <c r="G44" s="84">
        <f>G43/G42</f>
        <v>2.7630897833710415E-2</v>
      </c>
      <c r="H44" s="84">
        <f>H43/H42</f>
        <v>2.763089783371056E-2</v>
      </c>
      <c r="N44"/>
      <c r="O44" s="536"/>
    </row>
    <row r="45" spans="2:15">
      <c r="B45" s="610" t="s">
        <v>415</v>
      </c>
      <c r="C45" s="395"/>
      <c r="D45" s="395"/>
      <c r="E45" s="395"/>
      <c r="G45" s="626">
        <f>C45+D45+F45</f>
        <v>0</v>
      </c>
      <c r="N45"/>
      <c r="O45" s="536"/>
    </row>
    <row r="46" spans="2:15">
      <c r="B46" s="610" t="s">
        <v>416</v>
      </c>
      <c r="C46" s="395"/>
      <c r="D46" s="395"/>
      <c r="G46" s="626">
        <f t="shared" ref="G46:G51" si="3">C46+D46+F46</f>
        <v>0</v>
      </c>
      <c r="N46"/>
      <c r="O46" s="536"/>
    </row>
    <row r="47" spans="2:15">
      <c r="B47" s="610" t="s">
        <v>417</v>
      </c>
      <c r="C47" s="395"/>
      <c r="D47" s="395"/>
      <c r="G47" s="626">
        <f t="shared" si="3"/>
        <v>0</v>
      </c>
      <c r="N47"/>
      <c r="O47" s="536"/>
    </row>
    <row r="48" spans="2:15">
      <c r="B48" s="610" t="s">
        <v>418</v>
      </c>
      <c r="C48" s="395"/>
      <c r="D48" s="395"/>
      <c r="G48" s="626">
        <f t="shared" si="3"/>
        <v>0</v>
      </c>
      <c r="N48"/>
      <c r="O48" s="536"/>
    </row>
    <row r="49" spans="2:15">
      <c r="B49" s="610" t="s">
        <v>419</v>
      </c>
      <c r="C49" s="395"/>
      <c r="D49" s="395"/>
      <c r="G49" s="626">
        <f t="shared" si="3"/>
        <v>0</v>
      </c>
      <c r="N49"/>
      <c r="O49" s="536"/>
    </row>
    <row r="50" spans="2:15">
      <c r="B50" s="610" t="s">
        <v>423</v>
      </c>
      <c r="C50" s="395"/>
      <c r="D50" s="395"/>
      <c r="G50" s="626">
        <f t="shared" si="3"/>
        <v>0</v>
      </c>
      <c r="N50"/>
      <c r="O50" s="536"/>
    </row>
    <row r="51" spans="2:15">
      <c r="B51" s="610" t="s">
        <v>424</v>
      </c>
      <c r="C51" s="395"/>
      <c r="D51" s="395"/>
      <c r="F51" s="395"/>
      <c r="G51" s="626">
        <f t="shared" si="3"/>
        <v>0</v>
      </c>
      <c r="N51"/>
      <c r="O51" s="536"/>
    </row>
    <row r="52" spans="2:15" ht="13.5" thickBot="1">
      <c r="B52" s="610" t="s">
        <v>66</v>
      </c>
      <c r="C52" s="611">
        <f>C45+C46+C47+C48+C49+C50+C51</f>
        <v>0</v>
      </c>
      <c r="D52" s="611">
        <f>D45+D46+D47+D48+D49+D50+D51</f>
        <v>0</v>
      </c>
      <c r="F52" s="611">
        <f>E45+E46+E47+E48+E49+E50+F51</f>
        <v>0</v>
      </c>
      <c r="G52" s="57">
        <f>C52+F52+D52</f>
        <v>0</v>
      </c>
      <c r="I52" s="57"/>
      <c r="N52"/>
      <c r="O52" s="536"/>
    </row>
    <row r="53" spans="2:15" ht="13.5" thickTop="1">
      <c r="C53" s="612"/>
      <c r="D53" s="612"/>
      <c r="F53" s="612"/>
      <c r="N53"/>
      <c r="O53" s="536"/>
    </row>
    <row r="55" spans="2:15">
      <c r="F55" t="s">
        <v>309</v>
      </c>
      <c r="G55" s="57">
        <f>D31+G52</f>
        <v>6628665.0019919993</v>
      </c>
    </row>
  </sheetData>
  <mergeCells count="2">
    <mergeCell ref="C7:D7"/>
    <mergeCell ref="F7:G7"/>
  </mergeCells>
  <phoneticPr fontId="0" type="noConversion"/>
  <conditionalFormatting sqref="C20:C22 F20 F22">
    <cfRule type="expression" dxfId="19" priority="1" stopIfTrue="1">
      <formula>ABS(C20)&gt;0.5</formula>
    </cfRule>
  </conditionalFormatting>
  <printOptions horizontalCentered="1"/>
  <pageMargins left="0.75" right="0.75" top="1" bottom="1" header="0.5" footer="0.5"/>
  <pageSetup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92D050"/>
    <pageSetUpPr fitToPage="1"/>
  </sheetPr>
  <dimension ref="A1:XFD214"/>
  <sheetViews>
    <sheetView showGridLines="0" topLeftCell="E1" zoomScale="115" zoomScaleNormal="115" workbookViewId="0">
      <selection activeCell="I1" sqref="I1:AO153"/>
    </sheetView>
  </sheetViews>
  <sheetFormatPr defaultRowHeight="12.75"/>
  <cols>
    <col min="1" max="1" width="7.7109375" customWidth="1"/>
    <col min="2" max="2" width="6.7109375" style="35" customWidth="1"/>
    <col min="3" max="3" width="7.5703125" style="35" customWidth="1"/>
    <col min="4" max="4" width="10.42578125" style="35" customWidth="1"/>
    <col min="5" max="5" width="12.28515625" customWidth="1"/>
    <col min="6" max="6" width="1.7109375" customWidth="1"/>
    <col min="7" max="7" width="9.7109375" customWidth="1"/>
    <col min="8" max="8" width="7.7109375" style="568" bestFit="1" customWidth="1"/>
    <col min="9" max="9" width="28.42578125" customWidth="1"/>
    <col min="10" max="10" width="27" bestFit="1" customWidth="1"/>
    <col min="11" max="11" width="14.42578125" style="58" bestFit="1" customWidth="1"/>
    <col min="12" max="12" width="7.5703125" customWidth="1"/>
    <col min="13" max="13" width="6.7109375" hidden="1" customWidth="1"/>
    <col min="14" max="14" width="7.28515625" hidden="1" customWidth="1"/>
    <col min="15" max="16" width="6.7109375" hidden="1" customWidth="1"/>
    <col min="17" max="17" width="7.28515625" hidden="1" customWidth="1"/>
    <col min="18" max="18" width="2.7109375" hidden="1" customWidth="1"/>
    <col min="19" max="19" width="7.5703125" customWidth="1"/>
    <col min="20" max="20" width="9.28515625" customWidth="1"/>
    <col min="21" max="22" width="7.5703125" customWidth="1"/>
    <col min="23" max="23" width="7.28515625" customWidth="1"/>
    <col min="24" max="24" width="2.7109375" hidden="1" customWidth="1"/>
    <col min="25" max="25" width="8.28515625" hidden="1" customWidth="1"/>
    <col min="26" max="26" width="9.7109375" hidden="1" customWidth="1"/>
    <col min="27" max="27" width="7.28515625" hidden="1" customWidth="1"/>
    <col min="28" max="28" width="8.28515625" hidden="1" customWidth="1"/>
    <col min="29" max="29" width="9.7109375" hidden="1" customWidth="1"/>
    <col min="30" max="30" width="10.7109375" hidden="1" customWidth="1"/>
    <col min="31" max="31" width="6.7109375" hidden="1" customWidth="1"/>
    <col min="32" max="32" width="7.28515625" hidden="1" customWidth="1"/>
    <col min="33" max="35" width="6.7109375" hidden="1" customWidth="1"/>
    <col min="36" max="36" width="2.7109375" customWidth="1"/>
    <col min="37" max="41" width="8" customWidth="1"/>
    <col min="42" max="42" width="2.7109375" customWidth="1"/>
    <col min="43" max="43" width="8.28515625" customWidth="1"/>
    <col min="44" max="44" width="9.7109375" bestFit="1" customWidth="1"/>
    <col min="45" max="46" width="8.28515625" customWidth="1"/>
    <col min="47" max="47" width="9.42578125" bestFit="1" customWidth="1"/>
    <col min="48" max="48" width="10.7109375" customWidth="1"/>
    <col min="49" max="49" width="10.7109375" style="738" customWidth="1"/>
    <col min="50" max="50" width="6.42578125" style="432" customWidth="1"/>
    <col min="56" max="56" width="9.28515625" style="432"/>
    <col min="57" max="57" width="11.5703125" bestFit="1" customWidth="1"/>
    <col min="58" max="58" width="9.28515625" customWidth="1"/>
  </cols>
  <sheetData>
    <row r="1" spans="1:123" ht="18">
      <c r="A1" s="60" t="s">
        <v>112</v>
      </c>
      <c r="I1" s="717" t="s">
        <v>873</v>
      </c>
      <c r="AJ1" s="58" t="s">
        <v>422</v>
      </c>
      <c r="AK1" s="204">
        <f>'Lighting summary'!L11</f>
        <v>3.3299481392131298E-2</v>
      </c>
      <c r="AL1" s="204">
        <f>'Lighting summary'!L12</f>
        <v>3.3299481392131298E-2</v>
      </c>
      <c r="AM1" s="204">
        <f>'Lighting summary'!L13</f>
        <v>3.3299481392131298E-2</v>
      </c>
      <c r="AN1" s="204">
        <f>'Lighting summary'!L14</f>
        <v>3.3299481392131298E-2</v>
      </c>
      <c r="AO1" s="204">
        <f>'Lighting summary'!L15</f>
        <v>3.3299481392131298E-2</v>
      </c>
      <c r="AY1" s="164"/>
      <c r="BE1" s="607">
        <f>-0.00789-0.00045-0.00339</f>
        <v>-1.1730000000000001E-2</v>
      </c>
      <c r="BF1" t="s">
        <v>407</v>
      </c>
      <c r="BM1" s="84">
        <f>BF2</f>
        <v>1.0150999999999999</v>
      </c>
    </row>
    <row r="2" spans="1:123" ht="15">
      <c r="A2" s="62" t="s">
        <v>905</v>
      </c>
      <c r="M2" s="63" t="s">
        <v>381</v>
      </c>
      <c r="N2" s="64"/>
      <c r="O2" s="64"/>
      <c r="P2" s="64"/>
      <c r="Q2" s="64"/>
      <c r="S2" s="63" t="s">
        <v>103</v>
      </c>
      <c r="T2" s="64"/>
      <c r="U2" s="64"/>
      <c r="V2" s="64"/>
      <c r="W2" s="64"/>
      <c r="Y2" s="63" t="s">
        <v>114</v>
      </c>
      <c r="Z2" s="64"/>
      <c r="AA2" s="64"/>
      <c r="AB2" s="64"/>
      <c r="AC2" s="64"/>
      <c r="AE2" s="63" t="s">
        <v>113</v>
      </c>
      <c r="AF2" s="64"/>
      <c r="AG2" s="64"/>
      <c r="AH2" s="64"/>
      <c r="AI2" s="64"/>
      <c r="AK2" s="63" t="s">
        <v>104</v>
      </c>
      <c r="AL2" s="64"/>
      <c r="AM2" s="64"/>
      <c r="AN2" s="64"/>
      <c r="AO2" s="64"/>
      <c r="AQ2" s="63" t="s">
        <v>208</v>
      </c>
      <c r="AR2" s="64"/>
      <c r="AS2" s="64"/>
      <c r="AT2" s="64"/>
      <c r="AU2" s="64"/>
      <c r="AY2" s="63" t="s">
        <v>361</v>
      </c>
      <c r="AZ2" s="64"/>
      <c r="BA2" s="64"/>
      <c r="BB2" s="64"/>
      <c r="BC2" s="64"/>
      <c r="BD2" s="379"/>
      <c r="BE2" s="607">
        <v>1.3939999999999999E-2</v>
      </c>
      <c r="BF2" s="735">
        <f>1+0.0151</f>
        <v>1.0150999999999999</v>
      </c>
      <c r="BG2" t="s">
        <v>805</v>
      </c>
      <c r="BM2" t="s">
        <v>378</v>
      </c>
      <c r="BO2" s="283"/>
      <c r="BS2" s="374" t="s">
        <v>292</v>
      </c>
    </row>
    <row r="3" spans="1:123" ht="12.75" customHeight="1" thickBot="1">
      <c r="A3" s="62"/>
      <c r="I3" s="65" t="s">
        <v>115</v>
      </c>
      <c r="J3" s="65" t="s">
        <v>116</v>
      </c>
      <c r="K3" s="66" t="s">
        <v>117</v>
      </c>
      <c r="L3" s="65" t="s">
        <v>118</v>
      </c>
      <c r="M3" s="67" t="s">
        <v>119</v>
      </c>
      <c r="N3" s="67" t="s">
        <v>120</v>
      </c>
      <c r="O3" s="67" t="s">
        <v>121</v>
      </c>
      <c r="P3" s="67" t="s">
        <v>122</v>
      </c>
      <c r="Q3" s="67" t="s">
        <v>123</v>
      </c>
      <c r="S3" s="67" t="s">
        <v>119</v>
      </c>
      <c r="T3" s="67" t="s">
        <v>120</v>
      </c>
      <c r="U3" s="67" t="s">
        <v>121</v>
      </c>
      <c r="V3" s="67" t="s">
        <v>122</v>
      </c>
      <c r="W3" s="67" t="s">
        <v>123</v>
      </c>
      <c r="Y3" s="67" t="s">
        <v>119</v>
      </c>
      <c r="Z3" s="67" t="s">
        <v>120</v>
      </c>
      <c r="AA3" s="67" t="s">
        <v>121</v>
      </c>
      <c r="AB3" s="67" t="s">
        <v>122</v>
      </c>
      <c r="AC3" s="67" t="s">
        <v>123</v>
      </c>
      <c r="AE3" s="67" t="s">
        <v>119</v>
      </c>
      <c r="AF3" s="67" t="s">
        <v>120</v>
      </c>
      <c r="AG3" s="67" t="s">
        <v>121</v>
      </c>
      <c r="AH3" s="67" t="s">
        <v>122</v>
      </c>
      <c r="AI3" s="67" t="s">
        <v>123</v>
      </c>
      <c r="AK3" s="67" t="s">
        <v>119</v>
      </c>
      <c r="AL3" s="67" t="s">
        <v>120</v>
      </c>
      <c r="AM3" s="67" t="s">
        <v>121</v>
      </c>
      <c r="AN3" s="67" t="s">
        <v>122</v>
      </c>
      <c r="AO3" s="67" t="s">
        <v>123</v>
      </c>
      <c r="AQ3" s="67" t="s">
        <v>119</v>
      </c>
      <c r="AR3" s="67" t="s">
        <v>120</v>
      </c>
      <c r="AS3" s="67" t="s">
        <v>121</v>
      </c>
      <c r="AT3" s="67" t="s">
        <v>122</v>
      </c>
      <c r="AU3" s="67" t="s">
        <v>123</v>
      </c>
      <c r="AX3" s="288" t="s">
        <v>385</v>
      </c>
      <c r="AY3" s="67" t="s">
        <v>119</v>
      </c>
      <c r="AZ3" s="67" t="s">
        <v>120</v>
      </c>
      <c r="BA3" s="67" t="s">
        <v>121</v>
      </c>
      <c r="BB3" s="67" t="s">
        <v>122</v>
      </c>
      <c r="BC3" s="67" t="s">
        <v>123</v>
      </c>
      <c r="BD3" s="380"/>
      <c r="BE3" s="572" t="s">
        <v>576</v>
      </c>
      <c r="BF3" s="67" t="s">
        <v>119</v>
      </c>
      <c r="BG3" s="67" t="s">
        <v>120</v>
      </c>
      <c r="BH3" s="67" t="s">
        <v>121</v>
      </c>
      <c r="BI3" s="67" t="s">
        <v>122</v>
      </c>
      <c r="BJ3" s="67" t="s">
        <v>123</v>
      </c>
      <c r="BM3" s="67" t="s">
        <v>119</v>
      </c>
      <c r="BN3" s="67" t="s">
        <v>120</v>
      </c>
      <c r="BO3" s="67" t="s">
        <v>121</v>
      </c>
      <c r="BP3" s="67" t="s">
        <v>122</v>
      </c>
      <c r="BQ3" s="67" t="s">
        <v>123</v>
      </c>
      <c r="BS3" s="67" t="s">
        <v>119</v>
      </c>
      <c r="BT3" s="67" t="s">
        <v>120</v>
      </c>
      <c r="BU3" s="67" t="s">
        <v>121</v>
      </c>
      <c r="BV3" s="67" t="s">
        <v>122</v>
      </c>
      <c r="BW3" s="67" t="s">
        <v>123</v>
      </c>
    </row>
    <row r="4" spans="1:123" ht="12.75" customHeight="1">
      <c r="H4" s="199"/>
      <c r="I4" s="732" t="s">
        <v>450</v>
      </c>
      <c r="J4" s="732" t="s">
        <v>131</v>
      </c>
      <c r="K4" s="214" t="s">
        <v>903</v>
      </c>
      <c r="L4" s="566" t="s">
        <v>837</v>
      </c>
      <c r="M4" s="565">
        <f t="shared" ref="M4:Q12" si="0">SUMIF($G:$G,TEXT(M$3,"000")&amp;TEXT($L4,"000"),$E:$E)</f>
        <v>0</v>
      </c>
      <c r="N4" s="565">
        <f t="shared" si="0"/>
        <v>0</v>
      </c>
      <c r="O4" s="565">
        <f t="shared" si="0"/>
        <v>0</v>
      </c>
      <c r="P4" s="565">
        <f t="shared" si="0"/>
        <v>0</v>
      </c>
      <c r="Q4" s="565">
        <f t="shared" si="0"/>
        <v>0</v>
      </c>
      <c r="R4" s="565">
        <f t="shared" ref="R4" si="1">IF(SUM(M4:Q4)&gt;0,0,1)</f>
        <v>1</v>
      </c>
      <c r="S4" s="603">
        <v>0</v>
      </c>
      <c r="T4" s="603">
        <v>0</v>
      </c>
      <c r="U4" s="603">
        <v>0</v>
      </c>
      <c r="V4" s="603">
        <v>0</v>
      </c>
      <c r="W4" s="603">
        <v>0.21038000000000001</v>
      </c>
      <c r="X4" s="732"/>
      <c r="Y4" s="69">
        <f t="shared" ref="Y4" si="2">IF(AND(M4&lt;&gt;0,S4=0),#VALUE!,M4*S4)</f>
        <v>0</v>
      </c>
      <c r="Z4" s="69">
        <f t="shared" ref="Z4" si="3">IF(AND(N4&lt;&gt;0,T4=0),#VALUE!,N4*T4)</f>
        <v>0</v>
      </c>
      <c r="AA4" s="69">
        <f t="shared" ref="AA4" si="4">IF(AND(O4&lt;&gt;0,U4=0),#VALUE!,O4*U4)</f>
        <v>0</v>
      </c>
      <c r="AB4" s="69">
        <f t="shared" ref="AB4" si="5">IF(AND(P4&lt;&gt;0,V4=0),#VALUE!,P4*V4)</f>
        <v>0</v>
      </c>
      <c r="AC4" s="69">
        <f t="shared" ref="AC4" si="6">IF(AND(Q4&lt;&gt;0,W4=0),#VALUE!,Q4*W4)</f>
        <v>0</v>
      </c>
      <c r="AD4" s="732"/>
      <c r="AE4" s="565">
        <f t="shared" ref="AE4:AI13" si="7">SUMIF($G:$G,TEXT(AE$3,"000")&amp;TEXT($L4,"000"),$E:$E)</f>
        <v>0</v>
      </c>
      <c r="AF4" s="565">
        <f t="shared" si="7"/>
        <v>0</v>
      </c>
      <c r="AG4" s="565">
        <f t="shared" si="7"/>
        <v>0</v>
      </c>
      <c r="AH4" s="565">
        <f t="shared" si="7"/>
        <v>0</v>
      </c>
      <c r="AI4" s="565">
        <f t="shared" si="7"/>
        <v>0</v>
      </c>
      <c r="AJ4" s="732"/>
      <c r="AK4" s="570">
        <f t="shared" ref="AK4:AL31" si="8">ROUND(S4*(1+AK$1),2)</f>
        <v>0</v>
      </c>
      <c r="AL4" s="570"/>
      <c r="AM4" s="570">
        <f t="shared" ref="AM4:AM52" si="9">ROUND(U4*(1+AM$1),2)</f>
        <v>0</v>
      </c>
      <c r="AN4" s="570">
        <f t="shared" ref="AN4:AN52" si="10">ROUND(V4*(1+AN$1),2)</f>
        <v>0</v>
      </c>
      <c r="AO4" s="570">
        <f>ROUND(W4*(1+AO$1),2)</f>
        <v>0.22</v>
      </c>
      <c r="AP4" s="732"/>
      <c r="AQ4" s="69">
        <f t="shared" ref="AQ4:AQ50" si="11">IF(AND(AE4&lt;&gt;0,AK4=0),#VALUE!,AE4*AK4)</f>
        <v>0</v>
      </c>
      <c r="AR4" s="69">
        <f t="shared" ref="AR4:AR50" si="12">IF(AND(AF4&lt;&gt;0,AL4=0),#VALUE!,AF4*AL4)</f>
        <v>0</v>
      </c>
      <c r="AS4" s="69">
        <f t="shared" ref="AS4:AS50" si="13">IF(AND(AG4&lt;&gt;0,AM4=0),#VALUE!,AG4*AM4)</f>
        <v>0</v>
      </c>
      <c r="AT4" s="69">
        <f t="shared" ref="AT4:AT50" si="14">IF(AND(AH4&lt;&gt;0,AN4=0),#VALUE!,AH4*AN4)</f>
        <v>0</v>
      </c>
      <c r="AU4" s="69">
        <f t="shared" ref="AU4:AU50" si="15">IF(AND(AI4&lt;&gt;0,AO4=0),#VALUE!,AI4*AO4)</f>
        <v>0</v>
      </c>
      <c r="AV4" s="732"/>
      <c r="AX4" s="577">
        <v>2</v>
      </c>
      <c r="AY4" s="567"/>
      <c r="AZ4" s="567"/>
      <c r="BA4" s="567"/>
      <c r="BB4" s="567"/>
      <c r="BC4" s="567">
        <v>0.21</v>
      </c>
      <c r="BD4" s="567"/>
      <c r="BE4" s="573">
        <f t="shared" ref="BE4" si="16">ROUND(AX4*$BE$2,2)+ROUND(AX4*$BE$1,2)</f>
        <v>9.9999999999999985E-3</v>
      </c>
      <c r="BF4" s="563"/>
      <c r="BG4" s="563"/>
      <c r="BH4" s="563"/>
      <c r="BI4" s="563"/>
      <c r="BJ4" s="563">
        <f>ROUND((W4*$BF$2)+$BE4-BC4,2)</f>
        <v>0.01</v>
      </c>
      <c r="BK4" s="732"/>
      <c r="BL4" s="732"/>
      <c r="BM4" s="571">
        <f t="shared" ref="BM4" si="17">AK4*$BM$1</f>
        <v>0</v>
      </c>
      <c r="BN4" s="571">
        <f t="shared" ref="BN4" si="18">AL4*$BM$1</f>
        <v>0</v>
      </c>
      <c r="BO4" s="571">
        <f t="shared" ref="BO4" si="19">AM4*$BM$1</f>
        <v>0</v>
      </c>
      <c r="BP4" s="571">
        <f t="shared" ref="BP4" si="20">AN4*$BM$1</f>
        <v>0</v>
      </c>
      <c r="BQ4" s="571">
        <f>AO4*$BM$1</f>
        <v>0.22332199999999996</v>
      </c>
      <c r="BR4" s="732"/>
      <c r="BS4" s="563">
        <f t="shared" ref="BS4" si="21">BM4-AY4</f>
        <v>0</v>
      </c>
      <c r="BT4" s="563">
        <f t="shared" ref="BT4" si="22">BN4-AZ4</f>
        <v>0</v>
      </c>
      <c r="BU4" s="563">
        <f t="shared" ref="BU4" si="23">BO4-BA4</f>
        <v>0</v>
      </c>
      <c r="BV4" s="563">
        <f t="shared" ref="BV4" si="24">BP4-BB4</f>
        <v>0</v>
      </c>
      <c r="BW4" s="563">
        <f>BQ4-BC4</f>
        <v>1.3321999999999973E-2</v>
      </c>
      <c r="BX4" s="732"/>
      <c r="BY4" s="732"/>
      <c r="BZ4" s="732"/>
      <c r="CA4" s="732"/>
      <c r="CB4" s="732"/>
      <c r="CC4" s="732"/>
      <c r="CD4" s="732"/>
      <c r="CE4" s="732"/>
      <c r="CF4" s="732"/>
      <c r="CG4" s="732"/>
      <c r="CH4" s="732"/>
      <c r="CI4" s="732"/>
      <c r="CJ4" s="732"/>
      <c r="CK4" s="732"/>
      <c r="CL4" s="732"/>
      <c r="CM4" s="732"/>
      <c r="CN4" s="732"/>
      <c r="CO4" s="732"/>
      <c r="CP4" s="732"/>
      <c r="CQ4" s="732"/>
      <c r="CR4" s="732"/>
      <c r="CS4" s="732"/>
      <c r="CT4" s="732"/>
      <c r="CU4" s="732"/>
      <c r="CV4" s="732"/>
      <c r="CW4" s="732"/>
      <c r="CX4" s="732"/>
      <c r="CY4" s="732"/>
      <c r="CZ4" s="732"/>
      <c r="DA4" s="732"/>
      <c r="DB4" s="732"/>
      <c r="DC4" s="732"/>
      <c r="DD4" s="732"/>
      <c r="DE4" s="732"/>
      <c r="DF4" s="732"/>
      <c r="DG4" s="732"/>
      <c r="DH4" s="732"/>
      <c r="DI4" s="732"/>
      <c r="DJ4" s="732"/>
      <c r="DK4" s="732"/>
      <c r="DL4" s="732"/>
      <c r="DM4" s="732"/>
      <c r="DN4" s="732"/>
      <c r="DO4" s="732"/>
      <c r="DP4" s="732"/>
      <c r="DQ4" s="732"/>
      <c r="DR4" s="732"/>
      <c r="DS4" s="732"/>
    </row>
    <row r="5" spans="1:123" ht="12.75" customHeight="1">
      <c r="B5" s="45" t="s">
        <v>125</v>
      </c>
      <c r="C5" s="45" t="s">
        <v>118</v>
      </c>
      <c r="D5" s="45" t="s">
        <v>126</v>
      </c>
      <c r="E5" s="70" t="s">
        <v>127</v>
      </c>
      <c r="F5" s="58"/>
      <c r="G5" s="58"/>
      <c r="H5" s="199"/>
      <c r="I5" s="732" t="s">
        <v>450</v>
      </c>
      <c r="J5" s="732" t="s">
        <v>131</v>
      </c>
      <c r="K5" s="214" t="s">
        <v>903</v>
      </c>
      <c r="L5" s="566" t="s">
        <v>838</v>
      </c>
      <c r="M5" s="565">
        <f t="shared" si="0"/>
        <v>0</v>
      </c>
      <c r="N5" s="565">
        <f t="shared" si="0"/>
        <v>0</v>
      </c>
      <c r="O5" s="565">
        <f t="shared" si="0"/>
        <v>0</v>
      </c>
      <c r="P5" s="565">
        <f t="shared" si="0"/>
        <v>0</v>
      </c>
      <c r="Q5" s="565">
        <f t="shared" si="0"/>
        <v>42</v>
      </c>
      <c r="R5" s="565">
        <f t="shared" ref="R5:R25" si="25">IF(SUM(M5:Q5)&gt;0,0,1)</f>
        <v>0</v>
      </c>
      <c r="S5" s="603">
        <v>0</v>
      </c>
      <c r="T5" s="603">
        <v>0</v>
      </c>
      <c r="U5" s="603">
        <v>0</v>
      </c>
      <c r="V5" s="603">
        <v>0</v>
      </c>
      <c r="W5" s="603">
        <v>0.52595000000000003</v>
      </c>
      <c r="X5" s="732"/>
      <c r="Y5" s="69">
        <f t="shared" ref="Y5:Y25" si="26">IF(AND(M5&lt;&gt;0,S5=0),#VALUE!,M5*S5)</f>
        <v>0</v>
      </c>
      <c r="Z5" s="69">
        <f t="shared" ref="Z5:Z25" si="27">IF(AND(N5&lt;&gt;0,T5=0),#VALUE!,N5*T5)</f>
        <v>0</v>
      </c>
      <c r="AA5" s="69">
        <f t="shared" ref="AA5:AA25" si="28">IF(AND(O5&lt;&gt;0,U5=0),#VALUE!,O5*U5)</f>
        <v>0</v>
      </c>
      <c r="AB5" s="69">
        <f t="shared" ref="AB5:AB25" si="29">IF(AND(P5&lt;&gt;0,V5=0),#VALUE!,P5*V5)</f>
        <v>0</v>
      </c>
      <c r="AC5" s="69">
        <f t="shared" ref="AC5:AC24" si="30">IF(AND(Q5&lt;&gt;0,W5=0),#VALUE!,Q5*W5)</f>
        <v>22.0899</v>
      </c>
      <c r="AD5" s="732"/>
      <c r="AE5" s="565">
        <f t="shared" si="7"/>
        <v>0</v>
      </c>
      <c r="AF5" s="565">
        <f t="shared" si="7"/>
        <v>0</v>
      </c>
      <c r="AG5" s="565">
        <f t="shared" si="7"/>
        <v>0</v>
      </c>
      <c r="AH5" s="565">
        <f t="shared" si="7"/>
        <v>0</v>
      </c>
      <c r="AI5" s="565">
        <f t="shared" si="7"/>
        <v>42</v>
      </c>
      <c r="AJ5" s="732"/>
      <c r="AK5" s="570">
        <f t="shared" ref="AK5:AK25" si="31">ROUND(S5*(1+AK$1),2)</f>
        <v>0</v>
      </c>
      <c r="AL5" s="570"/>
      <c r="AM5" s="570">
        <f t="shared" ref="AM5:AM25" si="32">ROUND(U5*(1+AM$1),2)</f>
        <v>0</v>
      </c>
      <c r="AN5" s="570">
        <f t="shared" ref="AN5:AN25" si="33">ROUND(V5*(1+AN$1),2)</f>
        <v>0</v>
      </c>
      <c r="AO5" s="570">
        <f t="shared" ref="AO5:AO24" si="34">ROUND(W5*(1+AO$1),2)</f>
        <v>0.54</v>
      </c>
      <c r="AP5" s="732"/>
      <c r="AQ5" s="69">
        <f t="shared" ref="AQ5:AQ25" si="35">IF(AND(AE5&lt;&gt;0,AK5=0),#VALUE!,AE5*AK5)</f>
        <v>0</v>
      </c>
      <c r="AR5" s="69">
        <f>IF(AND(AF5&lt;&gt;0,AL5=0),#VALUE!,AF5*AL5)</f>
        <v>0</v>
      </c>
      <c r="AS5" s="69">
        <f t="shared" ref="AS5:AS25" si="36">IF(AND(AG5&lt;&gt;0,AM5=0),#VALUE!,AG5*AM5)</f>
        <v>0</v>
      </c>
      <c r="AT5" s="69">
        <f t="shared" ref="AT5:AT25" si="37">IF(AND(AH5&lt;&gt;0,AN5=0),#VALUE!,AH5*AN5)</f>
        <v>0</v>
      </c>
      <c r="AU5" s="69">
        <f>IF(AND(AI5&lt;&gt;0,AO5=0),#VALUE!,AI5*AO5)</f>
        <v>22.68</v>
      </c>
      <c r="AV5" s="732"/>
      <c r="AX5" s="577">
        <v>5</v>
      </c>
      <c r="AY5" s="567"/>
      <c r="AZ5" s="567"/>
      <c r="BA5" s="567"/>
      <c r="BB5" s="567"/>
      <c r="BC5" s="567">
        <v>0.55000000000000004</v>
      </c>
      <c r="BD5" s="567"/>
      <c r="BE5" s="573">
        <f t="shared" ref="BE5:BE25" si="38">ROUND(AX5*$BE$2,2)+ROUND(AX5*$BE$1,2)</f>
        <v>1.0000000000000009E-2</v>
      </c>
      <c r="BF5" s="563"/>
      <c r="BG5" s="563"/>
      <c r="BH5" s="563"/>
      <c r="BI5" s="563"/>
      <c r="BJ5" s="563">
        <f t="shared" ref="BJ5:BJ25" si="39">ROUND((W5*$BF$2)+$BE5-BC5,2)</f>
        <v>-0.01</v>
      </c>
      <c r="BK5" s="732"/>
      <c r="BL5" s="732"/>
      <c r="BM5" s="571">
        <f t="shared" ref="BM5:BM25" si="40">AK5*$BM$1</f>
        <v>0</v>
      </c>
      <c r="BN5" s="571">
        <f t="shared" ref="BN5:BN25" si="41">AL5*$BM$1</f>
        <v>0</v>
      </c>
      <c r="BO5" s="571">
        <f t="shared" ref="BO5:BO25" si="42">AM5*$BM$1</f>
        <v>0</v>
      </c>
      <c r="BP5" s="571">
        <f t="shared" ref="BP5:BP25" si="43">AN5*$BM$1</f>
        <v>0</v>
      </c>
      <c r="BQ5" s="571">
        <f t="shared" ref="BQ5:BQ25" si="44">AO5*$BM$1</f>
        <v>0.54815400000000003</v>
      </c>
      <c r="BR5" s="732"/>
      <c r="BS5" s="563">
        <f t="shared" ref="BS5:BS25" si="45">BM5-AY5</f>
        <v>0</v>
      </c>
      <c r="BT5" s="563">
        <f t="shared" ref="BT5:BT25" si="46">BN5-AZ5</f>
        <v>0</v>
      </c>
      <c r="BU5" s="563">
        <f t="shared" ref="BU5:BU25" si="47">BO5-BA5</f>
        <v>0</v>
      </c>
      <c r="BV5" s="563">
        <f t="shared" ref="BV5:BV25" si="48">BP5-BB5</f>
        <v>0</v>
      </c>
      <c r="BW5" s="563">
        <f t="shared" ref="BW5:BW25" si="49">BQ5-BC5</f>
        <v>-1.8460000000000143E-3</v>
      </c>
      <c r="BX5" s="732"/>
      <c r="BY5" s="732"/>
      <c r="BZ5" s="732"/>
      <c r="CA5" s="732"/>
      <c r="CB5" s="732"/>
      <c r="CC5" s="732"/>
      <c r="CD5" s="732"/>
      <c r="CE5" s="732"/>
      <c r="CF5" s="732"/>
      <c r="CG5" s="732"/>
      <c r="CH5" s="732"/>
      <c r="CI5" s="732"/>
      <c r="CJ5" s="732"/>
      <c r="CK5" s="732"/>
      <c r="CL5" s="732"/>
      <c r="CM5" s="732"/>
      <c r="CN5" s="732"/>
      <c r="CO5" s="732"/>
      <c r="CP5" s="732"/>
      <c r="CQ5" s="732"/>
      <c r="CR5" s="732"/>
      <c r="CS5" s="732"/>
      <c r="CT5" s="732"/>
      <c r="CU5" s="732"/>
      <c r="CV5" s="732"/>
      <c r="CW5" s="732"/>
      <c r="CX5" s="732"/>
      <c r="CY5" s="732"/>
      <c r="CZ5" s="732"/>
      <c r="DA5" s="732"/>
      <c r="DB5" s="732"/>
      <c r="DC5" s="732"/>
      <c r="DD5" s="732"/>
      <c r="DE5" s="732"/>
      <c r="DF5" s="732"/>
      <c r="DG5" s="732"/>
      <c r="DH5" s="732"/>
      <c r="DI5" s="732"/>
      <c r="DJ5" s="732"/>
      <c r="DK5" s="732"/>
      <c r="DL5" s="732"/>
      <c r="DM5" s="732"/>
      <c r="DN5" s="732"/>
      <c r="DO5" s="732"/>
      <c r="DP5" s="732"/>
      <c r="DQ5" s="732"/>
      <c r="DR5" s="732"/>
      <c r="DS5" s="732"/>
    </row>
    <row r="6" spans="1:123" ht="12.75" customHeight="1">
      <c r="I6" s="732" t="s">
        <v>450</v>
      </c>
      <c r="J6" s="732" t="s">
        <v>131</v>
      </c>
      <c r="K6" s="214" t="s">
        <v>903</v>
      </c>
      <c r="L6" s="566" t="s">
        <v>839</v>
      </c>
      <c r="M6" s="565">
        <f t="shared" si="0"/>
        <v>0</v>
      </c>
      <c r="N6" s="565">
        <f t="shared" si="0"/>
        <v>0</v>
      </c>
      <c r="O6" s="565">
        <f t="shared" si="0"/>
        <v>0</v>
      </c>
      <c r="P6" s="565">
        <f t="shared" si="0"/>
        <v>0</v>
      </c>
      <c r="Q6" s="565">
        <f t="shared" si="0"/>
        <v>45</v>
      </c>
      <c r="R6" s="565">
        <f t="shared" si="25"/>
        <v>0</v>
      </c>
      <c r="S6" s="603">
        <v>0</v>
      </c>
      <c r="T6" s="603">
        <v>0</v>
      </c>
      <c r="U6" s="603">
        <v>0</v>
      </c>
      <c r="V6" s="603">
        <v>0</v>
      </c>
      <c r="W6" s="603">
        <v>0.94671000000000005</v>
      </c>
      <c r="X6" s="732"/>
      <c r="Y6" s="69">
        <f t="shared" si="26"/>
        <v>0</v>
      </c>
      <c r="Z6" s="69">
        <f t="shared" si="27"/>
        <v>0</v>
      </c>
      <c r="AA6" s="69">
        <f t="shared" si="28"/>
        <v>0</v>
      </c>
      <c r="AB6" s="69">
        <f t="shared" si="29"/>
        <v>0</v>
      </c>
      <c r="AC6" s="69">
        <f t="shared" si="30"/>
        <v>42.601950000000002</v>
      </c>
      <c r="AD6" s="732"/>
      <c r="AE6" s="565">
        <f t="shared" si="7"/>
        <v>0</v>
      </c>
      <c r="AF6" s="565">
        <f t="shared" si="7"/>
        <v>0</v>
      </c>
      <c r="AG6" s="565">
        <f t="shared" si="7"/>
        <v>0</v>
      </c>
      <c r="AH6" s="565">
        <f t="shared" si="7"/>
        <v>0</v>
      </c>
      <c r="AI6" s="565">
        <f t="shared" si="7"/>
        <v>45</v>
      </c>
      <c r="AJ6" s="732"/>
      <c r="AK6" s="570">
        <f t="shared" si="31"/>
        <v>0</v>
      </c>
      <c r="AL6" s="570"/>
      <c r="AM6" s="570">
        <f t="shared" si="32"/>
        <v>0</v>
      </c>
      <c r="AN6" s="570">
        <f t="shared" si="33"/>
        <v>0</v>
      </c>
      <c r="AO6" s="570">
        <f t="shared" si="34"/>
        <v>0.98</v>
      </c>
      <c r="AP6" s="732"/>
      <c r="AQ6" s="69">
        <f t="shared" si="35"/>
        <v>0</v>
      </c>
      <c r="AR6" s="69">
        <f t="shared" ref="AR6:AR25" si="50">IF(AND(AF6&lt;&gt;0,AL6=0),#VALUE!,AF6*AL6)</f>
        <v>0</v>
      </c>
      <c r="AS6" s="69">
        <f t="shared" si="36"/>
        <v>0</v>
      </c>
      <c r="AT6" s="69">
        <f t="shared" si="37"/>
        <v>0</v>
      </c>
      <c r="AU6" s="69">
        <f t="shared" ref="AU6:AU24" si="51">IF(AND(AI6&lt;&gt;0,AO6=0),#VALUE!,AI6*AO6)</f>
        <v>44.1</v>
      </c>
      <c r="AV6" s="732"/>
      <c r="AX6" s="577">
        <v>9</v>
      </c>
      <c r="AY6" s="567"/>
      <c r="AZ6" s="567"/>
      <c r="BA6" s="567"/>
      <c r="BB6" s="567"/>
      <c r="BC6" s="567">
        <v>0.99</v>
      </c>
      <c r="BD6" s="567"/>
      <c r="BE6" s="573">
        <f t="shared" si="38"/>
        <v>2.0000000000000004E-2</v>
      </c>
      <c r="BF6" s="563"/>
      <c r="BG6" s="563"/>
      <c r="BH6" s="563"/>
      <c r="BI6" s="563"/>
      <c r="BJ6" s="563">
        <f t="shared" si="39"/>
        <v>-0.01</v>
      </c>
      <c r="BK6" s="732"/>
      <c r="BL6" s="732"/>
      <c r="BM6" s="571">
        <f t="shared" si="40"/>
        <v>0</v>
      </c>
      <c r="BN6" s="571">
        <f t="shared" si="41"/>
        <v>0</v>
      </c>
      <c r="BO6" s="571">
        <f t="shared" si="42"/>
        <v>0</v>
      </c>
      <c r="BP6" s="571">
        <f t="shared" si="43"/>
        <v>0</v>
      </c>
      <c r="BQ6" s="571">
        <f t="shared" si="44"/>
        <v>0.99479799999999985</v>
      </c>
      <c r="BR6" s="732"/>
      <c r="BS6" s="563">
        <f t="shared" si="45"/>
        <v>0</v>
      </c>
      <c r="BT6" s="563">
        <f t="shared" si="46"/>
        <v>0</v>
      </c>
      <c r="BU6" s="563">
        <f t="shared" si="47"/>
        <v>0</v>
      </c>
      <c r="BV6" s="563">
        <f t="shared" si="48"/>
        <v>0</v>
      </c>
      <c r="BW6" s="563">
        <f t="shared" si="49"/>
        <v>4.7979999999998579E-3</v>
      </c>
      <c r="BX6" s="732"/>
      <c r="BY6" s="732"/>
      <c r="BZ6" s="732"/>
      <c r="CA6" s="732"/>
      <c r="CB6" s="732"/>
      <c r="CC6" s="732"/>
      <c r="CD6" s="732"/>
      <c r="CE6" s="732"/>
      <c r="CF6" s="732"/>
      <c r="CG6" s="732"/>
      <c r="CH6" s="732"/>
      <c r="CI6" s="732"/>
      <c r="CJ6" s="732"/>
      <c r="CK6" s="732"/>
      <c r="CL6" s="732"/>
      <c r="CM6" s="732"/>
      <c r="CN6" s="732"/>
      <c r="CO6" s="732"/>
      <c r="CP6" s="732"/>
      <c r="CQ6" s="732"/>
      <c r="CR6" s="732"/>
      <c r="CS6" s="732"/>
      <c r="CT6" s="732"/>
      <c r="CU6" s="732"/>
      <c r="CV6" s="732"/>
      <c r="CW6" s="732"/>
      <c r="CX6" s="732"/>
      <c r="CY6" s="732"/>
      <c r="CZ6" s="732"/>
      <c r="DA6" s="732"/>
      <c r="DB6" s="732"/>
      <c r="DC6" s="732"/>
      <c r="DD6" s="732"/>
      <c r="DE6" s="732"/>
      <c r="DF6" s="732"/>
      <c r="DG6" s="732"/>
      <c r="DH6" s="732"/>
      <c r="DI6" s="732"/>
      <c r="DJ6" s="732"/>
      <c r="DK6" s="732"/>
      <c r="DL6" s="732"/>
      <c r="DM6" s="732"/>
      <c r="DN6" s="732"/>
      <c r="DO6" s="732"/>
      <c r="DP6" s="732"/>
      <c r="DQ6" s="732"/>
      <c r="DR6" s="732"/>
      <c r="DS6" s="732"/>
    </row>
    <row r="7" spans="1:123" ht="12.75" customHeight="1">
      <c r="B7" s="35">
        <v>2</v>
      </c>
      <c r="C7" s="71" t="s">
        <v>119</v>
      </c>
      <c r="D7" s="35">
        <v>214</v>
      </c>
      <c r="E7" s="95">
        <v>0</v>
      </c>
      <c r="F7" s="72"/>
      <c r="G7" s="72" t="str">
        <f>IF(OR(ISBLANK(C7),ISBLANK(D7)),"",TEXT(C7,"000")&amp;TEXT(D7,"000"))</f>
        <v>041214</v>
      </c>
      <c r="H7" s="46"/>
      <c r="I7" s="732" t="s">
        <v>450</v>
      </c>
      <c r="J7" s="732" t="s">
        <v>131</v>
      </c>
      <c r="K7" s="214" t="s">
        <v>903</v>
      </c>
      <c r="L7" s="566" t="s">
        <v>840</v>
      </c>
      <c r="M7" s="565">
        <f t="shared" si="0"/>
        <v>0</v>
      </c>
      <c r="N7" s="565">
        <f t="shared" si="0"/>
        <v>0</v>
      </c>
      <c r="O7" s="565">
        <f t="shared" si="0"/>
        <v>0</v>
      </c>
      <c r="P7" s="565">
        <f t="shared" si="0"/>
        <v>0</v>
      </c>
      <c r="Q7" s="565">
        <f t="shared" si="0"/>
        <v>0</v>
      </c>
      <c r="R7" s="565">
        <f t="shared" si="25"/>
        <v>1</v>
      </c>
      <c r="S7" s="603">
        <v>0</v>
      </c>
      <c r="T7" s="603">
        <v>0</v>
      </c>
      <c r="U7" s="603">
        <v>0</v>
      </c>
      <c r="V7" s="603">
        <v>0</v>
      </c>
      <c r="W7" s="603">
        <v>1.36747</v>
      </c>
      <c r="X7" s="732"/>
      <c r="Y7" s="69">
        <f t="shared" si="26"/>
        <v>0</v>
      </c>
      <c r="Z7" s="69">
        <f t="shared" si="27"/>
        <v>0</v>
      </c>
      <c r="AA7" s="69">
        <f t="shared" si="28"/>
        <v>0</v>
      </c>
      <c r="AB7" s="69">
        <f t="shared" si="29"/>
        <v>0</v>
      </c>
      <c r="AC7" s="69">
        <f t="shared" si="30"/>
        <v>0</v>
      </c>
      <c r="AD7" s="732"/>
      <c r="AE7" s="565">
        <f t="shared" si="7"/>
        <v>0</v>
      </c>
      <c r="AF7" s="565">
        <f t="shared" si="7"/>
        <v>0</v>
      </c>
      <c r="AG7" s="565">
        <f t="shared" si="7"/>
        <v>0</v>
      </c>
      <c r="AH7" s="565">
        <f t="shared" si="7"/>
        <v>0</v>
      </c>
      <c r="AI7" s="565">
        <f t="shared" si="7"/>
        <v>0</v>
      </c>
      <c r="AJ7" s="732"/>
      <c r="AK7" s="570">
        <f t="shared" si="31"/>
        <v>0</v>
      </c>
      <c r="AL7" s="570"/>
      <c r="AM7" s="570">
        <f t="shared" si="32"/>
        <v>0</v>
      </c>
      <c r="AN7" s="570">
        <f t="shared" si="33"/>
        <v>0</v>
      </c>
      <c r="AO7" s="570">
        <f t="shared" si="34"/>
        <v>1.41</v>
      </c>
      <c r="AP7" s="732"/>
      <c r="AQ7" s="69">
        <f t="shared" si="35"/>
        <v>0</v>
      </c>
      <c r="AR7" s="69">
        <f t="shared" si="50"/>
        <v>0</v>
      </c>
      <c r="AS7" s="69">
        <f t="shared" si="36"/>
        <v>0</v>
      </c>
      <c r="AT7" s="69">
        <f t="shared" si="37"/>
        <v>0</v>
      </c>
      <c r="AU7" s="69">
        <f t="shared" si="51"/>
        <v>0</v>
      </c>
      <c r="AV7" s="732"/>
      <c r="AX7" s="577">
        <v>13</v>
      </c>
      <c r="AY7" s="567"/>
      <c r="AZ7" s="567"/>
      <c r="BA7" s="567"/>
      <c r="BB7" s="567"/>
      <c r="BC7" s="567">
        <v>1.42</v>
      </c>
      <c r="BD7" s="567"/>
      <c r="BE7" s="573">
        <f t="shared" si="38"/>
        <v>0.03</v>
      </c>
      <c r="BF7" s="563"/>
      <c r="BG7" s="563"/>
      <c r="BH7" s="563"/>
      <c r="BI7" s="563"/>
      <c r="BJ7" s="563">
        <f t="shared" si="39"/>
        <v>0</v>
      </c>
      <c r="BK7" s="732"/>
      <c r="BL7" s="732"/>
      <c r="BM7" s="571">
        <f t="shared" si="40"/>
        <v>0</v>
      </c>
      <c r="BN7" s="571">
        <f t="shared" si="41"/>
        <v>0</v>
      </c>
      <c r="BO7" s="571">
        <f t="shared" si="42"/>
        <v>0</v>
      </c>
      <c r="BP7" s="571">
        <f t="shared" si="43"/>
        <v>0</v>
      </c>
      <c r="BQ7" s="571">
        <f t="shared" si="44"/>
        <v>1.4312909999999999</v>
      </c>
      <c r="BR7" s="732"/>
      <c r="BS7" s="563">
        <f t="shared" si="45"/>
        <v>0</v>
      </c>
      <c r="BT7" s="563">
        <f t="shared" si="46"/>
        <v>0</v>
      </c>
      <c r="BU7" s="563">
        <f t="shared" si="47"/>
        <v>0</v>
      </c>
      <c r="BV7" s="563">
        <f t="shared" si="48"/>
        <v>0</v>
      </c>
      <c r="BW7" s="563">
        <f t="shared" si="49"/>
        <v>1.129099999999994E-2</v>
      </c>
      <c r="BX7" s="732"/>
      <c r="BY7" s="732"/>
      <c r="BZ7" s="732"/>
      <c r="CA7" s="732"/>
      <c r="CB7" s="732"/>
      <c r="CC7" s="732"/>
      <c r="CD7" s="732"/>
      <c r="CE7" s="732"/>
      <c r="CF7" s="732"/>
      <c r="CG7" s="732"/>
      <c r="CH7" s="732"/>
      <c r="CI7" s="732"/>
      <c r="CJ7" s="732"/>
      <c r="CK7" s="732"/>
      <c r="CL7" s="732"/>
      <c r="CM7" s="732"/>
      <c r="CN7" s="732"/>
      <c r="CO7" s="732"/>
      <c r="CP7" s="732"/>
      <c r="CQ7" s="732"/>
      <c r="CR7" s="732"/>
      <c r="CS7" s="732"/>
      <c r="CT7" s="732"/>
      <c r="CU7" s="732"/>
      <c r="CV7" s="732"/>
      <c r="CW7" s="732"/>
      <c r="CX7" s="732"/>
      <c r="CY7" s="732"/>
      <c r="CZ7" s="732"/>
      <c r="DA7" s="732"/>
      <c r="DB7" s="732"/>
      <c r="DC7" s="732"/>
      <c r="DD7" s="732"/>
      <c r="DE7" s="732"/>
      <c r="DF7" s="732"/>
      <c r="DG7" s="732"/>
      <c r="DH7" s="732"/>
      <c r="DI7" s="732"/>
      <c r="DJ7" s="732"/>
      <c r="DK7" s="732"/>
      <c r="DL7" s="732"/>
      <c r="DM7" s="732"/>
      <c r="DN7" s="732"/>
      <c r="DO7" s="732"/>
      <c r="DP7" s="732"/>
      <c r="DQ7" s="732"/>
      <c r="DR7" s="732"/>
      <c r="DS7" s="732"/>
    </row>
    <row r="8" spans="1:123" ht="12.75" customHeight="1">
      <c r="B8" s="35">
        <v>2</v>
      </c>
      <c r="C8" s="71" t="s">
        <v>119</v>
      </c>
      <c r="D8" s="35">
        <v>411</v>
      </c>
      <c r="E8" s="95">
        <v>1</v>
      </c>
      <c r="F8" s="72"/>
      <c r="G8" s="72" t="str">
        <f>IF(OR(ISBLANK(C8),ISBLANK(D8)),"",TEXT(C8,"000")&amp;TEXT(D8,"000"))</f>
        <v>041411</v>
      </c>
      <c r="H8" s="46"/>
      <c r="I8" s="732" t="s">
        <v>450</v>
      </c>
      <c r="J8" s="732" t="s">
        <v>131</v>
      </c>
      <c r="K8" s="214" t="s">
        <v>903</v>
      </c>
      <c r="L8" s="566" t="s">
        <v>841</v>
      </c>
      <c r="M8" s="565">
        <f t="shared" si="0"/>
        <v>0</v>
      </c>
      <c r="N8" s="565">
        <f t="shared" si="0"/>
        <v>0</v>
      </c>
      <c r="O8" s="565">
        <f t="shared" si="0"/>
        <v>0</v>
      </c>
      <c r="P8" s="565">
        <f t="shared" si="0"/>
        <v>0</v>
      </c>
      <c r="Q8" s="565">
        <f t="shared" si="0"/>
        <v>0</v>
      </c>
      <c r="R8" s="565">
        <f t="shared" si="25"/>
        <v>1</v>
      </c>
      <c r="S8" s="603">
        <v>0</v>
      </c>
      <c r="T8" s="603">
        <v>0</v>
      </c>
      <c r="U8" s="603">
        <v>0</v>
      </c>
      <c r="V8" s="603">
        <v>0</v>
      </c>
      <c r="W8" s="603">
        <v>1.6830400000000001</v>
      </c>
      <c r="X8" s="732"/>
      <c r="Y8" s="69">
        <f t="shared" si="26"/>
        <v>0</v>
      </c>
      <c r="Z8" s="69">
        <f t="shared" si="27"/>
        <v>0</v>
      </c>
      <c r="AA8" s="69">
        <f t="shared" si="28"/>
        <v>0</v>
      </c>
      <c r="AB8" s="69">
        <f t="shared" si="29"/>
        <v>0</v>
      </c>
      <c r="AC8" s="69">
        <f t="shared" si="30"/>
        <v>0</v>
      </c>
      <c r="AD8" s="732"/>
      <c r="AE8" s="565">
        <f t="shared" si="7"/>
        <v>0</v>
      </c>
      <c r="AF8" s="565">
        <f t="shared" si="7"/>
        <v>0</v>
      </c>
      <c r="AG8" s="565">
        <f t="shared" si="7"/>
        <v>0</v>
      </c>
      <c r="AH8" s="565">
        <f t="shared" si="7"/>
        <v>0</v>
      </c>
      <c r="AI8" s="565">
        <f t="shared" si="7"/>
        <v>0</v>
      </c>
      <c r="AJ8" s="732"/>
      <c r="AK8" s="570">
        <f t="shared" si="31"/>
        <v>0</v>
      </c>
      <c r="AL8" s="570"/>
      <c r="AM8" s="570">
        <f t="shared" si="32"/>
        <v>0</v>
      </c>
      <c r="AN8" s="570">
        <f t="shared" si="33"/>
        <v>0</v>
      </c>
      <c r="AO8" s="570">
        <f t="shared" si="34"/>
        <v>1.74</v>
      </c>
      <c r="AP8" s="732"/>
      <c r="AQ8" s="69">
        <f t="shared" si="35"/>
        <v>0</v>
      </c>
      <c r="AR8" s="69">
        <f t="shared" si="50"/>
        <v>0</v>
      </c>
      <c r="AS8" s="69">
        <f t="shared" si="36"/>
        <v>0</v>
      </c>
      <c r="AT8" s="69">
        <f t="shared" si="37"/>
        <v>0</v>
      </c>
      <c r="AU8" s="69">
        <f t="shared" si="51"/>
        <v>0</v>
      </c>
      <c r="AV8" s="732"/>
      <c r="AX8" s="577">
        <v>16</v>
      </c>
      <c r="AY8" s="567"/>
      <c r="AZ8" s="567"/>
      <c r="BA8" s="567"/>
      <c r="BB8" s="567"/>
      <c r="BC8" s="567">
        <v>1.74</v>
      </c>
      <c r="BD8" s="567"/>
      <c r="BE8" s="573">
        <f t="shared" si="38"/>
        <v>0.03</v>
      </c>
      <c r="BF8" s="563"/>
      <c r="BG8" s="563"/>
      <c r="BH8" s="563"/>
      <c r="BI8" s="563"/>
      <c r="BJ8" s="563">
        <f t="shared" si="39"/>
        <v>0</v>
      </c>
      <c r="BK8" s="732"/>
      <c r="BL8" s="732"/>
      <c r="BM8" s="571">
        <f t="shared" si="40"/>
        <v>0</v>
      </c>
      <c r="BN8" s="571">
        <f t="shared" si="41"/>
        <v>0</v>
      </c>
      <c r="BO8" s="571">
        <f t="shared" si="42"/>
        <v>0</v>
      </c>
      <c r="BP8" s="571">
        <f t="shared" si="43"/>
        <v>0</v>
      </c>
      <c r="BQ8" s="571">
        <f t="shared" si="44"/>
        <v>1.7662739999999999</v>
      </c>
      <c r="BR8" s="732"/>
      <c r="BS8" s="563">
        <f t="shared" si="45"/>
        <v>0</v>
      </c>
      <c r="BT8" s="563">
        <f t="shared" si="46"/>
        <v>0</v>
      </c>
      <c r="BU8" s="563">
        <f t="shared" si="47"/>
        <v>0</v>
      </c>
      <c r="BV8" s="563">
        <f t="shared" si="48"/>
        <v>0</v>
      </c>
      <c r="BW8" s="563">
        <f t="shared" si="49"/>
        <v>2.6273999999999909E-2</v>
      </c>
      <c r="BX8" s="732"/>
      <c r="BY8" s="732"/>
      <c r="BZ8" s="732"/>
      <c r="CA8" s="732"/>
      <c r="CB8" s="732"/>
      <c r="CC8" s="732"/>
      <c r="CD8" s="732"/>
      <c r="CE8" s="732"/>
      <c r="CF8" s="732"/>
      <c r="CG8" s="732"/>
      <c r="CH8" s="732"/>
      <c r="CI8" s="732"/>
      <c r="CJ8" s="732"/>
      <c r="CK8" s="732"/>
      <c r="CL8" s="732"/>
      <c r="CM8" s="732"/>
      <c r="CN8" s="732"/>
      <c r="CO8" s="732"/>
      <c r="CP8" s="732"/>
      <c r="CQ8" s="732"/>
      <c r="CR8" s="732"/>
      <c r="CS8" s="732"/>
      <c r="CT8" s="732"/>
      <c r="CU8" s="732"/>
      <c r="CV8" s="732"/>
      <c r="CW8" s="732"/>
      <c r="CX8" s="732"/>
      <c r="CY8" s="732"/>
      <c r="CZ8" s="732"/>
      <c r="DA8" s="732"/>
      <c r="DB8" s="732"/>
      <c r="DC8" s="732"/>
      <c r="DD8" s="732"/>
      <c r="DE8" s="732"/>
      <c r="DF8" s="732"/>
      <c r="DG8" s="732"/>
      <c r="DH8" s="732"/>
      <c r="DI8" s="732"/>
      <c r="DJ8" s="732"/>
      <c r="DK8" s="732"/>
      <c r="DL8" s="732"/>
      <c r="DM8" s="732"/>
      <c r="DN8" s="732"/>
      <c r="DO8" s="732"/>
      <c r="DP8" s="732"/>
      <c r="DQ8" s="732"/>
      <c r="DR8" s="732"/>
      <c r="DS8" s="732"/>
    </row>
    <row r="9" spans="1:123">
      <c r="B9" s="35">
        <v>2</v>
      </c>
      <c r="C9" s="71" t="s">
        <v>119</v>
      </c>
      <c r="D9" s="35">
        <v>511</v>
      </c>
      <c r="E9" s="679">
        <v>0</v>
      </c>
      <c r="F9" s="72"/>
      <c r="G9" s="72" t="str">
        <f>IF(OR(ISBLANK(C9),ISBLANK(D9)),"",TEXT(C9,"000")&amp;TEXT(D9,"000"))</f>
        <v>041511</v>
      </c>
      <c r="H9" s="46"/>
      <c r="I9" s="732" t="s">
        <v>450</v>
      </c>
      <c r="J9" s="732" t="s">
        <v>131</v>
      </c>
      <c r="K9" s="214" t="s">
        <v>903</v>
      </c>
      <c r="L9" s="566" t="s">
        <v>842</v>
      </c>
      <c r="M9" s="565">
        <f t="shared" si="0"/>
        <v>0</v>
      </c>
      <c r="N9" s="565">
        <f t="shared" si="0"/>
        <v>0</v>
      </c>
      <c r="O9" s="565">
        <f t="shared" si="0"/>
        <v>0</v>
      </c>
      <c r="P9" s="565">
        <f t="shared" si="0"/>
        <v>0</v>
      </c>
      <c r="Q9" s="565">
        <f t="shared" si="0"/>
        <v>0</v>
      </c>
      <c r="R9" s="565">
        <f t="shared" si="25"/>
        <v>1</v>
      </c>
      <c r="S9" s="603">
        <v>0</v>
      </c>
      <c r="T9" s="603">
        <v>0</v>
      </c>
      <c r="U9" s="603">
        <v>0</v>
      </c>
      <c r="V9" s="603">
        <v>0</v>
      </c>
      <c r="W9" s="603">
        <v>2.1038000000000001</v>
      </c>
      <c r="X9" s="732"/>
      <c r="Y9" s="69">
        <f t="shared" si="26"/>
        <v>0</v>
      </c>
      <c r="Z9" s="69">
        <f t="shared" si="27"/>
        <v>0</v>
      </c>
      <c r="AA9" s="69">
        <f t="shared" si="28"/>
        <v>0</v>
      </c>
      <c r="AB9" s="69">
        <f t="shared" si="29"/>
        <v>0</v>
      </c>
      <c r="AC9" s="69">
        <f t="shared" si="30"/>
        <v>0</v>
      </c>
      <c r="AD9" s="732"/>
      <c r="AE9" s="565">
        <f t="shared" si="7"/>
        <v>0</v>
      </c>
      <c r="AF9" s="565">
        <f t="shared" si="7"/>
        <v>0</v>
      </c>
      <c r="AG9" s="565">
        <f t="shared" si="7"/>
        <v>0</v>
      </c>
      <c r="AH9" s="565">
        <f t="shared" si="7"/>
        <v>0</v>
      </c>
      <c r="AI9" s="565">
        <f t="shared" si="7"/>
        <v>0</v>
      </c>
      <c r="AJ9" s="732"/>
      <c r="AK9" s="570">
        <f t="shared" si="31"/>
        <v>0</v>
      </c>
      <c r="AL9" s="570"/>
      <c r="AM9" s="570">
        <f t="shared" si="32"/>
        <v>0</v>
      </c>
      <c r="AN9" s="570">
        <f t="shared" si="33"/>
        <v>0</v>
      </c>
      <c r="AO9" s="570">
        <f t="shared" si="34"/>
        <v>2.17</v>
      </c>
      <c r="AP9" s="732"/>
      <c r="AQ9" s="69">
        <f t="shared" si="35"/>
        <v>0</v>
      </c>
      <c r="AR9" s="69">
        <f t="shared" si="50"/>
        <v>0</v>
      </c>
      <c r="AS9" s="69">
        <f t="shared" si="36"/>
        <v>0</v>
      </c>
      <c r="AT9" s="69">
        <f t="shared" si="37"/>
        <v>0</v>
      </c>
      <c r="AU9" s="69">
        <f t="shared" si="51"/>
        <v>0</v>
      </c>
      <c r="AV9" s="732"/>
      <c r="AX9" s="577">
        <v>20</v>
      </c>
      <c r="AY9" s="567"/>
      <c r="AZ9" s="567"/>
      <c r="BA9" s="567"/>
      <c r="BB9" s="567"/>
      <c r="BC9" s="567">
        <v>2.17</v>
      </c>
      <c r="BD9" s="567"/>
      <c r="BE9" s="573">
        <f t="shared" si="38"/>
        <v>5.0000000000000017E-2</v>
      </c>
      <c r="BF9" s="563"/>
      <c r="BG9" s="563"/>
      <c r="BH9" s="563"/>
      <c r="BI9" s="563"/>
      <c r="BJ9" s="563">
        <f t="shared" si="39"/>
        <v>0.02</v>
      </c>
      <c r="BK9" s="732"/>
      <c r="BL9" s="732"/>
      <c r="BM9" s="571">
        <f t="shared" si="40"/>
        <v>0</v>
      </c>
      <c r="BN9" s="571">
        <f t="shared" si="41"/>
        <v>0</v>
      </c>
      <c r="BO9" s="571">
        <f t="shared" si="42"/>
        <v>0</v>
      </c>
      <c r="BP9" s="571">
        <f t="shared" si="43"/>
        <v>0</v>
      </c>
      <c r="BQ9" s="571">
        <f t="shared" si="44"/>
        <v>2.2027669999999997</v>
      </c>
      <c r="BR9" s="732"/>
      <c r="BS9" s="563">
        <f t="shared" si="45"/>
        <v>0</v>
      </c>
      <c r="BT9" s="563">
        <f t="shared" si="46"/>
        <v>0</v>
      </c>
      <c r="BU9" s="563">
        <f t="shared" si="47"/>
        <v>0</v>
      </c>
      <c r="BV9" s="563">
        <f t="shared" si="48"/>
        <v>0</v>
      </c>
      <c r="BW9" s="563">
        <f t="shared" si="49"/>
        <v>3.2766999999999769E-2</v>
      </c>
      <c r="BX9" s="732"/>
      <c r="BY9" s="732"/>
      <c r="BZ9" s="732"/>
      <c r="CA9" s="732"/>
      <c r="CB9" s="732"/>
      <c r="CC9" s="732"/>
      <c r="CD9" s="732"/>
      <c r="CE9" s="732"/>
      <c r="CF9" s="732"/>
      <c r="CG9" s="732"/>
      <c r="CH9" s="732"/>
      <c r="CI9" s="732"/>
      <c r="CJ9" s="732"/>
      <c r="CK9" s="732"/>
      <c r="CL9" s="732"/>
      <c r="CM9" s="732"/>
      <c r="CN9" s="732"/>
      <c r="CO9" s="732"/>
      <c r="CP9" s="732"/>
      <c r="CQ9" s="732"/>
      <c r="CR9" s="732"/>
      <c r="CS9" s="732"/>
      <c r="CT9" s="732"/>
      <c r="CU9" s="732"/>
      <c r="CV9" s="732"/>
      <c r="CW9" s="732"/>
      <c r="CX9" s="732"/>
      <c r="CY9" s="732"/>
      <c r="CZ9" s="732"/>
      <c r="DA9" s="732"/>
      <c r="DB9" s="732"/>
      <c r="DC9" s="732"/>
      <c r="DD9" s="732"/>
      <c r="DE9" s="732"/>
      <c r="DF9" s="732"/>
      <c r="DG9" s="732"/>
      <c r="DH9" s="732"/>
      <c r="DI9" s="732"/>
      <c r="DJ9" s="732"/>
      <c r="DK9" s="732"/>
      <c r="DL9" s="732"/>
      <c r="DM9" s="732"/>
      <c r="DN9" s="732"/>
      <c r="DO9" s="732"/>
      <c r="DP9" s="732"/>
      <c r="DQ9" s="732"/>
      <c r="DR9" s="732"/>
      <c r="DS9" s="732"/>
    </row>
    <row r="10" spans="1:123">
      <c r="B10" s="35">
        <v>2</v>
      </c>
      <c r="C10" s="71" t="s">
        <v>119</v>
      </c>
      <c r="D10" s="35">
        <v>611</v>
      </c>
      <c r="E10" s="95">
        <v>6</v>
      </c>
      <c r="F10" s="72"/>
      <c r="G10" s="72" t="str">
        <f>IF(OR(ISBLANK(C10),ISBLANK(D10)),"",TEXT(C10,"000")&amp;TEXT(D10,"000"))</f>
        <v>041611</v>
      </c>
      <c r="H10" s="46"/>
      <c r="I10" s="732" t="s">
        <v>450</v>
      </c>
      <c r="J10" s="732" t="s">
        <v>131</v>
      </c>
      <c r="K10" s="214" t="s">
        <v>903</v>
      </c>
      <c r="L10" s="566" t="s">
        <v>843</v>
      </c>
      <c r="M10" s="565">
        <f t="shared" si="0"/>
        <v>0</v>
      </c>
      <c r="N10" s="565">
        <f t="shared" si="0"/>
        <v>0</v>
      </c>
      <c r="O10" s="565">
        <f t="shared" si="0"/>
        <v>0</v>
      </c>
      <c r="P10" s="565">
        <f t="shared" si="0"/>
        <v>0</v>
      </c>
      <c r="Q10" s="565">
        <f t="shared" si="0"/>
        <v>0</v>
      </c>
      <c r="R10" s="565">
        <f t="shared" si="25"/>
        <v>1</v>
      </c>
      <c r="S10" s="603">
        <v>0</v>
      </c>
      <c r="T10" s="603">
        <v>0</v>
      </c>
      <c r="U10" s="603">
        <v>0</v>
      </c>
      <c r="V10" s="603">
        <v>0</v>
      </c>
      <c r="W10" s="603">
        <v>2.4193700000000002</v>
      </c>
      <c r="X10" s="732"/>
      <c r="Y10" s="69">
        <f t="shared" si="26"/>
        <v>0</v>
      </c>
      <c r="Z10" s="69">
        <f t="shared" si="27"/>
        <v>0</v>
      </c>
      <c r="AA10" s="69">
        <f t="shared" si="28"/>
        <v>0</v>
      </c>
      <c r="AB10" s="69">
        <f t="shared" si="29"/>
        <v>0</v>
      </c>
      <c r="AC10" s="69">
        <f t="shared" si="30"/>
        <v>0</v>
      </c>
      <c r="AD10" s="732"/>
      <c r="AE10" s="565">
        <f t="shared" si="7"/>
        <v>0</v>
      </c>
      <c r="AF10" s="565">
        <f t="shared" si="7"/>
        <v>0</v>
      </c>
      <c r="AG10" s="565">
        <f t="shared" si="7"/>
        <v>0</v>
      </c>
      <c r="AH10" s="565">
        <f t="shared" si="7"/>
        <v>0</v>
      </c>
      <c r="AI10" s="565">
        <f t="shared" si="7"/>
        <v>0</v>
      </c>
      <c r="AJ10" s="732"/>
      <c r="AK10" s="570">
        <f t="shared" si="31"/>
        <v>0</v>
      </c>
      <c r="AL10" s="570"/>
      <c r="AM10" s="570">
        <f t="shared" si="32"/>
        <v>0</v>
      </c>
      <c r="AN10" s="570">
        <f t="shared" si="33"/>
        <v>0</v>
      </c>
      <c r="AO10" s="570">
        <f t="shared" si="34"/>
        <v>2.5</v>
      </c>
      <c r="AP10" s="732"/>
      <c r="AQ10" s="69">
        <f t="shared" si="35"/>
        <v>0</v>
      </c>
      <c r="AR10" s="69">
        <f t="shared" si="50"/>
        <v>0</v>
      </c>
      <c r="AS10" s="69">
        <f t="shared" si="36"/>
        <v>0</v>
      </c>
      <c r="AT10" s="69">
        <f t="shared" si="37"/>
        <v>0</v>
      </c>
      <c r="AU10" s="69">
        <f t="shared" si="51"/>
        <v>0</v>
      </c>
      <c r="AV10" s="732"/>
      <c r="AX10" s="577">
        <v>23</v>
      </c>
      <c r="AY10" s="567"/>
      <c r="AZ10" s="567"/>
      <c r="BA10" s="567"/>
      <c r="BB10" s="567"/>
      <c r="BC10" s="567">
        <v>2.5099999999999998</v>
      </c>
      <c r="BD10" s="567"/>
      <c r="BE10" s="573">
        <f t="shared" si="38"/>
        <v>4.9999999999999989E-2</v>
      </c>
      <c r="BF10" s="563"/>
      <c r="BG10" s="563"/>
      <c r="BH10" s="563"/>
      <c r="BI10" s="563"/>
      <c r="BJ10" s="563">
        <f t="shared" si="39"/>
        <v>0</v>
      </c>
      <c r="BK10" s="732"/>
      <c r="BL10" s="732"/>
      <c r="BM10" s="571">
        <f t="shared" si="40"/>
        <v>0</v>
      </c>
      <c r="BN10" s="571">
        <f t="shared" si="41"/>
        <v>0</v>
      </c>
      <c r="BO10" s="571">
        <f t="shared" si="42"/>
        <v>0</v>
      </c>
      <c r="BP10" s="571">
        <f t="shared" si="43"/>
        <v>0</v>
      </c>
      <c r="BQ10" s="571">
        <f t="shared" si="44"/>
        <v>2.53775</v>
      </c>
      <c r="BR10" s="732"/>
      <c r="BS10" s="563">
        <f t="shared" si="45"/>
        <v>0</v>
      </c>
      <c r="BT10" s="563">
        <f t="shared" si="46"/>
        <v>0</v>
      </c>
      <c r="BU10" s="563">
        <f t="shared" si="47"/>
        <v>0</v>
      </c>
      <c r="BV10" s="563">
        <f t="shared" si="48"/>
        <v>0</v>
      </c>
      <c r="BW10" s="563">
        <f t="shared" si="49"/>
        <v>2.7750000000000163E-2</v>
      </c>
      <c r="BX10" s="732"/>
      <c r="BY10" s="732"/>
      <c r="BZ10" s="732"/>
      <c r="CA10" s="732"/>
      <c r="CB10" s="732"/>
      <c r="CC10" s="732"/>
      <c r="CD10" s="732"/>
      <c r="CE10" s="732"/>
      <c r="CF10" s="732"/>
      <c r="CG10" s="732"/>
      <c r="CH10" s="732"/>
      <c r="CI10" s="732"/>
      <c r="CJ10" s="732"/>
      <c r="CK10" s="732"/>
      <c r="CL10" s="732"/>
      <c r="CM10" s="732"/>
      <c r="CN10" s="732"/>
      <c r="CO10" s="732"/>
      <c r="CP10" s="732"/>
      <c r="CQ10" s="732"/>
      <c r="CR10" s="732"/>
      <c r="CS10" s="732"/>
      <c r="CT10" s="732"/>
      <c r="CU10" s="732"/>
      <c r="CV10" s="732"/>
      <c r="CW10" s="732"/>
      <c r="CX10" s="732"/>
      <c r="CY10" s="732"/>
      <c r="CZ10" s="732"/>
      <c r="DA10" s="732"/>
      <c r="DB10" s="732"/>
      <c r="DC10" s="732"/>
      <c r="DD10" s="732"/>
      <c r="DE10" s="732"/>
      <c r="DF10" s="732"/>
      <c r="DG10" s="732"/>
      <c r="DH10" s="732"/>
      <c r="DI10" s="732"/>
      <c r="DJ10" s="732"/>
      <c r="DK10" s="732"/>
      <c r="DL10" s="732"/>
      <c r="DM10" s="732"/>
      <c r="DN10" s="732"/>
      <c r="DO10" s="732"/>
      <c r="DP10" s="732"/>
      <c r="DQ10" s="732"/>
      <c r="DR10" s="732"/>
      <c r="DS10" s="732"/>
    </row>
    <row r="11" spans="1:123">
      <c r="C11" s="71"/>
      <c r="E11" s="73">
        <f>SUM(E7:E10)</f>
        <v>7</v>
      </c>
      <c r="F11" s="74"/>
      <c r="G11" s="72"/>
      <c r="H11" s="46"/>
      <c r="I11" s="732" t="s">
        <v>450</v>
      </c>
      <c r="J11" s="732" t="s">
        <v>131</v>
      </c>
      <c r="K11" s="214" t="s">
        <v>903</v>
      </c>
      <c r="L11" s="566" t="s">
        <v>844</v>
      </c>
      <c r="M11" s="565">
        <f t="shared" si="0"/>
        <v>0</v>
      </c>
      <c r="N11" s="565">
        <f t="shared" si="0"/>
        <v>0</v>
      </c>
      <c r="O11" s="565">
        <f t="shared" si="0"/>
        <v>0</v>
      </c>
      <c r="P11" s="565">
        <f t="shared" si="0"/>
        <v>0</v>
      </c>
      <c r="Q11" s="565">
        <f t="shared" si="0"/>
        <v>0</v>
      </c>
      <c r="R11" s="565">
        <f t="shared" si="25"/>
        <v>1</v>
      </c>
      <c r="S11" s="603">
        <v>0</v>
      </c>
      <c r="T11" s="603">
        <v>0</v>
      </c>
      <c r="U11" s="603">
        <v>0</v>
      </c>
      <c r="V11" s="603">
        <v>0</v>
      </c>
      <c r="W11" s="603">
        <v>2.8401300000000003</v>
      </c>
      <c r="X11" s="732"/>
      <c r="Y11" s="69">
        <f t="shared" si="26"/>
        <v>0</v>
      </c>
      <c r="Z11" s="69">
        <f t="shared" si="27"/>
        <v>0</v>
      </c>
      <c r="AA11" s="69">
        <f t="shared" si="28"/>
        <v>0</v>
      </c>
      <c r="AB11" s="69">
        <f t="shared" si="29"/>
        <v>0</v>
      </c>
      <c r="AC11" s="69">
        <f t="shared" si="30"/>
        <v>0</v>
      </c>
      <c r="AD11" s="732"/>
      <c r="AE11" s="565">
        <f t="shared" si="7"/>
        <v>0</v>
      </c>
      <c r="AF11" s="565">
        <f t="shared" si="7"/>
        <v>0</v>
      </c>
      <c r="AG11" s="565">
        <f t="shared" si="7"/>
        <v>0</v>
      </c>
      <c r="AH11" s="565">
        <f t="shared" si="7"/>
        <v>0</v>
      </c>
      <c r="AI11" s="565">
        <f t="shared" si="7"/>
        <v>0</v>
      </c>
      <c r="AJ11" s="732"/>
      <c r="AK11" s="570">
        <f t="shared" si="31"/>
        <v>0</v>
      </c>
      <c r="AL11" s="570"/>
      <c r="AM11" s="570">
        <f t="shared" si="32"/>
        <v>0</v>
      </c>
      <c r="AN11" s="570">
        <f t="shared" si="33"/>
        <v>0</v>
      </c>
      <c r="AO11" s="570">
        <f t="shared" si="34"/>
        <v>2.93</v>
      </c>
      <c r="AP11" s="732"/>
      <c r="AQ11" s="69">
        <f t="shared" si="35"/>
        <v>0</v>
      </c>
      <c r="AR11" s="69">
        <f t="shared" si="50"/>
        <v>0</v>
      </c>
      <c r="AS11" s="69">
        <f t="shared" si="36"/>
        <v>0</v>
      </c>
      <c r="AT11" s="69">
        <f t="shared" si="37"/>
        <v>0</v>
      </c>
      <c r="AU11" s="69">
        <f t="shared" si="51"/>
        <v>0</v>
      </c>
      <c r="AV11" s="732"/>
      <c r="AX11" s="577">
        <v>27</v>
      </c>
      <c r="AY11" s="567"/>
      <c r="AZ11" s="567"/>
      <c r="BA11" s="567"/>
      <c r="BB11" s="567"/>
      <c r="BC11" s="567">
        <v>2.95</v>
      </c>
      <c r="BD11" s="567"/>
      <c r="BE11" s="573">
        <f t="shared" si="38"/>
        <v>0.06</v>
      </c>
      <c r="BF11" s="563"/>
      <c r="BG11" s="563"/>
      <c r="BH11" s="563"/>
      <c r="BI11" s="563"/>
      <c r="BJ11" s="563">
        <f t="shared" si="39"/>
        <v>-0.01</v>
      </c>
      <c r="BK11" s="732"/>
      <c r="BL11" s="732"/>
      <c r="BM11" s="571">
        <f t="shared" si="40"/>
        <v>0</v>
      </c>
      <c r="BN11" s="571">
        <f t="shared" si="41"/>
        <v>0</v>
      </c>
      <c r="BO11" s="571">
        <f t="shared" si="42"/>
        <v>0</v>
      </c>
      <c r="BP11" s="571">
        <f t="shared" si="43"/>
        <v>0</v>
      </c>
      <c r="BQ11" s="571">
        <f t="shared" si="44"/>
        <v>2.974243</v>
      </c>
      <c r="BR11" s="732"/>
      <c r="BS11" s="563">
        <f t="shared" si="45"/>
        <v>0</v>
      </c>
      <c r="BT11" s="563">
        <f t="shared" si="46"/>
        <v>0</v>
      </c>
      <c r="BU11" s="563">
        <f t="shared" si="47"/>
        <v>0</v>
      </c>
      <c r="BV11" s="563">
        <f t="shared" si="48"/>
        <v>0</v>
      </c>
      <c r="BW11" s="563">
        <f t="shared" si="49"/>
        <v>2.4242999999999792E-2</v>
      </c>
      <c r="BX11" s="732"/>
      <c r="BY11" s="732"/>
      <c r="BZ11" s="732"/>
      <c r="CA11" s="732"/>
      <c r="CB11" s="732"/>
      <c r="CC11" s="732"/>
      <c r="CD11" s="732"/>
      <c r="CE11" s="732"/>
      <c r="CF11" s="732"/>
      <c r="CG11" s="732"/>
      <c r="CH11" s="732"/>
      <c r="CI11" s="732"/>
      <c r="CJ11" s="732"/>
      <c r="CK11" s="732"/>
      <c r="CL11" s="732"/>
      <c r="CM11" s="732"/>
      <c r="CN11" s="732"/>
      <c r="CO11" s="732"/>
      <c r="CP11" s="732"/>
      <c r="CQ11" s="732"/>
      <c r="CR11" s="732"/>
      <c r="CS11" s="732"/>
      <c r="CT11" s="732"/>
      <c r="CU11" s="732"/>
      <c r="CV11" s="732"/>
      <c r="CW11" s="732"/>
      <c r="CX11" s="732"/>
      <c r="CY11" s="732"/>
      <c r="CZ11" s="732"/>
      <c r="DA11" s="732"/>
      <c r="DB11" s="732"/>
      <c r="DC11" s="732"/>
      <c r="DD11" s="732"/>
      <c r="DE11" s="732"/>
      <c r="DF11" s="732"/>
      <c r="DG11" s="732"/>
      <c r="DH11" s="732"/>
      <c r="DI11" s="732"/>
      <c r="DJ11" s="732"/>
      <c r="DK11" s="732"/>
      <c r="DL11" s="732"/>
      <c r="DM11" s="732"/>
      <c r="DN11" s="732"/>
      <c r="DO11" s="732"/>
      <c r="DP11" s="732"/>
      <c r="DQ11" s="732"/>
      <c r="DR11" s="732"/>
      <c r="DS11" s="732"/>
    </row>
    <row r="12" spans="1:123">
      <c r="E12" s="72"/>
      <c r="F12" s="72"/>
      <c r="G12" s="72" t="str">
        <f t="shared" ref="G12:G41" si="52">IF(OR(ISBLANK(C12),ISBLANK(D12)),"",TEXT(C12,"000")&amp;TEXT(D12,"000"))</f>
        <v/>
      </c>
      <c r="I12" s="732" t="s">
        <v>450</v>
      </c>
      <c r="J12" s="732" t="s">
        <v>131</v>
      </c>
      <c r="K12" s="214" t="s">
        <v>903</v>
      </c>
      <c r="L12" s="566" t="s">
        <v>845</v>
      </c>
      <c r="M12" s="565">
        <f t="shared" si="0"/>
        <v>0</v>
      </c>
      <c r="N12" s="565">
        <f t="shared" si="0"/>
        <v>0</v>
      </c>
      <c r="O12" s="565">
        <f t="shared" si="0"/>
        <v>0</v>
      </c>
      <c r="P12" s="565">
        <f t="shared" si="0"/>
        <v>0</v>
      </c>
      <c r="Q12" s="565">
        <f t="shared" si="0"/>
        <v>0</v>
      </c>
      <c r="R12" s="565">
        <f t="shared" si="25"/>
        <v>1</v>
      </c>
      <c r="S12" s="603">
        <v>0</v>
      </c>
      <c r="T12" s="603">
        <v>0</v>
      </c>
      <c r="U12" s="603">
        <v>0</v>
      </c>
      <c r="V12" s="603">
        <v>0</v>
      </c>
      <c r="W12" s="603">
        <v>3.2608900000000003</v>
      </c>
      <c r="X12" s="732"/>
      <c r="Y12" s="69">
        <f t="shared" si="26"/>
        <v>0</v>
      </c>
      <c r="Z12" s="69">
        <f t="shared" si="27"/>
        <v>0</v>
      </c>
      <c r="AA12" s="69">
        <f t="shared" si="28"/>
        <v>0</v>
      </c>
      <c r="AB12" s="69">
        <f t="shared" si="29"/>
        <v>0</v>
      </c>
      <c r="AC12" s="69">
        <f t="shared" si="30"/>
        <v>0</v>
      </c>
      <c r="AD12" s="732"/>
      <c r="AE12" s="565">
        <f t="shared" si="7"/>
        <v>0</v>
      </c>
      <c r="AF12" s="565">
        <f t="shared" si="7"/>
        <v>0</v>
      </c>
      <c r="AG12" s="565">
        <f t="shared" si="7"/>
        <v>0</v>
      </c>
      <c r="AH12" s="565">
        <f t="shared" si="7"/>
        <v>0</v>
      </c>
      <c r="AI12" s="565">
        <f t="shared" si="7"/>
        <v>0</v>
      </c>
      <c r="AJ12" s="732"/>
      <c r="AK12" s="570">
        <f t="shared" si="31"/>
        <v>0</v>
      </c>
      <c r="AL12" s="570"/>
      <c r="AM12" s="570">
        <f t="shared" si="32"/>
        <v>0</v>
      </c>
      <c r="AN12" s="570">
        <f t="shared" si="33"/>
        <v>0</v>
      </c>
      <c r="AO12" s="570">
        <f t="shared" si="34"/>
        <v>3.37</v>
      </c>
      <c r="AP12" s="732"/>
      <c r="AQ12" s="69">
        <f t="shared" si="35"/>
        <v>0</v>
      </c>
      <c r="AR12" s="69">
        <f t="shared" si="50"/>
        <v>0</v>
      </c>
      <c r="AS12" s="69">
        <f t="shared" si="36"/>
        <v>0</v>
      </c>
      <c r="AT12" s="69">
        <f t="shared" si="37"/>
        <v>0</v>
      </c>
      <c r="AU12" s="69">
        <f t="shared" si="51"/>
        <v>0</v>
      </c>
      <c r="AV12" s="732"/>
      <c r="AX12" s="577">
        <v>31</v>
      </c>
      <c r="AY12" s="567"/>
      <c r="AZ12" s="567"/>
      <c r="BA12" s="567"/>
      <c r="BB12" s="567"/>
      <c r="BC12" s="567">
        <v>3.38</v>
      </c>
      <c r="BD12" s="567"/>
      <c r="BE12" s="573">
        <f t="shared" si="38"/>
        <v>7.0000000000000007E-2</v>
      </c>
      <c r="BF12" s="563"/>
      <c r="BG12" s="563"/>
      <c r="BH12" s="563"/>
      <c r="BI12" s="563"/>
      <c r="BJ12" s="563">
        <f t="shared" si="39"/>
        <v>0</v>
      </c>
      <c r="BK12" s="732"/>
      <c r="BL12" s="732"/>
      <c r="BM12" s="571">
        <f t="shared" si="40"/>
        <v>0</v>
      </c>
      <c r="BN12" s="571">
        <f t="shared" si="41"/>
        <v>0</v>
      </c>
      <c r="BO12" s="571">
        <f t="shared" si="42"/>
        <v>0</v>
      </c>
      <c r="BP12" s="571">
        <f t="shared" si="43"/>
        <v>0</v>
      </c>
      <c r="BQ12" s="571">
        <f t="shared" si="44"/>
        <v>3.4208869999999996</v>
      </c>
      <c r="BR12" s="732"/>
      <c r="BS12" s="563">
        <f t="shared" si="45"/>
        <v>0</v>
      </c>
      <c r="BT12" s="563">
        <f t="shared" si="46"/>
        <v>0</v>
      </c>
      <c r="BU12" s="563">
        <f t="shared" si="47"/>
        <v>0</v>
      </c>
      <c r="BV12" s="563">
        <f t="shared" si="48"/>
        <v>0</v>
      </c>
      <c r="BW12" s="563">
        <f t="shared" si="49"/>
        <v>4.0886999999999674E-2</v>
      </c>
      <c r="BX12" s="732"/>
      <c r="BY12" s="732"/>
      <c r="BZ12" s="732"/>
      <c r="CA12" s="732"/>
      <c r="CB12" s="732"/>
      <c r="CC12" s="732"/>
      <c r="CD12" s="732"/>
      <c r="CE12" s="732"/>
      <c r="CF12" s="732"/>
      <c r="CG12" s="732"/>
      <c r="CH12" s="732"/>
      <c r="CI12" s="732"/>
      <c r="CJ12" s="732"/>
      <c r="CK12" s="732"/>
      <c r="CL12" s="732"/>
      <c r="CM12" s="732"/>
      <c r="CN12" s="732"/>
      <c r="CO12" s="732"/>
      <c r="CP12" s="732"/>
      <c r="CQ12" s="732"/>
      <c r="CR12" s="732"/>
      <c r="CS12" s="732"/>
      <c r="CT12" s="732"/>
      <c r="CU12" s="732"/>
      <c r="CV12" s="732"/>
      <c r="CW12" s="732"/>
      <c r="CX12" s="732"/>
      <c r="CY12" s="732"/>
      <c r="CZ12" s="732"/>
      <c r="DA12" s="732"/>
      <c r="DB12" s="732"/>
      <c r="DC12" s="732"/>
      <c r="DD12" s="732"/>
      <c r="DE12" s="732"/>
      <c r="DF12" s="732"/>
      <c r="DG12" s="732"/>
      <c r="DH12" s="732"/>
      <c r="DI12" s="732"/>
      <c r="DJ12" s="732"/>
      <c r="DK12" s="732"/>
      <c r="DL12" s="732"/>
      <c r="DM12" s="732"/>
      <c r="DN12" s="732"/>
      <c r="DO12" s="732"/>
      <c r="DP12" s="732"/>
      <c r="DQ12" s="732"/>
      <c r="DR12" s="732"/>
      <c r="DS12" s="732"/>
    </row>
    <row r="13" spans="1:123">
      <c r="B13" s="35">
        <v>2</v>
      </c>
      <c r="C13" s="71" t="s">
        <v>120</v>
      </c>
      <c r="D13" s="35">
        <v>234</v>
      </c>
      <c r="E13" s="547">
        <v>96</v>
      </c>
      <c r="F13" s="72"/>
      <c r="G13" s="72" t="str">
        <f t="shared" si="52"/>
        <v>042234</v>
      </c>
      <c r="H13" s="46"/>
      <c r="I13" s="732" t="s">
        <v>450</v>
      </c>
      <c r="J13" s="732" t="s">
        <v>131</v>
      </c>
      <c r="K13" s="214" t="s">
        <v>903</v>
      </c>
      <c r="L13" s="566" t="s">
        <v>846</v>
      </c>
      <c r="M13" s="565">
        <f t="shared" ref="M13:Q22" si="53">SUMIF($G:$G,TEXT(M$3,"000")&amp;TEXT($L13,"000"),$E:$E)</f>
        <v>0</v>
      </c>
      <c r="N13" s="565">
        <f t="shared" si="53"/>
        <v>0</v>
      </c>
      <c r="O13" s="565">
        <f t="shared" si="53"/>
        <v>0</v>
      </c>
      <c r="P13" s="565">
        <f t="shared" si="53"/>
        <v>0</v>
      </c>
      <c r="Q13" s="565">
        <f t="shared" si="53"/>
        <v>0</v>
      </c>
      <c r="R13" s="565">
        <f t="shared" si="25"/>
        <v>1</v>
      </c>
      <c r="S13" s="603">
        <v>0</v>
      </c>
      <c r="T13" s="603">
        <v>0</v>
      </c>
      <c r="U13" s="603">
        <v>0</v>
      </c>
      <c r="V13" s="603">
        <v>0</v>
      </c>
      <c r="W13" s="603">
        <v>3.57646</v>
      </c>
      <c r="X13" s="732"/>
      <c r="Y13" s="69">
        <f t="shared" si="26"/>
        <v>0</v>
      </c>
      <c r="Z13" s="69">
        <f t="shared" si="27"/>
        <v>0</v>
      </c>
      <c r="AA13" s="69">
        <f t="shared" si="28"/>
        <v>0</v>
      </c>
      <c r="AB13" s="69">
        <f t="shared" si="29"/>
        <v>0</v>
      </c>
      <c r="AC13" s="69">
        <f t="shared" si="30"/>
        <v>0</v>
      </c>
      <c r="AD13" s="732"/>
      <c r="AE13" s="565">
        <f t="shared" si="7"/>
        <v>0</v>
      </c>
      <c r="AF13" s="565">
        <f t="shared" si="7"/>
        <v>0</v>
      </c>
      <c r="AG13" s="565">
        <f t="shared" si="7"/>
        <v>0</v>
      </c>
      <c r="AH13" s="565">
        <f t="shared" si="7"/>
        <v>0</v>
      </c>
      <c r="AI13" s="565">
        <f t="shared" si="7"/>
        <v>0</v>
      </c>
      <c r="AJ13" s="732"/>
      <c r="AK13" s="570">
        <f t="shared" si="31"/>
        <v>0</v>
      </c>
      <c r="AL13" s="570"/>
      <c r="AM13" s="570">
        <f t="shared" si="32"/>
        <v>0</v>
      </c>
      <c r="AN13" s="570">
        <f t="shared" si="33"/>
        <v>0</v>
      </c>
      <c r="AO13" s="570">
        <f t="shared" si="34"/>
        <v>3.7</v>
      </c>
      <c r="AP13" s="732"/>
      <c r="AQ13" s="69">
        <f t="shared" si="35"/>
        <v>0</v>
      </c>
      <c r="AR13" s="69">
        <f t="shared" si="50"/>
        <v>0</v>
      </c>
      <c r="AS13" s="69">
        <f t="shared" si="36"/>
        <v>0</v>
      </c>
      <c r="AT13" s="69">
        <f t="shared" si="37"/>
        <v>0</v>
      </c>
      <c r="AU13" s="69">
        <f t="shared" si="51"/>
        <v>0</v>
      </c>
      <c r="AV13" s="732"/>
      <c r="AX13" s="577">
        <v>34</v>
      </c>
      <c r="AY13" s="567"/>
      <c r="AZ13" s="567"/>
      <c r="BA13" s="567"/>
      <c r="BB13" s="567"/>
      <c r="BC13" s="567">
        <v>3.69</v>
      </c>
      <c r="BD13" s="567"/>
      <c r="BE13" s="573">
        <f t="shared" si="38"/>
        <v>6.9999999999999951E-2</v>
      </c>
      <c r="BF13" s="563"/>
      <c r="BG13" s="563"/>
      <c r="BH13" s="563"/>
      <c r="BI13" s="563"/>
      <c r="BJ13" s="563">
        <f t="shared" si="39"/>
        <v>0.01</v>
      </c>
      <c r="BK13" s="732"/>
      <c r="BL13" s="732"/>
      <c r="BM13" s="571">
        <f t="shared" si="40"/>
        <v>0</v>
      </c>
      <c r="BN13" s="571">
        <f t="shared" si="41"/>
        <v>0</v>
      </c>
      <c r="BO13" s="571">
        <f t="shared" si="42"/>
        <v>0</v>
      </c>
      <c r="BP13" s="571">
        <f t="shared" si="43"/>
        <v>0</v>
      </c>
      <c r="BQ13" s="571">
        <f t="shared" si="44"/>
        <v>3.7558699999999998</v>
      </c>
      <c r="BR13" s="732"/>
      <c r="BS13" s="563">
        <f t="shared" si="45"/>
        <v>0</v>
      </c>
      <c r="BT13" s="563">
        <f t="shared" si="46"/>
        <v>0</v>
      </c>
      <c r="BU13" s="563">
        <f t="shared" si="47"/>
        <v>0</v>
      </c>
      <c r="BV13" s="563">
        <f t="shared" si="48"/>
        <v>0</v>
      </c>
      <c r="BW13" s="563">
        <f t="shared" si="49"/>
        <v>6.5869999999999873E-2</v>
      </c>
      <c r="BX13" s="732"/>
      <c r="BY13" s="732"/>
      <c r="BZ13" s="732"/>
      <c r="CA13" s="732"/>
      <c r="CB13" s="732"/>
      <c r="CC13" s="732"/>
      <c r="CD13" s="732"/>
      <c r="CE13" s="732"/>
      <c r="CF13" s="732"/>
      <c r="CG13" s="732"/>
      <c r="CH13" s="732"/>
      <c r="CI13" s="732"/>
      <c r="CJ13" s="732"/>
      <c r="CK13" s="732"/>
      <c r="CL13" s="732"/>
      <c r="CM13" s="732"/>
      <c r="CN13" s="732"/>
      <c r="CO13" s="732"/>
      <c r="CP13" s="732"/>
      <c r="CQ13" s="732"/>
      <c r="CR13" s="732"/>
      <c r="CS13" s="732"/>
      <c r="CT13" s="732"/>
      <c r="CU13" s="732"/>
      <c r="CV13" s="732"/>
      <c r="CW13" s="732"/>
      <c r="CX13" s="732"/>
      <c r="CY13" s="732"/>
      <c r="CZ13" s="732"/>
      <c r="DA13" s="732"/>
      <c r="DB13" s="732"/>
      <c r="DC13" s="732"/>
      <c r="DD13" s="732"/>
      <c r="DE13" s="732"/>
      <c r="DF13" s="732"/>
      <c r="DG13" s="732"/>
      <c r="DH13" s="732"/>
      <c r="DI13" s="732"/>
      <c r="DJ13" s="732"/>
      <c r="DK13" s="732"/>
      <c r="DL13" s="732"/>
      <c r="DM13" s="732"/>
      <c r="DN13" s="732"/>
      <c r="DO13" s="732"/>
      <c r="DP13" s="732"/>
      <c r="DQ13" s="732"/>
      <c r="DR13" s="732"/>
      <c r="DS13" s="732"/>
    </row>
    <row r="14" spans="1:123">
      <c r="B14" s="35">
        <v>2</v>
      </c>
      <c r="C14" s="71" t="s">
        <v>120</v>
      </c>
      <c r="D14" s="35">
        <v>421</v>
      </c>
      <c r="E14" s="547">
        <v>2</v>
      </c>
      <c r="F14" s="72"/>
      <c r="G14" s="72" t="str">
        <f t="shared" si="52"/>
        <v>042421</v>
      </c>
      <c r="H14" s="46"/>
      <c r="I14" s="732" t="s">
        <v>450</v>
      </c>
      <c r="J14" s="732" t="s">
        <v>131</v>
      </c>
      <c r="K14" s="214" t="s">
        <v>903</v>
      </c>
      <c r="L14" s="566" t="s">
        <v>847</v>
      </c>
      <c r="M14" s="565">
        <f t="shared" si="53"/>
        <v>0</v>
      </c>
      <c r="N14" s="565">
        <f t="shared" si="53"/>
        <v>0</v>
      </c>
      <c r="O14" s="565">
        <f t="shared" si="53"/>
        <v>0</v>
      </c>
      <c r="P14" s="565">
        <f t="shared" si="53"/>
        <v>0</v>
      </c>
      <c r="Q14" s="565">
        <f t="shared" si="53"/>
        <v>6</v>
      </c>
      <c r="R14" s="565">
        <f t="shared" si="25"/>
        <v>0</v>
      </c>
      <c r="S14" s="603">
        <v>0</v>
      </c>
      <c r="T14" s="603">
        <v>0</v>
      </c>
      <c r="U14" s="603">
        <v>0</v>
      </c>
      <c r="V14" s="603">
        <v>0</v>
      </c>
      <c r="W14" s="603">
        <v>3.9972200000000004</v>
      </c>
      <c r="X14" s="732"/>
      <c r="Y14" s="69">
        <f t="shared" si="26"/>
        <v>0</v>
      </c>
      <c r="Z14" s="69">
        <f t="shared" si="27"/>
        <v>0</v>
      </c>
      <c r="AA14" s="69">
        <f t="shared" si="28"/>
        <v>0</v>
      </c>
      <c r="AB14" s="69">
        <f t="shared" si="29"/>
        <v>0</v>
      </c>
      <c r="AC14" s="69">
        <f t="shared" si="30"/>
        <v>23.983320000000003</v>
      </c>
      <c r="AD14" s="732"/>
      <c r="AE14" s="565">
        <f t="shared" ref="AE14:AI25" si="54">SUMIF($G:$G,TEXT(AE$3,"000")&amp;TEXT($L14,"000"),$E:$E)</f>
        <v>0</v>
      </c>
      <c r="AF14" s="565">
        <f t="shared" si="54"/>
        <v>0</v>
      </c>
      <c r="AG14" s="565">
        <f t="shared" si="54"/>
        <v>0</v>
      </c>
      <c r="AH14" s="565">
        <f t="shared" si="54"/>
        <v>0</v>
      </c>
      <c r="AI14" s="565">
        <f t="shared" si="54"/>
        <v>6</v>
      </c>
      <c r="AJ14" s="732"/>
      <c r="AK14" s="570">
        <f t="shared" si="31"/>
        <v>0</v>
      </c>
      <c r="AL14" s="570"/>
      <c r="AM14" s="570">
        <f t="shared" si="32"/>
        <v>0</v>
      </c>
      <c r="AN14" s="570">
        <f t="shared" si="33"/>
        <v>0</v>
      </c>
      <c r="AO14" s="570">
        <f t="shared" si="34"/>
        <v>4.13</v>
      </c>
      <c r="AP14" s="732"/>
      <c r="AQ14" s="69">
        <f t="shared" si="35"/>
        <v>0</v>
      </c>
      <c r="AR14" s="69">
        <f t="shared" si="50"/>
        <v>0</v>
      </c>
      <c r="AS14" s="69">
        <f t="shared" si="36"/>
        <v>0</v>
      </c>
      <c r="AT14" s="69">
        <f t="shared" si="37"/>
        <v>0</v>
      </c>
      <c r="AU14" s="69">
        <f t="shared" si="51"/>
        <v>24.78</v>
      </c>
      <c r="AV14" s="732"/>
      <c r="AX14" s="577">
        <v>38</v>
      </c>
      <c r="AY14" s="567"/>
      <c r="AZ14" s="567"/>
      <c r="BA14" s="567"/>
      <c r="BB14" s="567"/>
      <c r="BC14" s="567">
        <v>4.1399999999999997</v>
      </c>
      <c r="BD14" s="567"/>
      <c r="BE14" s="573">
        <f t="shared" si="38"/>
        <v>8.0000000000000016E-2</v>
      </c>
      <c r="BF14" s="563"/>
      <c r="BG14" s="563"/>
      <c r="BH14" s="563"/>
      <c r="BI14" s="563"/>
      <c r="BJ14" s="563">
        <f t="shared" si="39"/>
        <v>0</v>
      </c>
      <c r="BK14" s="732"/>
      <c r="BL14" s="732"/>
      <c r="BM14" s="571">
        <f t="shared" si="40"/>
        <v>0</v>
      </c>
      <c r="BN14" s="571">
        <f t="shared" si="41"/>
        <v>0</v>
      </c>
      <c r="BO14" s="571">
        <f t="shared" si="42"/>
        <v>0</v>
      </c>
      <c r="BP14" s="571">
        <f t="shared" si="43"/>
        <v>0</v>
      </c>
      <c r="BQ14" s="571">
        <f t="shared" si="44"/>
        <v>4.1923629999999994</v>
      </c>
      <c r="BR14" s="732"/>
      <c r="BS14" s="563">
        <f t="shared" si="45"/>
        <v>0</v>
      </c>
      <c r="BT14" s="563">
        <f t="shared" si="46"/>
        <v>0</v>
      </c>
      <c r="BU14" s="563">
        <f t="shared" si="47"/>
        <v>0</v>
      </c>
      <c r="BV14" s="563">
        <f t="shared" si="48"/>
        <v>0</v>
      </c>
      <c r="BW14" s="563">
        <f t="shared" si="49"/>
        <v>5.2362999999999715E-2</v>
      </c>
      <c r="BX14" s="732"/>
      <c r="BY14" s="732"/>
      <c r="BZ14" s="732"/>
      <c r="CA14" s="732"/>
      <c r="CB14" s="732"/>
      <c r="CC14" s="732"/>
      <c r="CD14" s="732"/>
      <c r="CE14" s="732"/>
      <c r="CF14" s="732"/>
      <c r="CG14" s="732"/>
      <c r="CH14" s="732"/>
      <c r="CI14" s="732"/>
      <c r="CJ14" s="732"/>
      <c r="CK14" s="732"/>
      <c r="CL14" s="732"/>
      <c r="CM14" s="732"/>
      <c r="CN14" s="732"/>
      <c r="CO14" s="732"/>
      <c r="CP14" s="732"/>
      <c r="CQ14" s="732"/>
      <c r="CR14" s="732"/>
      <c r="CS14" s="732"/>
      <c r="CT14" s="732"/>
      <c r="CU14" s="732"/>
      <c r="CV14" s="732"/>
      <c r="CW14" s="732"/>
      <c r="CX14" s="732"/>
      <c r="CY14" s="732"/>
      <c r="CZ14" s="732"/>
      <c r="DA14" s="732"/>
      <c r="DB14" s="732"/>
      <c r="DC14" s="732"/>
      <c r="DD14" s="732"/>
      <c r="DE14" s="732"/>
      <c r="DF14" s="732"/>
      <c r="DG14" s="732"/>
      <c r="DH14" s="732"/>
      <c r="DI14" s="732"/>
      <c r="DJ14" s="732"/>
      <c r="DK14" s="732"/>
      <c r="DL14" s="732"/>
      <c r="DM14" s="732"/>
      <c r="DN14" s="732"/>
      <c r="DO14" s="732"/>
      <c r="DP14" s="732"/>
      <c r="DQ14" s="732"/>
      <c r="DR14" s="732"/>
      <c r="DS14" s="732"/>
    </row>
    <row r="15" spans="1:123">
      <c r="A15" s="632"/>
      <c r="B15" s="527">
        <v>2</v>
      </c>
      <c r="C15" s="71" t="s">
        <v>120</v>
      </c>
      <c r="D15" s="527" t="s">
        <v>579</v>
      </c>
      <c r="E15" s="549">
        <v>1</v>
      </c>
      <c r="F15" s="72"/>
      <c r="G15" s="72" t="str">
        <f t="shared" si="52"/>
        <v>042421L</v>
      </c>
      <c r="H15" s="46"/>
      <c r="I15" s="732" t="s">
        <v>450</v>
      </c>
      <c r="J15" s="732" t="s">
        <v>131</v>
      </c>
      <c r="K15" s="214" t="s">
        <v>903</v>
      </c>
      <c r="L15" s="566" t="s">
        <v>848</v>
      </c>
      <c r="M15" s="565">
        <f t="shared" si="53"/>
        <v>0</v>
      </c>
      <c r="N15" s="565">
        <f t="shared" si="53"/>
        <v>0</v>
      </c>
      <c r="O15" s="565">
        <f t="shared" si="53"/>
        <v>0</v>
      </c>
      <c r="P15" s="565">
        <f t="shared" si="53"/>
        <v>0</v>
      </c>
      <c r="Q15" s="565">
        <f t="shared" si="53"/>
        <v>0</v>
      </c>
      <c r="R15" s="565">
        <f t="shared" si="25"/>
        <v>1</v>
      </c>
      <c r="S15" s="603">
        <v>0</v>
      </c>
      <c r="T15" s="603">
        <v>0</v>
      </c>
      <c r="U15" s="603">
        <v>0</v>
      </c>
      <c r="V15" s="603">
        <v>0</v>
      </c>
      <c r="W15" s="603">
        <v>4.3127900000000006</v>
      </c>
      <c r="X15" s="732"/>
      <c r="Y15" s="69">
        <f t="shared" si="26"/>
        <v>0</v>
      </c>
      <c r="Z15" s="69">
        <f t="shared" si="27"/>
        <v>0</v>
      </c>
      <c r="AA15" s="69">
        <f t="shared" si="28"/>
        <v>0</v>
      </c>
      <c r="AB15" s="69">
        <f t="shared" si="29"/>
        <v>0</v>
      </c>
      <c r="AC15" s="69">
        <f t="shared" si="30"/>
        <v>0</v>
      </c>
      <c r="AD15" s="732"/>
      <c r="AE15" s="565">
        <f t="shared" si="54"/>
        <v>0</v>
      </c>
      <c r="AF15" s="565">
        <f t="shared" si="54"/>
        <v>0</v>
      </c>
      <c r="AG15" s="565">
        <f t="shared" si="54"/>
        <v>0</v>
      </c>
      <c r="AH15" s="565">
        <f t="shared" si="54"/>
        <v>0</v>
      </c>
      <c r="AI15" s="565">
        <f t="shared" si="54"/>
        <v>0</v>
      </c>
      <c r="AJ15" s="732"/>
      <c r="AK15" s="570">
        <f t="shared" si="31"/>
        <v>0</v>
      </c>
      <c r="AL15" s="570"/>
      <c r="AM15" s="570">
        <f t="shared" si="32"/>
        <v>0</v>
      </c>
      <c r="AN15" s="570">
        <f t="shared" si="33"/>
        <v>0</v>
      </c>
      <c r="AO15" s="570">
        <f t="shared" si="34"/>
        <v>4.46</v>
      </c>
      <c r="AP15" s="732"/>
      <c r="AQ15" s="69">
        <f t="shared" si="35"/>
        <v>0</v>
      </c>
      <c r="AR15" s="69">
        <f t="shared" si="50"/>
        <v>0</v>
      </c>
      <c r="AS15" s="69">
        <f t="shared" si="36"/>
        <v>0</v>
      </c>
      <c r="AT15" s="69">
        <f t="shared" si="37"/>
        <v>0</v>
      </c>
      <c r="AU15" s="69">
        <f t="shared" si="51"/>
        <v>0</v>
      </c>
      <c r="AV15" s="732"/>
      <c r="AX15" s="577">
        <v>41</v>
      </c>
      <c r="AY15" s="567"/>
      <c r="AZ15" s="567"/>
      <c r="BA15" s="567"/>
      <c r="BB15" s="567"/>
      <c r="BC15" s="567">
        <v>4.47</v>
      </c>
      <c r="BD15" s="567"/>
      <c r="BE15" s="573">
        <f t="shared" si="38"/>
        <v>8.9999999999999969E-2</v>
      </c>
      <c r="BF15" s="563"/>
      <c r="BG15" s="563"/>
      <c r="BH15" s="563"/>
      <c r="BI15" s="563"/>
      <c r="BJ15" s="563">
        <f t="shared" si="39"/>
        <v>0</v>
      </c>
      <c r="BK15" s="732"/>
      <c r="BL15" s="732"/>
      <c r="BM15" s="571">
        <f t="shared" si="40"/>
        <v>0</v>
      </c>
      <c r="BN15" s="571">
        <f t="shared" si="41"/>
        <v>0</v>
      </c>
      <c r="BO15" s="571">
        <f t="shared" si="42"/>
        <v>0</v>
      </c>
      <c r="BP15" s="571">
        <f t="shared" si="43"/>
        <v>0</v>
      </c>
      <c r="BQ15" s="571">
        <f t="shared" si="44"/>
        <v>4.5273459999999996</v>
      </c>
      <c r="BR15" s="732"/>
      <c r="BS15" s="563">
        <f t="shared" si="45"/>
        <v>0</v>
      </c>
      <c r="BT15" s="563">
        <f t="shared" si="46"/>
        <v>0</v>
      </c>
      <c r="BU15" s="563">
        <f t="shared" si="47"/>
        <v>0</v>
      </c>
      <c r="BV15" s="563">
        <f t="shared" si="48"/>
        <v>0</v>
      </c>
      <c r="BW15" s="563">
        <f t="shared" si="49"/>
        <v>5.7345999999999897E-2</v>
      </c>
      <c r="BX15" s="732"/>
      <c r="BY15" s="732"/>
      <c r="BZ15" s="732"/>
      <c r="CA15" s="732"/>
      <c r="CB15" s="732"/>
      <c r="CC15" s="732"/>
      <c r="CD15" s="732"/>
      <c r="CE15" s="732"/>
      <c r="CF15" s="732"/>
      <c r="CG15" s="732"/>
      <c r="CH15" s="732"/>
      <c r="CI15" s="732"/>
      <c r="CJ15" s="732"/>
      <c r="CK15" s="732"/>
      <c r="CL15" s="732"/>
      <c r="CM15" s="732"/>
      <c r="CN15" s="732"/>
      <c r="CO15" s="732"/>
      <c r="CP15" s="732"/>
      <c r="CQ15" s="732"/>
      <c r="CR15" s="732"/>
      <c r="CS15" s="732"/>
      <c r="CT15" s="732"/>
      <c r="CU15" s="732"/>
      <c r="CV15" s="732"/>
      <c r="CW15" s="732"/>
      <c r="CX15" s="732"/>
      <c r="CY15" s="732"/>
      <c r="CZ15" s="732"/>
      <c r="DA15" s="732"/>
      <c r="DB15" s="732"/>
      <c r="DC15" s="732"/>
      <c r="DD15" s="732"/>
      <c r="DE15" s="732"/>
      <c r="DF15" s="732"/>
      <c r="DG15" s="732"/>
      <c r="DH15" s="732"/>
      <c r="DI15" s="732"/>
      <c r="DJ15" s="732"/>
      <c r="DK15" s="732"/>
      <c r="DL15" s="732"/>
      <c r="DM15" s="732"/>
      <c r="DN15" s="732"/>
      <c r="DO15" s="732"/>
      <c r="DP15" s="732"/>
      <c r="DQ15" s="732"/>
      <c r="DR15" s="732"/>
      <c r="DS15" s="732"/>
    </row>
    <row r="16" spans="1:123">
      <c r="B16" s="35">
        <v>2</v>
      </c>
      <c r="C16" s="71" t="s">
        <v>120</v>
      </c>
      <c r="D16" s="35">
        <v>431</v>
      </c>
      <c r="E16" s="547">
        <v>0</v>
      </c>
      <c r="F16" s="72"/>
      <c r="G16" s="72" t="str">
        <f t="shared" si="52"/>
        <v>042431</v>
      </c>
      <c r="H16" s="46"/>
      <c r="I16" s="732" t="s">
        <v>450</v>
      </c>
      <c r="J16" s="732" t="s">
        <v>131</v>
      </c>
      <c r="K16" s="214" t="s">
        <v>903</v>
      </c>
      <c r="L16" s="566" t="s">
        <v>849</v>
      </c>
      <c r="M16" s="565">
        <f t="shared" si="53"/>
        <v>0</v>
      </c>
      <c r="N16" s="565">
        <f t="shared" si="53"/>
        <v>0</v>
      </c>
      <c r="O16" s="565">
        <f t="shared" si="53"/>
        <v>0</v>
      </c>
      <c r="P16" s="565">
        <f t="shared" si="53"/>
        <v>0</v>
      </c>
      <c r="Q16" s="565">
        <f t="shared" si="53"/>
        <v>0</v>
      </c>
      <c r="R16" s="565">
        <f t="shared" si="25"/>
        <v>1</v>
      </c>
      <c r="S16" s="603">
        <v>0</v>
      </c>
      <c r="T16" s="603">
        <v>0</v>
      </c>
      <c r="U16" s="603">
        <v>0</v>
      </c>
      <c r="V16" s="603">
        <v>0</v>
      </c>
      <c r="W16" s="603">
        <v>4.7335500000000001</v>
      </c>
      <c r="X16" s="732"/>
      <c r="Y16" s="69">
        <f t="shared" si="26"/>
        <v>0</v>
      </c>
      <c r="Z16" s="69">
        <f t="shared" si="27"/>
        <v>0</v>
      </c>
      <c r="AA16" s="69">
        <f t="shared" si="28"/>
        <v>0</v>
      </c>
      <c r="AB16" s="69">
        <f t="shared" si="29"/>
        <v>0</v>
      </c>
      <c r="AC16" s="69">
        <f t="shared" si="30"/>
        <v>0</v>
      </c>
      <c r="AD16" s="732"/>
      <c r="AE16" s="565">
        <f t="shared" si="54"/>
        <v>0</v>
      </c>
      <c r="AF16" s="565">
        <f t="shared" si="54"/>
        <v>0</v>
      </c>
      <c r="AG16" s="565">
        <f t="shared" si="54"/>
        <v>0</v>
      </c>
      <c r="AH16" s="565">
        <f t="shared" si="54"/>
        <v>0</v>
      </c>
      <c r="AI16" s="565">
        <f t="shared" si="54"/>
        <v>0</v>
      </c>
      <c r="AJ16" s="732"/>
      <c r="AK16" s="570">
        <f t="shared" si="31"/>
        <v>0</v>
      </c>
      <c r="AL16" s="570"/>
      <c r="AM16" s="570">
        <f t="shared" si="32"/>
        <v>0</v>
      </c>
      <c r="AN16" s="570">
        <f t="shared" si="33"/>
        <v>0</v>
      </c>
      <c r="AO16" s="570">
        <f t="shared" si="34"/>
        <v>4.8899999999999997</v>
      </c>
      <c r="AP16" s="732"/>
      <c r="AQ16" s="69">
        <f t="shared" si="35"/>
        <v>0</v>
      </c>
      <c r="AR16" s="69">
        <f t="shared" si="50"/>
        <v>0</v>
      </c>
      <c r="AS16" s="69">
        <f t="shared" si="36"/>
        <v>0</v>
      </c>
      <c r="AT16" s="69">
        <f t="shared" si="37"/>
        <v>0</v>
      </c>
      <c r="AU16" s="69">
        <f t="shared" si="51"/>
        <v>0</v>
      </c>
      <c r="AV16" s="732"/>
      <c r="AX16" s="577">
        <v>45</v>
      </c>
      <c r="AY16" s="567"/>
      <c r="AZ16" s="567"/>
      <c r="BA16" s="567"/>
      <c r="BB16" s="567"/>
      <c r="BC16" s="567">
        <v>4.9000000000000004</v>
      </c>
      <c r="BD16" s="567"/>
      <c r="BE16" s="573">
        <f t="shared" si="38"/>
        <v>9.9999999999999978E-2</v>
      </c>
      <c r="BF16" s="563"/>
      <c r="BG16" s="563"/>
      <c r="BH16" s="563"/>
      <c r="BI16" s="563"/>
      <c r="BJ16" s="563">
        <f t="shared" si="39"/>
        <v>0.01</v>
      </c>
      <c r="BK16" s="732"/>
      <c r="BL16" s="732"/>
      <c r="BM16" s="571">
        <f t="shared" si="40"/>
        <v>0</v>
      </c>
      <c r="BN16" s="571">
        <f t="shared" si="41"/>
        <v>0</v>
      </c>
      <c r="BO16" s="571">
        <f t="shared" si="42"/>
        <v>0</v>
      </c>
      <c r="BP16" s="571">
        <f t="shared" si="43"/>
        <v>0</v>
      </c>
      <c r="BQ16" s="571">
        <f t="shared" si="44"/>
        <v>4.9638389999999992</v>
      </c>
      <c r="BR16" s="732"/>
      <c r="BS16" s="563">
        <f t="shared" si="45"/>
        <v>0</v>
      </c>
      <c r="BT16" s="563">
        <f t="shared" si="46"/>
        <v>0</v>
      </c>
      <c r="BU16" s="563">
        <f t="shared" si="47"/>
        <v>0</v>
      </c>
      <c r="BV16" s="563">
        <f t="shared" si="48"/>
        <v>0</v>
      </c>
      <c r="BW16" s="563">
        <f t="shared" si="49"/>
        <v>6.3838999999998869E-2</v>
      </c>
      <c r="BX16" s="732"/>
      <c r="BY16" s="732"/>
      <c r="BZ16" s="732"/>
      <c r="CA16" s="732"/>
      <c r="CB16" s="732"/>
      <c r="CC16" s="732"/>
      <c r="CD16" s="732"/>
      <c r="CE16" s="732"/>
      <c r="CF16" s="732"/>
      <c r="CG16" s="732"/>
      <c r="CH16" s="732"/>
      <c r="CI16" s="732"/>
      <c r="CJ16" s="732"/>
      <c r="CK16" s="732"/>
      <c r="CL16" s="732"/>
      <c r="CM16" s="732"/>
      <c r="CN16" s="732"/>
      <c r="CO16" s="732"/>
      <c r="CP16" s="732"/>
      <c r="CQ16" s="732"/>
      <c r="CR16" s="732"/>
      <c r="CS16" s="732"/>
      <c r="CT16" s="732"/>
      <c r="CU16" s="732"/>
      <c r="CV16" s="732"/>
      <c r="CW16" s="732"/>
      <c r="CX16" s="732"/>
      <c r="CY16" s="732"/>
      <c r="CZ16" s="732"/>
      <c r="DA16" s="732"/>
      <c r="DB16" s="732"/>
      <c r="DC16" s="732"/>
      <c r="DD16" s="732"/>
      <c r="DE16" s="732"/>
      <c r="DF16" s="732"/>
      <c r="DG16" s="732"/>
      <c r="DH16" s="732"/>
      <c r="DI16" s="732"/>
      <c r="DJ16" s="732"/>
      <c r="DK16" s="732"/>
      <c r="DL16" s="732"/>
      <c r="DM16" s="732"/>
      <c r="DN16" s="732"/>
      <c r="DO16" s="732"/>
      <c r="DP16" s="732"/>
      <c r="DQ16" s="732"/>
      <c r="DR16" s="732"/>
      <c r="DS16" s="732"/>
    </row>
    <row r="17" spans="1:123">
      <c r="A17" s="632"/>
      <c r="B17" s="527">
        <v>2</v>
      </c>
      <c r="C17" s="71" t="s">
        <v>120</v>
      </c>
      <c r="D17" s="527" t="s">
        <v>580</v>
      </c>
      <c r="E17" s="549">
        <v>0</v>
      </c>
      <c r="F17" s="72"/>
      <c r="G17" s="72" t="str">
        <f t="shared" si="52"/>
        <v>042431L</v>
      </c>
      <c r="H17" s="46"/>
      <c r="I17" s="732" t="s">
        <v>450</v>
      </c>
      <c r="J17" s="732" t="s">
        <v>131</v>
      </c>
      <c r="K17" s="214" t="s">
        <v>903</v>
      </c>
      <c r="L17" s="566" t="s">
        <v>850</v>
      </c>
      <c r="M17" s="565">
        <f t="shared" si="53"/>
        <v>0</v>
      </c>
      <c r="N17" s="565">
        <f t="shared" si="53"/>
        <v>0</v>
      </c>
      <c r="O17" s="565">
        <f t="shared" si="53"/>
        <v>0</v>
      </c>
      <c r="P17" s="565">
        <f t="shared" si="53"/>
        <v>0</v>
      </c>
      <c r="Q17" s="565">
        <f t="shared" si="53"/>
        <v>36</v>
      </c>
      <c r="R17" s="565">
        <f t="shared" si="25"/>
        <v>0</v>
      </c>
      <c r="S17" s="603">
        <v>0</v>
      </c>
      <c r="T17" s="603">
        <v>0</v>
      </c>
      <c r="U17" s="603">
        <v>0</v>
      </c>
      <c r="V17" s="603">
        <v>0</v>
      </c>
      <c r="W17" s="603">
        <v>5.1543100000000006</v>
      </c>
      <c r="X17" s="732"/>
      <c r="Y17" s="69">
        <f t="shared" si="26"/>
        <v>0</v>
      </c>
      <c r="Z17" s="69">
        <f t="shared" si="27"/>
        <v>0</v>
      </c>
      <c r="AA17" s="69">
        <f t="shared" si="28"/>
        <v>0</v>
      </c>
      <c r="AB17" s="69">
        <f t="shared" si="29"/>
        <v>0</v>
      </c>
      <c r="AC17" s="69">
        <f t="shared" si="30"/>
        <v>185.55516000000003</v>
      </c>
      <c r="AD17" s="732"/>
      <c r="AE17" s="565">
        <f t="shared" si="54"/>
        <v>0</v>
      </c>
      <c r="AF17" s="565">
        <f t="shared" si="54"/>
        <v>0</v>
      </c>
      <c r="AG17" s="565">
        <f t="shared" si="54"/>
        <v>0</v>
      </c>
      <c r="AH17" s="565">
        <f t="shared" si="54"/>
        <v>0</v>
      </c>
      <c r="AI17" s="565">
        <f t="shared" si="54"/>
        <v>36</v>
      </c>
      <c r="AJ17" s="732"/>
      <c r="AK17" s="570">
        <f t="shared" si="31"/>
        <v>0</v>
      </c>
      <c r="AL17" s="570"/>
      <c r="AM17" s="570">
        <f t="shared" si="32"/>
        <v>0</v>
      </c>
      <c r="AN17" s="570">
        <f t="shared" si="33"/>
        <v>0</v>
      </c>
      <c r="AO17" s="570">
        <f t="shared" si="34"/>
        <v>5.33</v>
      </c>
      <c r="AP17" s="732"/>
      <c r="AQ17" s="69">
        <f t="shared" si="35"/>
        <v>0</v>
      </c>
      <c r="AR17" s="69">
        <f t="shared" si="50"/>
        <v>0</v>
      </c>
      <c r="AS17" s="69">
        <f t="shared" si="36"/>
        <v>0</v>
      </c>
      <c r="AT17" s="69">
        <f t="shared" si="37"/>
        <v>0</v>
      </c>
      <c r="AU17" s="69">
        <f t="shared" si="51"/>
        <v>191.88</v>
      </c>
      <c r="AV17" s="732"/>
      <c r="AX17" s="577">
        <v>49</v>
      </c>
      <c r="AY17" s="567"/>
      <c r="AZ17" s="567"/>
      <c r="BA17" s="567"/>
      <c r="BB17" s="567"/>
      <c r="BC17" s="567">
        <v>5.33</v>
      </c>
      <c r="BD17" s="567"/>
      <c r="BE17" s="573">
        <f t="shared" si="38"/>
        <v>0.1100000000000001</v>
      </c>
      <c r="BF17" s="563"/>
      <c r="BG17" s="563"/>
      <c r="BH17" s="563"/>
      <c r="BI17" s="563"/>
      <c r="BJ17" s="563">
        <f t="shared" si="39"/>
        <v>0.01</v>
      </c>
      <c r="BK17" s="732"/>
      <c r="BL17" s="732"/>
      <c r="BM17" s="571">
        <f t="shared" si="40"/>
        <v>0</v>
      </c>
      <c r="BN17" s="571">
        <f t="shared" si="41"/>
        <v>0</v>
      </c>
      <c r="BO17" s="571">
        <f t="shared" si="42"/>
        <v>0</v>
      </c>
      <c r="BP17" s="571">
        <f t="shared" si="43"/>
        <v>0</v>
      </c>
      <c r="BQ17" s="571">
        <f t="shared" si="44"/>
        <v>5.4104829999999993</v>
      </c>
      <c r="BR17" s="732"/>
      <c r="BS17" s="563">
        <f t="shared" si="45"/>
        <v>0</v>
      </c>
      <c r="BT17" s="563">
        <f t="shared" si="46"/>
        <v>0</v>
      </c>
      <c r="BU17" s="563">
        <f t="shared" si="47"/>
        <v>0</v>
      </c>
      <c r="BV17" s="563">
        <f t="shared" si="48"/>
        <v>0</v>
      </c>
      <c r="BW17" s="563">
        <f t="shared" si="49"/>
        <v>8.0482999999999194E-2</v>
      </c>
      <c r="BX17" s="732"/>
      <c r="BY17" s="732"/>
      <c r="BZ17" s="732"/>
      <c r="CA17" s="732"/>
      <c r="CB17" s="732"/>
      <c r="CC17" s="732"/>
      <c r="CD17" s="732"/>
      <c r="CE17" s="732"/>
      <c r="CF17" s="732"/>
      <c r="CG17" s="732"/>
      <c r="CH17" s="732"/>
      <c r="CI17" s="732"/>
      <c r="CJ17" s="732"/>
      <c r="CK17" s="732"/>
      <c r="CL17" s="732"/>
      <c r="CM17" s="732"/>
      <c r="CN17" s="732"/>
      <c r="CO17" s="732"/>
      <c r="CP17" s="732"/>
      <c r="CQ17" s="732"/>
      <c r="CR17" s="732"/>
      <c r="CS17" s="732"/>
      <c r="CT17" s="732"/>
      <c r="CU17" s="732"/>
      <c r="CV17" s="732"/>
      <c r="CW17" s="732"/>
      <c r="CX17" s="732"/>
      <c r="CY17" s="732"/>
      <c r="CZ17" s="732"/>
      <c r="DA17" s="732"/>
      <c r="DB17" s="732"/>
      <c r="DC17" s="732"/>
      <c r="DD17" s="732"/>
      <c r="DE17" s="732"/>
      <c r="DF17" s="732"/>
      <c r="DG17" s="732"/>
      <c r="DH17" s="732"/>
      <c r="DI17" s="732"/>
      <c r="DJ17" s="732"/>
      <c r="DK17" s="732"/>
      <c r="DL17" s="732"/>
      <c r="DM17" s="732"/>
      <c r="DN17" s="732"/>
      <c r="DO17" s="732"/>
      <c r="DP17" s="732"/>
      <c r="DQ17" s="732"/>
      <c r="DR17" s="732"/>
      <c r="DS17" s="732"/>
    </row>
    <row r="18" spans="1:123">
      <c r="A18" s="597"/>
      <c r="B18" s="527">
        <v>2</v>
      </c>
      <c r="C18" s="71" t="s">
        <v>120</v>
      </c>
      <c r="D18" s="527" t="s">
        <v>689</v>
      </c>
      <c r="E18" s="549">
        <v>0</v>
      </c>
      <c r="F18" s="72"/>
      <c r="G18" s="72" t="str">
        <f t="shared" si="52"/>
        <v>042431T</v>
      </c>
      <c r="H18" s="46"/>
      <c r="I18" s="732" t="s">
        <v>450</v>
      </c>
      <c r="J18" s="732" t="s">
        <v>131</v>
      </c>
      <c r="K18" s="214" t="s">
        <v>903</v>
      </c>
      <c r="L18" s="566" t="s">
        <v>851</v>
      </c>
      <c r="M18" s="565">
        <f t="shared" si="53"/>
        <v>0</v>
      </c>
      <c r="N18" s="565">
        <f t="shared" si="53"/>
        <v>0</v>
      </c>
      <c r="O18" s="565">
        <f t="shared" si="53"/>
        <v>0</v>
      </c>
      <c r="P18" s="565">
        <f t="shared" si="53"/>
        <v>0</v>
      </c>
      <c r="Q18" s="565">
        <f t="shared" si="53"/>
        <v>0</v>
      </c>
      <c r="R18" s="565">
        <f t="shared" si="25"/>
        <v>1</v>
      </c>
      <c r="S18" s="603">
        <v>0</v>
      </c>
      <c r="T18" s="603">
        <v>0</v>
      </c>
      <c r="U18" s="603">
        <v>0</v>
      </c>
      <c r="V18" s="603">
        <v>0</v>
      </c>
      <c r="W18" s="603">
        <v>5.4698799999999999</v>
      </c>
      <c r="X18" s="732"/>
      <c r="Y18" s="69">
        <f t="shared" si="26"/>
        <v>0</v>
      </c>
      <c r="Z18" s="69">
        <f t="shared" si="27"/>
        <v>0</v>
      </c>
      <c r="AA18" s="69">
        <f t="shared" si="28"/>
        <v>0</v>
      </c>
      <c r="AB18" s="69">
        <f t="shared" si="29"/>
        <v>0</v>
      </c>
      <c r="AC18" s="69">
        <f t="shared" si="30"/>
        <v>0</v>
      </c>
      <c r="AD18" s="732"/>
      <c r="AE18" s="565">
        <f t="shared" si="54"/>
        <v>0</v>
      </c>
      <c r="AF18" s="565">
        <f t="shared" si="54"/>
        <v>0</v>
      </c>
      <c r="AG18" s="565">
        <f t="shared" si="54"/>
        <v>0</v>
      </c>
      <c r="AH18" s="565">
        <f t="shared" si="54"/>
        <v>0</v>
      </c>
      <c r="AI18" s="565">
        <f t="shared" si="54"/>
        <v>0</v>
      </c>
      <c r="AJ18" s="732"/>
      <c r="AK18" s="570">
        <f t="shared" si="31"/>
        <v>0</v>
      </c>
      <c r="AL18" s="570"/>
      <c r="AM18" s="570">
        <f t="shared" si="32"/>
        <v>0</v>
      </c>
      <c r="AN18" s="570">
        <f t="shared" si="33"/>
        <v>0</v>
      </c>
      <c r="AO18" s="570">
        <f t="shared" si="34"/>
        <v>5.65</v>
      </c>
      <c r="AP18" s="732"/>
      <c r="AQ18" s="69">
        <f t="shared" si="35"/>
        <v>0</v>
      </c>
      <c r="AR18" s="69">
        <f t="shared" si="50"/>
        <v>0</v>
      </c>
      <c r="AS18" s="69">
        <f t="shared" si="36"/>
        <v>0</v>
      </c>
      <c r="AT18" s="69">
        <f t="shared" si="37"/>
        <v>0</v>
      </c>
      <c r="AU18" s="69">
        <f t="shared" si="51"/>
        <v>0</v>
      </c>
      <c r="AV18" s="732"/>
      <c r="AX18" s="577">
        <v>52</v>
      </c>
      <c r="AY18" s="567"/>
      <c r="AZ18" s="567"/>
      <c r="BA18" s="567"/>
      <c r="BB18" s="567"/>
      <c r="BC18" s="567">
        <v>5.66</v>
      </c>
      <c r="BD18" s="567"/>
      <c r="BE18" s="573">
        <f t="shared" si="38"/>
        <v>0.10999999999999999</v>
      </c>
      <c r="BF18" s="563"/>
      <c r="BG18" s="563"/>
      <c r="BH18" s="563"/>
      <c r="BI18" s="563"/>
      <c r="BJ18" s="563">
        <f t="shared" si="39"/>
        <v>0</v>
      </c>
      <c r="BK18" s="732"/>
      <c r="BL18" s="732"/>
      <c r="BM18" s="571">
        <f t="shared" si="40"/>
        <v>0</v>
      </c>
      <c r="BN18" s="571">
        <f t="shared" si="41"/>
        <v>0</v>
      </c>
      <c r="BO18" s="571">
        <f t="shared" si="42"/>
        <v>0</v>
      </c>
      <c r="BP18" s="571">
        <f t="shared" si="43"/>
        <v>0</v>
      </c>
      <c r="BQ18" s="571">
        <f t="shared" si="44"/>
        <v>5.7353149999999999</v>
      </c>
      <c r="BR18" s="732"/>
      <c r="BS18" s="563">
        <f t="shared" si="45"/>
        <v>0</v>
      </c>
      <c r="BT18" s="563">
        <f t="shared" si="46"/>
        <v>0</v>
      </c>
      <c r="BU18" s="563">
        <f t="shared" si="47"/>
        <v>0</v>
      </c>
      <c r="BV18" s="563">
        <f t="shared" si="48"/>
        <v>0</v>
      </c>
      <c r="BW18" s="563">
        <f t="shared" si="49"/>
        <v>7.5314999999999799E-2</v>
      </c>
      <c r="BX18" s="732"/>
      <c r="BY18" s="732"/>
      <c r="BZ18" s="732"/>
      <c r="CA18" s="732"/>
      <c r="CB18" s="732"/>
      <c r="CC18" s="732"/>
      <c r="CD18" s="732"/>
      <c r="CE18" s="732"/>
      <c r="CF18" s="732"/>
      <c r="CG18" s="732"/>
      <c r="CH18" s="732"/>
      <c r="CI18" s="732"/>
      <c r="CJ18" s="732"/>
      <c r="CK18" s="732"/>
      <c r="CL18" s="732"/>
      <c r="CM18" s="732"/>
      <c r="CN18" s="732"/>
      <c r="CO18" s="732"/>
      <c r="CP18" s="732"/>
      <c r="CQ18" s="732"/>
      <c r="CR18" s="732"/>
      <c r="CS18" s="732"/>
      <c r="CT18" s="732"/>
      <c r="CU18" s="732"/>
      <c r="CV18" s="732"/>
      <c r="CW18" s="732"/>
      <c r="CX18" s="732"/>
      <c r="CY18" s="732"/>
      <c r="CZ18" s="732"/>
      <c r="DA18" s="732"/>
      <c r="DB18" s="732"/>
      <c r="DC18" s="732"/>
      <c r="DD18" s="732"/>
      <c r="DE18" s="732"/>
      <c r="DF18" s="732"/>
      <c r="DG18" s="732"/>
      <c r="DH18" s="732"/>
      <c r="DI18" s="732"/>
      <c r="DJ18" s="732"/>
      <c r="DK18" s="732"/>
      <c r="DL18" s="732"/>
      <c r="DM18" s="732"/>
      <c r="DN18" s="732"/>
      <c r="DO18" s="732"/>
      <c r="DP18" s="732"/>
      <c r="DQ18" s="732"/>
      <c r="DR18" s="732"/>
      <c r="DS18" s="732"/>
    </row>
    <row r="19" spans="1:123">
      <c r="B19" s="35">
        <v>2</v>
      </c>
      <c r="C19" s="71" t="s">
        <v>120</v>
      </c>
      <c r="D19" s="35">
        <v>432</v>
      </c>
      <c r="E19" s="547">
        <v>78</v>
      </c>
      <c r="F19" s="72"/>
      <c r="G19" s="72" t="str">
        <f t="shared" si="52"/>
        <v>042432</v>
      </c>
      <c r="H19" s="46"/>
      <c r="I19" s="732" t="s">
        <v>450</v>
      </c>
      <c r="J19" s="732" t="s">
        <v>131</v>
      </c>
      <c r="K19" s="214" t="s">
        <v>903</v>
      </c>
      <c r="L19" s="566" t="s">
        <v>852</v>
      </c>
      <c r="M19" s="565">
        <f t="shared" si="53"/>
        <v>0</v>
      </c>
      <c r="N19" s="565">
        <f t="shared" si="53"/>
        <v>0</v>
      </c>
      <c r="O19" s="565">
        <f t="shared" si="53"/>
        <v>0</v>
      </c>
      <c r="P19" s="565">
        <f t="shared" si="53"/>
        <v>0</v>
      </c>
      <c r="Q19" s="565">
        <f t="shared" si="53"/>
        <v>0</v>
      </c>
      <c r="R19" s="565">
        <f t="shared" si="25"/>
        <v>1</v>
      </c>
      <c r="S19" s="603">
        <v>0</v>
      </c>
      <c r="T19" s="603">
        <v>0</v>
      </c>
      <c r="U19" s="603">
        <v>0</v>
      </c>
      <c r="V19" s="603">
        <v>0</v>
      </c>
      <c r="W19" s="603">
        <v>5.8906400000000003</v>
      </c>
      <c r="X19" s="732"/>
      <c r="Y19" s="69">
        <f t="shared" si="26"/>
        <v>0</v>
      </c>
      <c r="Z19" s="69">
        <f t="shared" si="27"/>
        <v>0</v>
      </c>
      <c r="AA19" s="69">
        <f t="shared" si="28"/>
        <v>0</v>
      </c>
      <c r="AB19" s="69">
        <f t="shared" si="29"/>
        <v>0</v>
      </c>
      <c r="AC19" s="69">
        <f t="shared" si="30"/>
        <v>0</v>
      </c>
      <c r="AD19" s="732"/>
      <c r="AE19" s="565">
        <f t="shared" si="54"/>
        <v>0</v>
      </c>
      <c r="AF19" s="565">
        <f t="shared" si="54"/>
        <v>0</v>
      </c>
      <c r="AG19" s="565">
        <f t="shared" si="54"/>
        <v>0</v>
      </c>
      <c r="AH19" s="565">
        <f t="shared" si="54"/>
        <v>0</v>
      </c>
      <c r="AI19" s="565">
        <f t="shared" si="54"/>
        <v>0</v>
      </c>
      <c r="AJ19" s="732"/>
      <c r="AK19" s="570">
        <f t="shared" si="31"/>
        <v>0</v>
      </c>
      <c r="AL19" s="570"/>
      <c r="AM19" s="570">
        <f t="shared" si="32"/>
        <v>0</v>
      </c>
      <c r="AN19" s="570">
        <f t="shared" si="33"/>
        <v>0</v>
      </c>
      <c r="AO19" s="570">
        <f t="shared" si="34"/>
        <v>6.09</v>
      </c>
      <c r="AP19" s="732"/>
      <c r="AQ19" s="69">
        <f t="shared" si="35"/>
        <v>0</v>
      </c>
      <c r="AR19" s="69">
        <f t="shared" si="50"/>
        <v>0</v>
      </c>
      <c r="AS19" s="69">
        <f t="shared" si="36"/>
        <v>0</v>
      </c>
      <c r="AT19" s="69">
        <f t="shared" si="37"/>
        <v>0</v>
      </c>
      <c r="AU19" s="69">
        <f t="shared" si="51"/>
        <v>0</v>
      </c>
      <c r="AV19" s="732"/>
      <c r="AX19" s="577">
        <v>56</v>
      </c>
      <c r="AY19" s="567"/>
      <c r="AZ19" s="567"/>
      <c r="BA19" s="567"/>
      <c r="BB19" s="567"/>
      <c r="BC19" s="567">
        <v>6.1</v>
      </c>
      <c r="BD19" s="567"/>
      <c r="BE19" s="573">
        <f t="shared" si="38"/>
        <v>0.12</v>
      </c>
      <c r="BF19" s="563"/>
      <c r="BG19" s="563"/>
      <c r="BH19" s="563"/>
      <c r="BI19" s="563"/>
      <c r="BJ19" s="563">
        <f t="shared" si="39"/>
        <v>0</v>
      </c>
      <c r="BK19" s="732"/>
      <c r="BL19" s="732"/>
      <c r="BM19" s="571">
        <f t="shared" si="40"/>
        <v>0</v>
      </c>
      <c r="BN19" s="571">
        <f t="shared" si="41"/>
        <v>0</v>
      </c>
      <c r="BO19" s="571">
        <f t="shared" si="42"/>
        <v>0</v>
      </c>
      <c r="BP19" s="571">
        <f t="shared" si="43"/>
        <v>0</v>
      </c>
      <c r="BQ19" s="571">
        <f t="shared" si="44"/>
        <v>6.1819589999999991</v>
      </c>
      <c r="BR19" s="732"/>
      <c r="BS19" s="563">
        <f t="shared" si="45"/>
        <v>0</v>
      </c>
      <c r="BT19" s="563">
        <f t="shared" si="46"/>
        <v>0</v>
      </c>
      <c r="BU19" s="563">
        <f t="shared" si="47"/>
        <v>0</v>
      </c>
      <c r="BV19" s="563">
        <f t="shared" si="48"/>
        <v>0</v>
      </c>
      <c r="BW19" s="563">
        <f t="shared" si="49"/>
        <v>8.1958999999999449E-2</v>
      </c>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2"/>
      <c r="DM19" s="732"/>
      <c r="DN19" s="732"/>
      <c r="DO19" s="732"/>
      <c r="DP19" s="732"/>
      <c r="DQ19" s="732"/>
      <c r="DR19" s="732"/>
      <c r="DS19" s="732"/>
    </row>
    <row r="20" spans="1:123">
      <c r="A20" s="632"/>
      <c r="B20" s="527">
        <v>2</v>
      </c>
      <c r="C20" s="71" t="s">
        <v>120</v>
      </c>
      <c r="D20" s="527" t="s">
        <v>581</v>
      </c>
      <c r="E20" s="549">
        <v>141</v>
      </c>
      <c r="F20" s="72"/>
      <c r="G20" s="72" t="str">
        <f t="shared" si="52"/>
        <v>042432L</v>
      </c>
      <c r="H20" s="46"/>
      <c r="I20" s="732" t="s">
        <v>450</v>
      </c>
      <c r="J20" s="732" t="s">
        <v>131</v>
      </c>
      <c r="K20" s="214" t="s">
        <v>903</v>
      </c>
      <c r="L20" s="566" t="s">
        <v>853</v>
      </c>
      <c r="M20" s="565">
        <f t="shared" si="53"/>
        <v>0</v>
      </c>
      <c r="N20" s="565">
        <f t="shared" si="53"/>
        <v>0</v>
      </c>
      <c r="O20" s="565">
        <f t="shared" si="53"/>
        <v>0</v>
      </c>
      <c r="P20" s="565">
        <f t="shared" si="53"/>
        <v>0</v>
      </c>
      <c r="Q20" s="565">
        <f t="shared" si="53"/>
        <v>0</v>
      </c>
      <c r="R20" s="565">
        <f t="shared" si="25"/>
        <v>1</v>
      </c>
      <c r="S20" s="603">
        <v>0</v>
      </c>
      <c r="T20" s="603">
        <v>0</v>
      </c>
      <c r="U20" s="603">
        <v>0</v>
      </c>
      <c r="V20" s="603">
        <v>0</v>
      </c>
      <c r="W20" s="603">
        <v>6.2062100000000004</v>
      </c>
      <c r="X20" s="732"/>
      <c r="Y20" s="69">
        <f t="shared" si="26"/>
        <v>0</v>
      </c>
      <c r="Z20" s="69">
        <f t="shared" si="27"/>
        <v>0</v>
      </c>
      <c r="AA20" s="69">
        <f t="shared" si="28"/>
        <v>0</v>
      </c>
      <c r="AB20" s="69">
        <f t="shared" si="29"/>
        <v>0</v>
      </c>
      <c r="AC20" s="69">
        <f t="shared" si="30"/>
        <v>0</v>
      </c>
      <c r="AD20" s="732"/>
      <c r="AE20" s="565">
        <f t="shared" si="54"/>
        <v>0</v>
      </c>
      <c r="AF20" s="565">
        <f t="shared" si="54"/>
        <v>0</v>
      </c>
      <c r="AG20" s="565">
        <f t="shared" si="54"/>
        <v>0</v>
      </c>
      <c r="AH20" s="565">
        <f t="shared" si="54"/>
        <v>0</v>
      </c>
      <c r="AI20" s="565">
        <f t="shared" si="54"/>
        <v>0</v>
      </c>
      <c r="AJ20" s="732"/>
      <c r="AK20" s="570">
        <f t="shared" si="31"/>
        <v>0</v>
      </c>
      <c r="AL20" s="570"/>
      <c r="AM20" s="570">
        <f t="shared" si="32"/>
        <v>0</v>
      </c>
      <c r="AN20" s="570">
        <f t="shared" si="33"/>
        <v>0</v>
      </c>
      <c r="AO20" s="570">
        <f t="shared" si="34"/>
        <v>6.41</v>
      </c>
      <c r="AP20" s="732"/>
      <c r="AQ20" s="69">
        <f t="shared" si="35"/>
        <v>0</v>
      </c>
      <c r="AR20" s="69">
        <f t="shared" si="50"/>
        <v>0</v>
      </c>
      <c r="AS20" s="69">
        <f t="shared" si="36"/>
        <v>0</v>
      </c>
      <c r="AT20" s="69">
        <f t="shared" si="37"/>
        <v>0</v>
      </c>
      <c r="AU20" s="69">
        <f t="shared" si="51"/>
        <v>0</v>
      </c>
      <c r="AV20" s="732"/>
      <c r="AX20" s="577">
        <v>59</v>
      </c>
      <c r="AY20" s="567"/>
      <c r="AZ20" s="567"/>
      <c r="BA20" s="567"/>
      <c r="BB20" s="567"/>
      <c r="BC20" s="567">
        <v>6.42</v>
      </c>
      <c r="BD20" s="567"/>
      <c r="BE20" s="573">
        <f t="shared" si="38"/>
        <v>0.13</v>
      </c>
      <c r="BF20" s="563"/>
      <c r="BG20" s="563"/>
      <c r="BH20" s="563"/>
      <c r="BI20" s="563"/>
      <c r="BJ20" s="563">
        <f t="shared" si="39"/>
        <v>0.01</v>
      </c>
      <c r="BK20" s="732"/>
      <c r="BL20" s="732"/>
      <c r="BM20" s="571">
        <f t="shared" si="40"/>
        <v>0</v>
      </c>
      <c r="BN20" s="571">
        <f t="shared" si="41"/>
        <v>0</v>
      </c>
      <c r="BO20" s="571">
        <f t="shared" si="42"/>
        <v>0</v>
      </c>
      <c r="BP20" s="571">
        <f t="shared" si="43"/>
        <v>0</v>
      </c>
      <c r="BQ20" s="571">
        <f t="shared" si="44"/>
        <v>6.5067909999999998</v>
      </c>
      <c r="BR20" s="732"/>
      <c r="BS20" s="563">
        <f t="shared" si="45"/>
        <v>0</v>
      </c>
      <c r="BT20" s="563">
        <f t="shared" si="46"/>
        <v>0</v>
      </c>
      <c r="BU20" s="563">
        <f t="shared" si="47"/>
        <v>0</v>
      </c>
      <c r="BV20" s="563">
        <f t="shared" si="48"/>
        <v>0</v>
      </c>
      <c r="BW20" s="563">
        <f t="shared" si="49"/>
        <v>8.679099999999984E-2</v>
      </c>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2"/>
      <c r="CZ20" s="732"/>
      <c r="DA20" s="732"/>
      <c r="DB20" s="732"/>
      <c r="DC20" s="732"/>
      <c r="DD20" s="732"/>
      <c r="DE20" s="732"/>
      <c r="DF20" s="732"/>
      <c r="DG20" s="732"/>
      <c r="DH20" s="732"/>
      <c r="DI20" s="732"/>
      <c r="DJ20" s="732"/>
      <c r="DK20" s="732"/>
      <c r="DL20" s="732"/>
      <c r="DM20" s="732"/>
      <c r="DN20" s="732"/>
      <c r="DO20" s="732"/>
      <c r="DP20" s="732"/>
      <c r="DQ20" s="732"/>
      <c r="DR20" s="732"/>
      <c r="DS20" s="732"/>
    </row>
    <row r="21" spans="1:123">
      <c r="A21" s="631"/>
      <c r="B21" s="527">
        <v>2</v>
      </c>
      <c r="C21" s="71" t="s">
        <v>120</v>
      </c>
      <c r="D21" s="527" t="s">
        <v>691</v>
      </c>
      <c r="E21" s="549">
        <v>28</v>
      </c>
      <c r="F21" s="72"/>
      <c r="G21" s="72" t="str">
        <f t="shared" si="52"/>
        <v>042432T</v>
      </c>
      <c r="H21" s="46"/>
      <c r="I21" s="732" t="s">
        <v>450</v>
      </c>
      <c r="J21" s="732" t="s">
        <v>131</v>
      </c>
      <c r="K21" s="214" t="s">
        <v>903</v>
      </c>
      <c r="L21" s="566" t="s">
        <v>854</v>
      </c>
      <c r="M21" s="565">
        <f t="shared" si="53"/>
        <v>0</v>
      </c>
      <c r="N21" s="565">
        <f t="shared" si="53"/>
        <v>0</v>
      </c>
      <c r="O21" s="565">
        <f t="shared" si="53"/>
        <v>0</v>
      </c>
      <c r="P21" s="565">
        <f t="shared" si="53"/>
        <v>0</v>
      </c>
      <c r="Q21" s="565">
        <f t="shared" si="53"/>
        <v>0</v>
      </c>
      <c r="R21" s="565">
        <f t="shared" si="25"/>
        <v>1</v>
      </c>
      <c r="S21" s="603">
        <v>0</v>
      </c>
      <c r="T21" s="603">
        <v>0</v>
      </c>
      <c r="U21" s="603">
        <v>0</v>
      </c>
      <c r="V21" s="603">
        <v>0</v>
      </c>
      <c r="W21" s="603">
        <v>6.62697</v>
      </c>
      <c r="X21" s="732"/>
      <c r="Y21" s="69">
        <f t="shared" si="26"/>
        <v>0</v>
      </c>
      <c r="Z21" s="69">
        <f t="shared" si="27"/>
        <v>0</v>
      </c>
      <c r="AA21" s="69">
        <f t="shared" si="28"/>
        <v>0</v>
      </c>
      <c r="AB21" s="69">
        <f t="shared" si="29"/>
        <v>0</v>
      </c>
      <c r="AC21" s="69">
        <f t="shared" si="30"/>
        <v>0</v>
      </c>
      <c r="AD21" s="732"/>
      <c r="AE21" s="565">
        <f t="shared" si="54"/>
        <v>0</v>
      </c>
      <c r="AF21" s="565">
        <f t="shared" si="54"/>
        <v>0</v>
      </c>
      <c r="AG21" s="565">
        <f t="shared" si="54"/>
        <v>0</v>
      </c>
      <c r="AH21" s="565">
        <f t="shared" si="54"/>
        <v>0</v>
      </c>
      <c r="AI21" s="565">
        <f t="shared" si="54"/>
        <v>0</v>
      </c>
      <c r="AJ21" s="732"/>
      <c r="AK21" s="570">
        <f t="shared" si="31"/>
        <v>0</v>
      </c>
      <c r="AL21" s="570"/>
      <c r="AM21" s="570">
        <f t="shared" si="32"/>
        <v>0</v>
      </c>
      <c r="AN21" s="570">
        <f t="shared" si="33"/>
        <v>0</v>
      </c>
      <c r="AO21" s="570">
        <f t="shared" si="34"/>
        <v>6.85</v>
      </c>
      <c r="AP21" s="732"/>
      <c r="AQ21" s="69">
        <f t="shared" si="35"/>
        <v>0</v>
      </c>
      <c r="AR21" s="69">
        <f t="shared" si="50"/>
        <v>0</v>
      </c>
      <c r="AS21" s="69">
        <f t="shared" si="36"/>
        <v>0</v>
      </c>
      <c r="AT21" s="69">
        <f t="shared" si="37"/>
        <v>0</v>
      </c>
      <c r="AU21" s="69">
        <f t="shared" si="51"/>
        <v>0</v>
      </c>
      <c r="AV21" s="732"/>
      <c r="AX21" s="577">
        <v>63</v>
      </c>
      <c r="AY21" s="567"/>
      <c r="AZ21" s="567"/>
      <c r="BA21" s="567"/>
      <c r="BB21" s="567"/>
      <c r="BC21" s="567">
        <v>6.87</v>
      </c>
      <c r="BD21" s="567"/>
      <c r="BE21" s="573">
        <f t="shared" si="38"/>
        <v>0.14000000000000001</v>
      </c>
      <c r="BF21" s="563"/>
      <c r="BG21" s="563"/>
      <c r="BH21" s="563"/>
      <c r="BI21" s="563"/>
      <c r="BJ21" s="563">
        <f t="shared" si="39"/>
        <v>0</v>
      </c>
      <c r="BK21" s="732"/>
      <c r="BL21" s="732"/>
      <c r="BM21" s="571">
        <f t="shared" si="40"/>
        <v>0</v>
      </c>
      <c r="BN21" s="571">
        <f t="shared" si="41"/>
        <v>0</v>
      </c>
      <c r="BO21" s="571">
        <f t="shared" si="42"/>
        <v>0</v>
      </c>
      <c r="BP21" s="571">
        <f t="shared" si="43"/>
        <v>0</v>
      </c>
      <c r="BQ21" s="571">
        <f t="shared" si="44"/>
        <v>6.9534349999999989</v>
      </c>
      <c r="BR21" s="732"/>
      <c r="BS21" s="563">
        <f t="shared" si="45"/>
        <v>0</v>
      </c>
      <c r="BT21" s="563">
        <f t="shared" si="46"/>
        <v>0</v>
      </c>
      <c r="BU21" s="563">
        <f t="shared" si="47"/>
        <v>0</v>
      </c>
      <c r="BV21" s="563">
        <f t="shared" si="48"/>
        <v>0</v>
      </c>
      <c r="BW21" s="563">
        <f t="shared" si="49"/>
        <v>8.3434999999998816E-2</v>
      </c>
      <c r="BX21" s="732"/>
      <c r="BY21" s="732"/>
      <c r="BZ21" s="732"/>
      <c r="CA21" s="732"/>
      <c r="CB21" s="732"/>
      <c r="CC21" s="732"/>
      <c r="CD21" s="732"/>
      <c r="CE21" s="732"/>
      <c r="CF21" s="732"/>
      <c r="CG21" s="732"/>
      <c r="CH21" s="732"/>
      <c r="CI21" s="732"/>
      <c r="CJ21" s="732"/>
      <c r="CK21" s="732"/>
      <c r="CL21" s="732"/>
      <c r="CM21" s="732"/>
      <c r="CN21" s="732"/>
      <c r="CO21" s="732"/>
      <c r="CP21" s="732"/>
      <c r="CQ21" s="732"/>
      <c r="CR21" s="732"/>
      <c r="CS21" s="732"/>
      <c r="CT21" s="732"/>
      <c r="CU21" s="732"/>
      <c r="CV21" s="732"/>
      <c r="CW21" s="732"/>
      <c r="CX21" s="732"/>
      <c r="CY21" s="732"/>
      <c r="CZ21" s="732"/>
      <c r="DA21" s="732"/>
      <c r="DB21" s="732"/>
      <c r="DC21" s="732"/>
      <c r="DD21" s="732"/>
      <c r="DE21" s="732"/>
      <c r="DF21" s="732"/>
      <c r="DG21" s="732"/>
      <c r="DH21" s="732"/>
      <c r="DI21" s="732"/>
      <c r="DJ21" s="732"/>
      <c r="DK21" s="732"/>
      <c r="DL21" s="732"/>
      <c r="DM21" s="732"/>
      <c r="DN21" s="732"/>
      <c r="DO21" s="732"/>
      <c r="DP21" s="732"/>
      <c r="DQ21" s="732"/>
      <c r="DR21" s="732"/>
      <c r="DS21" s="732"/>
    </row>
    <row r="22" spans="1:123">
      <c r="B22" s="35">
        <v>2</v>
      </c>
      <c r="C22" s="71" t="s">
        <v>120</v>
      </c>
      <c r="D22" s="35">
        <v>433</v>
      </c>
      <c r="E22" s="547">
        <v>6</v>
      </c>
      <c r="F22" s="72"/>
      <c r="G22" s="72" t="str">
        <f t="shared" si="52"/>
        <v>042433</v>
      </c>
      <c r="H22" s="46"/>
      <c r="I22" s="732" t="s">
        <v>450</v>
      </c>
      <c r="J22" s="732" t="s">
        <v>131</v>
      </c>
      <c r="K22" s="214" t="s">
        <v>903</v>
      </c>
      <c r="L22" s="566" t="s">
        <v>855</v>
      </c>
      <c r="M22" s="565">
        <f t="shared" si="53"/>
        <v>0</v>
      </c>
      <c r="N22" s="565">
        <f t="shared" si="53"/>
        <v>0</v>
      </c>
      <c r="O22" s="565">
        <f t="shared" si="53"/>
        <v>0</v>
      </c>
      <c r="P22" s="565">
        <f t="shared" si="53"/>
        <v>0</v>
      </c>
      <c r="Q22" s="565">
        <f t="shared" si="53"/>
        <v>0</v>
      </c>
      <c r="R22" s="565">
        <f t="shared" si="25"/>
        <v>1</v>
      </c>
      <c r="S22" s="603">
        <v>0</v>
      </c>
      <c r="T22" s="603">
        <v>0</v>
      </c>
      <c r="U22" s="603">
        <v>0</v>
      </c>
      <c r="V22" s="603">
        <v>0</v>
      </c>
      <c r="W22" s="603">
        <v>7.0477300000000005</v>
      </c>
      <c r="X22" s="732"/>
      <c r="Y22" s="69">
        <f t="shared" si="26"/>
        <v>0</v>
      </c>
      <c r="Z22" s="69">
        <f t="shared" si="27"/>
        <v>0</v>
      </c>
      <c r="AA22" s="69">
        <f t="shared" si="28"/>
        <v>0</v>
      </c>
      <c r="AB22" s="69">
        <f t="shared" si="29"/>
        <v>0</v>
      </c>
      <c r="AC22" s="69">
        <f t="shared" si="30"/>
        <v>0</v>
      </c>
      <c r="AD22" s="732"/>
      <c r="AE22" s="565">
        <f t="shared" si="54"/>
        <v>0</v>
      </c>
      <c r="AF22" s="565">
        <f t="shared" si="54"/>
        <v>0</v>
      </c>
      <c r="AG22" s="565">
        <f t="shared" si="54"/>
        <v>0</v>
      </c>
      <c r="AH22" s="565">
        <f t="shared" si="54"/>
        <v>0</v>
      </c>
      <c r="AI22" s="565">
        <f t="shared" si="54"/>
        <v>0</v>
      </c>
      <c r="AJ22" s="732"/>
      <c r="AK22" s="570">
        <f t="shared" si="31"/>
        <v>0</v>
      </c>
      <c r="AL22" s="570"/>
      <c r="AM22" s="570">
        <f t="shared" si="32"/>
        <v>0</v>
      </c>
      <c r="AN22" s="570">
        <f t="shared" si="33"/>
        <v>0</v>
      </c>
      <c r="AO22" s="570">
        <f t="shared" si="34"/>
        <v>7.28</v>
      </c>
      <c r="AP22" s="732"/>
      <c r="AQ22" s="69">
        <f t="shared" si="35"/>
        <v>0</v>
      </c>
      <c r="AR22" s="69">
        <f t="shared" si="50"/>
        <v>0</v>
      </c>
      <c r="AS22" s="69">
        <f t="shared" si="36"/>
        <v>0</v>
      </c>
      <c r="AT22" s="69">
        <f t="shared" si="37"/>
        <v>0</v>
      </c>
      <c r="AU22" s="69">
        <f t="shared" si="51"/>
        <v>0</v>
      </c>
      <c r="AV22" s="732"/>
      <c r="AX22" s="577">
        <v>67</v>
      </c>
      <c r="AY22" s="567"/>
      <c r="AZ22" s="567"/>
      <c r="BA22" s="567"/>
      <c r="BB22" s="567"/>
      <c r="BC22" s="567">
        <v>7.3</v>
      </c>
      <c r="BD22" s="567"/>
      <c r="BE22" s="573">
        <f t="shared" si="38"/>
        <v>0.14000000000000001</v>
      </c>
      <c r="BF22" s="563"/>
      <c r="BG22" s="563"/>
      <c r="BH22" s="563"/>
      <c r="BI22" s="563"/>
      <c r="BJ22" s="563">
        <f t="shared" si="39"/>
        <v>-0.01</v>
      </c>
      <c r="BK22" s="732"/>
      <c r="BL22" s="732"/>
      <c r="BM22" s="571">
        <f t="shared" si="40"/>
        <v>0</v>
      </c>
      <c r="BN22" s="571">
        <f t="shared" si="41"/>
        <v>0</v>
      </c>
      <c r="BO22" s="571">
        <f t="shared" si="42"/>
        <v>0</v>
      </c>
      <c r="BP22" s="571">
        <f t="shared" si="43"/>
        <v>0</v>
      </c>
      <c r="BQ22" s="571">
        <f t="shared" si="44"/>
        <v>7.3899279999999994</v>
      </c>
      <c r="BR22" s="732"/>
      <c r="BS22" s="563">
        <f t="shared" si="45"/>
        <v>0</v>
      </c>
      <c r="BT22" s="563">
        <f t="shared" si="46"/>
        <v>0</v>
      </c>
      <c r="BU22" s="563">
        <f t="shared" si="47"/>
        <v>0</v>
      </c>
      <c r="BV22" s="563">
        <f t="shared" si="48"/>
        <v>0</v>
      </c>
      <c r="BW22" s="563">
        <f t="shared" si="49"/>
        <v>8.9927999999999564E-2</v>
      </c>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J22" s="732"/>
      <c r="DK22" s="732"/>
      <c r="DL22" s="732"/>
      <c r="DM22" s="732"/>
      <c r="DN22" s="732"/>
      <c r="DO22" s="732"/>
      <c r="DP22" s="732"/>
      <c r="DQ22" s="732"/>
      <c r="DR22" s="732"/>
      <c r="DS22" s="732"/>
    </row>
    <row r="23" spans="1:123">
      <c r="A23" s="632"/>
      <c r="B23" s="527">
        <v>2</v>
      </c>
      <c r="C23" s="71" t="s">
        <v>120</v>
      </c>
      <c r="D23" s="527" t="s">
        <v>582</v>
      </c>
      <c r="E23" s="549">
        <v>49</v>
      </c>
      <c r="F23" s="72"/>
      <c r="G23" s="72" t="str">
        <f t="shared" si="52"/>
        <v>042433L</v>
      </c>
      <c r="H23" s="46"/>
      <c r="I23" s="732" t="s">
        <v>450</v>
      </c>
      <c r="J23" s="732" t="s">
        <v>131</v>
      </c>
      <c r="K23" s="214" t="s">
        <v>903</v>
      </c>
      <c r="L23" s="566" t="s">
        <v>856</v>
      </c>
      <c r="M23" s="565">
        <f t="shared" ref="M23:Q32" si="55">SUMIF($G:$G,TEXT(M$3,"000")&amp;TEXT($L23,"000"),$E:$E)</f>
        <v>0</v>
      </c>
      <c r="N23" s="565">
        <f t="shared" si="55"/>
        <v>0</v>
      </c>
      <c r="O23" s="565">
        <f t="shared" si="55"/>
        <v>0</v>
      </c>
      <c r="P23" s="565">
        <f t="shared" si="55"/>
        <v>0</v>
      </c>
      <c r="Q23" s="565">
        <f t="shared" si="55"/>
        <v>0</v>
      </c>
      <c r="R23" s="565">
        <f t="shared" si="25"/>
        <v>1</v>
      </c>
      <c r="S23" s="603">
        <v>0</v>
      </c>
      <c r="T23" s="603">
        <v>0</v>
      </c>
      <c r="U23" s="603">
        <v>0</v>
      </c>
      <c r="V23" s="603">
        <v>0</v>
      </c>
      <c r="W23" s="603">
        <v>7.3633000000000006</v>
      </c>
      <c r="X23" s="732"/>
      <c r="Y23" s="69">
        <f t="shared" si="26"/>
        <v>0</v>
      </c>
      <c r="Z23" s="69">
        <f t="shared" si="27"/>
        <v>0</v>
      </c>
      <c r="AA23" s="69">
        <f t="shared" si="28"/>
        <v>0</v>
      </c>
      <c r="AB23" s="69">
        <f t="shared" si="29"/>
        <v>0</v>
      </c>
      <c r="AC23" s="69">
        <f t="shared" si="30"/>
        <v>0</v>
      </c>
      <c r="AD23" s="732"/>
      <c r="AE23" s="565">
        <f t="shared" si="54"/>
        <v>0</v>
      </c>
      <c r="AF23" s="565">
        <f t="shared" si="54"/>
        <v>0</v>
      </c>
      <c r="AG23" s="565">
        <f t="shared" si="54"/>
        <v>0</v>
      </c>
      <c r="AH23" s="565">
        <f t="shared" si="54"/>
        <v>0</v>
      </c>
      <c r="AI23" s="565">
        <f t="shared" si="54"/>
        <v>0</v>
      </c>
      <c r="AJ23" s="732"/>
      <c r="AK23" s="570">
        <f t="shared" si="31"/>
        <v>0</v>
      </c>
      <c r="AL23" s="570"/>
      <c r="AM23" s="570">
        <f t="shared" si="32"/>
        <v>0</v>
      </c>
      <c r="AN23" s="570">
        <f t="shared" si="33"/>
        <v>0</v>
      </c>
      <c r="AO23" s="570">
        <f t="shared" si="34"/>
        <v>7.61</v>
      </c>
      <c r="AP23" s="732"/>
      <c r="AQ23" s="69">
        <f t="shared" si="35"/>
        <v>0</v>
      </c>
      <c r="AR23" s="69">
        <f t="shared" si="50"/>
        <v>0</v>
      </c>
      <c r="AS23" s="69">
        <f t="shared" si="36"/>
        <v>0</v>
      </c>
      <c r="AT23" s="69">
        <f t="shared" si="37"/>
        <v>0</v>
      </c>
      <c r="AU23" s="69">
        <f t="shared" si="51"/>
        <v>0</v>
      </c>
      <c r="AV23" s="732"/>
      <c r="AX23" s="577">
        <v>70</v>
      </c>
      <c r="AY23" s="567"/>
      <c r="AZ23" s="567"/>
      <c r="BA23" s="567"/>
      <c r="BB23" s="567"/>
      <c r="BC23" s="567">
        <v>7.63</v>
      </c>
      <c r="BD23" s="567"/>
      <c r="BE23" s="573">
        <f t="shared" si="38"/>
        <v>0.16000000000000003</v>
      </c>
      <c r="BF23" s="563"/>
      <c r="BG23" s="563"/>
      <c r="BH23" s="563"/>
      <c r="BI23" s="563"/>
      <c r="BJ23" s="563">
        <f t="shared" si="39"/>
        <v>0</v>
      </c>
      <c r="BK23" s="732"/>
      <c r="BL23" s="732"/>
      <c r="BM23" s="571">
        <f t="shared" si="40"/>
        <v>0</v>
      </c>
      <c r="BN23" s="571">
        <f t="shared" si="41"/>
        <v>0</v>
      </c>
      <c r="BO23" s="571">
        <f t="shared" si="42"/>
        <v>0</v>
      </c>
      <c r="BP23" s="571">
        <f t="shared" si="43"/>
        <v>0</v>
      </c>
      <c r="BQ23" s="571">
        <f t="shared" si="44"/>
        <v>7.7249109999999996</v>
      </c>
      <c r="BR23" s="732"/>
      <c r="BS23" s="563">
        <f t="shared" si="45"/>
        <v>0</v>
      </c>
      <c r="BT23" s="563">
        <f t="shared" si="46"/>
        <v>0</v>
      </c>
      <c r="BU23" s="563">
        <f t="shared" si="47"/>
        <v>0</v>
      </c>
      <c r="BV23" s="563">
        <f t="shared" si="48"/>
        <v>0</v>
      </c>
      <c r="BW23" s="563">
        <f t="shared" si="49"/>
        <v>9.4910999999999746E-2</v>
      </c>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c r="DK23" s="732"/>
      <c r="DL23" s="732"/>
      <c r="DM23" s="732"/>
      <c r="DN23" s="732"/>
      <c r="DO23" s="732"/>
      <c r="DP23" s="732"/>
      <c r="DQ23" s="732"/>
      <c r="DR23" s="732"/>
      <c r="DS23" s="732"/>
    </row>
    <row r="24" spans="1:123">
      <c r="A24" s="631"/>
      <c r="B24" s="527">
        <v>2</v>
      </c>
      <c r="C24" s="71" t="s">
        <v>120</v>
      </c>
      <c r="D24" s="527" t="s">
        <v>692</v>
      </c>
      <c r="E24" s="549">
        <v>65</v>
      </c>
      <c r="F24" s="72"/>
      <c r="G24" s="72" t="str">
        <f t="shared" si="52"/>
        <v>042433T</v>
      </c>
      <c r="H24" s="46"/>
      <c r="I24" s="732" t="s">
        <v>450</v>
      </c>
      <c r="J24" s="732" t="s">
        <v>131</v>
      </c>
      <c r="K24" s="214" t="s">
        <v>903</v>
      </c>
      <c r="L24" s="566" t="s">
        <v>857</v>
      </c>
      <c r="M24" s="565">
        <f t="shared" si="55"/>
        <v>0</v>
      </c>
      <c r="N24" s="565">
        <f t="shared" si="55"/>
        <v>0</v>
      </c>
      <c r="O24" s="565">
        <f t="shared" si="55"/>
        <v>0</v>
      </c>
      <c r="P24" s="565">
        <f t="shared" si="55"/>
        <v>0</v>
      </c>
      <c r="Q24" s="565">
        <f t="shared" si="55"/>
        <v>0</v>
      </c>
      <c r="R24" s="565">
        <f t="shared" si="25"/>
        <v>1</v>
      </c>
      <c r="S24" s="603">
        <v>0</v>
      </c>
      <c r="T24" s="603">
        <v>0</v>
      </c>
      <c r="U24" s="603">
        <v>0</v>
      </c>
      <c r="V24" s="603">
        <v>0</v>
      </c>
      <c r="W24" s="603">
        <v>8.0996300000000012</v>
      </c>
      <c r="X24" s="732"/>
      <c r="Y24" s="69">
        <f t="shared" si="26"/>
        <v>0</v>
      </c>
      <c r="Z24" s="69">
        <f t="shared" si="27"/>
        <v>0</v>
      </c>
      <c r="AA24" s="69">
        <f t="shared" si="28"/>
        <v>0</v>
      </c>
      <c r="AB24" s="69">
        <f t="shared" si="29"/>
        <v>0</v>
      </c>
      <c r="AC24" s="69">
        <f t="shared" si="30"/>
        <v>0</v>
      </c>
      <c r="AD24" s="732"/>
      <c r="AE24" s="565">
        <f t="shared" si="54"/>
        <v>0</v>
      </c>
      <c r="AF24" s="565">
        <f t="shared" si="54"/>
        <v>0</v>
      </c>
      <c r="AG24" s="565">
        <f t="shared" si="54"/>
        <v>0</v>
      </c>
      <c r="AH24" s="565">
        <f t="shared" si="54"/>
        <v>0</v>
      </c>
      <c r="AI24" s="565">
        <f t="shared" si="54"/>
        <v>0</v>
      </c>
      <c r="AJ24" s="732"/>
      <c r="AK24" s="570">
        <f t="shared" si="31"/>
        <v>0</v>
      </c>
      <c r="AL24" s="570"/>
      <c r="AM24" s="570">
        <f t="shared" si="32"/>
        <v>0</v>
      </c>
      <c r="AN24" s="570">
        <f t="shared" si="33"/>
        <v>0</v>
      </c>
      <c r="AO24" s="570">
        <f t="shared" si="34"/>
        <v>8.3699999999999992</v>
      </c>
      <c r="AP24" s="732"/>
      <c r="AQ24" s="69">
        <f t="shared" si="35"/>
        <v>0</v>
      </c>
      <c r="AR24" s="69">
        <f t="shared" si="50"/>
        <v>0</v>
      </c>
      <c r="AS24" s="69">
        <f t="shared" si="36"/>
        <v>0</v>
      </c>
      <c r="AT24" s="69">
        <f t="shared" si="37"/>
        <v>0</v>
      </c>
      <c r="AU24" s="69">
        <f t="shared" si="51"/>
        <v>0</v>
      </c>
      <c r="AV24" s="732"/>
      <c r="AX24" s="577">
        <v>77</v>
      </c>
      <c r="AY24" s="567"/>
      <c r="AZ24" s="567"/>
      <c r="BA24" s="567"/>
      <c r="BB24" s="567"/>
      <c r="BC24" s="567">
        <v>8.39</v>
      </c>
      <c r="BD24" s="567"/>
      <c r="BE24" s="573">
        <f t="shared" si="38"/>
        <v>0.17000000000000004</v>
      </c>
      <c r="BF24" s="563"/>
      <c r="BG24" s="563"/>
      <c r="BH24" s="563"/>
      <c r="BI24" s="563"/>
      <c r="BJ24" s="563">
        <f t="shared" si="39"/>
        <v>0</v>
      </c>
      <c r="BK24" s="732"/>
      <c r="BL24" s="732"/>
      <c r="BM24" s="571">
        <f t="shared" si="40"/>
        <v>0</v>
      </c>
      <c r="BN24" s="571">
        <f t="shared" si="41"/>
        <v>0</v>
      </c>
      <c r="BO24" s="571">
        <f t="shared" si="42"/>
        <v>0</v>
      </c>
      <c r="BP24" s="571">
        <f t="shared" si="43"/>
        <v>0</v>
      </c>
      <c r="BQ24" s="571">
        <f t="shared" si="44"/>
        <v>8.4963869999999986</v>
      </c>
      <c r="BR24" s="732"/>
      <c r="BS24" s="563">
        <f t="shared" si="45"/>
        <v>0</v>
      </c>
      <c r="BT24" s="563">
        <f t="shared" si="46"/>
        <v>0</v>
      </c>
      <c r="BU24" s="563">
        <f t="shared" si="47"/>
        <v>0</v>
      </c>
      <c r="BV24" s="563">
        <f t="shared" si="48"/>
        <v>0</v>
      </c>
      <c r="BW24" s="563">
        <f t="shared" si="49"/>
        <v>0.10638699999999801</v>
      </c>
      <c r="BX24" s="732"/>
      <c r="BY24" s="732"/>
      <c r="BZ24" s="732"/>
      <c r="CA24" s="732"/>
      <c r="CB24" s="732"/>
      <c r="CC24" s="732"/>
      <c r="CD24" s="732"/>
      <c r="CE24" s="732"/>
      <c r="CF24" s="732"/>
      <c r="CG24" s="732"/>
      <c r="CH24" s="732"/>
      <c r="CI24" s="732"/>
      <c r="CJ24" s="732"/>
      <c r="CK24" s="732"/>
      <c r="CL24" s="732"/>
      <c r="CM24" s="732"/>
      <c r="CN24" s="732"/>
      <c r="CO24" s="732"/>
      <c r="CP24" s="732"/>
      <c r="CQ24" s="732"/>
      <c r="CR24" s="732"/>
      <c r="CS24" s="732"/>
      <c r="CT24" s="732"/>
      <c r="CU24" s="732"/>
      <c r="CV24" s="732"/>
      <c r="CW24" s="732"/>
      <c r="CX24" s="732"/>
      <c r="CY24" s="732"/>
      <c r="CZ24" s="732"/>
      <c r="DA24" s="732"/>
      <c r="DB24" s="732"/>
      <c r="DC24" s="732"/>
      <c r="DD24" s="732"/>
      <c r="DE24" s="732"/>
      <c r="DF24" s="732"/>
      <c r="DG24" s="732"/>
      <c r="DH24" s="732"/>
      <c r="DI24" s="732"/>
      <c r="DJ24" s="732"/>
      <c r="DK24" s="732"/>
      <c r="DL24" s="732"/>
      <c r="DM24" s="732"/>
      <c r="DN24" s="732"/>
      <c r="DO24" s="732"/>
      <c r="DP24" s="732"/>
      <c r="DQ24" s="732"/>
      <c r="DR24" s="732"/>
      <c r="DS24" s="732"/>
    </row>
    <row r="25" spans="1:123">
      <c r="B25" s="35">
        <v>2</v>
      </c>
      <c r="C25" s="71" t="s">
        <v>120</v>
      </c>
      <c r="D25" s="35">
        <v>434</v>
      </c>
      <c r="E25" s="547">
        <v>2197</v>
      </c>
      <c r="F25" s="72"/>
      <c r="G25" s="72" t="str">
        <f t="shared" si="52"/>
        <v>042434</v>
      </c>
      <c r="H25" s="46"/>
      <c r="I25" s="732" t="s">
        <v>450</v>
      </c>
      <c r="J25" s="732" t="s">
        <v>131</v>
      </c>
      <c r="K25" s="214" t="s">
        <v>903</v>
      </c>
      <c r="L25" s="566" t="s">
        <v>858</v>
      </c>
      <c r="M25" s="565">
        <f t="shared" si="55"/>
        <v>0</v>
      </c>
      <c r="N25" s="565">
        <f t="shared" si="55"/>
        <v>0</v>
      </c>
      <c r="O25" s="565">
        <f t="shared" si="55"/>
        <v>0</v>
      </c>
      <c r="P25" s="565">
        <f t="shared" si="55"/>
        <v>0</v>
      </c>
      <c r="Q25" s="565">
        <f t="shared" si="55"/>
        <v>30</v>
      </c>
      <c r="R25" s="565">
        <f t="shared" si="25"/>
        <v>0</v>
      </c>
      <c r="S25" s="603">
        <v>0</v>
      </c>
      <c r="T25" s="603">
        <v>0</v>
      </c>
      <c r="U25" s="603">
        <v>0</v>
      </c>
      <c r="V25" s="603">
        <v>0</v>
      </c>
      <c r="W25" s="603">
        <v>9.0463400000000007</v>
      </c>
      <c r="X25" s="732"/>
      <c r="Y25" s="69">
        <f t="shared" si="26"/>
        <v>0</v>
      </c>
      <c r="Z25" s="69">
        <f t="shared" si="27"/>
        <v>0</v>
      </c>
      <c r="AA25" s="69">
        <f t="shared" si="28"/>
        <v>0</v>
      </c>
      <c r="AB25" s="69">
        <f t="shared" si="29"/>
        <v>0</v>
      </c>
      <c r="AC25" s="69">
        <f>IF(AND(Q25&lt;&gt;0,W25=0),#VALUE!,Q25*W25)</f>
        <v>271.39020000000005</v>
      </c>
      <c r="AD25" s="732"/>
      <c r="AE25" s="565">
        <f t="shared" si="54"/>
        <v>0</v>
      </c>
      <c r="AF25" s="565">
        <f t="shared" si="54"/>
        <v>0</v>
      </c>
      <c r="AG25" s="565">
        <f t="shared" si="54"/>
        <v>0</v>
      </c>
      <c r="AH25" s="565">
        <f t="shared" si="54"/>
        <v>0</v>
      </c>
      <c r="AI25" s="565">
        <f t="shared" si="54"/>
        <v>30</v>
      </c>
      <c r="AJ25" s="732"/>
      <c r="AK25" s="570">
        <f t="shared" si="31"/>
        <v>0</v>
      </c>
      <c r="AL25" s="570"/>
      <c r="AM25" s="570">
        <f t="shared" si="32"/>
        <v>0</v>
      </c>
      <c r="AN25" s="570">
        <f t="shared" si="33"/>
        <v>0</v>
      </c>
      <c r="AO25" s="570">
        <f>ROUND(W25*(1+AO$1),2)</f>
        <v>9.35</v>
      </c>
      <c r="AP25" s="732"/>
      <c r="AQ25" s="69">
        <f t="shared" si="35"/>
        <v>0</v>
      </c>
      <c r="AR25" s="69">
        <f t="shared" si="50"/>
        <v>0</v>
      </c>
      <c r="AS25" s="69">
        <f t="shared" si="36"/>
        <v>0</v>
      </c>
      <c r="AT25" s="69">
        <f t="shared" si="37"/>
        <v>0</v>
      </c>
      <c r="AU25" s="69">
        <f>IF(AND(AI25&lt;&gt;0,AO25=0),#VALUE!,AI25*AO25)</f>
        <v>280.5</v>
      </c>
      <c r="AV25" s="732"/>
      <c r="AX25" s="577">
        <v>86</v>
      </c>
      <c r="AY25" s="567"/>
      <c r="AZ25" s="567"/>
      <c r="BA25" s="567"/>
      <c r="BB25" s="567"/>
      <c r="BC25" s="567">
        <v>9.3800000000000008</v>
      </c>
      <c r="BD25" s="567"/>
      <c r="BE25" s="573">
        <f t="shared" si="38"/>
        <v>0.18999999999999995</v>
      </c>
      <c r="BF25" s="563"/>
      <c r="BG25" s="563"/>
      <c r="BH25" s="563"/>
      <c r="BI25" s="563"/>
      <c r="BJ25" s="563">
        <f t="shared" si="39"/>
        <v>-0.01</v>
      </c>
      <c r="BK25" s="732"/>
      <c r="BL25" s="732"/>
      <c r="BM25" s="571">
        <f t="shared" si="40"/>
        <v>0</v>
      </c>
      <c r="BN25" s="571">
        <f t="shared" si="41"/>
        <v>0</v>
      </c>
      <c r="BO25" s="571">
        <f t="shared" si="42"/>
        <v>0</v>
      </c>
      <c r="BP25" s="571">
        <f t="shared" si="43"/>
        <v>0</v>
      </c>
      <c r="BQ25" s="571">
        <f t="shared" si="44"/>
        <v>9.491184999999998</v>
      </c>
      <c r="BR25" s="732"/>
      <c r="BS25" s="563">
        <f t="shared" si="45"/>
        <v>0</v>
      </c>
      <c r="BT25" s="563">
        <f t="shared" si="46"/>
        <v>0</v>
      </c>
      <c r="BU25" s="563">
        <f t="shared" si="47"/>
        <v>0</v>
      </c>
      <c r="BV25" s="563">
        <f t="shared" si="48"/>
        <v>0</v>
      </c>
      <c r="BW25" s="563">
        <f t="shared" si="49"/>
        <v>0.1111849999999972</v>
      </c>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2"/>
      <c r="DM25" s="732"/>
      <c r="DN25" s="732"/>
      <c r="DO25" s="732"/>
      <c r="DP25" s="732"/>
      <c r="DQ25" s="732"/>
      <c r="DR25" s="732"/>
      <c r="DS25" s="732"/>
    </row>
    <row r="26" spans="1:123">
      <c r="A26" s="632"/>
      <c r="B26" s="527">
        <v>2</v>
      </c>
      <c r="C26" s="71" t="s">
        <v>120</v>
      </c>
      <c r="D26" s="527" t="s">
        <v>583</v>
      </c>
      <c r="E26" s="549">
        <v>1100</v>
      </c>
      <c r="F26" s="72"/>
      <c r="G26" s="72" t="str">
        <f t="shared" si="52"/>
        <v>042434L</v>
      </c>
      <c r="H26" s="46"/>
      <c r="I26" t="s">
        <v>128</v>
      </c>
      <c r="J26" t="s">
        <v>110</v>
      </c>
      <c r="K26" s="58" t="s">
        <v>129</v>
      </c>
      <c r="L26" s="96">
        <v>234</v>
      </c>
      <c r="M26" s="68">
        <f t="shared" si="55"/>
        <v>0</v>
      </c>
      <c r="N26" s="68">
        <f t="shared" si="55"/>
        <v>96</v>
      </c>
      <c r="O26" s="68">
        <f t="shared" si="55"/>
        <v>0</v>
      </c>
      <c r="P26" s="68">
        <f t="shared" si="55"/>
        <v>0</v>
      </c>
      <c r="Q26" s="68">
        <f t="shared" si="55"/>
        <v>0</v>
      </c>
      <c r="R26" s="565">
        <f t="shared" ref="R26:R47" si="56">IF(SUM(M26:Q26)&gt;0,0,1)</f>
        <v>0</v>
      </c>
      <c r="S26" s="603">
        <v>0</v>
      </c>
      <c r="T26" s="603">
        <v>13.78</v>
      </c>
      <c r="U26" s="603">
        <v>0</v>
      </c>
      <c r="V26" s="603">
        <v>0</v>
      </c>
      <c r="W26" s="603">
        <v>0</v>
      </c>
      <c r="Y26" s="69">
        <f t="shared" ref="Y26:Y91" si="57">IF(AND(M26&lt;&gt;0,S26=0),#VALUE!,M26*S26)</f>
        <v>0</v>
      </c>
      <c r="Z26" s="69">
        <f t="shared" ref="Z26:Z93" si="58">IF(AND(N26&lt;&gt;0,T26=0),#VALUE!,N26*T26)</f>
        <v>1322.8799999999999</v>
      </c>
      <c r="AA26" s="69">
        <f t="shared" ref="AA26:AA93" si="59">IF(AND(O26&lt;&gt;0,U26=0),#VALUE!,O26*U26)</f>
        <v>0</v>
      </c>
      <c r="AB26" s="69">
        <f t="shared" ref="AB26:AB93" si="60">IF(AND(P26&lt;&gt;0,V26=0),#VALUE!,P26*V26)</f>
        <v>0</v>
      </c>
      <c r="AC26" s="69">
        <f t="shared" ref="AC26:AC93" si="61">IF(AND(Q26&lt;&gt;0,W26=0),#VALUE!,Q26*W26)</f>
        <v>0</v>
      </c>
      <c r="AE26" s="68">
        <f t="shared" ref="AE26:AE93" si="62">M26</f>
        <v>0</v>
      </c>
      <c r="AF26" s="68">
        <f t="shared" ref="AF26:AI31" si="63">N26</f>
        <v>96</v>
      </c>
      <c r="AG26" s="68">
        <f t="shared" si="63"/>
        <v>0</v>
      </c>
      <c r="AH26" s="68">
        <f t="shared" si="63"/>
        <v>0</v>
      </c>
      <c r="AI26" s="68">
        <f t="shared" si="63"/>
        <v>0</v>
      </c>
      <c r="AK26" s="570">
        <f t="shared" si="8"/>
        <v>0</v>
      </c>
      <c r="AL26" s="570">
        <f>ROUND(T26*(1+AL$1),2)</f>
        <v>14.24</v>
      </c>
      <c r="AM26" s="570">
        <f t="shared" si="9"/>
        <v>0</v>
      </c>
      <c r="AN26" s="570">
        <f t="shared" si="10"/>
        <v>0</v>
      </c>
      <c r="AO26" s="570">
        <f t="shared" ref="AO26:AO52" si="64">ROUND(W26*(1+AO$1),2)</f>
        <v>0</v>
      </c>
      <c r="AQ26" s="69">
        <f t="shared" si="11"/>
        <v>0</v>
      </c>
      <c r="AR26" s="69">
        <f t="shared" si="12"/>
        <v>1367.04</v>
      </c>
      <c r="AS26" s="69">
        <f t="shared" si="13"/>
        <v>0</v>
      </c>
      <c r="AT26" s="69">
        <f t="shared" si="14"/>
        <v>0</v>
      </c>
      <c r="AU26" s="69">
        <f t="shared" si="15"/>
        <v>0</v>
      </c>
      <c r="AV26" s="69">
        <f t="shared" ref="AV26:AV84" si="65">SUM(AR26)-SUM(Z26)</f>
        <v>44.160000000000082</v>
      </c>
      <c r="AW26" s="443">
        <f>AV26/Z26</f>
        <v>3.3381712626995713E-2</v>
      </c>
      <c r="AX26" s="434">
        <v>20</v>
      </c>
      <c r="AY26" s="567"/>
      <c r="AZ26" s="567">
        <v>14.03</v>
      </c>
      <c r="BA26" s="567"/>
      <c r="BB26" s="567"/>
      <c r="BC26" s="567"/>
      <c r="BD26" s="139"/>
      <c r="BE26" s="573">
        <f t="shared" ref="BE26:BE75" si="66">ROUND(AX26*$BE$2,2)+ROUND(AX26*$BE$1,2)</f>
        <v>5.0000000000000017E-2</v>
      </c>
      <c r="BF26" s="53"/>
      <c r="BG26" s="53">
        <f>ROUND((T26*$BF$2)+$BE26-AZ26,2)</f>
        <v>0.01</v>
      </c>
      <c r="BH26" s="53"/>
      <c r="BI26" s="53"/>
      <c r="BJ26" s="53"/>
      <c r="BM26" s="278">
        <f t="shared" ref="BM26:BM52" si="67">AK26*$BM$1</f>
        <v>0</v>
      </c>
      <c r="BN26" s="278">
        <f t="shared" ref="BN26:BN52" si="68">AL26*$BM$1</f>
        <v>14.455023999999998</v>
      </c>
      <c r="BO26" s="278">
        <f t="shared" ref="BO26:BQ29" si="69">AM26*$BM$1</f>
        <v>0</v>
      </c>
      <c r="BP26" s="278">
        <f t="shared" si="69"/>
        <v>0</v>
      </c>
      <c r="BQ26" s="278">
        <f t="shared" si="69"/>
        <v>0</v>
      </c>
      <c r="BS26" s="53">
        <f t="shared" ref="BS26:BS131" si="70">BM26-AY26</f>
        <v>0</v>
      </c>
      <c r="BT26" s="53">
        <f t="shared" ref="BT26:BT131" si="71">BN26-AZ26</f>
        <v>0.42502399999999874</v>
      </c>
      <c r="BU26" s="53">
        <f t="shared" ref="BU26:BU131" si="72">BO26-BA26</f>
        <v>0</v>
      </c>
      <c r="BV26" s="53">
        <f t="shared" ref="BV26:BV131" si="73">BP26-BB26</f>
        <v>0</v>
      </c>
      <c r="BW26" s="53">
        <f t="shared" ref="BW26:BW131" si="74">BQ26-BC26</f>
        <v>0</v>
      </c>
      <c r="DC26" s="732"/>
      <c r="DD26" s="732"/>
      <c r="DE26" s="732"/>
      <c r="DF26" s="732"/>
      <c r="DG26" s="732"/>
      <c r="DH26" s="732"/>
      <c r="DI26" s="732"/>
      <c r="DJ26" s="732"/>
      <c r="DK26" s="732"/>
      <c r="DL26" s="732"/>
      <c r="DM26" s="732"/>
      <c r="DN26" s="732"/>
      <c r="DO26" s="732"/>
      <c r="DP26" s="732"/>
      <c r="DQ26" s="732"/>
      <c r="DR26" s="732"/>
      <c r="DS26" s="732"/>
    </row>
    <row r="27" spans="1:123">
      <c r="B27" s="35">
        <v>2</v>
      </c>
      <c r="C27" s="71" t="s">
        <v>120</v>
      </c>
      <c r="D27" s="35">
        <v>435</v>
      </c>
      <c r="E27" s="547">
        <f>238+557</f>
        <v>795</v>
      </c>
      <c r="F27" s="72"/>
      <c r="G27" s="72" t="str">
        <f t="shared" si="52"/>
        <v>042435</v>
      </c>
      <c r="H27" s="46"/>
      <c r="I27" t="s">
        <v>130</v>
      </c>
      <c r="J27" t="s">
        <v>131</v>
      </c>
      <c r="K27" s="58" t="s">
        <v>132</v>
      </c>
      <c r="L27" s="96">
        <v>335</v>
      </c>
      <c r="M27" s="68">
        <f t="shared" si="55"/>
        <v>0</v>
      </c>
      <c r="N27" s="68">
        <f t="shared" si="55"/>
        <v>0</v>
      </c>
      <c r="O27" s="68">
        <f t="shared" si="55"/>
        <v>0</v>
      </c>
      <c r="P27" s="68">
        <f t="shared" si="55"/>
        <v>0</v>
      </c>
      <c r="Q27" s="68">
        <f t="shared" si="55"/>
        <v>8</v>
      </c>
      <c r="R27" s="565">
        <f t="shared" si="56"/>
        <v>0</v>
      </c>
      <c r="S27" s="603">
        <v>0</v>
      </c>
      <c r="T27" s="603">
        <v>0</v>
      </c>
      <c r="U27" s="603">
        <v>0</v>
      </c>
      <c r="V27" s="603">
        <v>0</v>
      </c>
      <c r="W27" s="603">
        <v>3.54</v>
      </c>
      <c r="Y27" s="69">
        <f t="shared" si="57"/>
        <v>0</v>
      </c>
      <c r="Z27" s="69">
        <f t="shared" si="58"/>
        <v>0</v>
      </c>
      <c r="AA27" s="69">
        <f t="shared" si="59"/>
        <v>0</v>
      </c>
      <c r="AB27" s="69">
        <f t="shared" si="60"/>
        <v>0</v>
      </c>
      <c r="AC27" s="69">
        <f t="shared" si="61"/>
        <v>28.32</v>
      </c>
      <c r="AE27" s="68">
        <f t="shared" si="62"/>
        <v>0</v>
      </c>
      <c r="AF27" s="68">
        <f t="shared" si="63"/>
        <v>0</v>
      </c>
      <c r="AG27" s="68">
        <f t="shared" si="63"/>
        <v>0</v>
      </c>
      <c r="AH27" s="68">
        <f t="shared" si="63"/>
        <v>0</v>
      </c>
      <c r="AI27" s="68">
        <f t="shared" si="63"/>
        <v>8</v>
      </c>
      <c r="AK27" s="570">
        <f t="shared" si="8"/>
        <v>0</v>
      </c>
      <c r="AL27" s="570">
        <f t="shared" si="8"/>
        <v>0</v>
      </c>
      <c r="AM27" s="570">
        <f t="shared" si="9"/>
        <v>0</v>
      </c>
      <c r="AN27" s="570">
        <f t="shared" si="10"/>
        <v>0</v>
      </c>
      <c r="AO27" s="570">
        <f t="shared" si="64"/>
        <v>3.66</v>
      </c>
      <c r="AQ27" s="69">
        <f t="shared" si="11"/>
        <v>0</v>
      </c>
      <c r="AR27" s="69">
        <f t="shared" si="12"/>
        <v>0</v>
      </c>
      <c r="AS27" s="69">
        <f t="shared" si="13"/>
        <v>0</v>
      </c>
      <c r="AT27" s="69">
        <f t="shared" si="14"/>
        <v>0</v>
      </c>
      <c r="AU27" s="69">
        <f t="shared" si="15"/>
        <v>29.28</v>
      </c>
      <c r="AV27" s="69">
        <f t="shared" si="65"/>
        <v>0</v>
      </c>
      <c r="AW27" s="443" t="e">
        <f>AV27/Z27</f>
        <v>#DIV/0!</v>
      </c>
      <c r="AX27" s="434">
        <v>25</v>
      </c>
      <c r="AY27" s="567"/>
      <c r="AZ27" s="567"/>
      <c r="BA27" s="567"/>
      <c r="BB27" s="567"/>
      <c r="BC27" s="567">
        <v>3.65</v>
      </c>
      <c r="BD27" s="139"/>
      <c r="BE27" s="573">
        <f t="shared" si="66"/>
        <v>0.06</v>
      </c>
      <c r="BF27" s="53"/>
      <c r="BG27" s="53"/>
      <c r="BH27" s="53"/>
      <c r="BI27" s="53"/>
      <c r="BJ27" s="53">
        <f>ROUND((W27*$BF$2)+$BE27-BC27,2)</f>
        <v>0</v>
      </c>
      <c r="BM27" s="278">
        <f t="shared" si="67"/>
        <v>0</v>
      </c>
      <c r="BN27" s="278">
        <f t="shared" si="68"/>
        <v>0</v>
      </c>
      <c r="BO27" s="278">
        <f t="shared" si="69"/>
        <v>0</v>
      </c>
      <c r="BP27" s="278">
        <f t="shared" si="69"/>
        <v>0</v>
      </c>
      <c r="BQ27" s="278">
        <f t="shared" si="69"/>
        <v>3.7152659999999997</v>
      </c>
      <c r="BS27" s="53">
        <f t="shared" si="70"/>
        <v>0</v>
      </c>
      <c r="BT27" s="53">
        <f t="shared" si="71"/>
        <v>0</v>
      </c>
      <c r="BU27" s="53">
        <f t="shared" si="72"/>
        <v>0</v>
      </c>
      <c r="BV27" s="53">
        <f t="shared" si="73"/>
        <v>0</v>
      </c>
      <c r="BW27" s="53">
        <f t="shared" si="74"/>
        <v>6.5265999999999824E-2</v>
      </c>
    </row>
    <row r="28" spans="1:123">
      <c r="A28" s="632"/>
      <c r="B28" s="527">
        <v>2</v>
      </c>
      <c r="C28" s="71" t="s">
        <v>120</v>
      </c>
      <c r="D28" s="527" t="s">
        <v>584</v>
      </c>
      <c r="E28" s="549">
        <f>2575+5329</f>
        <v>7904</v>
      </c>
      <c r="F28" s="72"/>
      <c r="G28" s="72" t="str">
        <f t="shared" si="52"/>
        <v>042435L</v>
      </c>
      <c r="H28" s="46"/>
      <c r="I28" t="s">
        <v>124</v>
      </c>
      <c r="J28" t="s">
        <v>108</v>
      </c>
      <c r="K28" s="58">
        <v>7000</v>
      </c>
      <c r="L28" s="96">
        <v>411</v>
      </c>
      <c r="M28" s="68">
        <f t="shared" si="55"/>
        <v>1</v>
      </c>
      <c r="N28" s="68">
        <f t="shared" si="55"/>
        <v>0</v>
      </c>
      <c r="O28" s="68">
        <f t="shared" si="55"/>
        <v>0</v>
      </c>
      <c r="P28" s="68">
        <f t="shared" si="55"/>
        <v>0</v>
      </c>
      <c r="Q28" s="68">
        <f t="shared" si="55"/>
        <v>0</v>
      </c>
      <c r="R28" s="565">
        <f t="shared" si="56"/>
        <v>0</v>
      </c>
      <c r="S28" s="603">
        <v>15.91</v>
      </c>
      <c r="T28" s="603">
        <v>0</v>
      </c>
      <c r="U28" s="603">
        <v>0</v>
      </c>
      <c r="V28" s="603">
        <v>0</v>
      </c>
      <c r="W28" s="603">
        <v>0</v>
      </c>
      <c r="Y28" s="69">
        <f t="shared" si="57"/>
        <v>15.91</v>
      </c>
      <c r="Z28" s="69">
        <f t="shared" si="58"/>
        <v>0</v>
      </c>
      <c r="AA28" s="69">
        <f t="shared" si="59"/>
        <v>0</v>
      </c>
      <c r="AB28" s="69">
        <f t="shared" si="60"/>
        <v>0</v>
      </c>
      <c r="AC28" s="69">
        <f t="shared" si="61"/>
        <v>0</v>
      </c>
      <c r="AE28" s="68">
        <f t="shared" si="62"/>
        <v>1</v>
      </c>
      <c r="AF28" s="68">
        <f t="shared" si="63"/>
        <v>0</v>
      </c>
      <c r="AG28" s="68">
        <f t="shared" si="63"/>
        <v>0</v>
      </c>
      <c r="AH28" s="68">
        <f t="shared" si="63"/>
        <v>0</v>
      </c>
      <c r="AI28" s="68">
        <f t="shared" si="63"/>
        <v>0</v>
      </c>
      <c r="AK28" s="570">
        <f t="shared" si="8"/>
        <v>16.440000000000001</v>
      </c>
      <c r="AL28" s="570">
        <f t="shared" si="8"/>
        <v>0</v>
      </c>
      <c r="AM28" s="570">
        <f t="shared" si="9"/>
        <v>0</v>
      </c>
      <c r="AN28" s="570">
        <f t="shared" si="10"/>
        <v>0</v>
      </c>
      <c r="AO28" s="570">
        <f t="shared" si="64"/>
        <v>0</v>
      </c>
      <c r="AQ28" s="69">
        <f t="shared" si="11"/>
        <v>16.440000000000001</v>
      </c>
      <c r="AR28" s="69">
        <f t="shared" si="12"/>
        <v>0</v>
      </c>
      <c r="AS28" s="69">
        <f t="shared" si="13"/>
        <v>0</v>
      </c>
      <c r="AT28" s="69">
        <f t="shared" si="14"/>
        <v>0</v>
      </c>
      <c r="AU28" s="69">
        <f t="shared" si="15"/>
        <v>0</v>
      </c>
      <c r="AV28" s="69">
        <f t="shared" si="65"/>
        <v>0</v>
      </c>
      <c r="AW28" s="443" t="e">
        <f t="shared" ref="AW28:AW84" si="75">AV28/Z28</f>
        <v>#DIV/0!</v>
      </c>
      <c r="AX28" s="434">
        <v>80</v>
      </c>
      <c r="AY28" s="567">
        <v>16.329999999999998</v>
      </c>
      <c r="AZ28" s="567"/>
      <c r="BA28" s="567"/>
      <c r="BB28" s="567"/>
      <c r="BC28" s="567"/>
      <c r="BD28" s="139"/>
      <c r="BE28" s="573">
        <f t="shared" si="66"/>
        <v>0.18000000000000016</v>
      </c>
      <c r="BF28" s="53">
        <f>ROUND((S28*$BF$2)+$BE28-AY28,2)</f>
        <v>0</v>
      </c>
      <c r="BG28" s="53"/>
      <c r="BH28" s="53"/>
      <c r="BI28" s="53"/>
      <c r="BJ28" s="53"/>
      <c r="BM28" s="278">
        <f t="shared" si="67"/>
        <v>16.688244000000001</v>
      </c>
      <c r="BN28" s="278">
        <f t="shared" si="68"/>
        <v>0</v>
      </c>
      <c r="BO28" s="278">
        <f t="shared" si="69"/>
        <v>0</v>
      </c>
      <c r="BP28" s="278">
        <f t="shared" si="69"/>
        <v>0</v>
      </c>
      <c r="BQ28" s="278">
        <f t="shared" si="69"/>
        <v>0</v>
      </c>
      <c r="BS28" s="53">
        <f t="shared" si="70"/>
        <v>0.35824400000000267</v>
      </c>
      <c r="BT28" s="53">
        <f t="shared" si="71"/>
        <v>0</v>
      </c>
      <c r="BU28" s="53">
        <f t="shared" si="72"/>
        <v>0</v>
      </c>
      <c r="BV28" s="53">
        <f t="shared" si="73"/>
        <v>0</v>
      </c>
      <c r="BW28" s="53">
        <f t="shared" si="74"/>
        <v>0</v>
      </c>
    </row>
    <row r="29" spans="1:123">
      <c r="A29" s="597"/>
      <c r="B29" s="527">
        <v>2</v>
      </c>
      <c r="C29" s="71" t="s">
        <v>120</v>
      </c>
      <c r="D29" s="527" t="s">
        <v>693</v>
      </c>
      <c r="E29" s="549">
        <f>1854+1849</f>
        <v>3703</v>
      </c>
      <c r="F29" s="72"/>
      <c r="G29" s="72" t="str">
        <f t="shared" si="52"/>
        <v>042435T</v>
      </c>
      <c r="H29" s="46"/>
      <c r="I29" t="s">
        <v>133</v>
      </c>
      <c r="J29" t="s">
        <v>131</v>
      </c>
      <c r="K29" s="58">
        <v>7000</v>
      </c>
      <c r="L29" s="96">
        <v>415</v>
      </c>
      <c r="M29" s="68">
        <f t="shared" si="55"/>
        <v>0</v>
      </c>
      <c r="N29" s="68">
        <f t="shared" si="55"/>
        <v>0</v>
      </c>
      <c r="O29" s="68">
        <f t="shared" si="55"/>
        <v>0</v>
      </c>
      <c r="P29" s="68">
        <f t="shared" si="55"/>
        <v>61</v>
      </c>
      <c r="Q29" s="68">
        <f t="shared" si="55"/>
        <v>0</v>
      </c>
      <c r="R29" s="565">
        <f t="shared" si="56"/>
        <v>0</v>
      </c>
      <c r="S29" s="603">
        <v>0</v>
      </c>
      <c r="T29" s="603">
        <v>0</v>
      </c>
      <c r="U29" s="603">
        <v>0</v>
      </c>
      <c r="V29" s="603">
        <v>6.98</v>
      </c>
      <c r="W29" s="603">
        <v>0</v>
      </c>
      <c r="Y29" s="69">
        <f t="shared" si="57"/>
        <v>0</v>
      </c>
      <c r="Z29" s="69">
        <f t="shared" si="58"/>
        <v>0</v>
      </c>
      <c r="AA29" s="69">
        <f t="shared" si="59"/>
        <v>0</v>
      </c>
      <c r="AB29" s="69">
        <f t="shared" si="60"/>
        <v>425.78000000000003</v>
      </c>
      <c r="AC29" s="69">
        <f t="shared" si="61"/>
        <v>0</v>
      </c>
      <c r="AE29" s="68">
        <f t="shared" si="62"/>
        <v>0</v>
      </c>
      <c r="AF29" s="68">
        <f t="shared" si="63"/>
        <v>0</v>
      </c>
      <c r="AG29" s="68">
        <f t="shared" si="63"/>
        <v>0</v>
      </c>
      <c r="AH29" s="68">
        <f t="shared" si="63"/>
        <v>61</v>
      </c>
      <c r="AI29" s="68">
        <f t="shared" si="63"/>
        <v>0</v>
      </c>
      <c r="AK29" s="570">
        <f t="shared" si="8"/>
        <v>0</v>
      </c>
      <c r="AL29" s="570">
        <f t="shared" si="8"/>
        <v>0</v>
      </c>
      <c r="AM29" s="570">
        <f t="shared" si="9"/>
        <v>0</v>
      </c>
      <c r="AN29" s="570">
        <f t="shared" si="10"/>
        <v>7.21</v>
      </c>
      <c r="AO29" s="570">
        <f t="shared" si="64"/>
        <v>0</v>
      </c>
      <c r="AQ29" s="69">
        <f t="shared" si="11"/>
        <v>0</v>
      </c>
      <c r="AR29" s="69">
        <f t="shared" si="12"/>
        <v>0</v>
      </c>
      <c r="AS29" s="69">
        <f t="shared" si="13"/>
        <v>0</v>
      </c>
      <c r="AT29" s="69">
        <f t="shared" si="14"/>
        <v>439.81</v>
      </c>
      <c r="AU29" s="69">
        <f t="shared" si="15"/>
        <v>0</v>
      </c>
      <c r="AV29" s="69">
        <f t="shared" si="65"/>
        <v>0</v>
      </c>
      <c r="AW29" s="443" t="e">
        <f t="shared" si="75"/>
        <v>#DIV/0!</v>
      </c>
      <c r="AX29" s="434">
        <v>80</v>
      </c>
      <c r="AY29" s="567"/>
      <c r="AZ29" s="567"/>
      <c r="BA29" s="567"/>
      <c r="BB29" s="567">
        <v>7.27</v>
      </c>
      <c r="BC29" s="567"/>
      <c r="BD29" s="139"/>
      <c r="BE29" s="573">
        <f t="shared" si="66"/>
        <v>0.18000000000000016</v>
      </c>
      <c r="BF29" s="53"/>
      <c r="BG29" s="53"/>
      <c r="BH29" s="53"/>
      <c r="BI29" s="53">
        <f>ROUND((V29*$BF$2)+$BE29-BB29,2)</f>
        <v>0</v>
      </c>
      <c r="BJ29" s="53"/>
      <c r="BM29" s="278">
        <f t="shared" si="67"/>
        <v>0</v>
      </c>
      <c r="BN29" s="278">
        <f t="shared" si="68"/>
        <v>0</v>
      </c>
      <c r="BO29" s="278">
        <f t="shared" si="69"/>
        <v>0</v>
      </c>
      <c r="BP29" s="278">
        <f t="shared" si="69"/>
        <v>7.3188709999999988</v>
      </c>
      <c r="BQ29" s="278">
        <f t="shared" si="69"/>
        <v>0</v>
      </c>
      <c r="BS29" s="53">
        <f t="shared" si="70"/>
        <v>0</v>
      </c>
      <c r="BT29" s="53">
        <f t="shared" si="71"/>
        <v>0</v>
      </c>
      <c r="BU29" s="53">
        <f t="shared" si="72"/>
        <v>0</v>
      </c>
      <c r="BV29" s="53">
        <f t="shared" si="73"/>
        <v>4.8870999999999221E-2</v>
      </c>
      <c r="BW29" s="53">
        <f t="shared" si="74"/>
        <v>0</v>
      </c>
    </row>
    <row r="30" spans="1:123">
      <c r="B30" s="35">
        <v>2</v>
      </c>
      <c r="C30" s="71" t="s">
        <v>120</v>
      </c>
      <c r="D30" s="35">
        <v>436</v>
      </c>
      <c r="E30" s="547">
        <v>22</v>
      </c>
      <c r="F30" s="72"/>
      <c r="G30" s="72" t="str">
        <f t="shared" si="52"/>
        <v>042436</v>
      </c>
      <c r="H30" s="46"/>
      <c r="I30" t="s">
        <v>133</v>
      </c>
      <c r="J30" t="s">
        <v>146</v>
      </c>
      <c r="K30" s="58">
        <v>7000</v>
      </c>
      <c r="L30" s="96">
        <v>419</v>
      </c>
      <c r="M30" s="68">
        <f t="shared" si="55"/>
        <v>0</v>
      </c>
      <c r="N30" s="68">
        <f t="shared" si="55"/>
        <v>0</v>
      </c>
      <c r="O30" s="68">
        <f t="shared" si="55"/>
        <v>0</v>
      </c>
      <c r="P30" s="68">
        <f t="shared" si="55"/>
        <v>16</v>
      </c>
      <c r="Q30" s="68">
        <f t="shared" si="55"/>
        <v>0</v>
      </c>
      <c r="R30" s="565">
        <f t="shared" si="56"/>
        <v>0</v>
      </c>
      <c r="S30" s="603">
        <v>0</v>
      </c>
      <c r="T30" s="603">
        <v>0</v>
      </c>
      <c r="U30" s="603">
        <v>0</v>
      </c>
      <c r="V30" s="603">
        <v>4.7300000000000004</v>
      </c>
      <c r="W30" s="603">
        <v>0</v>
      </c>
      <c r="Y30" s="69">
        <f t="shared" si="57"/>
        <v>0</v>
      </c>
      <c r="Z30" s="69">
        <f t="shared" si="58"/>
        <v>0</v>
      </c>
      <c r="AA30" s="69">
        <f t="shared" si="59"/>
        <v>0</v>
      </c>
      <c r="AB30" s="69">
        <f t="shared" si="60"/>
        <v>75.680000000000007</v>
      </c>
      <c r="AC30" s="69">
        <f t="shared" si="61"/>
        <v>0</v>
      </c>
      <c r="AE30" s="68">
        <f>M30</f>
        <v>0</v>
      </c>
      <c r="AF30" s="68">
        <f t="shared" si="63"/>
        <v>0</v>
      </c>
      <c r="AG30" s="68">
        <f t="shared" si="63"/>
        <v>0</v>
      </c>
      <c r="AH30" s="68">
        <f t="shared" si="63"/>
        <v>16</v>
      </c>
      <c r="AI30" s="68">
        <f t="shared" si="63"/>
        <v>0</v>
      </c>
      <c r="AK30" s="570">
        <f t="shared" si="8"/>
        <v>0</v>
      </c>
      <c r="AL30" s="570">
        <f t="shared" si="8"/>
        <v>0</v>
      </c>
      <c r="AM30" s="570">
        <f t="shared" si="9"/>
        <v>0</v>
      </c>
      <c r="AN30" s="570">
        <f t="shared" si="10"/>
        <v>4.8899999999999997</v>
      </c>
      <c r="AO30" s="570">
        <f t="shared" si="64"/>
        <v>0</v>
      </c>
      <c r="AQ30" s="69">
        <f t="shared" si="11"/>
        <v>0</v>
      </c>
      <c r="AR30" s="69">
        <f t="shared" si="12"/>
        <v>0</v>
      </c>
      <c r="AS30" s="69">
        <f t="shared" si="13"/>
        <v>0</v>
      </c>
      <c r="AT30" s="69">
        <f t="shared" si="14"/>
        <v>78.239999999999995</v>
      </c>
      <c r="AU30" s="69">
        <f t="shared" si="15"/>
        <v>0</v>
      </c>
      <c r="AV30" s="69">
        <f t="shared" si="65"/>
        <v>0</v>
      </c>
      <c r="AW30" s="443" t="e">
        <f t="shared" si="75"/>
        <v>#DIV/0!</v>
      </c>
      <c r="AX30" s="434">
        <v>80</v>
      </c>
      <c r="AY30" s="567"/>
      <c r="AZ30" s="567"/>
      <c r="BA30" s="567"/>
      <c r="BB30" s="567">
        <v>4.9800000000000004</v>
      </c>
      <c r="BC30" s="567"/>
      <c r="BD30" s="139"/>
      <c r="BE30" s="573">
        <f t="shared" si="66"/>
        <v>0.18000000000000016</v>
      </c>
      <c r="BF30" s="53"/>
      <c r="BG30" s="53"/>
      <c r="BH30" s="53"/>
      <c r="BI30" s="53">
        <f>ROUND((V30*$BF$2)+$BE30-BB30,2)</f>
        <v>0</v>
      </c>
      <c r="BJ30" s="53"/>
      <c r="BM30" s="278">
        <f t="shared" si="67"/>
        <v>0</v>
      </c>
      <c r="BN30" s="278">
        <f t="shared" si="68"/>
        <v>0</v>
      </c>
      <c r="BO30" s="278">
        <f t="shared" ref="BO30:BO135" si="76">AM30*$BM$1</f>
        <v>0</v>
      </c>
      <c r="BP30" s="278">
        <f t="shared" ref="BP30:BP135" si="77">AN30*$BM$1</f>
        <v>4.9638389999999992</v>
      </c>
      <c r="BQ30" s="278">
        <f t="shared" ref="BQ30:BQ135" si="78">AO30*$BM$1</f>
        <v>0</v>
      </c>
      <c r="BS30" s="53">
        <f t="shared" si="70"/>
        <v>0</v>
      </c>
      <c r="BT30" s="53">
        <f t="shared" si="71"/>
        <v>0</v>
      </c>
      <c r="BU30" s="53">
        <f t="shared" si="72"/>
        <v>0</v>
      </c>
      <c r="BV30" s="53">
        <f t="shared" si="73"/>
        <v>-1.6161000000001202E-2</v>
      </c>
      <c r="BW30" s="53">
        <f t="shared" si="74"/>
        <v>0</v>
      </c>
    </row>
    <row r="31" spans="1:123">
      <c r="A31" s="632"/>
      <c r="B31" s="527">
        <v>2</v>
      </c>
      <c r="C31" s="71" t="s">
        <v>120</v>
      </c>
      <c r="D31" s="527" t="s">
        <v>585</v>
      </c>
      <c r="E31" s="549">
        <v>80</v>
      </c>
      <c r="F31" s="72"/>
      <c r="G31" s="72" t="str">
        <f t="shared" si="52"/>
        <v>042436L</v>
      </c>
      <c r="H31" s="46"/>
      <c r="I31" t="s">
        <v>128</v>
      </c>
      <c r="J31" t="s">
        <v>826</v>
      </c>
      <c r="K31" s="58" t="s">
        <v>134</v>
      </c>
      <c r="L31" s="96">
        <v>421</v>
      </c>
      <c r="M31" s="68">
        <f t="shared" si="55"/>
        <v>0</v>
      </c>
      <c r="N31" s="68">
        <f t="shared" si="55"/>
        <v>2</v>
      </c>
      <c r="O31" s="68">
        <f t="shared" si="55"/>
        <v>0</v>
      </c>
      <c r="P31" s="68">
        <f t="shared" si="55"/>
        <v>0</v>
      </c>
      <c r="Q31" s="68">
        <f t="shared" si="55"/>
        <v>0</v>
      </c>
      <c r="R31" s="565">
        <f t="shared" si="56"/>
        <v>0</v>
      </c>
      <c r="S31" s="603">
        <v>0</v>
      </c>
      <c r="T31" s="603">
        <v>24.26</v>
      </c>
      <c r="U31" s="603">
        <v>0</v>
      </c>
      <c r="V31" s="603">
        <v>0</v>
      </c>
      <c r="W31" s="603">
        <v>0</v>
      </c>
      <c r="Y31" s="69">
        <f t="shared" si="57"/>
        <v>0</v>
      </c>
      <c r="Z31" s="69">
        <f>IF(AND(N31&lt;&gt;0,T31=0),#VALUE!,N31*T31)</f>
        <v>48.52</v>
      </c>
      <c r="AA31" s="69">
        <f t="shared" si="59"/>
        <v>0</v>
      </c>
      <c r="AB31" s="69">
        <f t="shared" si="60"/>
        <v>0</v>
      </c>
      <c r="AC31" s="69">
        <f t="shared" si="61"/>
        <v>0</v>
      </c>
      <c r="AE31" s="68">
        <f t="shared" si="62"/>
        <v>0</v>
      </c>
      <c r="AF31" s="68">
        <f t="shared" si="63"/>
        <v>2</v>
      </c>
      <c r="AG31" s="68">
        <f t="shared" si="63"/>
        <v>0</v>
      </c>
      <c r="AH31" s="68">
        <f t="shared" si="63"/>
        <v>0</v>
      </c>
      <c r="AI31" s="68">
        <f t="shared" si="63"/>
        <v>0</v>
      </c>
      <c r="AK31" s="570">
        <f t="shared" si="8"/>
        <v>0</v>
      </c>
      <c r="AL31" s="570">
        <f t="shared" si="8"/>
        <v>25.07</v>
      </c>
      <c r="AM31" s="570">
        <f t="shared" si="9"/>
        <v>0</v>
      </c>
      <c r="AN31" s="570">
        <f t="shared" si="10"/>
        <v>0</v>
      </c>
      <c r="AO31" s="570">
        <f t="shared" si="64"/>
        <v>0</v>
      </c>
      <c r="AQ31" s="69">
        <f t="shared" si="11"/>
        <v>0</v>
      </c>
      <c r="AR31" s="69">
        <f t="shared" si="12"/>
        <v>50.14</v>
      </c>
      <c r="AS31" s="69">
        <f t="shared" si="13"/>
        <v>0</v>
      </c>
      <c r="AT31" s="69">
        <f t="shared" si="14"/>
        <v>0</v>
      </c>
      <c r="AU31" s="69">
        <f t="shared" si="15"/>
        <v>0</v>
      </c>
      <c r="AV31" s="69">
        <f t="shared" si="65"/>
        <v>1.6199999999999974</v>
      </c>
      <c r="AW31" s="443">
        <f t="shared" si="75"/>
        <v>3.3388293487221707E-2</v>
      </c>
      <c r="AX31" s="434">
        <v>40</v>
      </c>
      <c r="AY31" s="567"/>
      <c r="AZ31" s="567">
        <v>24.71</v>
      </c>
      <c r="BA31" s="567"/>
      <c r="BB31" s="567"/>
      <c r="BC31" s="567"/>
      <c r="BD31" s="139"/>
      <c r="BE31" s="573">
        <f t="shared" si="66"/>
        <v>9.000000000000008E-2</v>
      </c>
      <c r="BF31" s="53"/>
      <c r="BG31" s="53">
        <f t="shared" ref="BG31:BG54" si="79">ROUND((T31*$BF$2)+$BE31-AZ31,2)</f>
        <v>0.01</v>
      </c>
      <c r="BH31" s="53"/>
      <c r="BI31" s="53"/>
      <c r="BJ31" s="53"/>
      <c r="BM31" s="278">
        <f t="shared" si="67"/>
        <v>0</v>
      </c>
      <c r="BN31" s="278">
        <f t="shared" si="68"/>
        <v>25.448556999999997</v>
      </c>
      <c r="BO31" s="278">
        <f t="shared" si="76"/>
        <v>0</v>
      </c>
      <c r="BP31" s="278">
        <f t="shared" si="77"/>
        <v>0</v>
      </c>
      <c r="BQ31" s="278">
        <f t="shared" si="78"/>
        <v>0</v>
      </c>
      <c r="BS31" s="53">
        <f t="shared" si="70"/>
        <v>0</v>
      </c>
      <c r="BT31" s="53">
        <f t="shared" si="71"/>
        <v>0.73855699999999658</v>
      </c>
      <c r="BU31" s="53">
        <f t="shared" si="72"/>
        <v>0</v>
      </c>
      <c r="BV31" s="53">
        <f t="shared" si="73"/>
        <v>0</v>
      </c>
      <c r="BW31" s="53">
        <f t="shared" si="74"/>
        <v>0</v>
      </c>
    </row>
    <row r="32" spans="1:123">
      <c r="A32" s="631"/>
      <c r="B32" s="527">
        <v>2</v>
      </c>
      <c r="C32" s="71" t="s">
        <v>120</v>
      </c>
      <c r="D32" s="527" t="s">
        <v>694</v>
      </c>
      <c r="E32" s="549">
        <v>271</v>
      </c>
      <c r="F32" s="72"/>
      <c r="G32" s="72" t="str">
        <f t="shared" si="52"/>
        <v>042436T</v>
      </c>
      <c r="H32" s="46"/>
      <c r="I32" s="422" t="s">
        <v>698</v>
      </c>
      <c r="J32" s="671" t="s">
        <v>826</v>
      </c>
      <c r="K32" s="564" t="s">
        <v>132</v>
      </c>
      <c r="L32" s="566" t="s">
        <v>579</v>
      </c>
      <c r="M32" s="68">
        <f t="shared" si="55"/>
        <v>0</v>
      </c>
      <c r="N32" s="68">
        <f t="shared" si="55"/>
        <v>1</v>
      </c>
      <c r="O32" s="68">
        <f t="shared" si="55"/>
        <v>0</v>
      </c>
      <c r="P32" s="68">
        <f t="shared" si="55"/>
        <v>0</v>
      </c>
      <c r="Q32" s="68">
        <f t="shared" si="55"/>
        <v>0</v>
      </c>
      <c r="R32" s="565">
        <f t="shared" si="56"/>
        <v>0</v>
      </c>
      <c r="S32" s="603">
        <v>0</v>
      </c>
      <c r="T32" s="633">
        <f>T31</f>
        <v>24.26</v>
      </c>
      <c r="U32" s="603"/>
      <c r="V32" s="603"/>
      <c r="W32" s="603"/>
      <c r="Y32" s="69">
        <f>IF(AND(M32&lt;&gt;0,S32=0),#VALUE!,M32*S32)</f>
        <v>0</v>
      </c>
      <c r="Z32" s="69">
        <f>IF(AND(N32&lt;&gt;0,T32=0),#VALUE!,N32*T32)</f>
        <v>24.26</v>
      </c>
      <c r="AA32" s="69">
        <f>IF(AND(O32&lt;&gt;0,U32=0),#VALUE!,O32*U32)</f>
        <v>0</v>
      </c>
      <c r="AB32" s="69">
        <f>IF(AND(P32&lt;&gt;0,V32=0),#VALUE!,P32*V32)</f>
        <v>0</v>
      </c>
      <c r="AC32" s="69">
        <f>IF(AND(Q32&lt;&gt;0,W32=0),#VALUE!,Q32*W32)</f>
        <v>0</v>
      </c>
      <c r="AE32" s="68">
        <f>SUMIF($G:$G,TEXT(AE$3,"000")&amp;TEXT($L32,"000"),$E:$E)</f>
        <v>0</v>
      </c>
      <c r="AF32" s="68">
        <f>SUMIF($G:$G,TEXT(AF$3,"000")&amp;TEXT($L32,"000"),$E:$E)</f>
        <v>1</v>
      </c>
      <c r="AG32" s="68">
        <f>SUMIF($G:$G,TEXT(AG$3,"000")&amp;TEXT($L32,"000"),$E:$E)</f>
        <v>0</v>
      </c>
      <c r="AH32" s="68">
        <f>SUMIF($G:$G,TEXT(AH$3,"000")&amp;TEXT($L32,"000"),$E:$E)</f>
        <v>0</v>
      </c>
      <c r="AI32" s="68">
        <f>SUMIF($G:$G,TEXT(AI$3,"000")&amp;TEXT($L32,"000"),$E:$E)</f>
        <v>0</v>
      </c>
      <c r="AK32" s="570">
        <f t="shared" ref="AK32:AL52" si="80">ROUND(S32*(1+AK$1),2)</f>
        <v>0</v>
      </c>
      <c r="AL32" s="570">
        <f>AL31</f>
        <v>25.07</v>
      </c>
      <c r="AM32" s="570">
        <f t="shared" si="9"/>
        <v>0</v>
      </c>
      <c r="AN32" s="570">
        <f t="shared" si="10"/>
        <v>0</v>
      </c>
      <c r="AO32" s="570">
        <f t="shared" si="64"/>
        <v>0</v>
      </c>
      <c r="AQ32" s="69">
        <f t="shared" si="11"/>
        <v>0</v>
      </c>
      <c r="AR32" s="69">
        <f t="shared" si="12"/>
        <v>25.07</v>
      </c>
      <c r="AS32" s="69">
        <f t="shared" si="13"/>
        <v>0</v>
      </c>
      <c r="AT32" s="69">
        <f t="shared" si="14"/>
        <v>0</v>
      </c>
      <c r="AU32" s="69">
        <f t="shared" si="15"/>
        <v>0</v>
      </c>
      <c r="AV32" s="69">
        <f t="shared" si="65"/>
        <v>0.80999999999999872</v>
      </c>
      <c r="AW32" s="443">
        <f t="shared" si="75"/>
        <v>3.3388293487221707E-2</v>
      </c>
      <c r="AX32" s="434">
        <v>26</v>
      </c>
      <c r="AY32" s="567"/>
      <c r="AZ32" s="567">
        <v>24.68</v>
      </c>
      <c r="BA32" s="567"/>
      <c r="BB32" s="567"/>
      <c r="BC32" s="567"/>
      <c r="BD32" s="139"/>
      <c r="BE32" s="573">
        <f>ROUND(AX32*$BE$2,2)+ROUND(AX32*$BE$1,2)</f>
        <v>0.06</v>
      </c>
      <c r="BF32" s="53"/>
      <c r="BG32" s="563">
        <f t="shared" si="79"/>
        <v>0.01</v>
      </c>
      <c r="BH32" s="53"/>
      <c r="BI32" s="53"/>
      <c r="BJ32" s="53"/>
      <c r="BM32" s="278">
        <f t="shared" si="67"/>
        <v>0</v>
      </c>
      <c r="BN32" s="278">
        <f t="shared" si="68"/>
        <v>25.448556999999997</v>
      </c>
      <c r="BO32" s="278">
        <f>AM32*$BM$1</f>
        <v>0</v>
      </c>
      <c r="BP32" s="278">
        <f>AN32*$BM$1</f>
        <v>0</v>
      </c>
      <c r="BQ32" s="278">
        <f>AO32*$BM$1</f>
        <v>0</v>
      </c>
      <c r="BS32" s="53">
        <f>BM32-AY32</f>
        <v>0</v>
      </c>
      <c r="BT32" s="53">
        <f>BN32-AZ32</f>
        <v>0.76855699999999771</v>
      </c>
      <c r="BU32" s="53">
        <f>BO32-BA32</f>
        <v>0</v>
      </c>
      <c r="BV32" s="53">
        <f>BP32-BB32</f>
        <v>0</v>
      </c>
      <c r="BW32" s="53">
        <f>BQ32-BC32</f>
        <v>0</v>
      </c>
      <c r="BX32" s="562"/>
      <c r="BY32" s="562"/>
      <c r="BZ32" s="562"/>
      <c r="CA32" s="562"/>
      <c r="CB32" s="562"/>
    </row>
    <row r="33" spans="1:106">
      <c r="B33" s="35">
        <v>2</v>
      </c>
      <c r="C33" s="71" t="s">
        <v>120</v>
      </c>
      <c r="D33" s="35">
        <v>438</v>
      </c>
      <c r="E33" s="547">
        <v>10</v>
      </c>
      <c r="F33" s="72"/>
      <c r="G33" s="72" t="str">
        <f t="shared" si="52"/>
        <v>042438</v>
      </c>
      <c r="H33" s="46"/>
      <c r="I33" t="s">
        <v>128</v>
      </c>
      <c r="J33" s="671" t="s">
        <v>826</v>
      </c>
      <c r="K33" s="58" t="s">
        <v>134</v>
      </c>
      <c r="L33" s="96">
        <v>431</v>
      </c>
      <c r="M33" s="68">
        <f t="shared" ref="M33:Q42" si="81">SUMIF($G:$G,TEXT(M$3,"000")&amp;TEXT($L33,"000"),$E:$E)</f>
        <v>0</v>
      </c>
      <c r="N33" s="68">
        <f t="shared" si="81"/>
        <v>0</v>
      </c>
      <c r="O33" s="68">
        <f t="shared" si="81"/>
        <v>2</v>
      </c>
      <c r="P33" s="68">
        <f t="shared" si="81"/>
        <v>0</v>
      </c>
      <c r="Q33" s="68">
        <f t="shared" si="81"/>
        <v>0</v>
      </c>
      <c r="R33" s="565">
        <f t="shared" si="56"/>
        <v>0</v>
      </c>
      <c r="S33" s="603">
        <v>0</v>
      </c>
      <c r="T33" s="603"/>
      <c r="U33" s="603">
        <v>7.5</v>
      </c>
      <c r="V33" s="603">
        <v>0</v>
      </c>
      <c r="W33" s="603">
        <v>0</v>
      </c>
      <c r="Y33" s="69">
        <f t="shared" si="57"/>
        <v>0</v>
      </c>
      <c r="Z33" s="69">
        <f>IF(AND(N33&lt;&gt;0,T33=0),#VALUE!,N33*T33)</f>
        <v>0</v>
      </c>
      <c r="AA33" s="69">
        <f t="shared" si="59"/>
        <v>15</v>
      </c>
      <c r="AB33" s="69">
        <f t="shared" si="60"/>
        <v>0</v>
      </c>
      <c r="AC33" s="69">
        <f t="shared" si="61"/>
        <v>0</v>
      </c>
      <c r="AE33" s="68">
        <f t="shared" si="62"/>
        <v>0</v>
      </c>
      <c r="AF33" s="68">
        <f t="shared" ref="AF33:AI34" si="82">N33</f>
        <v>0</v>
      </c>
      <c r="AG33" s="68">
        <f t="shared" si="82"/>
        <v>2</v>
      </c>
      <c r="AH33" s="68">
        <f t="shared" si="82"/>
        <v>0</v>
      </c>
      <c r="AI33" s="68">
        <f t="shared" si="82"/>
        <v>0</v>
      </c>
      <c r="AK33" s="570">
        <f t="shared" si="80"/>
        <v>0</v>
      </c>
      <c r="AL33" s="570"/>
      <c r="AM33" s="570">
        <f t="shared" si="9"/>
        <v>7.75</v>
      </c>
      <c r="AN33" s="570">
        <f t="shared" si="10"/>
        <v>0</v>
      </c>
      <c r="AO33" s="570">
        <f t="shared" si="64"/>
        <v>0</v>
      </c>
      <c r="AQ33" s="69">
        <f t="shared" si="11"/>
        <v>0</v>
      </c>
      <c r="AR33" s="69">
        <f t="shared" si="12"/>
        <v>0</v>
      </c>
      <c r="AS33" s="69">
        <f t="shared" si="13"/>
        <v>15.5</v>
      </c>
      <c r="AT33" s="69">
        <f t="shared" si="14"/>
        <v>0</v>
      </c>
      <c r="AU33" s="69">
        <f t="shared" si="15"/>
        <v>0</v>
      </c>
      <c r="AV33" s="69">
        <f t="shared" si="65"/>
        <v>0</v>
      </c>
      <c r="AW33" s="443" t="e">
        <f t="shared" si="75"/>
        <v>#DIV/0!</v>
      </c>
      <c r="AX33" s="434">
        <v>40</v>
      </c>
      <c r="AY33" s="567"/>
      <c r="AZ33" s="567"/>
      <c r="BA33" s="567">
        <v>7.69</v>
      </c>
      <c r="BB33" s="567"/>
      <c r="BC33" s="567"/>
      <c r="BD33" s="139"/>
      <c r="BE33" s="573">
        <f t="shared" si="66"/>
        <v>9.000000000000008E-2</v>
      </c>
      <c r="BF33" s="53"/>
      <c r="BG33" s="53">
        <f t="shared" si="79"/>
        <v>0.09</v>
      </c>
      <c r="BH33" s="53">
        <f>ROUND((U33*$BF$2)+$BE33-BA33,2)</f>
        <v>0.01</v>
      </c>
      <c r="BI33" s="53"/>
      <c r="BJ33" s="53"/>
      <c r="BM33" s="278">
        <f t="shared" si="67"/>
        <v>0</v>
      </c>
      <c r="BN33" s="278">
        <f t="shared" si="68"/>
        <v>0</v>
      </c>
      <c r="BO33" s="278">
        <f t="shared" si="76"/>
        <v>7.867024999999999</v>
      </c>
      <c r="BP33" s="278">
        <f t="shared" si="77"/>
        <v>0</v>
      </c>
      <c r="BQ33" s="278">
        <f t="shared" si="78"/>
        <v>0</v>
      </c>
      <c r="BS33" s="53">
        <f t="shared" si="70"/>
        <v>0</v>
      </c>
      <c r="BT33" s="53">
        <f t="shared" si="71"/>
        <v>0</v>
      </c>
      <c r="BU33" s="53">
        <f t="shared" si="72"/>
        <v>0.17702499999999866</v>
      </c>
      <c r="BV33" s="53">
        <f t="shared" si="73"/>
        <v>0</v>
      </c>
      <c r="BW33" s="53">
        <f t="shared" si="74"/>
        <v>0</v>
      </c>
    </row>
    <row r="34" spans="1:106">
      <c r="A34" s="597"/>
      <c r="B34" s="527">
        <v>2</v>
      </c>
      <c r="C34" s="71" t="s">
        <v>120</v>
      </c>
      <c r="D34" s="527" t="s">
        <v>587</v>
      </c>
      <c r="E34" s="549">
        <v>14</v>
      </c>
      <c r="F34" s="72"/>
      <c r="G34" s="72" t="str">
        <f t="shared" si="52"/>
        <v>042441L</v>
      </c>
      <c r="H34" s="46"/>
      <c r="I34" t="s">
        <v>128</v>
      </c>
      <c r="J34" t="s">
        <v>109</v>
      </c>
      <c r="K34" s="58" t="s">
        <v>134</v>
      </c>
      <c r="L34" s="96">
        <v>432</v>
      </c>
      <c r="M34" s="68">
        <f t="shared" si="81"/>
        <v>0</v>
      </c>
      <c r="N34" s="68">
        <f t="shared" si="81"/>
        <v>78</v>
      </c>
      <c r="O34" s="68">
        <f t="shared" si="81"/>
        <v>4</v>
      </c>
      <c r="P34" s="68">
        <f t="shared" si="81"/>
        <v>0</v>
      </c>
      <c r="Q34" s="68">
        <f t="shared" si="81"/>
        <v>0</v>
      </c>
      <c r="R34" s="565">
        <f t="shared" si="56"/>
        <v>0</v>
      </c>
      <c r="S34" s="603">
        <v>0</v>
      </c>
      <c r="T34" s="603">
        <v>26.14</v>
      </c>
      <c r="U34" s="603">
        <v>7.5</v>
      </c>
      <c r="V34" s="603">
        <v>0</v>
      </c>
      <c r="W34" s="603">
        <v>0</v>
      </c>
      <c r="Y34" s="69">
        <f t="shared" si="57"/>
        <v>0</v>
      </c>
      <c r="Z34" s="69">
        <f t="shared" si="58"/>
        <v>2038.92</v>
      </c>
      <c r="AA34" s="69">
        <f t="shared" si="59"/>
        <v>30</v>
      </c>
      <c r="AB34" s="69">
        <f t="shared" si="60"/>
        <v>0</v>
      </c>
      <c r="AC34" s="69">
        <f t="shared" si="61"/>
        <v>0</v>
      </c>
      <c r="AE34" s="68">
        <f t="shared" si="62"/>
        <v>0</v>
      </c>
      <c r="AF34" s="68">
        <f t="shared" si="82"/>
        <v>78</v>
      </c>
      <c r="AG34" s="68">
        <f t="shared" si="82"/>
        <v>4</v>
      </c>
      <c r="AH34" s="68">
        <f t="shared" si="82"/>
        <v>0</v>
      </c>
      <c r="AI34" s="68">
        <f t="shared" si="82"/>
        <v>0</v>
      </c>
      <c r="AK34" s="570">
        <f t="shared" si="80"/>
        <v>0</v>
      </c>
      <c r="AL34" s="570">
        <f>ROUND(T34*(1+AL$1),2)</f>
        <v>27.01</v>
      </c>
      <c r="AM34" s="570">
        <f t="shared" si="9"/>
        <v>7.75</v>
      </c>
      <c r="AN34" s="570">
        <f t="shared" si="10"/>
        <v>0</v>
      </c>
      <c r="AO34" s="570">
        <f t="shared" si="64"/>
        <v>0</v>
      </c>
      <c r="AQ34" s="69">
        <f t="shared" si="11"/>
        <v>0</v>
      </c>
      <c r="AR34" s="69">
        <f t="shared" si="12"/>
        <v>2106.7800000000002</v>
      </c>
      <c r="AS34" s="69">
        <f t="shared" si="13"/>
        <v>31</v>
      </c>
      <c r="AT34" s="69">
        <f t="shared" si="14"/>
        <v>0</v>
      </c>
      <c r="AU34" s="69">
        <f t="shared" si="15"/>
        <v>0</v>
      </c>
      <c r="AV34" s="69">
        <f t="shared" si="65"/>
        <v>67.860000000000127</v>
      </c>
      <c r="AW34" s="443">
        <f t="shared" si="75"/>
        <v>3.3282325937260965E-2</v>
      </c>
      <c r="AX34" s="434">
        <v>40</v>
      </c>
      <c r="AY34" s="567"/>
      <c r="AZ34" s="567">
        <v>26.61</v>
      </c>
      <c r="BA34" s="567">
        <v>7.69</v>
      </c>
      <c r="BB34" s="567"/>
      <c r="BC34" s="567"/>
      <c r="BD34" s="139"/>
      <c r="BE34" s="573">
        <f t="shared" si="66"/>
        <v>9.000000000000008E-2</v>
      </c>
      <c r="BF34" s="53"/>
      <c r="BG34" s="53">
        <f t="shared" si="79"/>
        <v>0.01</v>
      </c>
      <c r="BH34" s="53">
        <f>ROUND((U34*$BF$2)+$BE34-BA34,2)</f>
        <v>0.01</v>
      </c>
      <c r="BI34" s="53"/>
      <c r="BJ34" s="53"/>
      <c r="BM34" s="278">
        <f t="shared" si="67"/>
        <v>0</v>
      </c>
      <c r="BN34" s="278">
        <f t="shared" si="68"/>
        <v>27.417850999999999</v>
      </c>
      <c r="BO34" s="278">
        <f t="shared" si="76"/>
        <v>7.867024999999999</v>
      </c>
      <c r="BP34" s="278">
        <f t="shared" si="77"/>
        <v>0</v>
      </c>
      <c r="BQ34" s="278">
        <f t="shared" si="78"/>
        <v>0</v>
      </c>
      <c r="BS34" s="53">
        <f t="shared" si="70"/>
        <v>0</v>
      </c>
      <c r="BT34" s="53">
        <f t="shared" si="71"/>
        <v>0.80785099999999943</v>
      </c>
      <c r="BU34" s="53">
        <f t="shared" si="72"/>
        <v>0.17702499999999866</v>
      </c>
      <c r="BV34" s="53">
        <f t="shared" si="73"/>
        <v>0</v>
      </c>
      <c r="BW34" s="53">
        <f t="shared" si="74"/>
        <v>0</v>
      </c>
    </row>
    <row r="35" spans="1:106">
      <c r="A35" s="632"/>
      <c r="B35" s="527">
        <v>2</v>
      </c>
      <c r="C35" s="71" t="s">
        <v>120</v>
      </c>
      <c r="D35" s="527" t="s">
        <v>706</v>
      </c>
      <c r="E35" s="549">
        <v>11</v>
      </c>
      <c r="F35" s="72"/>
      <c r="G35" s="72" t="str">
        <f t="shared" si="52"/>
        <v>042441T</v>
      </c>
      <c r="H35" s="46"/>
      <c r="I35" s="422" t="s">
        <v>698</v>
      </c>
      <c r="J35" s="562" t="s">
        <v>109</v>
      </c>
      <c r="K35" s="564" t="s">
        <v>132</v>
      </c>
      <c r="L35" s="566" t="s">
        <v>581</v>
      </c>
      <c r="M35" s="565">
        <f t="shared" si="81"/>
        <v>0</v>
      </c>
      <c r="N35" s="565">
        <f t="shared" si="81"/>
        <v>141</v>
      </c>
      <c r="O35" s="565">
        <f t="shared" si="81"/>
        <v>0</v>
      </c>
      <c r="P35" s="565">
        <f t="shared" si="81"/>
        <v>0</v>
      </c>
      <c r="Q35" s="565">
        <f t="shared" si="81"/>
        <v>0</v>
      </c>
      <c r="R35" s="565">
        <f t="shared" si="56"/>
        <v>0</v>
      </c>
      <c r="S35" s="603">
        <v>0</v>
      </c>
      <c r="T35" s="633">
        <f>T34</f>
        <v>26.14</v>
      </c>
      <c r="U35" s="603">
        <v>0</v>
      </c>
      <c r="V35" s="603"/>
      <c r="W35" s="603"/>
      <c r="X35" s="562"/>
      <c r="Y35" s="69">
        <f t="shared" ref="Y35:AC36" si="83">IF(AND(M35&lt;&gt;0,S35=0),#VALUE!,M35*S35)</f>
        <v>0</v>
      </c>
      <c r="Z35" s="69">
        <f t="shared" si="83"/>
        <v>3685.7400000000002</v>
      </c>
      <c r="AA35" s="69">
        <f t="shared" si="83"/>
        <v>0</v>
      </c>
      <c r="AB35" s="69">
        <f t="shared" si="83"/>
        <v>0</v>
      </c>
      <c r="AC35" s="69">
        <f t="shared" si="83"/>
        <v>0</v>
      </c>
      <c r="AD35" s="562"/>
      <c r="AE35" s="565">
        <f>SUMIF($G:$G,TEXT(AE$3,"000")&amp;TEXT($L35,"000"),$E:$E)</f>
        <v>0</v>
      </c>
      <c r="AF35" s="565">
        <f>SUMIF($G:$G,TEXT(AF$3,"000")&amp;TEXT($L35,"000"),$E:$E)</f>
        <v>141</v>
      </c>
      <c r="AG35" s="565">
        <f>SUMIF($G:$G,TEXT(AG$3,"000")&amp;TEXT($L35,"000"),$E:$E)</f>
        <v>0</v>
      </c>
      <c r="AH35" s="565">
        <f>SUMIF($G:$G,TEXT(AH$3,"000")&amp;TEXT($L35,"000"),$E:$E)</f>
        <v>0</v>
      </c>
      <c r="AI35" s="565">
        <f>SUMIF($G:$G,TEXT(AI$3,"000")&amp;TEXT($L35,"000"),$E:$E)</f>
        <v>0</v>
      </c>
      <c r="AJ35" s="562"/>
      <c r="AK35" s="570">
        <f t="shared" si="80"/>
        <v>0</v>
      </c>
      <c r="AL35" s="570">
        <f>AL34</f>
        <v>27.01</v>
      </c>
      <c r="AM35" s="570">
        <f t="shared" si="9"/>
        <v>0</v>
      </c>
      <c r="AN35" s="570">
        <f t="shared" si="10"/>
        <v>0</v>
      </c>
      <c r="AO35" s="570">
        <f t="shared" si="64"/>
        <v>0</v>
      </c>
      <c r="AP35" s="562"/>
      <c r="AQ35" s="69">
        <f t="shared" si="11"/>
        <v>0</v>
      </c>
      <c r="AR35" s="69">
        <f t="shared" si="12"/>
        <v>3808.4100000000003</v>
      </c>
      <c r="AS35" s="69">
        <f t="shared" si="13"/>
        <v>0</v>
      </c>
      <c r="AT35" s="69">
        <f t="shared" si="14"/>
        <v>0</v>
      </c>
      <c r="AU35" s="69">
        <f t="shared" si="15"/>
        <v>0</v>
      </c>
      <c r="AV35" s="69">
        <f t="shared" si="65"/>
        <v>122.67000000000007</v>
      </c>
      <c r="AW35" s="443">
        <f t="shared" si="75"/>
        <v>3.3282325937260923E-2</v>
      </c>
      <c r="AX35" s="577">
        <v>26</v>
      </c>
      <c r="AY35" s="567"/>
      <c r="AZ35" s="567">
        <v>26.58</v>
      </c>
      <c r="BA35" s="567"/>
      <c r="BB35" s="567"/>
      <c r="BC35" s="567"/>
      <c r="BD35" s="567"/>
      <c r="BE35" s="573">
        <f>ROUND(AX35*$BE$2,2)+ROUND(AX35*$BE$1,2)</f>
        <v>0.06</v>
      </c>
      <c r="BF35" s="563"/>
      <c r="BG35" s="563">
        <f t="shared" si="79"/>
        <v>0.01</v>
      </c>
      <c r="BH35" s="563"/>
      <c r="BI35" s="563"/>
      <c r="BJ35" s="563"/>
      <c r="BK35" s="562"/>
      <c r="BL35" s="562"/>
      <c r="BM35" s="571">
        <f t="shared" si="67"/>
        <v>0</v>
      </c>
      <c r="BN35" s="571">
        <f t="shared" si="68"/>
        <v>27.417850999999999</v>
      </c>
      <c r="BO35" s="571">
        <f t="shared" ref="BO35:BQ36" si="84">AM35*$BM$1</f>
        <v>0</v>
      </c>
      <c r="BP35" s="571">
        <f t="shared" si="84"/>
        <v>0</v>
      </c>
      <c r="BQ35" s="571">
        <f t="shared" si="84"/>
        <v>0</v>
      </c>
      <c r="BR35" s="562"/>
      <c r="BS35" s="563">
        <f t="shared" ref="BS35:BW36" si="85">BM35-AY35</f>
        <v>0</v>
      </c>
      <c r="BT35" s="563">
        <f t="shared" si="85"/>
        <v>0.83785100000000057</v>
      </c>
      <c r="BU35" s="563">
        <f t="shared" si="85"/>
        <v>0</v>
      </c>
      <c r="BV35" s="563">
        <f t="shared" si="85"/>
        <v>0</v>
      </c>
      <c r="BW35" s="563">
        <f t="shared" si="85"/>
        <v>0</v>
      </c>
      <c r="BX35" s="562"/>
      <c r="BY35" s="562"/>
      <c r="BZ35" s="562"/>
      <c r="CA35" s="562"/>
      <c r="CB35" s="562"/>
      <c r="CM35" s="580"/>
      <c r="CN35" s="580"/>
      <c r="CO35" s="580"/>
      <c r="CP35" s="580"/>
      <c r="CQ35" s="580"/>
      <c r="CR35" s="580"/>
      <c r="CS35" s="580"/>
      <c r="CT35" s="580"/>
      <c r="CU35" s="580"/>
      <c r="CV35" s="580"/>
    </row>
    <row r="36" spans="1:106">
      <c r="A36" s="328"/>
      <c r="B36" s="35">
        <v>2</v>
      </c>
      <c r="C36" s="71" t="s">
        <v>120</v>
      </c>
      <c r="D36" s="35">
        <v>474</v>
      </c>
      <c r="E36" s="547">
        <v>212</v>
      </c>
      <c r="F36" s="72"/>
      <c r="G36" s="72" t="str">
        <f t="shared" si="52"/>
        <v>042474</v>
      </c>
      <c r="H36" s="46"/>
      <c r="I36" s="631" t="s">
        <v>698</v>
      </c>
      <c r="J36" s="631" t="s">
        <v>109</v>
      </c>
      <c r="K36" s="564" t="s">
        <v>132</v>
      </c>
      <c r="L36" s="566" t="s">
        <v>691</v>
      </c>
      <c r="M36" s="565">
        <f t="shared" si="81"/>
        <v>0</v>
      </c>
      <c r="N36" s="565">
        <f t="shared" si="81"/>
        <v>28</v>
      </c>
      <c r="O36" s="565">
        <f t="shared" si="81"/>
        <v>0</v>
      </c>
      <c r="P36" s="565">
        <f t="shared" si="81"/>
        <v>0</v>
      </c>
      <c r="Q36" s="565">
        <f t="shared" si="81"/>
        <v>0</v>
      </c>
      <c r="R36" s="565">
        <f t="shared" si="56"/>
        <v>0</v>
      </c>
      <c r="S36" s="603">
        <v>0</v>
      </c>
      <c r="T36" s="633">
        <f>T34-T94</f>
        <v>20.91</v>
      </c>
      <c r="U36" s="603"/>
      <c r="V36" s="603">
        <v>0</v>
      </c>
      <c r="W36" s="603">
        <v>0</v>
      </c>
      <c r="X36" s="631"/>
      <c r="Y36" s="69">
        <f t="shared" si="83"/>
        <v>0</v>
      </c>
      <c r="Z36" s="69">
        <f>IF(AND(N36&lt;&gt;0,T36=0),#VALUE!,N36*T36)</f>
        <v>585.48</v>
      </c>
      <c r="AA36" s="69">
        <f t="shared" si="83"/>
        <v>0</v>
      </c>
      <c r="AB36" s="69">
        <f t="shared" si="83"/>
        <v>0</v>
      </c>
      <c r="AC36" s="69">
        <f t="shared" si="83"/>
        <v>0</v>
      </c>
      <c r="AD36" s="631"/>
      <c r="AE36" s="565">
        <f>M36</f>
        <v>0</v>
      </c>
      <c r="AF36" s="565">
        <f>N36</f>
        <v>28</v>
      </c>
      <c r="AG36" s="565">
        <f>O36</f>
        <v>0</v>
      </c>
      <c r="AH36" s="565">
        <f>P36</f>
        <v>0</v>
      </c>
      <c r="AI36" s="565">
        <f>Q36</f>
        <v>0</v>
      </c>
      <c r="AJ36" s="631"/>
      <c r="AK36" s="570">
        <f t="shared" si="80"/>
        <v>0</v>
      </c>
      <c r="AL36" s="570">
        <f>AL35-AL94</f>
        <v>21.78</v>
      </c>
      <c r="AM36" s="570">
        <f t="shared" si="9"/>
        <v>0</v>
      </c>
      <c r="AN36" s="570">
        <f t="shared" si="10"/>
        <v>0</v>
      </c>
      <c r="AO36" s="570">
        <f t="shared" si="64"/>
        <v>0</v>
      </c>
      <c r="AP36" s="631"/>
      <c r="AQ36" s="69">
        <f t="shared" si="11"/>
        <v>0</v>
      </c>
      <c r="AR36" s="69">
        <f t="shared" si="12"/>
        <v>609.84</v>
      </c>
      <c r="AS36" s="69">
        <f t="shared" si="13"/>
        <v>0</v>
      </c>
      <c r="AT36" s="69">
        <f t="shared" si="14"/>
        <v>0</v>
      </c>
      <c r="AU36" s="69">
        <f t="shared" si="15"/>
        <v>0</v>
      </c>
      <c r="AV36" s="69">
        <f t="shared" si="65"/>
        <v>24.360000000000014</v>
      </c>
      <c r="AW36" s="443">
        <f t="shared" si="75"/>
        <v>4.1606886657101889E-2</v>
      </c>
      <c r="AX36" s="577">
        <v>26</v>
      </c>
      <c r="AY36" s="567"/>
      <c r="AZ36" s="567">
        <v>21.28</v>
      </c>
      <c r="BA36" s="567"/>
      <c r="BB36" s="567"/>
      <c r="BC36" s="567"/>
      <c r="BD36" s="567"/>
      <c r="BE36" s="573">
        <f>ROUND(AX36*$BE$2,2)+ROUND(AX36*$BE$1,2)</f>
        <v>0.06</v>
      </c>
      <c r="BF36" s="563"/>
      <c r="BG36" s="563">
        <f t="shared" si="79"/>
        <v>0.01</v>
      </c>
      <c r="BH36" s="563"/>
      <c r="BI36" s="563"/>
      <c r="BJ36" s="563"/>
      <c r="BK36" s="631"/>
      <c r="BL36" s="631"/>
      <c r="BM36" s="571">
        <f t="shared" si="67"/>
        <v>0</v>
      </c>
      <c r="BN36" s="571">
        <f t="shared" si="68"/>
        <v>22.108877999999997</v>
      </c>
      <c r="BO36" s="571">
        <f t="shared" si="84"/>
        <v>0</v>
      </c>
      <c r="BP36" s="571">
        <f t="shared" si="84"/>
        <v>0</v>
      </c>
      <c r="BQ36" s="571">
        <f t="shared" si="84"/>
        <v>0</v>
      </c>
      <c r="BR36" s="631"/>
      <c r="BS36" s="563">
        <f t="shared" si="85"/>
        <v>0</v>
      </c>
      <c r="BT36" s="563">
        <f t="shared" si="85"/>
        <v>0.82887799999999601</v>
      </c>
      <c r="BU36" s="563">
        <f t="shared" si="85"/>
        <v>0</v>
      </c>
      <c r="BV36" s="563">
        <f t="shared" si="85"/>
        <v>0</v>
      </c>
      <c r="BW36" s="563">
        <f t="shared" si="85"/>
        <v>0</v>
      </c>
      <c r="BX36" s="631"/>
      <c r="BY36" s="631"/>
      <c r="BZ36" s="631"/>
      <c r="CA36" s="631"/>
      <c r="CB36" s="631"/>
      <c r="CC36" s="631"/>
      <c r="CD36" s="631"/>
      <c r="CE36" s="631"/>
      <c r="CF36" s="631"/>
      <c r="CG36" s="631"/>
      <c r="CH36" s="631"/>
      <c r="CI36" s="631"/>
      <c r="CJ36" s="631"/>
    </row>
    <row r="37" spans="1:106">
      <c r="A37" s="632"/>
      <c r="B37" s="527">
        <v>2</v>
      </c>
      <c r="C37" s="71" t="s">
        <v>120</v>
      </c>
      <c r="D37" s="527" t="s">
        <v>588</v>
      </c>
      <c r="E37" s="549">
        <v>106</v>
      </c>
      <c r="F37" s="72"/>
      <c r="G37" s="72" t="str">
        <f t="shared" si="52"/>
        <v>042474L</v>
      </c>
      <c r="H37" s="46"/>
      <c r="I37" t="s">
        <v>128</v>
      </c>
      <c r="J37" t="s">
        <v>110</v>
      </c>
      <c r="K37" s="58" t="s">
        <v>134</v>
      </c>
      <c r="L37" s="96">
        <v>433</v>
      </c>
      <c r="M37" s="68">
        <f t="shared" si="81"/>
        <v>0</v>
      </c>
      <c r="N37" s="68">
        <f t="shared" si="81"/>
        <v>6</v>
      </c>
      <c r="O37" s="68">
        <f t="shared" si="81"/>
        <v>6</v>
      </c>
      <c r="P37" s="68">
        <f t="shared" si="81"/>
        <v>0</v>
      </c>
      <c r="Q37" s="68">
        <f t="shared" si="81"/>
        <v>0</v>
      </c>
      <c r="R37" s="565">
        <f t="shared" si="56"/>
        <v>0</v>
      </c>
      <c r="S37" s="603">
        <v>0</v>
      </c>
      <c r="T37" s="603">
        <v>26.14</v>
      </c>
      <c r="U37" s="603">
        <v>7.5</v>
      </c>
      <c r="V37" s="603">
        <v>0</v>
      </c>
      <c r="W37" s="603">
        <v>0</v>
      </c>
      <c r="Y37" s="69">
        <f t="shared" si="57"/>
        <v>0</v>
      </c>
      <c r="Z37" s="69">
        <f t="shared" si="58"/>
        <v>156.84</v>
      </c>
      <c r="AA37" s="69">
        <f t="shared" si="59"/>
        <v>45</v>
      </c>
      <c r="AB37" s="69">
        <f t="shared" si="60"/>
        <v>0</v>
      </c>
      <c r="AC37" s="69">
        <f t="shared" si="61"/>
        <v>0</v>
      </c>
      <c r="AE37" s="68">
        <f t="shared" si="62"/>
        <v>0</v>
      </c>
      <c r="AF37" s="68">
        <f>N37</f>
        <v>6</v>
      </c>
      <c r="AG37" s="68">
        <f>O37</f>
        <v>6</v>
      </c>
      <c r="AH37" s="68">
        <f>P37</f>
        <v>0</v>
      </c>
      <c r="AI37" s="68">
        <f>Q37</f>
        <v>0</v>
      </c>
      <c r="AK37" s="570">
        <f t="shared" si="80"/>
        <v>0</v>
      </c>
      <c r="AL37" s="570">
        <f>ROUND(T37*(1+AL$1),2)</f>
        <v>27.01</v>
      </c>
      <c r="AM37" s="570">
        <f t="shared" si="9"/>
        <v>7.75</v>
      </c>
      <c r="AN37" s="570">
        <f t="shared" si="10"/>
        <v>0</v>
      </c>
      <c r="AO37" s="570">
        <f t="shared" si="64"/>
        <v>0</v>
      </c>
      <c r="AQ37" s="69">
        <f t="shared" si="11"/>
        <v>0</v>
      </c>
      <c r="AR37" s="69">
        <f t="shared" si="12"/>
        <v>162.06</v>
      </c>
      <c r="AS37" s="69">
        <f t="shared" si="13"/>
        <v>46.5</v>
      </c>
      <c r="AT37" s="69">
        <f t="shared" si="14"/>
        <v>0</v>
      </c>
      <c r="AU37" s="69">
        <f t="shared" si="15"/>
        <v>0</v>
      </c>
      <c r="AV37" s="69">
        <f t="shared" si="65"/>
        <v>5.2199999999999989</v>
      </c>
      <c r="AW37" s="443">
        <f t="shared" si="75"/>
        <v>3.3282325937260895E-2</v>
      </c>
      <c r="AX37" s="434">
        <v>40</v>
      </c>
      <c r="AY37" s="567"/>
      <c r="AZ37" s="567">
        <v>26.61</v>
      </c>
      <c r="BA37" s="567">
        <v>7.69</v>
      </c>
      <c r="BB37" s="567"/>
      <c r="BC37" s="567"/>
      <c r="BD37" s="139"/>
      <c r="BE37" s="573">
        <f t="shared" si="66"/>
        <v>9.000000000000008E-2</v>
      </c>
      <c r="BF37" s="53"/>
      <c r="BG37" s="53">
        <f t="shared" si="79"/>
        <v>0.01</v>
      </c>
      <c r="BH37" s="53">
        <f>ROUND((U37*$BF$2)+$BE37-BA37,2)</f>
        <v>0.01</v>
      </c>
      <c r="BI37" s="53"/>
      <c r="BJ37" s="53"/>
      <c r="BM37" s="278">
        <f t="shared" si="67"/>
        <v>0</v>
      </c>
      <c r="BN37" s="278">
        <f t="shared" si="68"/>
        <v>27.417850999999999</v>
      </c>
      <c r="BO37" s="278">
        <f t="shared" si="76"/>
        <v>7.867024999999999</v>
      </c>
      <c r="BP37" s="278">
        <f t="shared" si="77"/>
        <v>0</v>
      </c>
      <c r="BQ37" s="278">
        <f t="shared" si="78"/>
        <v>0</v>
      </c>
      <c r="BS37" s="53">
        <f t="shared" si="70"/>
        <v>0</v>
      </c>
      <c r="BT37" s="53">
        <f t="shared" si="71"/>
        <v>0.80785099999999943</v>
      </c>
      <c r="BU37" s="53">
        <f t="shared" si="72"/>
        <v>0.17702499999999866</v>
      </c>
      <c r="BV37" s="53">
        <f t="shared" si="73"/>
        <v>0</v>
      </c>
      <c r="BW37" s="53">
        <f t="shared" si="74"/>
        <v>0</v>
      </c>
    </row>
    <row r="38" spans="1:106">
      <c r="A38" s="580"/>
      <c r="B38" s="527">
        <v>2</v>
      </c>
      <c r="C38" s="71" t="s">
        <v>120</v>
      </c>
      <c r="D38" s="527">
        <v>475</v>
      </c>
      <c r="E38" s="549">
        <v>0</v>
      </c>
      <c r="F38" s="72"/>
      <c r="G38" s="72" t="str">
        <f t="shared" si="52"/>
        <v>042475</v>
      </c>
      <c r="H38" s="46"/>
      <c r="I38" s="422" t="s">
        <v>698</v>
      </c>
      <c r="J38" s="562" t="s">
        <v>110</v>
      </c>
      <c r="K38" s="564" t="s">
        <v>132</v>
      </c>
      <c r="L38" s="566" t="s">
        <v>582</v>
      </c>
      <c r="M38" s="565">
        <f t="shared" si="81"/>
        <v>0</v>
      </c>
      <c r="N38" s="565">
        <f t="shared" si="81"/>
        <v>49</v>
      </c>
      <c r="O38" s="565">
        <f t="shared" si="81"/>
        <v>0</v>
      </c>
      <c r="P38" s="565">
        <f t="shared" si="81"/>
        <v>0</v>
      </c>
      <c r="Q38" s="565">
        <f t="shared" si="81"/>
        <v>0</v>
      </c>
      <c r="R38" s="565">
        <f t="shared" si="56"/>
        <v>0</v>
      </c>
      <c r="S38" s="603">
        <v>0</v>
      </c>
      <c r="T38" s="633">
        <f>T37</f>
        <v>26.14</v>
      </c>
      <c r="U38" s="603">
        <v>0</v>
      </c>
      <c r="V38" s="603"/>
      <c r="W38" s="603"/>
      <c r="X38" s="562"/>
      <c r="Y38" s="69">
        <f t="shared" ref="Y38:AC39" si="86">IF(AND(M38&lt;&gt;0,S38=0),#VALUE!,M38*S38)</f>
        <v>0</v>
      </c>
      <c r="Z38" s="69">
        <f t="shared" si="86"/>
        <v>1280.8600000000001</v>
      </c>
      <c r="AA38" s="69">
        <f t="shared" si="86"/>
        <v>0</v>
      </c>
      <c r="AB38" s="69">
        <f t="shared" si="86"/>
        <v>0</v>
      </c>
      <c r="AC38" s="69">
        <f t="shared" si="86"/>
        <v>0</v>
      </c>
      <c r="AD38" s="562"/>
      <c r="AE38" s="565">
        <f>SUMIF($G:$G,TEXT(AE$3,"000")&amp;TEXT($L38,"000"),$E:$E)</f>
        <v>0</v>
      </c>
      <c r="AF38" s="565">
        <f>SUMIF($G:$G,TEXT(AF$3,"000")&amp;TEXT($L38,"000"),$E:$E)</f>
        <v>49</v>
      </c>
      <c r="AG38" s="565">
        <f>SUMIF($G:$G,TEXT(AG$3,"000")&amp;TEXT($L38,"000"),$E:$E)</f>
        <v>0</v>
      </c>
      <c r="AH38" s="565">
        <f>SUMIF($G:$G,TEXT(AH$3,"000")&amp;TEXT($L38,"000"),$E:$E)</f>
        <v>0</v>
      </c>
      <c r="AI38" s="565">
        <f>SUMIF($G:$G,TEXT(AI$3,"000")&amp;TEXT($L38,"000"),$E:$E)</f>
        <v>0</v>
      </c>
      <c r="AJ38" s="562"/>
      <c r="AK38" s="570">
        <f t="shared" si="80"/>
        <v>0</v>
      </c>
      <c r="AL38" s="570">
        <f>AL37</f>
        <v>27.01</v>
      </c>
      <c r="AM38" s="570">
        <f t="shared" si="9"/>
        <v>0</v>
      </c>
      <c r="AN38" s="570">
        <f t="shared" si="10"/>
        <v>0</v>
      </c>
      <c r="AO38" s="570">
        <f t="shared" si="64"/>
        <v>0</v>
      </c>
      <c r="AP38" s="562"/>
      <c r="AQ38" s="69">
        <f t="shared" si="11"/>
        <v>0</v>
      </c>
      <c r="AR38" s="69">
        <f t="shared" si="12"/>
        <v>1323.49</v>
      </c>
      <c r="AS38" s="69">
        <f t="shared" si="13"/>
        <v>0</v>
      </c>
      <c r="AT38" s="69">
        <f t="shared" si="14"/>
        <v>0</v>
      </c>
      <c r="AU38" s="69">
        <f t="shared" si="15"/>
        <v>0</v>
      </c>
      <c r="AV38" s="69">
        <f t="shared" si="65"/>
        <v>42.629999999999882</v>
      </c>
      <c r="AW38" s="443">
        <f t="shared" si="75"/>
        <v>3.3282325937260805E-2</v>
      </c>
      <c r="AX38" s="577">
        <v>26</v>
      </c>
      <c r="AY38" s="567"/>
      <c r="AZ38" s="567">
        <v>26.58</v>
      </c>
      <c r="BA38" s="567"/>
      <c r="BB38" s="567"/>
      <c r="BC38" s="567"/>
      <c r="BD38" s="567"/>
      <c r="BE38" s="573">
        <f>ROUND(AX38*$BE$2,2)+ROUND(AX38*$BE$1,2)</f>
        <v>0.06</v>
      </c>
      <c r="BF38" s="563"/>
      <c r="BG38" s="563">
        <f t="shared" si="79"/>
        <v>0.01</v>
      </c>
      <c r="BH38" s="563"/>
      <c r="BI38" s="563"/>
      <c r="BJ38" s="563"/>
      <c r="BK38" s="562"/>
      <c r="BL38" s="562"/>
      <c r="BM38" s="571">
        <f t="shared" si="67"/>
        <v>0</v>
      </c>
      <c r="BN38" s="571">
        <f t="shared" si="68"/>
        <v>27.417850999999999</v>
      </c>
      <c r="BO38" s="571">
        <f t="shared" ref="BO38:BQ39" si="87">AM38*$BM$1</f>
        <v>0</v>
      </c>
      <c r="BP38" s="571">
        <f t="shared" si="87"/>
        <v>0</v>
      </c>
      <c r="BQ38" s="571">
        <f t="shared" si="87"/>
        <v>0</v>
      </c>
      <c r="BR38" s="562"/>
      <c r="BS38" s="563">
        <f t="shared" ref="BS38:BW39" si="88">BM38-AY38</f>
        <v>0</v>
      </c>
      <c r="BT38" s="563">
        <f t="shared" si="88"/>
        <v>0.83785100000000057</v>
      </c>
      <c r="BU38" s="563">
        <f t="shared" si="88"/>
        <v>0</v>
      </c>
      <c r="BV38" s="563">
        <f t="shared" si="88"/>
        <v>0</v>
      </c>
      <c r="BW38" s="563">
        <f t="shared" si="88"/>
        <v>0</v>
      </c>
      <c r="BX38" s="562"/>
      <c r="BY38" s="562"/>
      <c r="BZ38" s="562"/>
      <c r="CA38" s="562"/>
      <c r="CB38" s="562"/>
      <c r="CL38" s="580"/>
      <c r="CZ38" s="632"/>
      <c r="DA38" s="632"/>
      <c r="DB38" s="632"/>
    </row>
    <row r="39" spans="1:106">
      <c r="B39" s="35">
        <v>3</v>
      </c>
      <c r="C39" s="71" t="s">
        <v>120</v>
      </c>
      <c r="D39" s="330">
        <v>478</v>
      </c>
      <c r="E39" s="543">
        <v>0</v>
      </c>
      <c r="F39" s="72"/>
      <c r="G39" s="72" t="str">
        <f t="shared" si="52"/>
        <v>042478</v>
      </c>
      <c r="H39" s="46"/>
      <c r="I39" s="631" t="s">
        <v>698</v>
      </c>
      <c r="J39" s="631" t="s">
        <v>110</v>
      </c>
      <c r="K39" s="564" t="s">
        <v>132</v>
      </c>
      <c r="L39" s="566" t="s">
        <v>692</v>
      </c>
      <c r="M39" s="565">
        <f t="shared" si="81"/>
        <v>0</v>
      </c>
      <c r="N39" s="565">
        <f t="shared" si="81"/>
        <v>65</v>
      </c>
      <c r="O39" s="565">
        <f t="shared" si="81"/>
        <v>0</v>
      </c>
      <c r="P39" s="565">
        <f t="shared" si="81"/>
        <v>0</v>
      </c>
      <c r="Q39" s="565">
        <f t="shared" si="81"/>
        <v>0</v>
      </c>
      <c r="R39" s="565">
        <f t="shared" si="56"/>
        <v>0</v>
      </c>
      <c r="S39" s="603">
        <v>0</v>
      </c>
      <c r="T39" s="633">
        <f>T37-T94</f>
        <v>20.91</v>
      </c>
      <c r="U39" s="603"/>
      <c r="V39" s="603">
        <v>0</v>
      </c>
      <c r="W39" s="603">
        <v>0</v>
      </c>
      <c r="X39" s="631"/>
      <c r="Y39" s="69">
        <f t="shared" si="86"/>
        <v>0</v>
      </c>
      <c r="Z39" s="69">
        <f t="shared" si="86"/>
        <v>1359.15</v>
      </c>
      <c r="AA39" s="69">
        <f t="shared" si="86"/>
        <v>0</v>
      </c>
      <c r="AB39" s="69">
        <f t="shared" si="86"/>
        <v>0</v>
      </c>
      <c r="AC39" s="69">
        <f t="shared" si="86"/>
        <v>0</v>
      </c>
      <c r="AD39" s="631"/>
      <c r="AE39" s="565">
        <f>M39</f>
        <v>0</v>
      </c>
      <c r="AF39" s="565">
        <f>N39</f>
        <v>65</v>
      </c>
      <c r="AG39" s="565">
        <f>O39</f>
        <v>0</v>
      </c>
      <c r="AH39" s="565">
        <f>P39</f>
        <v>0</v>
      </c>
      <c r="AI39" s="565">
        <f>Q39</f>
        <v>0</v>
      </c>
      <c r="AJ39" s="631"/>
      <c r="AK39" s="570">
        <f t="shared" si="80"/>
        <v>0</v>
      </c>
      <c r="AL39" s="570">
        <f>AL38-AL94</f>
        <v>21.78</v>
      </c>
      <c r="AM39" s="570">
        <f t="shared" si="9"/>
        <v>0</v>
      </c>
      <c r="AN39" s="570">
        <f t="shared" si="10"/>
        <v>0</v>
      </c>
      <c r="AO39" s="570">
        <f t="shared" si="64"/>
        <v>0</v>
      </c>
      <c r="AP39" s="631"/>
      <c r="AQ39" s="69">
        <f t="shared" si="11"/>
        <v>0</v>
      </c>
      <c r="AR39" s="69">
        <f>IF(AND(AF39&lt;&gt;0,AL39=0),#VALUE!,AF39*AL39)</f>
        <v>1415.7</v>
      </c>
      <c r="AS39" s="69">
        <f t="shared" si="13"/>
        <v>0</v>
      </c>
      <c r="AT39" s="69">
        <f t="shared" si="14"/>
        <v>0</v>
      </c>
      <c r="AU39" s="69">
        <f t="shared" si="15"/>
        <v>0</v>
      </c>
      <c r="AV39" s="69">
        <f>SUM(AR39)-SUM(Z39)</f>
        <v>56.549999999999955</v>
      </c>
      <c r="AW39" s="443">
        <f t="shared" si="75"/>
        <v>4.1606886657101827E-2</v>
      </c>
      <c r="AX39" s="577">
        <v>26</v>
      </c>
      <c r="AY39" s="567"/>
      <c r="AZ39" s="567">
        <v>21.28</v>
      </c>
      <c r="BA39" s="567"/>
      <c r="BB39" s="567"/>
      <c r="BC39" s="567"/>
      <c r="BD39" s="567"/>
      <c r="BE39" s="573">
        <f>ROUND(AX39*$BE$2,2)+ROUND(AX39*$BE$1,2)</f>
        <v>0.06</v>
      </c>
      <c r="BF39" s="563"/>
      <c r="BG39" s="563">
        <f t="shared" si="79"/>
        <v>0.01</v>
      </c>
      <c r="BH39" s="563"/>
      <c r="BI39" s="563"/>
      <c r="BJ39" s="563"/>
      <c r="BK39" s="631"/>
      <c r="BL39" s="631"/>
      <c r="BM39" s="571">
        <f t="shared" si="67"/>
        <v>0</v>
      </c>
      <c r="BN39" s="571">
        <f t="shared" si="68"/>
        <v>22.108877999999997</v>
      </c>
      <c r="BO39" s="571">
        <f t="shared" si="87"/>
        <v>0</v>
      </c>
      <c r="BP39" s="571">
        <f t="shared" si="87"/>
        <v>0</v>
      </c>
      <c r="BQ39" s="571">
        <f t="shared" si="87"/>
        <v>0</v>
      </c>
      <c r="BR39" s="631"/>
      <c r="BS39" s="563">
        <f t="shared" si="88"/>
        <v>0</v>
      </c>
      <c r="BT39" s="563">
        <f t="shared" si="88"/>
        <v>0.82887799999999601</v>
      </c>
      <c r="BU39" s="563">
        <f t="shared" si="88"/>
        <v>0</v>
      </c>
      <c r="BV39" s="563">
        <f t="shared" si="88"/>
        <v>0</v>
      </c>
      <c r="BW39" s="563">
        <f t="shared" si="88"/>
        <v>0</v>
      </c>
      <c r="BX39" s="631"/>
      <c r="BY39" s="631"/>
      <c r="BZ39" s="631"/>
      <c r="CA39" s="631"/>
      <c r="CB39" s="631"/>
      <c r="CC39" s="631"/>
      <c r="CD39" s="631"/>
      <c r="CE39" s="631"/>
      <c r="CF39" s="631"/>
      <c r="CG39" s="631"/>
      <c r="CH39" s="631"/>
      <c r="CI39" s="631"/>
      <c r="CJ39" s="631"/>
      <c r="CK39" s="631"/>
    </row>
    <row r="40" spans="1:106">
      <c r="B40" s="35">
        <v>2</v>
      </c>
      <c r="C40" s="71" t="s">
        <v>120</v>
      </c>
      <c r="D40" s="35">
        <v>484</v>
      </c>
      <c r="E40" s="547">
        <v>99</v>
      </c>
      <c r="F40" s="72"/>
      <c r="G40" s="72" t="str">
        <f t="shared" si="52"/>
        <v>042484</v>
      </c>
      <c r="H40" s="46"/>
      <c r="I40" t="s">
        <v>128</v>
      </c>
      <c r="J40" t="s">
        <v>110</v>
      </c>
      <c r="K40" s="58" t="s">
        <v>134</v>
      </c>
      <c r="L40" s="96">
        <v>434</v>
      </c>
      <c r="M40" s="68">
        <f t="shared" si="81"/>
        <v>0</v>
      </c>
      <c r="N40" s="68">
        <f t="shared" si="81"/>
        <v>2197</v>
      </c>
      <c r="O40" s="68">
        <f t="shared" si="81"/>
        <v>0</v>
      </c>
      <c r="P40" s="68">
        <f t="shared" si="81"/>
        <v>0</v>
      </c>
      <c r="Q40" s="68">
        <f t="shared" si="81"/>
        <v>0</v>
      </c>
      <c r="R40" s="565">
        <f t="shared" si="56"/>
        <v>0</v>
      </c>
      <c r="S40" s="603">
        <v>0</v>
      </c>
      <c r="T40" s="603">
        <v>14.74</v>
      </c>
      <c r="U40" s="603">
        <v>0</v>
      </c>
      <c r="V40" s="603">
        <v>0</v>
      </c>
      <c r="W40" s="603">
        <v>0</v>
      </c>
      <c r="Y40" s="69">
        <f t="shared" si="57"/>
        <v>0</v>
      </c>
      <c r="Z40" s="69">
        <f t="shared" si="58"/>
        <v>32383.78</v>
      </c>
      <c r="AA40" s="69">
        <f t="shared" si="59"/>
        <v>0</v>
      </c>
      <c r="AB40" s="69">
        <f t="shared" si="60"/>
        <v>0</v>
      </c>
      <c r="AC40" s="69">
        <f t="shared" si="61"/>
        <v>0</v>
      </c>
      <c r="AE40" s="68">
        <f t="shared" si="62"/>
        <v>0</v>
      </c>
      <c r="AF40" s="68">
        <f>N40</f>
        <v>2197</v>
      </c>
      <c r="AG40" s="68">
        <f>O40</f>
        <v>0</v>
      </c>
      <c r="AH40" s="68">
        <f>P40</f>
        <v>0</v>
      </c>
      <c r="AI40" s="68">
        <f>Q40</f>
        <v>0</v>
      </c>
      <c r="AK40" s="570">
        <f t="shared" si="80"/>
        <v>0</v>
      </c>
      <c r="AL40" s="570">
        <f t="shared" ref="AL40:AL42" si="89">ROUND(T40*(1+AL$1),2)</f>
        <v>15.23</v>
      </c>
      <c r="AM40" s="570">
        <f t="shared" si="9"/>
        <v>0</v>
      </c>
      <c r="AN40" s="570">
        <f t="shared" si="10"/>
        <v>0</v>
      </c>
      <c r="AO40" s="570">
        <f t="shared" si="64"/>
        <v>0</v>
      </c>
      <c r="AQ40" s="69">
        <f t="shared" si="11"/>
        <v>0</v>
      </c>
      <c r="AR40" s="69">
        <f t="shared" si="12"/>
        <v>33460.31</v>
      </c>
      <c r="AS40" s="69">
        <f t="shared" si="13"/>
        <v>0</v>
      </c>
      <c r="AT40" s="69">
        <f t="shared" si="14"/>
        <v>0</v>
      </c>
      <c r="AU40" s="69">
        <f t="shared" si="15"/>
        <v>0</v>
      </c>
      <c r="AV40" s="69">
        <f t="shared" si="65"/>
        <v>1076.5299999999988</v>
      </c>
      <c r="AW40" s="443">
        <f t="shared" si="75"/>
        <v>3.3242876526458583E-2</v>
      </c>
      <c r="AX40" s="434">
        <v>40</v>
      </c>
      <c r="AY40" s="567"/>
      <c r="AZ40" s="567">
        <v>15.04</v>
      </c>
      <c r="BA40" s="567"/>
      <c r="BB40" s="567"/>
      <c r="BC40" s="567"/>
      <c r="BD40" s="139"/>
      <c r="BE40" s="573">
        <f t="shared" si="66"/>
        <v>9.000000000000008E-2</v>
      </c>
      <c r="BF40" s="53"/>
      <c r="BG40" s="53">
        <f t="shared" si="79"/>
        <v>0.01</v>
      </c>
      <c r="BH40" s="53"/>
      <c r="BI40" s="53"/>
      <c r="BJ40" s="53"/>
      <c r="BM40" s="278">
        <f t="shared" si="67"/>
        <v>0</v>
      </c>
      <c r="BN40" s="278">
        <f t="shared" si="68"/>
        <v>15.459972999999998</v>
      </c>
      <c r="BO40" s="278">
        <f t="shared" si="76"/>
        <v>0</v>
      </c>
      <c r="BP40" s="278">
        <f t="shared" si="77"/>
        <v>0</v>
      </c>
      <c r="BQ40" s="278">
        <f t="shared" si="78"/>
        <v>0</v>
      </c>
      <c r="BS40" s="53">
        <f t="shared" si="70"/>
        <v>0</v>
      </c>
      <c r="BT40" s="53">
        <f t="shared" si="71"/>
        <v>0.41997299999999882</v>
      </c>
      <c r="BU40" s="53">
        <f t="shared" si="72"/>
        <v>0</v>
      </c>
      <c r="BV40" s="53">
        <f t="shared" si="73"/>
        <v>0</v>
      </c>
      <c r="BW40" s="53">
        <f t="shared" si="74"/>
        <v>0</v>
      </c>
    </row>
    <row r="41" spans="1:106">
      <c r="A41" s="632"/>
      <c r="B41" s="527">
        <v>2</v>
      </c>
      <c r="C41" s="71" t="s">
        <v>120</v>
      </c>
      <c r="D41" s="527" t="s">
        <v>589</v>
      </c>
      <c r="E41" s="549">
        <v>64</v>
      </c>
      <c r="F41" s="72"/>
      <c r="G41" s="72" t="str">
        <f t="shared" si="52"/>
        <v>042484L</v>
      </c>
      <c r="H41" s="46"/>
      <c r="I41" s="422" t="s">
        <v>698</v>
      </c>
      <c r="J41" s="562" t="s">
        <v>110</v>
      </c>
      <c r="K41" s="564" t="s">
        <v>132</v>
      </c>
      <c r="L41" s="566" t="s">
        <v>583</v>
      </c>
      <c r="M41" s="565">
        <f t="shared" si="81"/>
        <v>0</v>
      </c>
      <c r="N41" s="565">
        <f t="shared" si="81"/>
        <v>1100</v>
      </c>
      <c r="O41" s="565">
        <f t="shared" si="81"/>
        <v>0</v>
      </c>
      <c r="P41" s="565">
        <f t="shared" si="81"/>
        <v>0</v>
      </c>
      <c r="Q41" s="565">
        <f t="shared" si="81"/>
        <v>0</v>
      </c>
      <c r="R41" s="565">
        <f t="shared" si="56"/>
        <v>0</v>
      </c>
      <c r="S41" s="603">
        <v>0</v>
      </c>
      <c r="T41" s="633">
        <f>T40</f>
        <v>14.74</v>
      </c>
      <c r="U41" s="603">
        <v>0</v>
      </c>
      <c r="V41" s="603"/>
      <c r="W41" s="603"/>
      <c r="X41" s="562"/>
      <c r="Y41" s="69">
        <f>IF(AND(M41&lt;&gt;0,S41=0),#VALUE!,M41*S41)</f>
        <v>0</v>
      </c>
      <c r="Z41" s="69">
        <f>IF(AND(N41&lt;&gt;0,T41=0),#VALUE!,N41*T41)</f>
        <v>16214</v>
      </c>
      <c r="AA41" s="69">
        <f>IF(AND(O41&lt;&gt;0,U41=0),#VALUE!,O41*U41)</f>
        <v>0</v>
      </c>
      <c r="AB41" s="69">
        <f>IF(AND(P41&lt;&gt;0,V41=0),#VALUE!,P41*V41)</f>
        <v>0</v>
      </c>
      <c r="AC41" s="69">
        <f>IF(AND(Q41&lt;&gt;0,W41=0),#VALUE!,Q41*W41)</f>
        <v>0</v>
      </c>
      <c r="AD41" s="562"/>
      <c r="AE41" s="565">
        <f>SUMIF($G:$G,TEXT(AE$3,"000")&amp;TEXT($L41,"000"),$E:$E)</f>
        <v>0</v>
      </c>
      <c r="AF41" s="565">
        <f>SUMIF($G:$G,TEXT(AF$3,"000")&amp;TEXT($L41,"000"),$E:$E)</f>
        <v>1100</v>
      </c>
      <c r="AG41" s="565">
        <f>SUMIF($G:$G,TEXT(AG$3,"000")&amp;TEXT($L41,"000"),$E:$E)</f>
        <v>0</v>
      </c>
      <c r="AH41" s="565">
        <f>SUMIF($G:$G,TEXT(AH$3,"000")&amp;TEXT($L41,"000"),$E:$E)</f>
        <v>0</v>
      </c>
      <c r="AI41" s="565">
        <f>SUMIF($G:$G,TEXT(AI$3,"000")&amp;TEXT($L41,"000"),$E:$E)</f>
        <v>0</v>
      </c>
      <c r="AJ41" s="562"/>
      <c r="AK41" s="570">
        <f t="shared" si="80"/>
        <v>0</v>
      </c>
      <c r="AL41" s="570">
        <f>AL40</f>
        <v>15.23</v>
      </c>
      <c r="AM41" s="570">
        <f t="shared" si="9"/>
        <v>0</v>
      </c>
      <c r="AN41" s="570">
        <f t="shared" si="10"/>
        <v>0</v>
      </c>
      <c r="AO41" s="570">
        <f t="shared" si="64"/>
        <v>0</v>
      </c>
      <c r="AP41" s="562"/>
      <c r="AQ41" s="69">
        <f t="shared" si="11"/>
        <v>0</v>
      </c>
      <c r="AR41" s="69">
        <f t="shared" si="12"/>
        <v>16753</v>
      </c>
      <c r="AS41" s="69">
        <f t="shared" si="13"/>
        <v>0</v>
      </c>
      <c r="AT41" s="69">
        <f t="shared" si="14"/>
        <v>0</v>
      </c>
      <c r="AU41" s="69">
        <f t="shared" si="15"/>
        <v>0</v>
      </c>
      <c r="AV41" s="69">
        <f t="shared" si="65"/>
        <v>539</v>
      </c>
      <c r="AW41" s="443">
        <f t="shared" si="75"/>
        <v>3.3242876526458617E-2</v>
      </c>
      <c r="AX41" s="577">
        <v>26</v>
      </c>
      <c r="AY41" s="567"/>
      <c r="AZ41" s="567">
        <v>15.01</v>
      </c>
      <c r="BA41" s="567"/>
      <c r="BB41" s="567"/>
      <c r="BC41" s="567"/>
      <c r="BD41" s="567"/>
      <c r="BE41" s="573">
        <f>ROUND(AX41*$BE$2,2)+ROUND(AX41*$BE$1,2)</f>
        <v>0.06</v>
      </c>
      <c r="BF41" s="563"/>
      <c r="BG41" s="563">
        <f t="shared" si="79"/>
        <v>0.01</v>
      </c>
      <c r="BH41" s="563"/>
      <c r="BI41" s="563"/>
      <c r="BJ41" s="563"/>
      <c r="BK41" s="562"/>
      <c r="BL41" s="562"/>
      <c r="BM41" s="571">
        <f t="shared" si="67"/>
        <v>0</v>
      </c>
      <c r="BN41" s="571">
        <f t="shared" si="68"/>
        <v>15.459972999999998</v>
      </c>
      <c r="BO41" s="571">
        <f>AM41*$BM$1</f>
        <v>0</v>
      </c>
      <c r="BP41" s="571">
        <f>AN41*$BM$1</f>
        <v>0</v>
      </c>
      <c r="BQ41" s="571">
        <f>AO41*$BM$1</f>
        <v>0</v>
      </c>
      <c r="BR41" s="562"/>
      <c r="BS41" s="563">
        <f>BM41-AY41</f>
        <v>0</v>
      </c>
      <c r="BT41" s="563">
        <f>BN41-AZ41</f>
        <v>0.44997299999999818</v>
      </c>
      <c r="BU41" s="563">
        <f>BO41-BA41</f>
        <v>0</v>
      </c>
      <c r="BV41" s="563">
        <f>BP41-BB41</f>
        <v>0</v>
      </c>
      <c r="BW41" s="563">
        <f>BQ41-BC41</f>
        <v>0</v>
      </c>
      <c r="BX41" s="562"/>
      <c r="BY41" s="562"/>
      <c r="BZ41" s="562"/>
      <c r="CA41" s="562"/>
      <c r="CB41" s="562"/>
      <c r="CL41" s="580"/>
    </row>
    <row r="42" spans="1:106">
      <c r="B42" s="35">
        <v>2</v>
      </c>
      <c r="C42" s="71" t="s">
        <v>120</v>
      </c>
      <c r="D42" s="35">
        <v>531</v>
      </c>
      <c r="E42" s="547">
        <v>0</v>
      </c>
      <c r="F42" s="72"/>
      <c r="G42" s="72" t="str">
        <f t="shared" ref="G42:G69" si="90">IF(OR(ISBLANK(C42),ISBLANK(D42)),"",TEXT(C42,"000")&amp;TEXT(D42,"000"))</f>
        <v>042531</v>
      </c>
      <c r="H42" s="46"/>
      <c r="I42" t="s">
        <v>128</v>
      </c>
      <c r="J42" t="s">
        <v>824</v>
      </c>
      <c r="K42" s="58" t="s">
        <v>134</v>
      </c>
      <c r="L42" s="96">
        <v>435</v>
      </c>
      <c r="M42" s="68">
        <f t="shared" si="81"/>
        <v>0</v>
      </c>
      <c r="N42" s="68">
        <f t="shared" si="81"/>
        <v>795</v>
      </c>
      <c r="O42" s="68">
        <f t="shared" si="81"/>
        <v>17</v>
      </c>
      <c r="P42" s="68">
        <f t="shared" si="81"/>
        <v>0</v>
      </c>
      <c r="Q42" s="68">
        <f t="shared" si="81"/>
        <v>17</v>
      </c>
      <c r="R42" s="565">
        <f t="shared" si="56"/>
        <v>0</v>
      </c>
      <c r="S42" s="603">
        <v>0</v>
      </c>
      <c r="T42" s="603">
        <v>13.99</v>
      </c>
      <c r="U42" s="603">
        <v>7.5</v>
      </c>
      <c r="V42" s="603">
        <v>0</v>
      </c>
      <c r="W42" s="603">
        <v>5.01</v>
      </c>
      <c r="Y42" s="69">
        <f t="shared" si="57"/>
        <v>0</v>
      </c>
      <c r="Z42" s="69">
        <f t="shared" si="58"/>
        <v>11122.05</v>
      </c>
      <c r="AA42" s="69">
        <f t="shared" si="59"/>
        <v>127.5</v>
      </c>
      <c r="AB42" s="69">
        <f t="shared" si="60"/>
        <v>0</v>
      </c>
      <c r="AC42" s="69">
        <f t="shared" si="61"/>
        <v>85.17</v>
      </c>
      <c r="AE42" s="68">
        <f t="shared" si="62"/>
        <v>0</v>
      </c>
      <c r="AF42" s="68">
        <f>N42</f>
        <v>795</v>
      </c>
      <c r="AG42" s="68">
        <f>O42</f>
        <v>17</v>
      </c>
      <c r="AH42" s="68">
        <f>P42</f>
        <v>0</v>
      </c>
      <c r="AI42" s="68">
        <f>Q42</f>
        <v>17</v>
      </c>
      <c r="AK42" s="570">
        <f t="shared" si="80"/>
        <v>0</v>
      </c>
      <c r="AL42" s="570">
        <f t="shared" si="89"/>
        <v>14.46</v>
      </c>
      <c r="AM42" s="570">
        <f t="shared" si="9"/>
        <v>7.75</v>
      </c>
      <c r="AN42" s="570">
        <f t="shared" si="10"/>
        <v>0</v>
      </c>
      <c r="AO42" s="570">
        <f t="shared" si="64"/>
        <v>5.18</v>
      </c>
      <c r="AQ42" s="69">
        <f t="shared" si="11"/>
        <v>0</v>
      </c>
      <c r="AR42" s="69">
        <f t="shared" si="12"/>
        <v>11495.7</v>
      </c>
      <c r="AS42" s="69">
        <f t="shared" si="13"/>
        <v>131.75</v>
      </c>
      <c r="AT42" s="69">
        <f t="shared" si="14"/>
        <v>0</v>
      </c>
      <c r="AU42" s="69">
        <f t="shared" si="15"/>
        <v>88.06</v>
      </c>
      <c r="AV42" s="69">
        <f t="shared" si="65"/>
        <v>373.65000000000146</v>
      </c>
      <c r="AW42" s="443">
        <f t="shared" si="75"/>
        <v>3.3595425303788555E-2</v>
      </c>
      <c r="AX42" s="434">
        <v>40</v>
      </c>
      <c r="AY42" s="567"/>
      <c r="AZ42" s="567">
        <v>14.28</v>
      </c>
      <c r="BA42" s="567">
        <v>7.69</v>
      </c>
      <c r="BB42" s="567"/>
      <c r="BC42" s="567">
        <v>5.17</v>
      </c>
      <c r="BD42" s="139"/>
      <c r="BE42" s="573">
        <f t="shared" si="66"/>
        <v>9.000000000000008E-2</v>
      </c>
      <c r="BF42" s="53"/>
      <c r="BG42" s="53">
        <f t="shared" si="79"/>
        <v>0.01</v>
      </c>
      <c r="BH42" s="53">
        <f>ROUND((U42*$BF$2)+$BE42-BA42,2)</f>
        <v>0.01</v>
      </c>
      <c r="BI42" s="53"/>
      <c r="BJ42" s="53">
        <f>ROUND((W42*$BF$2)+$BE42-BC42,2)</f>
        <v>0.01</v>
      </c>
      <c r="BM42" s="278">
        <f t="shared" si="67"/>
        <v>0</v>
      </c>
      <c r="BN42" s="278">
        <f t="shared" si="68"/>
        <v>14.678345999999999</v>
      </c>
      <c r="BO42" s="278">
        <f t="shared" si="76"/>
        <v>7.867024999999999</v>
      </c>
      <c r="BP42" s="278">
        <f t="shared" si="77"/>
        <v>0</v>
      </c>
      <c r="BQ42" s="278">
        <f t="shared" si="78"/>
        <v>5.2582179999999994</v>
      </c>
      <c r="BS42" s="53">
        <f t="shared" si="70"/>
        <v>0</v>
      </c>
      <c r="BT42" s="53">
        <f t="shared" si="71"/>
        <v>0.39834600000000009</v>
      </c>
      <c r="BU42" s="53">
        <f t="shared" si="72"/>
        <v>0.17702499999999866</v>
      </c>
      <c r="BV42" s="53">
        <f t="shared" si="73"/>
        <v>0</v>
      </c>
      <c r="BW42" s="53">
        <f t="shared" si="74"/>
        <v>8.8217999999999464E-2</v>
      </c>
    </row>
    <row r="43" spans="1:106">
      <c r="A43" s="632"/>
      <c r="B43" s="527">
        <v>2</v>
      </c>
      <c r="C43" s="71" t="s">
        <v>120</v>
      </c>
      <c r="D43" s="527" t="s">
        <v>594</v>
      </c>
      <c r="E43" s="549">
        <v>0</v>
      </c>
      <c r="F43" s="72"/>
      <c r="G43" s="72" t="str">
        <f t="shared" si="90"/>
        <v>042531L</v>
      </c>
      <c r="H43" s="46"/>
      <c r="I43" s="422" t="s">
        <v>698</v>
      </c>
      <c r="J43" s="671" t="s">
        <v>824</v>
      </c>
      <c r="K43" s="564" t="s">
        <v>132</v>
      </c>
      <c r="L43" s="566" t="s">
        <v>584</v>
      </c>
      <c r="M43" s="565">
        <f t="shared" ref="M43:Q52" si="91">SUMIF($G:$G,TEXT(M$3,"000")&amp;TEXT($L43,"000"),$E:$E)</f>
        <v>0</v>
      </c>
      <c r="N43" s="565">
        <f t="shared" si="91"/>
        <v>7904</v>
      </c>
      <c r="O43" s="565">
        <f t="shared" si="91"/>
        <v>0</v>
      </c>
      <c r="P43" s="565">
        <f t="shared" si="91"/>
        <v>0</v>
      </c>
      <c r="Q43" s="565">
        <f t="shared" si="91"/>
        <v>0</v>
      </c>
      <c r="R43" s="565">
        <f t="shared" si="56"/>
        <v>0</v>
      </c>
      <c r="S43" s="603">
        <v>0</v>
      </c>
      <c r="T43" s="633">
        <f>T42</f>
        <v>13.99</v>
      </c>
      <c r="U43" s="603">
        <v>0</v>
      </c>
      <c r="V43" s="603"/>
      <c r="W43" s="603"/>
      <c r="X43" s="562"/>
      <c r="Y43" s="69">
        <f t="shared" ref="Y43:AC44" si="92">IF(AND(M43&lt;&gt;0,S43=0),#VALUE!,M43*S43)</f>
        <v>0</v>
      </c>
      <c r="Z43" s="69">
        <f t="shared" si="92"/>
        <v>110576.96000000001</v>
      </c>
      <c r="AA43" s="69">
        <f t="shared" si="92"/>
        <v>0</v>
      </c>
      <c r="AB43" s="69">
        <f t="shared" si="92"/>
        <v>0</v>
      </c>
      <c r="AC43" s="69">
        <f t="shared" si="92"/>
        <v>0</v>
      </c>
      <c r="AD43" s="562"/>
      <c r="AE43" s="565">
        <f>SUMIF($G:$G,TEXT(AE$3,"000")&amp;TEXT($L43,"000"),$E:$E)</f>
        <v>0</v>
      </c>
      <c r="AF43" s="565">
        <f>SUMIF($G:$G,TEXT(AF$3,"000")&amp;TEXT($L43,"000"),$E:$E)</f>
        <v>7904</v>
      </c>
      <c r="AG43" s="565">
        <f>SUMIF($G:$G,TEXT(AG$3,"000")&amp;TEXT($L43,"000"),$E:$E)</f>
        <v>0</v>
      </c>
      <c r="AH43" s="565">
        <f>SUMIF($G:$G,TEXT(AH$3,"000")&amp;TEXT($L43,"000"),$E:$E)</f>
        <v>0</v>
      </c>
      <c r="AI43" s="565">
        <f>SUMIF($G:$G,TEXT(AI$3,"000")&amp;TEXT($L43,"000"),$E:$E)</f>
        <v>0</v>
      </c>
      <c r="AJ43" s="562"/>
      <c r="AK43" s="570">
        <f t="shared" si="80"/>
        <v>0</v>
      </c>
      <c r="AL43" s="570">
        <f>AL42</f>
        <v>14.46</v>
      </c>
      <c r="AM43" s="570">
        <f t="shared" si="9"/>
        <v>0</v>
      </c>
      <c r="AN43" s="570">
        <f t="shared" si="10"/>
        <v>0</v>
      </c>
      <c r="AO43" s="570">
        <f t="shared" si="64"/>
        <v>0</v>
      </c>
      <c r="AP43" s="562"/>
      <c r="AQ43" s="69">
        <f t="shared" si="11"/>
        <v>0</v>
      </c>
      <c r="AR43" s="69">
        <f t="shared" si="12"/>
        <v>114291.84000000001</v>
      </c>
      <c r="AS43" s="69">
        <f t="shared" si="13"/>
        <v>0</v>
      </c>
      <c r="AT43" s="69">
        <f t="shared" si="14"/>
        <v>0</v>
      </c>
      <c r="AU43" s="69">
        <f t="shared" si="15"/>
        <v>0</v>
      </c>
      <c r="AV43" s="69">
        <f t="shared" si="65"/>
        <v>3714.8800000000047</v>
      </c>
      <c r="AW43" s="443">
        <f t="shared" si="75"/>
        <v>3.3595425303788458E-2</v>
      </c>
      <c r="AX43" s="577">
        <v>26</v>
      </c>
      <c r="AY43" s="567"/>
      <c r="AZ43" s="567">
        <v>14.25</v>
      </c>
      <c r="BA43" s="567"/>
      <c r="BB43" s="567"/>
      <c r="BC43" s="567"/>
      <c r="BD43" s="567"/>
      <c r="BE43" s="573">
        <f>ROUND(AX43*$BE$2,2)+ROUND(AX43*$BE$1,2)</f>
        <v>0.06</v>
      </c>
      <c r="BF43" s="563"/>
      <c r="BG43" s="563">
        <f t="shared" si="79"/>
        <v>0.01</v>
      </c>
      <c r="BH43" s="563"/>
      <c r="BI43" s="563"/>
      <c r="BJ43" s="563"/>
      <c r="BK43" s="562"/>
      <c r="BL43" s="562"/>
      <c r="BM43" s="571">
        <f t="shared" si="67"/>
        <v>0</v>
      </c>
      <c r="BN43" s="571">
        <f t="shared" si="68"/>
        <v>14.678345999999999</v>
      </c>
      <c r="BO43" s="571">
        <f t="shared" ref="BO43:BQ44" si="93">AM43*$BM$1</f>
        <v>0</v>
      </c>
      <c r="BP43" s="571">
        <f t="shared" si="93"/>
        <v>0</v>
      </c>
      <c r="BQ43" s="571">
        <f t="shared" si="93"/>
        <v>0</v>
      </c>
      <c r="BR43" s="562"/>
      <c r="BS43" s="563">
        <f t="shared" ref="BS43:BW44" si="94">BM43-AY43</f>
        <v>0</v>
      </c>
      <c r="BT43" s="563">
        <f t="shared" si="94"/>
        <v>0.42834599999999945</v>
      </c>
      <c r="BU43" s="563">
        <f t="shared" si="94"/>
        <v>0</v>
      </c>
      <c r="BV43" s="563">
        <f t="shared" si="94"/>
        <v>0</v>
      </c>
      <c r="BW43" s="563">
        <f t="shared" si="94"/>
        <v>0</v>
      </c>
      <c r="BX43" s="562"/>
      <c r="BY43" s="562"/>
      <c r="BZ43" s="562"/>
      <c r="CA43" s="562"/>
      <c r="CB43" s="562"/>
    </row>
    <row r="44" spans="1:106">
      <c r="A44" s="597"/>
      <c r="B44" s="527">
        <v>2</v>
      </c>
      <c r="C44" s="71" t="s">
        <v>120</v>
      </c>
      <c r="D44" s="527" t="s">
        <v>695</v>
      </c>
      <c r="E44" s="549">
        <v>0</v>
      </c>
      <c r="F44" s="72"/>
      <c r="G44" s="72" t="str">
        <f t="shared" si="90"/>
        <v>042531T</v>
      </c>
      <c r="H44" s="46"/>
      <c r="I44" s="631" t="s">
        <v>698</v>
      </c>
      <c r="J44" s="671" t="s">
        <v>824</v>
      </c>
      <c r="K44" s="564" t="s">
        <v>132</v>
      </c>
      <c r="L44" s="566" t="s">
        <v>693</v>
      </c>
      <c r="M44" s="565">
        <f t="shared" si="91"/>
        <v>0</v>
      </c>
      <c r="N44" s="565">
        <f t="shared" si="91"/>
        <v>3703</v>
      </c>
      <c r="O44" s="565">
        <f t="shared" si="91"/>
        <v>0</v>
      </c>
      <c r="P44" s="565">
        <f t="shared" si="91"/>
        <v>0</v>
      </c>
      <c r="Q44" s="565">
        <f t="shared" si="91"/>
        <v>0</v>
      </c>
      <c r="R44" s="565">
        <f t="shared" si="56"/>
        <v>0</v>
      </c>
      <c r="S44" s="603">
        <v>0</v>
      </c>
      <c r="T44" s="633">
        <f>T42-T94</f>
        <v>8.76</v>
      </c>
      <c r="U44" s="603"/>
      <c r="V44" s="603">
        <v>0</v>
      </c>
      <c r="W44" s="603"/>
      <c r="X44" s="631"/>
      <c r="Y44" s="69">
        <f t="shared" si="92"/>
        <v>0</v>
      </c>
      <c r="Z44" s="69">
        <f t="shared" si="92"/>
        <v>32438.28</v>
      </c>
      <c r="AA44" s="69">
        <f t="shared" si="92"/>
        <v>0</v>
      </c>
      <c r="AB44" s="69">
        <f t="shared" si="92"/>
        <v>0</v>
      </c>
      <c r="AC44" s="69">
        <f t="shared" si="92"/>
        <v>0</v>
      </c>
      <c r="AD44" s="631"/>
      <c r="AE44" s="565">
        <f>M44</f>
        <v>0</v>
      </c>
      <c r="AF44" s="565">
        <f>N44</f>
        <v>3703</v>
      </c>
      <c r="AG44" s="565">
        <f>O44</f>
        <v>0</v>
      </c>
      <c r="AH44" s="565">
        <f>P44</f>
        <v>0</v>
      </c>
      <c r="AI44" s="565">
        <f>Q44</f>
        <v>0</v>
      </c>
      <c r="AJ44" s="631"/>
      <c r="AK44" s="570">
        <f t="shared" si="80"/>
        <v>0</v>
      </c>
      <c r="AL44" s="570">
        <f>AL43-AL94</f>
        <v>9.23</v>
      </c>
      <c r="AM44" s="570">
        <f t="shared" si="9"/>
        <v>0</v>
      </c>
      <c r="AN44" s="570">
        <f t="shared" si="10"/>
        <v>0</v>
      </c>
      <c r="AO44" s="570">
        <f t="shared" si="64"/>
        <v>0</v>
      </c>
      <c r="AP44" s="631"/>
      <c r="AQ44" s="69">
        <f t="shared" si="11"/>
        <v>0</v>
      </c>
      <c r="AR44" s="69">
        <f t="shared" si="12"/>
        <v>34178.69</v>
      </c>
      <c r="AS44" s="69">
        <f t="shared" si="13"/>
        <v>0</v>
      </c>
      <c r="AT44" s="69">
        <f t="shared" si="14"/>
        <v>0</v>
      </c>
      <c r="AU44" s="69">
        <f t="shared" si="15"/>
        <v>0</v>
      </c>
      <c r="AV44" s="69">
        <f t="shared" si="65"/>
        <v>1740.4100000000035</v>
      </c>
      <c r="AW44" s="443">
        <f t="shared" si="75"/>
        <v>5.3652968036529788E-2</v>
      </c>
      <c r="AX44" s="577">
        <v>26</v>
      </c>
      <c r="AY44" s="567"/>
      <c r="AZ44" s="567">
        <v>8.94</v>
      </c>
      <c r="BA44" s="567"/>
      <c r="BB44" s="567"/>
      <c r="BC44" s="567"/>
      <c r="BD44" s="567"/>
      <c r="BE44" s="573">
        <f>ROUND(AX44*$BE$2,2)+ROUND(AX44*$BE$1,2)</f>
        <v>0.06</v>
      </c>
      <c r="BF44" s="563"/>
      <c r="BG44" s="563">
        <f t="shared" si="79"/>
        <v>0.01</v>
      </c>
      <c r="BH44" s="563"/>
      <c r="BI44" s="563"/>
      <c r="BJ44" s="563"/>
      <c r="BK44" s="631"/>
      <c r="BL44" s="631"/>
      <c r="BM44" s="571">
        <f t="shared" si="67"/>
        <v>0</v>
      </c>
      <c r="BN44" s="571">
        <f t="shared" si="68"/>
        <v>9.3693729999999995</v>
      </c>
      <c r="BO44" s="571">
        <f t="shared" si="93"/>
        <v>0</v>
      </c>
      <c r="BP44" s="571">
        <f t="shared" si="93"/>
        <v>0</v>
      </c>
      <c r="BQ44" s="571">
        <f t="shared" si="93"/>
        <v>0</v>
      </c>
      <c r="BR44" s="631"/>
      <c r="BS44" s="563">
        <f t="shared" si="94"/>
        <v>0</v>
      </c>
      <c r="BT44" s="563">
        <f t="shared" si="94"/>
        <v>0.429373</v>
      </c>
      <c r="BU44" s="563">
        <f t="shared" si="94"/>
        <v>0</v>
      </c>
      <c r="BV44" s="563">
        <f t="shared" si="94"/>
        <v>0</v>
      </c>
      <c r="BW44" s="563">
        <f t="shared" si="94"/>
        <v>0</v>
      </c>
      <c r="BX44" s="631"/>
      <c r="BY44" s="631"/>
      <c r="BZ44" s="631"/>
      <c r="CA44" s="631"/>
      <c r="CB44" s="631"/>
      <c r="CC44" s="631"/>
      <c r="CD44" s="631"/>
      <c r="CE44" s="631"/>
      <c r="CF44" s="631"/>
      <c r="CG44" s="631"/>
      <c r="CH44" s="631"/>
    </row>
    <row r="45" spans="1:106">
      <c r="B45" s="35">
        <v>2</v>
      </c>
      <c r="C45" s="71" t="s">
        <v>120</v>
      </c>
      <c r="D45" s="35">
        <v>532</v>
      </c>
      <c r="E45" s="547">
        <v>109</v>
      </c>
      <c r="F45" s="72"/>
      <c r="G45" s="72" t="str">
        <f t="shared" si="90"/>
        <v>042532</v>
      </c>
      <c r="H45" s="46"/>
      <c r="I45" t="s">
        <v>128</v>
      </c>
      <c r="J45" t="s">
        <v>136</v>
      </c>
      <c r="K45" s="58" t="s">
        <v>134</v>
      </c>
      <c r="L45" s="96">
        <v>436</v>
      </c>
      <c r="M45" s="68">
        <f t="shared" si="91"/>
        <v>0</v>
      </c>
      <c r="N45" s="68">
        <f t="shared" si="91"/>
        <v>22</v>
      </c>
      <c r="O45" s="68">
        <f t="shared" si="91"/>
        <v>0</v>
      </c>
      <c r="P45" s="68">
        <f t="shared" si="91"/>
        <v>0</v>
      </c>
      <c r="Q45" s="68">
        <f t="shared" si="91"/>
        <v>0</v>
      </c>
      <c r="R45" s="565">
        <f t="shared" si="56"/>
        <v>0</v>
      </c>
      <c r="S45" s="603">
        <v>0</v>
      </c>
      <c r="T45" s="603">
        <v>15.86</v>
      </c>
      <c r="U45" s="603">
        <v>0</v>
      </c>
      <c r="V45" s="603">
        <v>0</v>
      </c>
      <c r="W45" s="603">
        <v>0</v>
      </c>
      <c r="Y45" s="69">
        <f t="shared" si="57"/>
        <v>0</v>
      </c>
      <c r="Z45" s="69">
        <f t="shared" si="58"/>
        <v>348.91999999999996</v>
      </c>
      <c r="AA45" s="69">
        <f t="shared" si="59"/>
        <v>0</v>
      </c>
      <c r="AB45" s="69">
        <f t="shared" si="60"/>
        <v>0</v>
      </c>
      <c r="AC45" s="69">
        <f t="shared" si="61"/>
        <v>0</v>
      </c>
      <c r="AE45" s="68">
        <f t="shared" si="62"/>
        <v>0</v>
      </c>
      <c r="AF45" s="68">
        <f>N45</f>
        <v>22</v>
      </c>
      <c r="AG45" s="68">
        <f>O45</f>
        <v>0</v>
      </c>
      <c r="AH45" s="68">
        <f>P45</f>
        <v>0</v>
      </c>
      <c r="AI45" s="68">
        <f>Q45</f>
        <v>0</v>
      </c>
      <c r="AK45" s="570">
        <f t="shared" si="80"/>
        <v>0</v>
      </c>
      <c r="AL45" s="570">
        <f t="shared" si="80"/>
        <v>16.39</v>
      </c>
      <c r="AM45" s="570">
        <f t="shared" si="9"/>
        <v>0</v>
      </c>
      <c r="AN45" s="570">
        <f t="shared" si="10"/>
        <v>0</v>
      </c>
      <c r="AO45" s="570">
        <f t="shared" si="64"/>
        <v>0</v>
      </c>
      <c r="AQ45" s="69">
        <f t="shared" si="11"/>
        <v>0</v>
      </c>
      <c r="AR45" s="69">
        <f t="shared" si="12"/>
        <v>360.58000000000004</v>
      </c>
      <c r="AS45" s="69">
        <f t="shared" si="13"/>
        <v>0</v>
      </c>
      <c r="AT45" s="69">
        <f t="shared" si="14"/>
        <v>0</v>
      </c>
      <c r="AU45" s="69">
        <f t="shared" si="15"/>
        <v>0</v>
      </c>
      <c r="AV45" s="69">
        <f t="shared" si="65"/>
        <v>11.660000000000082</v>
      </c>
      <c r="AW45" s="443">
        <f t="shared" si="75"/>
        <v>3.3417402269861528E-2</v>
      </c>
      <c r="AX45" s="434">
        <v>40</v>
      </c>
      <c r="AY45" s="567"/>
      <c r="AZ45" s="567">
        <v>16.18</v>
      </c>
      <c r="BA45" s="567"/>
      <c r="BB45" s="567"/>
      <c r="BC45" s="567"/>
      <c r="BD45" s="139"/>
      <c r="BE45" s="573">
        <f t="shared" si="66"/>
        <v>9.000000000000008E-2</v>
      </c>
      <c r="BF45" s="53"/>
      <c r="BG45" s="53">
        <f t="shared" si="79"/>
        <v>0.01</v>
      </c>
      <c r="BH45" s="53"/>
      <c r="BI45" s="53"/>
      <c r="BJ45" s="53"/>
      <c r="BM45" s="278">
        <f t="shared" si="67"/>
        <v>0</v>
      </c>
      <c r="BN45" s="278">
        <f t="shared" si="68"/>
        <v>16.637488999999999</v>
      </c>
      <c r="BO45" s="278">
        <f t="shared" si="76"/>
        <v>0</v>
      </c>
      <c r="BP45" s="278">
        <f t="shared" si="77"/>
        <v>0</v>
      </c>
      <c r="BQ45" s="278">
        <f t="shared" si="78"/>
        <v>0</v>
      </c>
      <c r="BS45" s="53">
        <f t="shared" si="70"/>
        <v>0</v>
      </c>
      <c r="BT45" s="53">
        <f t="shared" si="71"/>
        <v>0.45748899999999892</v>
      </c>
      <c r="BU45" s="53">
        <f t="shared" si="72"/>
        <v>0</v>
      </c>
      <c r="BV45" s="53">
        <f t="shared" si="73"/>
        <v>0</v>
      </c>
      <c r="BW45" s="53">
        <f t="shared" si="74"/>
        <v>0</v>
      </c>
    </row>
    <row r="46" spans="1:106">
      <c r="A46" s="632"/>
      <c r="B46" s="527">
        <v>2</v>
      </c>
      <c r="C46" s="71" t="s">
        <v>120</v>
      </c>
      <c r="D46" s="527" t="s">
        <v>595</v>
      </c>
      <c r="E46" s="549">
        <v>705</v>
      </c>
      <c r="F46" s="72"/>
      <c r="G46" s="72" t="str">
        <f t="shared" si="90"/>
        <v>042532L</v>
      </c>
      <c r="H46" s="46"/>
      <c r="I46" s="422" t="s">
        <v>698</v>
      </c>
      <c r="J46" s="562" t="s">
        <v>136</v>
      </c>
      <c r="K46" s="564" t="s">
        <v>132</v>
      </c>
      <c r="L46" s="566" t="s">
        <v>585</v>
      </c>
      <c r="M46" s="565">
        <f t="shared" si="91"/>
        <v>0</v>
      </c>
      <c r="N46" s="565">
        <f t="shared" si="91"/>
        <v>80</v>
      </c>
      <c r="O46" s="565">
        <f t="shared" si="91"/>
        <v>0</v>
      </c>
      <c r="P46" s="565">
        <f t="shared" si="91"/>
        <v>0</v>
      </c>
      <c r="Q46" s="565">
        <f t="shared" si="91"/>
        <v>0</v>
      </c>
      <c r="R46" s="565">
        <f t="shared" si="56"/>
        <v>0</v>
      </c>
      <c r="S46" s="603">
        <v>0</v>
      </c>
      <c r="T46" s="633">
        <f>T45</f>
        <v>15.86</v>
      </c>
      <c r="U46" s="603">
        <v>0</v>
      </c>
      <c r="V46" s="603"/>
      <c r="W46" s="603"/>
      <c r="X46" s="562"/>
      <c r="Y46" s="69">
        <f t="shared" ref="Y46:AC47" si="95">IF(AND(M46&lt;&gt;0,S46=0),#VALUE!,M46*S46)</f>
        <v>0</v>
      </c>
      <c r="Z46" s="69">
        <f t="shared" si="95"/>
        <v>1268.8</v>
      </c>
      <c r="AA46" s="69">
        <f t="shared" si="95"/>
        <v>0</v>
      </c>
      <c r="AB46" s="69">
        <f t="shared" si="95"/>
        <v>0</v>
      </c>
      <c r="AC46" s="69">
        <f t="shared" si="95"/>
        <v>0</v>
      </c>
      <c r="AD46" s="562"/>
      <c r="AE46" s="565">
        <f>SUMIF($G:$G,TEXT(AE$3,"000")&amp;TEXT($L46,"000"),$E:$E)</f>
        <v>0</v>
      </c>
      <c r="AF46" s="565">
        <f>SUMIF($G:$G,TEXT(AF$3,"000")&amp;TEXT($L46,"000"),$E:$E)</f>
        <v>80</v>
      </c>
      <c r="AG46" s="565">
        <f>SUMIF($G:$G,TEXT(AG$3,"000")&amp;TEXT($L46,"000"),$E:$E)</f>
        <v>0</v>
      </c>
      <c r="AH46" s="565">
        <f>SUMIF($G:$G,TEXT(AH$3,"000")&amp;TEXT($L46,"000"),$E:$E)</f>
        <v>0</v>
      </c>
      <c r="AI46" s="565">
        <f>SUMIF($G:$G,TEXT(AI$3,"000")&amp;TEXT($L46,"000"),$E:$E)</f>
        <v>0</v>
      </c>
      <c r="AJ46" s="562"/>
      <c r="AK46" s="570">
        <f t="shared" si="80"/>
        <v>0</v>
      </c>
      <c r="AL46" s="570">
        <f>AL45</f>
        <v>16.39</v>
      </c>
      <c r="AM46" s="570">
        <f t="shared" si="9"/>
        <v>0</v>
      </c>
      <c r="AN46" s="570">
        <f t="shared" si="10"/>
        <v>0</v>
      </c>
      <c r="AO46" s="570">
        <f t="shared" si="64"/>
        <v>0</v>
      </c>
      <c r="AP46" s="562"/>
      <c r="AQ46" s="69">
        <f t="shared" si="11"/>
        <v>0</v>
      </c>
      <c r="AR46" s="69">
        <f t="shared" si="12"/>
        <v>1311.2</v>
      </c>
      <c r="AS46" s="69">
        <f t="shared" si="13"/>
        <v>0</v>
      </c>
      <c r="AT46" s="69">
        <f t="shared" si="14"/>
        <v>0</v>
      </c>
      <c r="AU46" s="69">
        <f t="shared" si="15"/>
        <v>0</v>
      </c>
      <c r="AV46" s="69">
        <f t="shared" si="65"/>
        <v>42.400000000000091</v>
      </c>
      <c r="AW46" s="443">
        <f t="shared" si="75"/>
        <v>3.3417402269861361E-2</v>
      </c>
      <c r="AX46" s="577">
        <v>26</v>
      </c>
      <c r="AY46" s="567"/>
      <c r="AZ46" s="567">
        <v>16.149999999999999</v>
      </c>
      <c r="BA46" s="567"/>
      <c r="BB46" s="567"/>
      <c r="BC46" s="567"/>
      <c r="BD46" s="567"/>
      <c r="BE46" s="573">
        <f>ROUND(AX46*$BE$2,2)+ROUND(AX46*$BE$1,2)</f>
        <v>0.06</v>
      </c>
      <c r="BF46" s="563"/>
      <c r="BG46" s="563">
        <f t="shared" si="79"/>
        <v>0.01</v>
      </c>
      <c r="BH46" s="563"/>
      <c r="BI46" s="563"/>
      <c r="BJ46" s="563"/>
      <c r="BK46" s="562"/>
      <c r="BL46" s="562"/>
      <c r="BM46" s="571">
        <f t="shared" si="67"/>
        <v>0</v>
      </c>
      <c r="BN46" s="571">
        <f t="shared" si="68"/>
        <v>16.637488999999999</v>
      </c>
      <c r="BO46" s="571">
        <f t="shared" ref="BO46:BQ47" si="96">AM46*$BM$1</f>
        <v>0</v>
      </c>
      <c r="BP46" s="571">
        <f t="shared" si="96"/>
        <v>0</v>
      </c>
      <c r="BQ46" s="571">
        <f t="shared" si="96"/>
        <v>0</v>
      </c>
      <c r="BR46" s="562"/>
      <c r="BS46" s="563">
        <f t="shared" ref="BS46:BW47" si="97">BM46-AY46</f>
        <v>0</v>
      </c>
      <c r="BT46" s="563">
        <f t="shared" si="97"/>
        <v>0.48748900000000006</v>
      </c>
      <c r="BU46" s="563">
        <f t="shared" si="97"/>
        <v>0</v>
      </c>
      <c r="BV46" s="563">
        <f t="shared" si="97"/>
        <v>0</v>
      </c>
      <c r="BW46" s="563">
        <f t="shared" si="97"/>
        <v>0</v>
      </c>
      <c r="BX46" s="562"/>
      <c r="BY46" s="562"/>
      <c r="BZ46" s="562"/>
      <c r="CA46" s="562"/>
      <c r="CB46" s="562"/>
      <c r="CK46" s="580"/>
      <c r="CX46" s="632"/>
      <c r="CY46" s="632"/>
      <c r="CZ46" s="632"/>
      <c r="DA46" s="632"/>
      <c r="DB46" s="632"/>
    </row>
    <row r="47" spans="1:106">
      <c r="A47" s="597"/>
      <c r="B47" s="527">
        <v>2</v>
      </c>
      <c r="C47" s="71" t="s">
        <v>120</v>
      </c>
      <c r="D47" s="527" t="s">
        <v>696</v>
      </c>
      <c r="E47" s="549">
        <v>152</v>
      </c>
      <c r="F47" s="72"/>
      <c r="G47" s="72" t="str">
        <f t="shared" si="90"/>
        <v>042532T</v>
      </c>
      <c r="H47" s="46"/>
      <c r="I47" s="631" t="s">
        <v>698</v>
      </c>
      <c r="J47" s="631" t="s">
        <v>136</v>
      </c>
      <c r="K47" s="564" t="s">
        <v>132</v>
      </c>
      <c r="L47" s="566" t="s">
        <v>694</v>
      </c>
      <c r="M47" s="565">
        <f t="shared" si="91"/>
        <v>0</v>
      </c>
      <c r="N47" s="565">
        <f t="shared" si="91"/>
        <v>271</v>
      </c>
      <c r="O47" s="565">
        <f t="shared" si="91"/>
        <v>0</v>
      </c>
      <c r="P47" s="565">
        <f t="shared" si="91"/>
        <v>0</v>
      </c>
      <c r="Q47" s="565">
        <f t="shared" si="91"/>
        <v>0</v>
      </c>
      <c r="R47" s="565">
        <f t="shared" si="56"/>
        <v>0</v>
      </c>
      <c r="S47" s="603">
        <v>0</v>
      </c>
      <c r="T47" s="633">
        <f>T45-T94</f>
        <v>10.629999999999999</v>
      </c>
      <c r="U47" s="603">
        <v>0</v>
      </c>
      <c r="V47" s="603">
        <v>0</v>
      </c>
      <c r="W47" s="603">
        <v>0</v>
      </c>
      <c r="X47" s="631"/>
      <c r="Y47" s="69">
        <f t="shared" si="95"/>
        <v>0</v>
      </c>
      <c r="Z47" s="69">
        <f t="shared" si="95"/>
        <v>2880.7299999999996</v>
      </c>
      <c r="AA47" s="69">
        <f t="shared" si="95"/>
        <v>0</v>
      </c>
      <c r="AB47" s="69">
        <f t="shared" si="95"/>
        <v>0</v>
      </c>
      <c r="AC47" s="69">
        <f t="shared" si="95"/>
        <v>0</v>
      </c>
      <c r="AD47" s="631"/>
      <c r="AE47" s="565">
        <f>M47</f>
        <v>0</v>
      </c>
      <c r="AF47" s="565">
        <f>N47</f>
        <v>271</v>
      </c>
      <c r="AG47" s="565">
        <f>O47</f>
        <v>0</v>
      </c>
      <c r="AH47" s="565">
        <f>P47</f>
        <v>0</v>
      </c>
      <c r="AI47" s="565">
        <f>Q47</f>
        <v>0</v>
      </c>
      <c r="AJ47" s="631"/>
      <c r="AK47" s="570">
        <f t="shared" si="80"/>
        <v>0</v>
      </c>
      <c r="AL47" s="570">
        <f>AL46-AL94</f>
        <v>11.16</v>
      </c>
      <c r="AM47" s="570">
        <f t="shared" si="9"/>
        <v>0</v>
      </c>
      <c r="AN47" s="570">
        <f t="shared" si="10"/>
        <v>0</v>
      </c>
      <c r="AO47" s="570">
        <f t="shared" si="64"/>
        <v>0</v>
      </c>
      <c r="AP47" s="631"/>
      <c r="AQ47" s="69">
        <f t="shared" si="11"/>
        <v>0</v>
      </c>
      <c r="AR47" s="69">
        <f t="shared" si="12"/>
        <v>3024.36</v>
      </c>
      <c r="AS47" s="69">
        <f t="shared" si="13"/>
        <v>0</v>
      </c>
      <c r="AT47" s="69">
        <f t="shared" si="14"/>
        <v>0</v>
      </c>
      <c r="AU47" s="69">
        <f t="shared" si="15"/>
        <v>0</v>
      </c>
      <c r="AV47" s="69">
        <f t="shared" si="65"/>
        <v>143.63000000000056</v>
      </c>
      <c r="AW47" s="443">
        <f t="shared" si="75"/>
        <v>4.9858889934148838E-2</v>
      </c>
      <c r="AX47" s="577">
        <v>26</v>
      </c>
      <c r="AY47" s="567"/>
      <c r="AZ47" s="567">
        <v>10.84</v>
      </c>
      <c r="BA47" s="567"/>
      <c r="BB47" s="567"/>
      <c r="BC47" s="567"/>
      <c r="BD47" s="567"/>
      <c r="BE47" s="573">
        <f>ROUND(AX47*$BE$2,2)+ROUND(AX47*$BE$1,2)</f>
        <v>0.06</v>
      </c>
      <c r="BF47" s="563"/>
      <c r="BG47" s="563">
        <f t="shared" si="79"/>
        <v>0.01</v>
      </c>
      <c r="BH47" s="563"/>
      <c r="BI47" s="563"/>
      <c r="BJ47" s="563"/>
      <c r="BK47" s="631"/>
      <c r="BL47" s="631"/>
      <c r="BM47" s="571">
        <f t="shared" si="67"/>
        <v>0</v>
      </c>
      <c r="BN47" s="571">
        <f t="shared" si="68"/>
        <v>11.328515999999999</v>
      </c>
      <c r="BO47" s="571">
        <f t="shared" si="96"/>
        <v>0</v>
      </c>
      <c r="BP47" s="571">
        <f t="shared" si="96"/>
        <v>0</v>
      </c>
      <c r="BQ47" s="571">
        <f t="shared" si="96"/>
        <v>0</v>
      </c>
      <c r="BR47" s="631"/>
      <c r="BS47" s="563">
        <f t="shared" si="97"/>
        <v>0</v>
      </c>
      <c r="BT47" s="563">
        <f t="shared" si="97"/>
        <v>0.48851599999999884</v>
      </c>
      <c r="BU47" s="563">
        <f t="shared" si="97"/>
        <v>0</v>
      </c>
      <c r="BV47" s="563">
        <f t="shared" si="97"/>
        <v>0</v>
      </c>
      <c r="BW47" s="563">
        <f t="shared" si="97"/>
        <v>0</v>
      </c>
      <c r="BX47" s="631"/>
      <c r="BY47" s="631"/>
      <c r="BZ47" s="631"/>
      <c r="CA47" s="631"/>
      <c r="CB47" s="631"/>
      <c r="CC47" s="631"/>
      <c r="CD47" s="631"/>
      <c r="CE47" s="631"/>
      <c r="CF47" s="631"/>
      <c r="CG47" s="631"/>
      <c r="CH47" s="631"/>
      <c r="CI47" s="631"/>
      <c r="CJ47" s="631"/>
    </row>
    <row r="48" spans="1:106">
      <c r="B48" s="35">
        <v>2</v>
      </c>
      <c r="C48" s="71" t="s">
        <v>120</v>
      </c>
      <c r="D48" s="35">
        <v>533</v>
      </c>
      <c r="E48" s="547">
        <v>21</v>
      </c>
      <c r="F48" s="72"/>
      <c r="G48" s="72" t="str">
        <f t="shared" si="90"/>
        <v>042533</v>
      </c>
      <c r="H48" s="46"/>
      <c r="I48" t="s">
        <v>137</v>
      </c>
      <c r="J48" t="s">
        <v>107</v>
      </c>
      <c r="K48" s="58" t="s">
        <v>138</v>
      </c>
      <c r="L48" s="96">
        <v>438</v>
      </c>
      <c r="M48" s="68">
        <f t="shared" si="91"/>
        <v>0</v>
      </c>
      <c r="N48" s="68">
        <f t="shared" si="91"/>
        <v>10</v>
      </c>
      <c r="O48" s="68">
        <f t="shared" si="91"/>
        <v>0</v>
      </c>
      <c r="P48" s="68">
        <f t="shared" si="91"/>
        <v>0</v>
      </c>
      <c r="Q48" s="68">
        <f t="shared" si="91"/>
        <v>0</v>
      </c>
      <c r="R48" s="565">
        <f t="shared" ref="R48:R91" si="98">IF(SUM(M48:Q48)&gt;0,0,1)</f>
        <v>0</v>
      </c>
      <c r="S48" s="603">
        <v>0</v>
      </c>
      <c r="T48" s="603">
        <v>14.74</v>
      </c>
      <c r="U48" s="603">
        <v>0</v>
      </c>
      <c r="V48" s="603">
        <v>0</v>
      </c>
      <c r="W48" s="603">
        <v>0</v>
      </c>
      <c r="Y48" s="69">
        <f t="shared" si="57"/>
        <v>0</v>
      </c>
      <c r="Z48" s="69">
        <f t="shared" si="58"/>
        <v>147.4</v>
      </c>
      <c r="AA48" s="69">
        <f t="shared" si="59"/>
        <v>0</v>
      </c>
      <c r="AB48" s="69">
        <f t="shared" si="60"/>
        <v>0</v>
      </c>
      <c r="AC48" s="69">
        <f t="shared" si="61"/>
        <v>0</v>
      </c>
      <c r="AE48" s="68">
        <f t="shared" si="62"/>
        <v>0</v>
      </c>
      <c r="AF48" s="68">
        <f t="shared" ref="AF48:AI48" si="99">N48</f>
        <v>10</v>
      </c>
      <c r="AG48" s="68">
        <f t="shared" si="99"/>
        <v>0</v>
      </c>
      <c r="AH48" s="68">
        <f t="shared" si="99"/>
        <v>0</v>
      </c>
      <c r="AI48" s="68">
        <f t="shared" si="99"/>
        <v>0</v>
      </c>
      <c r="AK48" s="570">
        <f t="shared" si="80"/>
        <v>0</v>
      </c>
      <c r="AL48" s="570">
        <f t="shared" ref="AL48:AL64" si="100">ROUND(T48*(1+AL$1),2)</f>
        <v>15.23</v>
      </c>
      <c r="AM48" s="570">
        <f t="shared" si="9"/>
        <v>0</v>
      </c>
      <c r="AN48" s="570">
        <f t="shared" si="10"/>
        <v>0</v>
      </c>
      <c r="AO48" s="570">
        <f t="shared" si="64"/>
        <v>0</v>
      </c>
      <c r="AQ48" s="69">
        <f t="shared" si="11"/>
        <v>0</v>
      </c>
      <c r="AR48" s="69">
        <f t="shared" si="12"/>
        <v>152.30000000000001</v>
      </c>
      <c r="AS48" s="69">
        <f t="shared" si="13"/>
        <v>0</v>
      </c>
      <c r="AT48" s="69">
        <f t="shared" si="14"/>
        <v>0</v>
      </c>
      <c r="AU48" s="69">
        <f t="shared" si="15"/>
        <v>0</v>
      </c>
      <c r="AV48" s="69">
        <f t="shared" si="65"/>
        <v>4.9000000000000057</v>
      </c>
      <c r="AW48" s="443">
        <f t="shared" si="75"/>
        <v>3.3242876526458652E-2</v>
      </c>
      <c r="AX48" s="434">
        <v>40</v>
      </c>
      <c r="AY48" s="567"/>
      <c r="AZ48" s="567">
        <v>15.04</v>
      </c>
      <c r="BA48" s="567"/>
      <c r="BB48" s="567"/>
      <c r="BC48" s="567"/>
      <c r="BD48" s="139"/>
      <c r="BE48" s="573">
        <f t="shared" si="66"/>
        <v>9.000000000000008E-2</v>
      </c>
      <c r="BF48" s="53"/>
      <c r="BG48" s="53">
        <f t="shared" si="79"/>
        <v>0.01</v>
      </c>
      <c r="BH48" s="53"/>
      <c r="BI48" s="53"/>
      <c r="BJ48" s="53"/>
      <c r="BM48" s="278">
        <f t="shared" si="67"/>
        <v>0</v>
      </c>
      <c r="BN48" s="278">
        <f t="shared" si="68"/>
        <v>15.459972999999998</v>
      </c>
      <c r="BO48" s="278">
        <f t="shared" si="76"/>
        <v>0</v>
      </c>
      <c r="BP48" s="278">
        <f t="shared" si="77"/>
        <v>0</v>
      </c>
      <c r="BQ48" s="278">
        <f t="shared" si="78"/>
        <v>0</v>
      </c>
      <c r="BS48" s="53">
        <f t="shared" si="70"/>
        <v>0</v>
      </c>
      <c r="BT48" s="53">
        <f t="shared" si="71"/>
        <v>0.41997299999999882</v>
      </c>
      <c r="BU48" s="53">
        <f t="shared" si="72"/>
        <v>0</v>
      </c>
      <c r="BV48" s="53">
        <f t="shared" si="73"/>
        <v>0</v>
      </c>
      <c r="BW48" s="53">
        <f t="shared" si="74"/>
        <v>0</v>
      </c>
    </row>
    <row r="49" spans="1:120">
      <c r="A49" s="632"/>
      <c r="B49" s="527">
        <v>2</v>
      </c>
      <c r="C49" s="71" t="s">
        <v>120</v>
      </c>
      <c r="D49" s="527" t="s">
        <v>596</v>
      </c>
      <c r="E49" s="549">
        <v>53</v>
      </c>
      <c r="F49" s="72"/>
      <c r="G49" s="72" t="str">
        <f t="shared" si="90"/>
        <v>042533L</v>
      </c>
      <c r="H49" s="46"/>
      <c r="I49" s="422" t="s">
        <v>702</v>
      </c>
      <c r="J49" s="422" t="s">
        <v>826</v>
      </c>
      <c r="K49" s="564" t="s">
        <v>132</v>
      </c>
      <c r="L49" s="566" t="s">
        <v>587</v>
      </c>
      <c r="M49" s="565">
        <f t="shared" si="91"/>
        <v>0</v>
      </c>
      <c r="N49" s="565">
        <f t="shared" si="91"/>
        <v>14</v>
      </c>
      <c r="O49" s="565">
        <f t="shared" si="91"/>
        <v>0</v>
      </c>
      <c r="P49" s="565">
        <f t="shared" si="91"/>
        <v>0</v>
      </c>
      <c r="Q49" s="565">
        <f t="shared" si="91"/>
        <v>0</v>
      </c>
      <c r="R49" s="565">
        <f t="shared" si="98"/>
        <v>0</v>
      </c>
      <c r="S49" s="603">
        <v>0</v>
      </c>
      <c r="T49" s="603">
        <v>26.85</v>
      </c>
      <c r="U49" s="603">
        <v>0</v>
      </c>
      <c r="V49" s="603"/>
      <c r="W49" s="603"/>
      <c r="X49" s="562"/>
      <c r="Y49" s="69">
        <f t="shared" ref="Y49:AC50" si="101">IF(AND(M49&lt;&gt;0,S49=0),#VALUE!,M49*S49)</f>
        <v>0</v>
      </c>
      <c r="Z49" s="69">
        <f t="shared" si="101"/>
        <v>375.90000000000003</v>
      </c>
      <c r="AA49" s="69">
        <f t="shared" si="101"/>
        <v>0</v>
      </c>
      <c r="AB49" s="69">
        <f t="shared" si="101"/>
        <v>0</v>
      </c>
      <c r="AC49" s="69">
        <f t="shared" si="101"/>
        <v>0</v>
      </c>
      <c r="AD49" s="562"/>
      <c r="AE49" s="565">
        <f t="shared" ref="AE49:AI50" si="102">SUMIF($G:$G,TEXT(AE$3,"000")&amp;TEXT($L49,"000"),$E:$E)</f>
        <v>0</v>
      </c>
      <c r="AF49" s="565">
        <f t="shared" si="102"/>
        <v>14</v>
      </c>
      <c r="AG49" s="565">
        <f t="shared" si="102"/>
        <v>0</v>
      </c>
      <c r="AH49" s="565">
        <f t="shared" si="102"/>
        <v>0</v>
      </c>
      <c r="AI49" s="565">
        <f t="shared" si="102"/>
        <v>0</v>
      </c>
      <c r="AJ49" s="562"/>
      <c r="AK49" s="570">
        <f t="shared" si="80"/>
        <v>0</v>
      </c>
      <c r="AL49" s="570">
        <f t="shared" si="100"/>
        <v>27.74</v>
      </c>
      <c r="AM49" s="570">
        <f t="shared" si="9"/>
        <v>0</v>
      </c>
      <c r="AN49" s="570">
        <f t="shared" si="10"/>
        <v>0</v>
      </c>
      <c r="AO49" s="570">
        <f t="shared" si="64"/>
        <v>0</v>
      </c>
      <c r="AP49" s="562"/>
      <c r="AQ49" s="69">
        <f t="shared" si="11"/>
        <v>0</v>
      </c>
      <c r="AR49" s="69">
        <f>IF(AND(AF49&lt;&gt;0,AL49=0),#VALUE!,AF49*AL49)</f>
        <v>388.35999999999996</v>
      </c>
      <c r="AS49" s="69">
        <f t="shared" si="13"/>
        <v>0</v>
      </c>
      <c r="AT49" s="69">
        <f t="shared" si="14"/>
        <v>0</v>
      </c>
      <c r="AU49" s="69">
        <f t="shared" si="15"/>
        <v>0</v>
      </c>
      <c r="AV49" s="69">
        <f t="shared" si="65"/>
        <v>12.459999999999923</v>
      </c>
      <c r="AW49" s="443">
        <f t="shared" si="75"/>
        <v>3.314711359404076E-2</v>
      </c>
      <c r="AX49" s="577">
        <v>52</v>
      </c>
      <c r="AY49" s="567"/>
      <c r="AZ49" s="567">
        <v>27.37</v>
      </c>
      <c r="BA49" s="567"/>
      <c r="BB49" s="567"/>
      <c r="BC49" s="567"/>
      <c r="BD49" s="567"/>
      <c r="BE49" s="573">
        <f>ROUND(AX49*$BE$2,2)+ROUND(AX49*$BE$1,2)</f>
        <v>0.10999999999999999</v>
      </c>
      <c r="BF49" s="563"/>
      <c r="BG49" s="563">
        <f t="shared" si="79"/>
        <v>0</v>
      </c>
      <c r="BH49" s="563"/>
      <c r="BI49" s="563"/>
      <c r="BJ49" s="563"/>
      <c r="BK49" s="562"/>
      <c r="BL49" s="562"/>
      <c r="BM49" s="571">
        <f t="shared" si="67"/>
        <v>0</v>
      </c>
      <c r="BN49" s="571">
        <f t="shared" si="68"/>
        <v>28.158873999999994</v>
      </c>
      <c r="BO49" s="571">
        <f t="shared" ref="BO49:BQ50" si="103">AM49*$BM$1</f>
        <v>0</v>
      </c>
      <c r="BP49" s="571">
        <f t="shared" si="103"/>
        <v>0</v>
      </c>
      <c r="BQ49" s="571">
        <f t="shared" si="103"/>
        <v>0</v>
      </c>
      <c r="BR49" s="562"/>
      <c r="BS49" s="563">
        <f t="shared" ref="BS49:BW50" si="104">BM49-AY49</f>
        <v>0</v>
      </c>
      <c r="BT49" s="563">
        <f t="shared" si="104"/>
        <v>0.78887399999999275</v>
      </c>
      <c r="BU49" s="563">
        <f t="shared" si="104"/>
        <v>0</v>
      </c>
      <c r="BV49" s="563">
        <f t="shared" si="104"/>
        <v>0</v>
      </c>
      <c r="BW49" s="563">
        <f t="shared" si="104"/>
        <v>0</v>
      </c>
      <c r="BX49" s="562"/>
      <c r="BY49" s="562"/>
      <c r="BZ49" s="562"/>
      <c r="CA49" s="562"/>
      <c r="CB49" s="562"/>
      <c r="CI49" s="580"/>
      <c r="CJ49" s="580"/>
    </row>
    <row r="50" spans="1:120">
      <c r="A50" s="597"/>
      <c r="B50" s="527">
        <v>2</v>
      </c>
      <c r="C50" s="71" t="s">
        <v>120</v>
      </c>
      <c r="D50" s="527" t="s">
        <v>697</v>
      </c>
      <c r="E50" s="549">
        <v>47</v>
      </c>
      <c r="F50" s="72"/>
      <c r="G50" s="72" t="str">
        <f t="shared" si="90"/>
        <v>042533T</v>
      </c>
      <c r="H50" s="46"/>
      <c r="I50" s="422" t="s">
        <v>702</v>
      </c>
      <c r="J50" s="422" t="s">
        <v>826</v>
      </c>
      <c r="K50" s="564" t="s">
        <v>132</v>
      </c>
      <c r="L50" s="566" t="s">
        <v>706</v>
      </c>
      <c r="M50" s="565">
        <f t="shared" si="91"/>
        <v>0</v>
      </c>
      <c r="N50" s="565">
        <f t="shared" si="91"/>
        <v>11</v>
      </c>
      <c r="O50" s="565">
        <f t="shared" si="91"/>
        <v>0</v>
      </c>
      <c r="P50" s="565">
        <f t="shared" si="91"/>
        <v>0</v>
      </c>
      <c r="Q50" s="565">
        <f t="shared" si="91"/>
        <v>0</v>
      </c>
      <c r="R50" s="565">
        <f t="shared" si="98"/>
        <v>0</v>
      </c>
      <c r="S50" s="603"/>
      <c r="T50" s="633">
        <f>T49-T94-T94</f>
        <v>16.39</v>
      </c>
      <c r="U50" s="603"/>
      <c r="V50" s="603"/>
      <c r="W50" s="603"/>
      <c r="X50" s="632"/>
      <c r="Y50" s="69">
        <f t="shared" si="101"/>
        <v>0</v>
      </c>
      <c r="Z50" s="69">
        <f t="shared" si="101"/>
        <v>180.29000000000002</v>
      </c>
      <c r="AA50" s="69">
        <f t="shared" si="101"/>
        <v>0</v>
      </c>
      <c r="AB50" s="69">
        <f t="shared" si="101"/>
        <v>0</v>
      </c>
      <c r="AC50" s="69">
        <f t="shared" si="101"/>
        <v>0</v>
      </c>
      <c r="AD50" s="632"/>
      <c r="AE50" s="565">
        <f t="shared" si="102"/>
        <v>0</v>
      </c>
      <c r="AF50" s="565">
        <f t="shared" si="102"/>
        <v>11</v>
      </c>
      <c r="AG50" s="565">
        <f t="shared" si="102"/>
        <v>0</v>
      </c>
      <c r="AH50" s="565">
        <f t="shared" si="102"/>
        <v>0</v>
      </c>
      <c r="AI50" s="565">
        <f t="shared" si="102"/>
        <v>0</v>
      </c>
      <c r="AJ50" s="632"/>
      <c r="AK50" s="570">
        <f t="shared" si="80"/>
        <v>0</v>
      </c>
      <c r="AL50" s="570">
        <f>AL49-AL94-AL94</f>
        <v>17.279999999999998</v>
      </c>
      <c r="AM50" s="570">
        <f t="shared" si="9"/>
        <v>0</v>
      </c>
      <c r="AN50" s="570">
        <f t="shared" si="10"/>
        <v>0</v>
      </c>
      <c r="AO50" s="570">
        <f t="shared" si="64"/>
        <v>0</v>
      </c>
      <c r="AP50" s="632"/>
      <c r="AQ50" s="69">
        <f t="shared" si="11"/>
        <v>0</v>
      </c>
      <c r="AR50" s="69">
        <f t="shared" si="12"/>
        <v>190.07999999999998</v>
      </c>
      <c r="AS50" s="69">
        <f t="shared" si="13"/>
        <v>0</v>
      </c>
      <c r="AT50" s="69">
        <f t="shared" si="14"/>
        <v>0</v>
      </c>
      <c r="AU50" s="69">
        <f t="shared" si="15"/>
        <v>0</v>
      </c>
      <c r="AV50" s="69">
        <f t="shared" si="65"/>
        <v>9.7899999999999636</v>
      </c>
      <c r="AW50" s="443">
        <f t="shared" si="75"/>
        <v>5.4301403294691679E-2</v>
      </c>
      <c r="AX50" s="577">
        <v>52</v>
      </c>
      <c r="AY50" s="567"/>
      <c r="AZ50" s="567">
        <v>16.75</v>
      </c>
      <c r="BA50" s="567"/>
      <c r="BB50" s="567"/>
      <c r="BC50" s="567"/>
      <c r="BD50" s="567"/>
      <c r="BE50" s="573">
        <f>ROUND(AX50*$BE$2,2)+ROUND(AX50*$BE$1,2)</f>
        <v>0.10999999999999999</v>
      </c>
      <c r="BF50" s="563"/>
      <c r="BG50" s="563">
        <f t="shared" si="79"/>
        <v>0</v>
      </c>
      <c r="BH50" s="563"/>
      <c r="BI50" s="563"/>
      <c r="BJ50" s="563"/>
      <c r="BK50" s="632"/>
      <c r="BL50" s="632"/>
      <c r="BM50" s="571">
        <f t="shared" si="67"/>
        <v>0</v>
      </c>
      <c r="BN50" s="571">
        <f t="shared" si="68"/>
        <v>17.540927999999997</v>
      </c>
      <c r="BO50" s="571">
        <f t="shared" si="103"/>
        <v>0</v>
      </c>
      <c r="BP50" s="571">
        <f t="shared" si="103"/>
        <v>0</v>
      </c>
      <c r="BQ50" s="571">
        <f t="shared" si="103"/>
        <v>0</v>
      </c>
      <c r="BR50" s="632"/>
      <c r="BS50" s="563">
        <f t="shared" si="104"/>
        <v>0</v>
      </c>
      <c r="BT50" s="563">
        <f t="shared" si="104"/>
        <v>0.79092799999999741</v>
      </c>
      <c r="BU50" s="563">
        <f t="shared" si="104"/>
        <v>0</v>
      </c>
      <c r="BV50" s="563">
        <f t="shared" si="104"/>
        <v>0</v>
      </c>
      <c r="BW50" s="563">
        <f t="shared" si="104"/>
        <v>0</v>
      </c>
      <c r="BX50" s="632"/>
      <c r="BY50" s="632"/>
      <c r="BZ50" s="632"/>
      <c r="CA50" s="632"/>
      <c r="CB50" s="632"/>
      <c r="CC50" s="632"/>
      <c r="CD50" s="632"/>
      <c r="CE50" s="632"/>
      <c r="CF50" s="632"/>
      <c r="CG50" s="632"/>
      <c r="CH50" s="632"/>
      <c r="CI50" s="632"/>
      <c r="CJ50" s="632"/>
      <c r="CK50" s="632"/>
      <c r="CL50" s="632"/>
      <c r="CM50" s="632"/>
      <c r="CN50" s="632"/>
      <c r="CO50" s="632"/>
      <c r="CP50" s="632"/>
      <c r="CQ50" s="632"/>
      <c r="CR50" s="632"/>
      <c r="CS50" s="632"/>
      <c r="CT50" s="632"/>
      <c r="CU50" s="632"/>
      <c r="CV50" s="632"/>
      <c r="CW50" s="632"/>
      <c r="CX50" s="632"/>
      <c r="CY50" s="632"/>
      <c r="CZ50" s="632"/>
      <c r="DA50" s="632"/>
      <c r="DB50" s="632"/>
    </row>
    <row r="51" spans="1:120">
      <c r="B51" s="35">
        <v>2</v>
      </c>
      <c r="C51" s="71" t="s">
        <v>120</v>
      </c>
      <c r="D51" s="35">
        <v>535</v>
      </c>
      <c r="E51" s="547">
        <f>205+109</f>
        <v>314</v>
      </c>
      <c r="F51" s="72"/>
      <c r="G51" s="72" t="str">
        <f t="shared" si="90"/>
        <v>042535</v>
      </c>
      <c r="H51" s="46"/>
      <c r="I51" t="s">
        <v>137</v>
      </c>
      <c r="J51" t="s">
        <v>110</v>
      </c>
      <c r="K51" s="58" t="s">
        <v>140</v>
      </c>
      <c r="L51" s="96">
        <v>474</v>
      </c>
      <c r="M51" s="68">
        <f t="shared" si="91"/>
        <v>0</v>
      </c>
      <c r="N51" s="68">
        <f t="shared" si="91"/>
        <v>212</v>
      </c>
      <c r="O51" s="68">
        <f t="shared" si="91"/>
        <v>0</v>
      </c>
      <c r="P51" s="68">
        <f t="shared" si="91"/>
        <v>0</v>
      </c>
      <c r="Q51" s="68">
        <f t="shared" si="91"/>
        <v>0</v>
      </c>
      <c r="R51" s="565">
        <f t="shared" si="98"/>
        <v>0</v>
      </c>
      <c r="S51" s="603">
        <v>0</v>
      </c>
      <c r="T51" s="603">
        <v>25.68</v>
      </c>
      <c r="U51" s="603">
        <v>0</v>
      </c>
      <c r="V51" s="603">
        <v>0</v>
      </c>
      <c r="W51" s="603">
        <v>0</v>
      </c>
      <c r="Y51" s="69">
        <f t="shared" si="57"/>
        <v>0</v>
      </c>
      <c r="Z51" s="69">
        <f t="shared" si="58"/>
        <v>5444.16</v>
      </c>
      <c r="AA51" s="69">
        <f t="shared" si="59"/>
        <v>0</v>
      </c>
      <c r="AB51" s="69">
        <f t="shared" si="60"/>
        <v>0</v>
      </c>
      <c r="AC51" s="69">
        <f t="shared" si="61"/>
        <v>0</v>
      </c>
      <c r="AE51" s="68">
        <f t="shared" si="62"/>
        <v>0</v>
      </c>
      <c r="AF51" s="68">
        <f>N51</f>
        <v>212</v>
      </c>
      <c r="AG51" s="68">
        <f>O51</f>
        <v>0</v>
      </c>
      <c r="AH51" s="68">
        <f>P51</f>
        <v>0</v>
      </c>
      <c r="AI51" s="68">
        <f>Q51</f>
        <v>0</v>
      </c>
      <c r="AK51" s="570">
        <f t="shared" si="80"/>
        <v>0</v>
      </c>
      <c r="AL51" s="570">
        <f t="shared" si="100"/>
        <v>26.54</v>
      </c>
      <c r="AM51" s="570">
        <f t="shared" si="9"/>
        <v>0</v>
      </c>
      <c r="AN51" s="570">
        <f t="shared" si="10"/>
        <v>0</v>
      </c>
      <c r="AO51" s="570">
        <f t="shared" si="64"/>
        <v>0</v>
      </c>
      <c r="AQ51" s="69">
        <f>IF(AND(AE51&lt;&gt;0,AK51=0),#VALUE!,AE51*AK51)</f>
        <v>0</v>
      </c>
      <c r="AR51" s="69">
        <f t="shared" ref="AR51:AR71" si="105">IF(AND(AF51&lt;&gt;0,AL51=0),#VALUE!,AF51*AL51)</f>
        <v>5626.48</v>
      </c>
      <c r="AS51" s="69">
        <f t="shared" ref="AS51:AU52" si="106">IF(AND(AG51&lt;&gt;0,AM51=0),#VALUE!,AG51*AM51)</f>
        <v>0</v>
      </c>
      <c r="AT51" s="69">
        <f t="shared" si="106"/>
        <v>0</v>
      </c>
      <c r="AU51" s="69">
        <f t="shared" si="106"/>
        <v>0</v>
      </c>
      <c r="AV51" s="69">
        <f t="shared" si="65"/>
        <v>182.31999999999971</v>
      </c>
      <c r="AW51" s="443">
        <f t="shared" si="75"/>
        <v>3.3489096573208671E-2</v>
      </c>
      <c r="AX51" s="434">
        <v>40</v>
      </c>
      <c r="AY51" s="567"/>
      <c r="AZ51" s="567">
        <v>26.15</v>
      </c>
      <c r="BA51" s="567"/>
      <c r="BB51" s="567"/>
      <c r="BC51" s="567"/>
      <c r="BD51" s="139"/>
      <c r="BE51" s="573">
        <f t="shared" si="66"/>
        <v>9.000000000000008E-2</v>
      </c>
      <c r="BF51" s="53"/>
      <c r="BG51" s="53">
        <f t="shared" si="79"/>
        <v>0.01</v>
      </c>
      <c r="BH51" s="53"/>
      <c r="BI51" s="53"/>
      <c r="BJ51" s="53"/>
      <c r="BM51" s="278">
        <f t="shared" si="67"/>
        <v>0</v>
      </c>
      <c r="BN51" s="278">
        <f t="shared" si="68"/>
        <v>26.940753999999995</v>
      </c>
      <c r="BO51" s="278">
        <f t="shared" si="76"/>
        <v>0</v>
      </c>
      <c r="BP51" s="278">
        <f t="shared" si="77"/>
        <v>0</v>
      </c>
      <c r="BQ51" s="278">
        <f t="shared" si="78"/>
        <v>0</v>
      </c>
      <c r="BS51" s="53">
        <f t="shared" si="70"/>
        <v>0</v>
      </c>
      <c r="BT51" s="53">
        <f t="shared" si="71"/>
        <v>0.79075399999999618</v>
      </c>
      <c r="BU51" s="53">
        <f t="shared" si="72"/>
        <v>0</v>
      </c>
      <c r="BV51" s="53">
        <f t="shared" si="73"/>
        <v>0</v>
      </c>
      <c r="BW51" s="53">
        <f t="shared" si="74"/>
        <v>0</v>
      </c>
      <c r="DC51" s="632"/>
      <c r="DD51" s="632"/>
    </row>
    <row r="52" spans="1:120">
      <c r="A52" s="632"/>
      <c r="B52" s="527">
        <v>2</v>
      </c>
      <c r="C52" s="71" t="s">
        <v>120</v>
      </c>
      <c r="D52" s="527" t="s">
        <v>597</v>
      </c>
      <c r="E52" s="549">
        <f>1320+814</f>
        <v>2134</v>
      </c>
      <c r="F52" s="72"/>
      <c r="G52" s="72" t="str">
        <f t="shared" si="90"/>
        <v>042535L</v>
      </c>
      <c r="H52" s="46"/>
      <c r="I52" s="422" t="s">
        <v>705</v>
      </c>
      <c r="J52" s="562" t="s">
        <v>110</v>
      </c>
      <c r="K52" s="564" t="s">
        <v>591</v>
      </c>
      <c r="L52" s="566" t="s">
        <v>588</v>
      </c>
      <c r="M52" s="565">
        <f t="shared" si="91"/>
        <v>0</v>
      </c>
      <c r="N52" s="565">
        <f t="shared" si="91"/>
        <v>106</v>
      </c>
      <c r="O52" s="565">
        <f t="shared" si="91"/>
        <v>0</v>
      </c>
      <c r="P52" s="565">
        <f t="shared" si="91"/>
        <v>0</v>
      </c>
      <c r="Q52" s="565">
        <f t="shared" si="91"/>
        <v>0</v>
      </c>
      <c r="R52" s="565">
        <f t="shared" si="98"/>
        <v>0</v>
      </c>
      <c r="S52" s="603">
        <v>0</v>
      </c>
      <c r="T52" s="633">
        <f>T51</f>
        <v>25.68</v>
      </c>
      <c r="U52" s="603">
        <v>0</v>
      </c>
      <c r="V52" s="603"/>
      <c r="W52" s="603"/>
      <c r="X52" s="562"/>
      <c r="Y52" s="69">
        <f>IF(AND(M52&lt;&gt;0,S52=0),#VALUE!,M52*S52)</f>
        <v>0</v>
      </c>
      <c r="Z52" s="69">
        <f>IF(AND(N52&lt;&gt;0,T52=0),#VALUE!,N52*T52)</f>
        <v>2722.08</v>
      </c>
      <c r="AA52" s="69">
        <f>IF(AND(O52&lt;&gt;0,U52=0),#VALUE!,O52*U52)</f>
        <v>0</v>
      </c>
      <c r="AB52" s="69">
        <f>IF(AND(P52&lt;&gt;0,V52=0),#VALUE!,P52*V52)</f>
        <v>0</v>
      </c>
      <c r="AC52" s="69">
        <f>IF(AND(Q52&lt;&gt;0,W52=0),#VALUE!,Q52*W52)</f>
        <v>0</v>
      </c>
      <c r="AD52" s="562"/>
      <c r="AE52" s="565">
        <f t="shared" ref="AE52:AI52" si="107">SUMIF($G:$G,TEXT(AE$3,"000")&amp;TEXT($L52,"000"),$E:$E)</f>
        <v>0</v>
      </c>
      <c r="AF52" s="565">
        <f t="shared" si="107"/>
        <v>106</v>
      </c>
      <c r="AG52" s="565">
        <f t="shared" si="107"/>
        <v>0</v>
      </c>
      <c r="AH52" s="565">
        <f t="shared" si="107"/>
        <v>0</v>
      </c>
      <c r="AI52" s="565">
        <f t="shared" si="107"/>
        <v>0</v>
      </c>
      <c r="AJ52" s="562"/>
      <c r="AK52" s="570">
        <f t="shared" si="80"/>
        <v>0</v>
      </c>
      <c r="AL52" s="570">
        <f>AL51</f>
        <v>26.54</v>
      </c>
      <c r="AM52" s="570">
        <f t="shared" si="9"/>
        <v>0</v>
      </c>
      <c r="AN52" s="570">
        <f t="shared" si="10"/>
        <v>0</v>
      </c>
      <c r="AO52" s="570">
        <f t="shared" si="64"/>
        <v>0</v>
      </c>
      <c r="AP52" s="562"/>
      <c r="AQ52" s="69">
        <f>IF(AND(AE52&lt;&gt;0,AK52=0),#VALUE!,AE52*AK52)</f>
        <v>0</v>
      </c>
      <c r="AR52" s="69">
        <f t="shared" si="105"/>
        <v>2813.24</v>
      </c>
      <c r="AS52" s="69">
        <f t="shared" si="106"/>
        <v>0</v>
      </c>
      <c r="AT52" s="69">
        <f t="shared" si="106"/>
        <v>0</v>
      </c>
      <c r="AU52" s="69">
        <f t="shared" si="106"/>
        <v>0</v>
      </c>
      <c r="AV52" s="69">
        <f t="shared" si="65"/>
        <v>91.159999999999854</v>
      </c>
      <c r="AW52" s="443">
        <f t="shared" si="75"/>
        <v>3.3489096573208671E-2</v>
      </c>
      <c r="AX52" s="577">
        <v>26</v>
      </c>
      <c r="AY52" s="567"/>
      <c r="AZ52" s="567">
        <v>26.12</v>
      </c>
      <c r="BA52" s="567"/>
      <c r="BB52" s="567"/>
      <c r="BC52" s="567"/>
      <c r="BD52" s="567"/>
      <c r="BE52" s="573">
        <f>ROUND(AX52*$BE$2,2)+ROUND(AX52*$BE$1,2)</f>
        <v>0.06</v>
      </c>
      <c r="BF52" s="563"/>
      <c r="BG52" s="563">
        <f t="shared" si="79"/>
        <v>0.01</v>
      </c>
      <c r="BH52" s="563"/>
      <c r="BI52" s="563"/>
      <c r="BJ52" s="563"/>
      <c r="BK52" s="562"/>
      <c r="BL52" s="562"/>
      <c r="BM52" s="571">
        <f t="shared" si="67"/>
        <v>0</v>
      </c>
      <c r="BN52" s="571">
        <f t="shared" si="68"/>
        <v>26.940753999999995</v>
      </c>
      <c r="BO52" s="571">
        <f t="shared" ref="BO52:BQ52" si="108">AM52*$BM$1</f>
        <v>0</v>
      </c>
      <c r="BP52" s="571">
        <f t="shared" si="108"/>
        <v>0</v>
      </c>
      <c r="BQ52" s="571">
        <f t="shared" si="108"/>
        <v>0</v>
      </c>
      <c r="BR52" s="562"/>
      <c r="BS52" s="563">
        <f t="shared" ref="BS52:BW52" si="109">BM52-AY52</f>
        <v>0</v>
      </c>
      <c r="BT52" s="563">
        <f t="shared" si="109"/>
        <v>0.82075399999999377</v>
      </c>
      <c r="BU52" s="563">
        <f t="shared" si="109"/>
        <v>0</v>
      </c>
      <c r="BV52" s="563">
        <f t="shared" si="109"/>
        <v>0</v>
      </c>
      <c r="BW52" s="563">
        <f t="shared" si="109"/>
        <v>0</v>
      </c>
      <c r="BX52" s="562"/>
      <c r="BY52" s="562"/>
      <c r="BZ52" s="562"/>
      <c r="CA52" s="562"/>
      <c r="CB52" s="562"/>
      <c r="CQ52" s="632"/>
      <c r="CR52" s="632"/>
    </row>
    <row r="53" spans="1:120">
      <c r="A53" s="597"/>
      <c r="B53" s="527">
        <v>2</v>
      </c>
      <c r="C53" s="71" t="s">
        <v>120</v>
      </c>
      <c r="D53" s="527" t="s">
        <v>699</v>
      </c>
      <c r="E53" s="549">
        <f>474+393</f>
        <v>867</v>
      </c>
      <c r="F53" s="72"/>
      <c r="G53" s="72" t="str">
        <f t="shared" si="90"/>
        <v>042535T</v>
      </c>
      <c r="H53" s="46"/>
      <c r="I53" t="s">
        <v>137</v>
      </c>
      <c r="J53" t="s">
        <v>110</v>
      </c>
      <c r="K53" s="58" t="s">
        <v>141</v>
      </c>
      <c r="L53" s="96">
        <v>484</v>
      </c>
      <c r="M53" s="68">
        <f t="shared" ref="M53:Q58" si="110">SUMIF($G:$G,TEXT(M$3,"000")&amp;TEXT($L53,"000"),$E:$E)</f>
        <v>0</v>
      </c>
      <c r="N53" s="68">
        <f t="shared" si="110"/>
        <v>99</v>
      </c>
      <c r="O53" s="68">
        <f t="shared" si="110"/>
        <v>0</v>
      </c>
      <c r="P53" s="68">
        <f t="shared" si="110"/>
        <v>0</v>
      </c>
      <c r="Q53" s="68">
        <f t="shared" si="110"/>
        <v>0</v>
      </c>
      <c r="R53" s="565">
        <f t="shared" si="98"/>
        <v>0</v>
      </c>
      <c r="S53" s="603">
        <v>0</v>
      </c>
      <c r="T53" s="603">
        <v>24.45</v>
      </c>
      <c r="U53" s="603">
        <v>0</v>
      </c>
      <c r="V53" s="603">
        <v>0</v>
      </c>
      <c r="W53" s="603">
        <v>0</v>
      </c>
      <c r="Y53" s="69">
        <f t="shared" si="57"/>
        <v>0</v>
      </c>
      <c r="Z53" s="69">
        <f t="shared" si="58"/>
        <v>2420.5499999999997</v>
      </c>
      <c r="AA53" s="69">
        <f t="shared" si="59"/>
        <v>0</v>
      </c>
      <c r="AB53" s="69">
        <f t="shared" si="60"/>
        <v>0</v>
      </c>
      <c r="AC53" s="69">
        <f t="shared" si="61"/>
        <v>0</v>
      </c>
      <c r="AE53" s="68">
        <f t="shared" si="62"/>
        <v>0</v>
      </c>
      <c r="AF53" s="68">
        <f t="shared" ref="AF53:AI53" si="111">N53</f>
        <v>99</v>
      </c>
      <c r="AG53" s="68">
        <f t="shared" si="111"/>
        <v>0</v>
      </c>
      <c r="AH53" s="68">
        <f t="shared" si="111"/>
        <v>0</v>
      </c>
      <c r="AI53" s="68">
        <f t="shared" si="111"/>
        <v>0</v>
      </c>
      <c r="AK53" s="570">
        <f t="shared" ref="AK53:AL92" si="112">ROUND(S53*(1+AK$1),2)</f>
        <v>0</v>
      </c>
      <c r="AL53" s="570">
        <f t="shared" si="100"/>
        <v>25.26</v>
      </c>
      <c r="AM53" s="570">
        <f t="shared" ref="AM53:AM74" si="113">ROUND(U53*(1+AM$1),2)</f>
        <v>0</v>
      </c>
      <c r="AN53" s="570">
        <f t="shared" ref="AN53:AN74" si="114">ROUND(V53*(1+AN$1),2)</f>
        <v>0</v>
      </c>
      <c r="AO53" s="570">
        <f t="shared" ref="AO53:AO74" si="115">ROUND(W53*(1+AO$1),2)</f>
        <v>0</v>
      </c>
      <c r="AQ53" s="69">
        <f t="shared" ref="AQ53:AQ75" si="116">IF(AND(AE53&lt;&gt;0,AK53=0),#VALUE!,AE53*AK53)</f>
        <v>0</v>
      </c>
      <c r="AR53" s="69">
        <f t="shared" si="105"/>
        <v>2500.7400000000002</v>
      </c>
      <c r="AS53" s="69">
        <f t="shared" ref="AS53:AS75" si="117">IF(AND(AG53&lt;&gt;0,AM53=0),#VALUE!,AG53*AM53)</f>
        <v>0</v>
      </c>
      <c r="AT53" s="69">
        <f t="shared" ref="AT53:AT75" si="118">IF(AND(AH53&lt;&gt;0,AN53=0),#VALUE!,AH53*AN53)</f>
        <v>0</v>
      </c>
      <c r="AU53" s="69">
        <f t="shared" ref="AU53:AU75" si="119">IF(AND(AI53&lt;&gt;0,AO53=0),#VALUE!,AI53*AO53)</f>
        <v>0</v>
      </c>
      <c r="AV53" s="69">
        <f t="shared" si="65"/>
        <v>80.190000000000509</v>
      </c>
      <c r="AW53" s="443">
        <f t="shared" si="75"/>
        <v>3.3128834355828432E-2</v>
      </c>
      <c r="AX53" s="434">
        <v>40</v>
      </c>
      <c r="AY53" s="567"/>
      <c r="AZ53" s="567">
        <v>24.9</v>
      </c>
      <c r="BA53" s="567"/>
      <c r="BB53" s="567"/>
      <c r="BC53" s="567"/>
      <c r="BD53" s="139"/>
      <c r="BE53" s="573">
        <f t="shared" si="66"/>
        <v>9.000000000000008E-2</v>
      </c>
      <c r="BF53" s="53"/>
      <c r="BG53" s="53">
        <f t="shared" si="79"/>
        <v>0.01</v>
      </c>
      <c r="BH53" s="53"/>
      <c r="BI53" s="53"/>
      <c r="BJ53" s="53"/>
      <c r="BM53" s="278">
        <f t="shared" ref="BM53:BM75" si="120">AK53*$BM$1</f>
        <v>0</v>
      </c>
      <c r="BN53" s="278">
        <f t="shared" ref="BN53:BN75" si="121">AL53*$BM$1</f>
        <v>25.641425999999999</v>
      </c>
      <c r="BO53" s="278">
        <f t="shared" si="76"/>
        <v>0</v>
      </c>
      <c r="BP53" s="278">
        <f t="shared" si="77"/>
        <v>0</v>
      </c>
      <c r="BQ53" s="278">
        <f t="shared" si="78"/>
        <v>0</v>
      </c>
      <c r="BS53" s="53">
        <f t="shared" si="70"/>
        <v>0</v>
      </c>
      <c r="BT53" s="53">
        <f t="shared" si="71"/>
        <v>0.74142600000000058</v>
      </c>
      <c r="BU53" s="53">
        <f t="shared" si="72"/>
        <v>0</v>
      </c>
      <c r="BV53" s="53">
        <f t="shared" si="73"/>
        <v>0</v>
      </c>
      <c r="BW53" s="53">
        <f t="shared" si="74"/>
        <v>0</v>
      </c>
    </row>
    <row r="54" spans="1:120">
      <c r="A54" s="328"/>
      <c r="B54" s="35">
        <v>2</v>
      </c>
      <c r="C54" s="71" t="s">
        <v>120</v>
      </c>
      <c r="D54" s="35">
        <v>536</v>
      </c>
      <c r="E54" s="547">
        <v>155</v>
      </c>
      <c r="F54" s="72"/>
      <c r="G54" s="72" t="str">
        <f t="shared" si="90"/>
        <v>042536</v>
      </c>
      <c r="H54" s="46"/>
      <c r="I54" s="422" t="s">
        <v>705</v>
      </c>
      <c r="J54" s="562" t="s">
        <v>110</v>
      </c>
      <c r="K54" s="564" t="s">
        <v>592</v>
      </c>
      <c r="L54" s="566" t="s">
        <v>589</v>
      </c>
      <c r="M54" s="565">
        <f t="shared" si="110"/>
        <v>0</v>
      </c>
      <c r="N54" s="565">
        <f t="shared" si="110"/>
        <v>64</v>
      </c>
      <c r="O54" s="565">
        <f t="shared" si="110"/>
        <v>0</v>
      </c>
      <c r="P54" s="565">
        <f t="shared" si="110"/>
        <v>0</v>
      </c>
      <c r="Q54" s="565">
        <f t="shared" si="110"/>
        <v>0</v>
      </c>
      <c r="R54" s="565">
        <f t="shared" si="98"/>
        <v>0</v>
      </c>
      <c r="S54" s="603">
        <v>0</v>
      </c>
      <c r="T54" s="633">
        <f>T53</f>
        <v>24.45</v>
      </c>
      <c r="U54" s="603">
        <v>0</v>
      </c>
      <c r="V54" s="603"/>
      <c r="W54" s="603"/>
      <c r="X54" s="562"/>
      <c r="Y54" s="69">
        <f>IF(AND(M54&lt;&gt;0,S54=0),#VALUE!,M54*S54)</f>
        <v>0</v>
      </c>
      <c r="Z54" s="69">
        <f>IF(AND(N54&lt;&gt;0,T54=0),#VALUE!,N54*T54)</f>
        <v>1564.8</v>
      </c>
      <c r="AA54" s="69">
        <f>IF(AND(O54&lt;&gt;0,U54=0),#VALUE!,O54*U54)</f>
        <v>0</v>
      </c>
      <c r="AB54" s="69">
        <f>IF(AND(P54&lt;&gt;0,V54=0),#VALUE!,P54*V54)</f>
        <v>0</v>
      </c>
      <c r="AC54" s="69">
        <f>IF(AND(Q54&lt;&gt;0,W54=0),#VALUE!,Q54*W54)</f>
        <v>0</v>
      </c>
      <c r="AD54" s="562"/>
      <c r="AE54" s="565">
        <f t="shared" ref="AE54:AI56" si="122">SUMIF($G:$G,TEXT(AE$3,"000")&amp;TEXT($L54,"000"),$E:$E)</f>
        <v>0</v>
      </c>
      <c r="AF54" s="565">
        <f t="shared" si="122"/>
        <v>64</v>
      </c>
      <c r="AG54" s="565">
        <f t="shared" si="122"/>
        <v>0</v>
      </c>
      <c r="AH54" s="565">
        <f t="shared" si="122"/>
        <v>0</v>
      </c>
      <c r="AI54" s="565">
        <f t="shared" si="122"/>
        <v>0</v>
      </c>
      <c r="AJ54" s="562"/>
      <c r="AK54" s="570">
        <f>ROUND(S54*(1+AK$1),2)</f>
        <v>0</v>
      </c>
      <c r="AL54" s="570">
        <f>AL53</f>
        <v>25.26</v>
      </c>
      <c r="AM54" s="570">
        <f t="shared" si="113"/>
        <v>0</v>
      </c>
      <c r="AN54" s="570">
        <f t="shared" si="114"/>
        <v>0</v>
      </c>
      <c r="AO54" s="570">
        <f t="shared" si="115"/>
        <v>0</v>
      </c>
      <c r="AP54" s="562"/>
      <c r="AQ54" s="69">
        <f t="shared" si="116"/>
        <v>0</v>
      </c>
      <c r="AR54" s="69">
        <f t="shared" si="105"/>
        <v>1616.64</v>
      </c>
      <c r="AS54" s="69">
        <f t="shared" si="117"/>
        <v>0</v>
      </c>
      <c r="AT54" s="69">
        <f t="shared" si="118"/>
        <v>0</v>
      </c>
      <c r="AU54" s="69">
        <f t="shared" si="119"/>
        <v>0</v>
      </c>
      <c r="AV54" s="69">
        <f t="shared" si="65"/>
        <v>51.840000000000146</v>
      </c>
      <c r="AW54" s="443">
        <f t="shared" si="75"/>
        <v>3.3128834355828314E-2</v>
      </c>
      <c r="AX54" s="577">
        <v>26</v>
      </c>
      <c r="AY54" s="567"/>
      <c r="AZ54" s="567">
        <v>24.87</v>
      </c>
      <c r="BA54" s="567"/>
      <c r="BB54" s="567"/>
      <c r="BC54" s="567"/>
      <c r="BD54" s="567"/>
      <c r="BE54" s="573">
        <f>ROUND(AX54*$BE$2,2)+ROUND(AX54*$BE$1,2)</f>
        <v>0.06</v>
      </c>
      <c r="BF54" s="563"/>
      <c r="BG54" s="563">
        <f t="shared" si="79"/>
        <v>0.01</v>
      </c>
      <c r="BH54" s="563"/>
      <c r="BI54" s="563"/>
      <c r="BJ54" s="563"/>
      <c r="BK54" s="562"/>
      <c r="BL54" s="562"/>
      <c r="BM54" s="571">
        <f t="shared" si="120"/>
        <v>0</v>
      </c>
      <c r="BN54" s="571">
        <f t="shared" si="121"/>
        <v>25.641425999999999</v>
      </c>
      <c r="BO54" s="571">
        <f t="shared" ref="BO54:BQ55" si="123">AM54*$BM$1</f>
        <v>0</v>
      </c>
      <c r="BP54" s="571">
        <f t="shared" si="123"/>
        <v>0</v>
      </c>
      <c r="BQ54" s="571">
        <f t="shared" si="123"/>
        <v>0</v>
      </c>
      <c r="BR54" s="562"/>
      <c r="BS54" s="563">
        <f>BM54-AY54</f>
        <v>0</v>
      </c>
      <c r="BT54" s="563">
        <f>BN54-AZ54</f>
        <v>0.77142599999999817</v>
      </c>
      <c r="BU54" s="563">
        <f>BO54-BA54</f>
        <v>0</v>
      </c>
      <c r="BV54" s="563">
        <f>BP54-BB54</f>
        <v>0</v>
      </c>
      <c r="BW54" s="563">
        <f>BQ54-BC54</f>
        <v>0</v>
      </c>
      <c r="BX54" s="562"/>
      <c r="BY54" s="562"/>
      <c r="BZ54" s="562"/>
      <c r="CA54" s="562"/>
      <c r="CB54" s="562"/>
    </row>
    <row r="55" spans="1:120">
      <c r="A55" s="632"/>
      <c r="B55" s="527">
        <v>2</v>
      </c>
      <c r="C55" s="71" t="s">
        <v>120</v>
      </c>
      <c r="D55" s="527" t="s">
        <v>598</v>
      </c>
      <c r="E55" s="549">
        <v>241</v>
      </c>
      <c r="F55" s="72"/>
      <c r="G55" s="72" t="str">
        <f t="shared" si="90"/>
        <v>042536L</v>
      </c>
      <c r="H55" s="46"/>
      <c r="I55" s="388" t="s">
        <v>451</v>
      </c>
      <c r="J55" s="520" t="s">
        <v>555</v>
      </c>
      <c r="K55" s="58" t="s">
        <v>134</v>
      </c>
      <c r="L55" s="96">
        <v>499</v>
      </c>
      <c r="M55" s="68">
        <f t="shared" si="110"/>
        <v>0</v>
      </c>
      <c r="N55" s="68">
        <f t="shared" si="110"/>
        <v>0</v>
      </c>
      <c r="O55" s="68">
        <f t="shared" si="110"/>
        <v>0</v>
      </c>
      <c r="P55" s="68">
        <f t="shared" si="110"/>
        <v>0</v>
      </c>
      <c r="Q55" s="68">
        <f t="shared" si="110"/>
        <v>41</v>
      </c>
      <c r="R55" s="565">
        <f t="shared" si="98"/>
        <v>0</v>
      </c>
      <c r="S55" s="603">
        <v>0</v>
      </c>
      <c r="T55" s="603">
        <v>0</v>
      </c>
      <c r="U55" s="603">
        <v>0</v>
      </c>
      <c r="V55" s="603">
        <v>0</v>
      </c>
      <c r="W55" s="603">
        <v>2.78</v>
      </c>
      <c r="X55" s="388"/>
      <c r="Y55" s="69">
        <f t="shared" si="57"/>
        <v>0</v>
      </c>
      <c r="Z55" s="69">
        <f t="shared" si="58"/>
        <v>0</v>
      </c>
      <c r="AA55" s="69">
        <f t="shared" si="59"/>
        <v>0</v>
      </c>
      <c r="AB55" s="69">
        <f t="shared" si="60"/>
        <v>0</v>
      </c>
      <c r="AC55" s="69">
        <f t="shared" si="61"/>
        <v>113.97999999999999</v>
      </c>
      <c r="AD55" s="388"/>
      <c r="AE55" s="68">
        <f t="shared" si="122"/>
        <v>0</v>
      </c>
      <c r="AF55" s="68">
        <f t="shared" si="122"/>
        <v>0</v>
      </c>
      <c r="AG55" s="68">
        <f t="shared" si="122"/>
        <v>0</v>
      </c>
      <c r="AH55" s="68">
        <f t="shared" si="122"/>
        <v>0</v>
      </c>
      <c r="AI55" s="68">
        <f t="shared" si="122"/>
        <v>41</v>
      </c>
      <c r="AJ55" s="388"/>
      <c r="AK55" s="570">
        <f t="shared" si="112"/>
        <v>0</v>
      </c>
      <c r="AL55" s="570">
        <f t="shared" si="100"/>
        <v>0</v>
      </c>
      <c r="AM55" s="570">
        <f t="shared" si="113"/>
        <v>0</v>
      </c>
      <c r="AN55" s="570">
        <f t="shared" si="114"/>
        <v>0</v>
      </c>
      <c r="AO55" s="570">
        <f t="shared" si="115"/>
        <v>2.87</v>
      </c>
      <c r="AP55" s="388"/>
      <c r="AQ55" s="69">
        <f t="shared" si="116"/>
        <v>0</v>
      </c>
      <c r="AR55" s="69">
        <f t="shared" si="105"/>
        <v>0</v>
      </c>
      <c r="AS55" s="69">
        <f t="shared" si="117"/>
        <v>0</v>
      </c>
      <c r="AT55" s="69">
        <f t="shared" si="118"/>
        <v>0</v>
      </c>
      <c r="AU55" s="69">
        <f t="shared" si="119"/>
        <v>117.67</v>
      </c>
      <c r="AV55" s="69">
        <f t="shared" si="65"/>
        <v>0</v>
      </c>
      <c r="AW55" s="443" t="e">
        <f t="shared" si="75"/>
        <v>#DIV/0!</v>
      </c>
      <c r="AX55" s="434">
        <v>21</v>
      </c>
      <c r="AY55" s="567"/>
      <c r="AZ55" s="567"/>
      <c r="BA55" s="567"/>
      <c r="BB55" s="567"/>
      <c r="BC55" s="567">
        <v>2.86</v>
      </c>
      <c r="BD55" s="139"/>
      <c r="BE55" s="573">
        <f t="shared" si="66"/>
        <v>3.999999999999998E-2</v>
      </c>
      <c r="BF55" s="53"/>
      <c r="BG55" s="53"/>
      <c r="BH55" s="53"/>
      <c r="BI55" s="53"/>
      <c r="BJ55" s="53">
        <f>ROUND((W55*$BF$2)+$BE55-BC55,2)</f>
        <v>0</v>
      </c>
      <c r="BK55" s="388"/>
      <c r="BL55" s="388"/>
      <c r="BM55" s="278">
        <f t="shared" si="120"/>
        <v>0</v>
      </c>
      <c r="BN55" s="278">
        <f t="shared" si="121"/>
        <v>0</v>
      </c>
      <c r="BO55" s="278">
        <f t="shared" si="123"/>
        <v>0</v>
      </c>
      <c r="BP55" s="278">
        <f t="shared" si="123"/>
        <v>0</v>
      </c>
      <c r="BQ55" s="278">
        <f t="shared" si="123"/>
        <v>2.9133369999999998</v>
      </c>
      <c r="BR55" s="388"/>
      <c r="BS55" s="53">
        <f t="shared" ref="BS55:BW55" si="124">BM55-AY55</f>
        <v>0</v>
      </c>
      <c r="BT55" s="53">
        <f t="shared" si="124"/>
        <v>0</v>
      </c>
      <c r="BU55" s="53">
        <f t="shared" si="124"/>
        <v>0</v>
      </c>
      <c r="BV55" s="53">
        <f t="shared" si="124"/>
        <v>0</v>
      </c>
      <c r="BW55" s="53">
        <f t="shared" si="124"/>
        <v>5.3336999999999968E-2</v>
      </c>
    </row>
    <row r="56" spans="1:120">
      <c r="A56" s="597"/>
      <c r="B56" s="527">
        <v>2</v>
      </c>
      <c r="C56" s="71" t="s">
        <v>120</v>
      </c>
      <c r="D56" s="527" t="s">
        <v>700</v>
      </c>
      <c r="E56" s="549">
        <v>337</v>
      </c>
      <c r="F56" s="72"/>
      <c r="G56" s="72" t="str">
        <f t="shared" si="90"/>
        <v>042536T</v>
      </c>
      <c r="H56" s="46"/>
      <c r="I56" t="s">
        <v>133</v>
      </c>
      <c r="J56" t="s">
        <v>131</v>
      </c>
      <c r="K56" s="58">
        <v>10000</v>
      </c>
      <c r="L56" s="96">
        <v>515</v>
      </c>
      <c r="M56" s="68">
        <f t="shared" si="110"/>
        <v>0</v>
      </c>
      <c r="N56" s="68">
        <f t="shared" si="110"/>
        <v>0</v>
      </c>
      <c r="O56" s="68">
        <f t="shared" si="110"/>
        <v>0</v>
      </c>
      <c r="P56" s="68">
        <f t="shared" si="110"/>
        <v>1</v>
      </c>
      <c r="Q56" s="68">
        <f t="shared" si="110"/>
        <v>0</v>
      </c>
      <c r="R56" s="565">
        <f t="shared" si="98"/>
        <v>0</v>
      </c>
      <c r="S56" s="603">
        <v>0</v>
      </c>
      <c r="T56" s="603">
        <v>0</v>
      </c>
      <c r="U56" s="603">
        <v>0</v>
      </c>
      <c r="V56" s="603">
        <v>9.65</v>
      </c>
      <c r="W56" s="603">
        <v>0</v>
      </c>
      <c r="Y56" s="69">
        <f t="shared" si="57"/>
        <v>0</v>
      </c>
      <c r="Z56" s="69">
        <f t="shared" si="58"/>
        <v>0</v>
      </c>
      <c r="AA56" s="69">
        <f t="shared" si="59"/>
        <v>0</v>
      </c>
      <c r="AB56" s="69">
        <f t="shared" si="60"/>
        <v>9.65</v>
      </c>
      <c r="AC56" s="69">
        <f t="shared" si="61"/>
        <v>0</v>
      </c>
      <c r="AE56" s="68">
        <f t="shared" si="122"/>
        <v>0</v>
      </c>
      <c r="AF56" s="68">
        <f t="shared" si="122"/>
        <v>0</v>
      </c>
      <c r="AG56" s="68">
        <f t="shared" si="122"/>
        <v>0</v>
      </c>
      <c r="AH56" s="68">
        <f t="shared" si="122"/>
        <v>1</v>
      </c>
      <c r="AI56" s="68">
        <f t="shared" si="122"/>
        <v>0</v>
      </c>
      <c r="AK56" s="570">
        <f t="shared" si="112"/>
        <v>0</v>
      </c>
      <c r="AL56" s="570">
        <f t="shared" si="100"/>
        <v>0</v>
      </c>
      <c r="AM56" s="570">
        <f t="shared" si="113"/>
        <v>0</v>
      </c>
      <c r="AN56" s="570">
        <f t="shared" si="114"/>
        <v>9.9700000000000006</v>
      </c>
      <c r="AO56" s="570">
        <f t="shared" si="115"/>
        <v>0</v>
      </c>
      <c r="AQ56" s="69">
        <f t="shared" si="116"/>
        <v>0</v>
      </c>
      <c r="AR56" s="69">
        <f t="shared" si="105"/>
        <v>0</v>
      </c>
      <c r="AS56" s="69">
        <f t="shared" si="117"/>
        <v>0</v>
      </c>
      <c r="AT56" s="69">
        <f t="shared" si="118"/>
        <v>9.9700000000000006</v>
      </c>
      <c r="AU56" s="69">
        <f t="shared" si="119"/>
        <v>0</v>
      </c>
      <c r="AV56" s="69">
        <f t="shared" si="65"/>
        <v>0</v>
      </c>
      <c r="AW56" s="443" t="e">
        <f t="shared" si="75"/>
        <v>#DIV/0!</v>
      </c>
      <c r="AX56" s="434">
        <v>111</v>
      </c>
      <c r="AY56" s="567"/>
      <c r="AZ56" s="567"/>
      <c r="BA56" s="567"/>
      <c r="BB56" s="567">
        <v>10.039999999999999</v>
      </c>
      <c r="BC56" s="567"/>
      <c r="BD56" s="139"/>
      <c r="BE56" s="573">
        <f t="shared" si="66"/>
        <v>0.25</v>
      </c>
      <c r="BF56" s="53"/>
      <c r="BG56" s="53"/>
      <c r="BH56" s="53"/>
      <c r="BI56" s="53">
        <f>ROUND((V56*$BF$2)+$BE56-BB56,2)</f>
        <v>0.01</v>
      </c>
      <c r="BJ56" s="53"/>
      <c r="BM56" s="278">
        <f t="shared" si="120"/>
        <v>0</v>
      </c>
      <c r="BN56" s="278">
        <f t="shared" si="121"/>
        <v>0</v>
      </c>
      <c r="BO56" s="278">
        <f t="shared" si="76"/>
        <v>0</v>
      </c>
      <c r="BP56" s="278">
        <f t="shared" si="77"/>
        <v>10.120547</v>
      </c>
      <c r="BQ56" s="278">
        <f t="shared" si="78"/>
        <v>0</v>
      </c>
      <c r="BS56" s="53">
        <f t="shared" si="70"/>
        <v>0</v>
      </c>
      <c r="BT56" s="53">
        <f t="shared" si="71"/>
        <v>0</v>
      </c>
      <c r="BU56" s="53">
        <f t="shared" si="72"/>
        <v>0</v>
      </c>
      <c r="BV56" s="53">
        <f t="shared" si="73"/>
        <v>8.0547000000001034E-2</v>
      </c>
      <c r="BW56" s="53">
        <f t="shared" si="74"/>
        <v>0</v>
      </c>
      <c r="CU56" s="669"/>
      <c r="CV56" s="669"/>
      <c r="CW56" s="669"/>
      <c r="CX56" s="669"/>
      <c r="CY56" s="669"/>
      <c r="CZ56" s="669"/>
      <c r="DA56" s="669"/>
      <c r="DB56" s="669"/>
    </row>
    <row r="57" spans="1:120">
      <c r="B57" s="35">
        <v>2</v>
      </c>
      <c r="C57" s="71" t="s">
        <v>120</v>
      </c>
      <c r="D57" s="35">
        <v>541</v>
      </c>
      <c r="E57" s="547">
        <v>4</v>
      </c>
      <c r="F57" s="72"/>
      <c r="G57" s="72" t="str">
        <f t="shared" si="90"/>
        <v>042541</v>
      </c>
      <c r="H57" s="46"/>
      <c r="I57" t="s">
        <v>128</v>
      </c>
      <c r="J57" s="671" t="s">
        <v>825</v>
      </c>
      <c r="K57" s="58" t="s">
        <v>142</v>
      </c>
      <c r="L57" s="96">
        <v>531</v>
      </c>
      <c r="M57" s="68">
        <f t="shared" si="110"/>
        <v>0</v>
      </c>
      <c r="N57" s="68">
        <f t="shared" si="110"/>
        <v>0</v>
      </c>
      <c r="O57" s="68">
        <f t="shared" si="110"/>
        <v>1</v>
      </c>
      <c r="P57" s="68">
        <f t="shared" si="110"/>
        <v>0</v>
      </c>
      <c r="Q57" s="68">
        <f t="shared" si="110"/>
        <v>0</v>
      </c>
      <c r="R57" s="565">
        <f t="shared" si="98"/>
        <v>0</v>
      </c>
      <c r="S57" s="603">
        <v>0</v>
      </c>
      <c r="T57" s="603"/>
      <c r="U57" s="603">
        <v>11.68</v>
      </c>
      <c r="V57" s="603">
        <v>0</v>
      </c>
      <c r="W57" s="603">
        <v>0</v>
      </c>
      <c r="Y57" s="69">
        <f t="shared" si="57"/>
        <v>0</v>
      </c>
      <c r="Z57" s="69">
        <f t="shared" si="58"/>
        <v>0</v>
      </c>
      <c r="AA57" s="69">
        <f t="shared" si="59"/>
        <v>11.68</v>
      </c>
      <c r="AB57" s="69">
        <f t="shared" si="60"/>
        <v>0</v>
      </c>
      <c r="AC57" s="69">
        <f t="shared" si="61"/>
        <v>0</v>
      </c>
      <c r="AE57" s="68">
        <f t="shared" si="62"/>
        <v>0</v>
      </c>
      <c r="AF57" s="68">
        <f t="shared" ref="AF57:AF93" si="125">N57</f>
        <v>0</v>
      </c>
      <c r="AG57" s="68">
        <f t="shared" ref="AG57:AG93" si="126">O57</f>
        <v>1</v>
      </c>
      <c r="AH57" s="68">
        <f t="shared" ref="AH57:AH93" si="127">P57</f>
        <v>0</v>
      </c>
      <c r="AI57" s="68">
        <f t="shared" ref="AI57:AI93" si="128">Q57</f>
        <v>0</v>
      </c>
      <c r="AK57" s="570">
        <f t="shared" si="112"/>
        <v>0</v>
      </c>
      <c r="AL57" s="570">
        <f>ROUND(T57*(1+AL$1),2)</f>
        <v>0</v>
      </c>
      <c r="AM57" s="570">
        <f t="shared" si="113"/>
        <v>12.07</v>
      </c>
      <c r="AN57" s="570">
        <f t="shared" si="114"/>
        <v>0</v>
      </c>
      <c r="AO57" s="570">
        <f t="shared" si="115"/>
        <v>0</v>
      </c>
      <c r="AQ57" s="69">
        <f t="shared" si="116"/>
        <v>0</v>
      </c>
      <c r="AR57" s="69">
        <f t="shared" si="105"/>
        <v>0</v>
      </c>
      <c r="AS57" s="69">
        <f t="shared" si="117"/>
        <v>12.07</v>
      </c>
      <c r="AT57" s="69">
        <f t="shared" si="118"/>
        <v>0</v>
      </c>
      <c r="AU57" s="69">
        <f t="shared" si="119"/>
        <v>0</v>
      </c>
      <c r="AV57" s="69">
        <f t="shared" si="65"/>
        <v>0</v>
      </c>
      <c r="AW57" s="443" t="e">
        <f t="shared" si="75"/>
        <v>#DIV/0!</v>
      </c>
      <c r="AX57" s="434">
        <v>85</v>
      </c>
      <c r="AY57" s="567"/>
      <c r="AZ57" s="567"/>
      <c r="BA57" s="567">
        <v>12.04</v>
      </c>
      <c r="BB57" s="567"/>
      <c r="BC57" s="567"/>
      <c r="BD57" s="139"/>
      <c r="BE57" s="573">
        <f t="shared" si="66"/>
        <v>0.17999999999999994</v>
      </c>
      <c r="BF57" s="53"/>
      <c r="BG57" s="53"/>
      <c r="BH57" s="53">
        <f>ROUND((U57*$BF$2)+$BE57-BA57,2)</f>
        <v>0</v>
      </c>
      <c r="BI57" s="53"/>
      <c r="BJ57" s="53"/>
      <c r="BM57" s="278">
        <f t="shared" si="120"/>
        <v>0</v>
      </c>
      <c r="BN57" s="278">
        <f t="shared" si="121"/>
        <v>0</v>
      </c>
      <c r="BO57" s="278">
        <f t="shared" si="76"/>
        <v>12.252256999999998</v>
      </c>
      <c r="BP57" s="278">
        <f t="shared" si="77"/>
        <v>0</v>
      </c>
      <c r="BQ57" s="278">
        <f t="shared" si="78"/>
        <v>0</v>
      </c>
      <c r="BS57" s="53">
        <f t="shared" si="70"/>
        <v>0</v>
      </c>
      <c r="BT57" s="53">
        <f t="shared" si="71"/>
        <v>0</v>
      </c>
      <c r="BU57" s="53">
        <f t="shared" si="72"/>
        <v>0.21225699999999925</v>
      </c>
      <c r="BV57" s="53">
        <f t="shared" si="73"/>
        <v>0</v>
      </c>
      <c r="BW57" s="53">
        <f t="shared" si="74"/>
        <v>0</v>
      </c>
      <c r="CU57" s="669"/>
      <c r="CV57" s="669"/>
      <c r="CW57" s="669"/>
      <c r="CX57" s="669"/>
      <c r="CY57" s="669"/>
      <c r="CZ57" s="669"/>
      <c r="DA57" s="669"/>
      <c r="DB57" s="669"/>
    </row>
    <row r="58" spans="1:120">
      <c r="A58" s="632"/>
      <c r="B58" s="527">
        <v>2</v>
      </c>
      <c r="C58" s="71" t="s">
        <v>120</v>
      </c>
      <c r="D58" s="527" t="s">
        <v>599</v>
      </c>
      <c r="E58" s="549">
        <v>1</v>
      </c>
      <c r="F58" s="72"/>
      <c r="G58" s="72" t="str">
        <f t="shared" si="90"/>
        <v>042541L</v>
      </c>
      <c r="H58" s="46"/>
      <c r="I58" t="s">
        <v>128</v>
      </c>
      <c r="J58" t="s">
        <v>109</v>
      </c>
      <c r="K58" s="58" t="s">
        <v>142</v>
      </c>
      <c r="L58" s="96">
        <v>532</v>
      </c>
      <c r="M58" s="68">
        <f t="shared" si="110"/>
        <v>0</v>
      </c>
      <c r="N58" s="68">
        <f t="shared" si="110"/>
        <v>109</v>
      </c>
      <c r="O58" s="68">
        <f t="shared" si="110"/>
        <v>89</v>
      </c>
      <c r="P58" s="68">
        <f t="shared" si="110"/>
        <v>0</v>
      </c>
      <c r="Q58" s="68">
        <f t="shared" si="110"/>
        <v>0</v>
      </c>
      <c r="R58" s="565">
        <f t="shared" si="98"/>
        <v>0</v>
      </c>
      <c r="S58" s="603">
        <v>0</v>
      </c>
      <c r="T58" s="603">
        <v>34.979999999999997</v>
      </c>
      <c r="U58" s="603">
        <v>11.68</v>
      </c>
      <c r="V58" s="603">
        <v>0</v>
      </c>
      <c r="W58" s="603">
        <v>0</v>
      </c>
      <c r="Y58" s="69">
        <f t="shared" si="57"/>
        <v>0</v>
      </c>
      <c r="Z58" s="69">
        <f>IF(AND(N58&lt;&gt;0,T58=0),#VALUE!,N58*T58)</f>
        <v>3812.8199999999997</v>
      </c>
      <c r="AA58" s="69">
        <f t="shared" si="59"/>
        <v>1039.52</v>
      </c>
      <c r="AB58" s="69">
        <f t="shared" si="60"/>
        <v>0</v>
      </c>
      <c r="AC58" s="69">
        <f t="shared" si="61"/>
        <v>0</v>
      </c>
      <c r="AE58" s="68">
        <f t="shared" si="62"/>
        <v>0</v>
      </c>
      <c r="AF58" s="68">
        <f t="shared" si="125"/>
        <v>109</v>
      </c>
      <c r="AG58" s="68">
        <f t="shared" si="126"/>
        <v>89</v>
      </c>
      <c r="AH58" s="68">
        <f t="shared" si="127"/>
        <v>0</v>
      </c>
      <c r="AI58" s="68">
        <f t="shared" si="128"/>
        <v>0</v>
      </c>
      <c r="AK58" s="570">
        <f t="shared" si="112"/>
        <v>0</v>
      </c>
      <c r="AL58" s="570">
        <f t="shared" si="100"/>
        <v>36.14</v>
      </c>
      <c r="AM58" s="570">
        <f t="shared" si="113"/>
        <v>12.07</v>
      </c>
      <c r="AN58" s="570">
        <f t="shared" si="114"/>
        <v>0</v>
      </c>
      <c r="AO58" s="570">
        <f t="shared" si="115"/>
        <v>0</v>
      </c>
      <c r="AQ58" s="69">
        <f t="shared" si="116"/>
        <v>0</v>
      </c>
      <c r="AR58" s="69">
        <f t="shared" si="105"/>
        <v>3939.26</v>
      </c>
      <c r="AS58" s="69">
        <f t="shared" si="117"/>
        <v>1074.23</v>
      </c>
      <c r="AT58" s="69">
        <f t="shared" si="118"/>
        <v>0</v>
      </c>
      <c r="AU58" s="69">
        <f t="shared" si="119"/>
        <v>0</v>
      </c>
      <c r="AV58" s="69">
        <f t="shared" si="65"/>
        <v>126.44000000000051</v>
      </c>
      <c r="AW58" s="443">
        <f t="shared" si="75"/>
        <v>3.3161806746712541E-2</v>
      </c>
      <c r="AX58" s="434">
        <v>85</v>
      </c>
      <c r="AY58" s="567"/>
      <c r="AZ58" s="567">
        <v>35.69</v>
      </c>
      <c r="BA58" s="567">
        <v>12.04</v>
      </c>
      <c r="BB58" s="567"/>
      <c r="BC58" s="567"/>
      <c r="BD58" s="139"/>
      <c r="BE58" s="573">
        <f t="shared" si="66"/>
        <v>0.17999999999999994</v>
      </c>
      <c r="BF58" s="53"/>
      <c r="BG58" s="53">
        <f t="shared" ref="BG58:BG74" si="129">ROUND((T58*$BF$2)+$BE58-AZ58,2)</f>
        <v>0</v>
      </c>
      <c r="BH58" s="53">
        <f>ROUND((U58*$BF$2)+$BE58-BA58,2)</f>
        <v>0</v>
      </c>
      <c r="BI58" s="53"/>
      <c r="BJ58" s="53"/>
      <c r="BM58" s="278">
        <f t="shared" si="120"/>
        <v>0</v>
      </c>
      <c r="BN58" s="278">
        <f t="shared" si="121"/>
        <v>36.685713999999997</v>
      </c>
      <c r="BO58" s="278">
        <f t="shared" si="76"/>
        <v>12.252256999999998</v>
      </c>
      <c r="BP58" s="278">
        <f t="shared" si="77"/>
        <v>0</v>
      </c>
      <c r="BQ58" s="278">
        <f t="shared" si="78"/>
        <v>0</v>
      </c>
      <c r="BS58" s="53">
        <f t="shared" si="70"/>
        <v>0</v>
      </c>
      <c r="BT58" s="53">
        <f t="shared" si="71"/>
        <v>0.99571399999999954</v>
      </c>
      <c r="BU58" s="53">
        <f t="shared" si="72"/>
        <v>0.21225699999999925</v>
      </c>
      <c r="BV58" s="53">
        <f t="shared" si="73"/>
        <v>0</v>
      </c>
      <c r="BW58" s="53">
        <f t="shared" si="74"/>
        <v>0</v>
      </c>
      <c r="DC58" s="669"/>
      <c r="DD58" s="669"/>
      <c r="DE58" s="669"/>
      <c r="DF58" s="669"/>
      <c r="DG58" s="669"/>
      <c r="DH58" s="669"/>
      <c r="DI58" s="669"/>
      <c r="DJ58" s="669"/>
      <c r="DK58" s="669"/>
      <c r="DL58" s="669"/>
      <c r="DM58" s="669"/>
      <c r="DN58" s="669"/>
      <c r="DO58" s="669"/>
      <c r="DP58" s="669"/>
    </row>
    <row r="59" spans="1:120">
      <c r="A59" s="631"/>
      <c r="B59" s="527">
        <v>2</v>
      </c>
      <c r="C59" s="71" t="s">
        <v>120</v>
      </c>
      <c r="D59" s="527" t="s">
        <v>701</v>
      </c>
      <c r="E59" s="543">
        <v>0</v>
      </c>
      <c r="F59" s="72"/>
      <c r="G59" s="72" t="str">
        <f t="shared" si="90"/>
        <v>042541T</v>
      </c>
      <c r="H59" s="46"/>
      <c r="I59" s="422" t="s">
        <v>698</v>
      </c>
      <c r="J59" s="562" t="s">
        <v>109</v>
      </c>
      <c r="K59" s="564" t="s">
        <v>603</v>
      </c>
      <c r="L59" s="566" t="s">
        <v>595</v>
      </c>
      <c r="M59" s="565">
        <f t="shared" ref="M59:Q68" si="130">SUMIF($G:$G,TEXT(M$3,"000")&amp;TEXT($L59,"000"),$E:$E)</f>
        <v>0</v>
      </c>
      <c r="N59" s="565">
        <f t="shared" si="130"/>
        <v>705</v>
      </c>
      <c r="O59" s="565">
        <f t="shared" si="130"/>
        <v>0</v>
      </c>
      <c r="P59" s="565">
        <f t="shared" si="130"/>
        <v>0</v>
      </c>
      <c r="Q59" s="565">
        <f t="shared" si="130"/>
        <v>0</v>
      </c>
      <c r="R59" s="565">
        <f t="shared" si="98"/>
        <v>0</v>
      </c>
      <c r="S59" s="603">
        <v>0</v>
      </c>
      <c r="T59" s="633">
        <f>T58</f>
        <v>34.979999999999997</v>
      </c>
      <c r="U59" s="603">
        <v>0</v>
      </c>
      <c r="V59" s="603">
        <v>0</v>
      </c>
      <c r="W59" s="603"/>
      <c r="X59" s="562"/>
      <c r="Y59" s="69">
        <f t="shared" ref="Y59:AC60" si="131">IF(AND(M59&lt;&gt;0,S59=0),#VALUE!,M59*S59)</f>
        <v>0</v>
      </c>
      <c r="Z59" s="69">
        <f t="shared" si="131"/>
        <v>24660.899999999998</v>
      </c>
      <c r="AA59" s="69">
        <f t="shared" si="131"/>
        <v>0</v>
      </c>
      <c r="AB59" s="69">
        <f t="shared" si="131"/>
        <v>0</v>
      </c>
      <c r="AC59" s="69">
        <f t="shared" si="131"/>
        <v>0</v>
      </c>
      <c r="AD59" s="562"/>
      <c r="AE59" s="565">
        <f>SUMIF($G:$G,TEXT(AE$3,"000")&amp;TEXT($L59,"000"),$E:$E)</f>
        <v>0</v>
      </c>
      <c r="AF59" s="565">
        <f>SUMIF($G:$G,TEXT(AF$3,"000")&amp;TEXT($L59,"000"),$E:$E)</f>
        <v>705</v>
      </c>
      <c r="AG59" s="565">
        <f>SUMIF($G:$G,TEXT(AG$3,"000")&amp;TEXT($L59,"000"),$E:$E)</f>
        <v>0</v>
      </c>
      <c r="AH59" s="565">
        <f>SUMIF($G:$G,TEXT(AH$3,"000")&amp;TEXT($L59,"000"),$E:$E)</f>
        <v>0</v>
      </c>
      <c r="AI59" s="565">
        <f>SUMIF($G:$G,TEXT(AI$3,"000")&amp;TEXT($L59,"000"),$E:$E)</f>
        <v>0</v>
      </c>
      <c r="AJ59" s="562"/>
      <c r="AK59" s="570">
        <f>ROUND(S59*(1+AK$1),2)</f>
        <v>0</v>
      </c>
      <c r="AL59" s="570">
        <f>AL58</f>
        <v>36.14</v>
      </c>
      <c r="AM59" s="570">
        <f t="shared" si="113"/>
        <v>0</v>
      </c>
      <c r="AN59" s="570">
        <f t="shared" si="114"/>
        <v>0</v>
      </c>
      <c r="AO59" s="570">
        <f t="shared" si="115"/>
        <v>0</v>
      </c>
      <c r="AP59" s="562"/>
      <c r="AQ59" s="69">
        <f t="shared" si="116"/>
        <v>0</v>
      </c>
      <c r="AR59" s="69">
        <f t="shared" si="105"/>
        <v>25478.7</v>
      </c>
      <c r="AS59" s="69">
        <f t="shared" si="117"/>
        <v>0</v>
      </c>
      <c r="AT59" s="69">
        <f t="shared" si="118"/>
        <v>0</v>
      </c>
      <c r="AU59" s="69">
        <f t="shared" si="119"/>
        <v>0</v>
      </c>
      <c r="AV59" s="69">
        <f t="shared" si="65"/>
        <v>817.80000000000291</v>
      </c>
      <c r="AW59" s="443">
        <f t="shared" si="75"/>
        <v>3.3161806746712527E-2</v>
      </c>
      <c r="AX59" s="577">
        <v>39</v>
      </c>
      <c r="AY59" s="567"/>
      <c r="AZ59" s="567">
        <v>35.590000000000003</v>
      </c>
      <c r="BA59" s="567"/>
      <c r="BB59" s="567"/>
      <c r="BC59" s="567"/>
      <c r="BD59" s="567"/>
      <c r="BE59" s="573">
        <f>ROUND(AX59*$BE$2,2)+ROUND(AX59*$BE$1,2)</f>
        <v>8.0000000000000016E-2</v>
      </c>
      <c r="BF59" s="563"/>
      <c r="BG59" s="563">
        <f t="shared" si="129"/>
        <v>0</v>
      </c>
      <c r="BH59" s="563"/>
      <c r="BI59" s="563"/>
      <c r="BJ59" s="563"/>
      <c r="BK59" s="562"/>
      <c r="BL59" s="562"/>
      <c r="BM59" s="571">
        <f t="shared" si="120"/>
        <v>0</v>
      </c>
      <c r="BN59" s="571">
        <f t="shared" si="121"/>
        <v>36.685713999999997</v>
      </c>
      <c r="BO59" s="571">
        <f t="shared" ref="BO59:BQ60" si="132">AM59*$BM$1</f>
        <v>0</v>
      </c>
      <c r="BP59" s="571">
        <f t="shared" si="132"/>
        <v>0</v>
      </c>
      <c r="BQ59" s="571">
        <f t="shared" si="132"/>
        <v>0</v>
      </c>
      <c r="BR59" s="562"/>
      <c r="BS59" s="563">
        <f t="shared" ref="BS59:BW60" si="133">BM59-AY59</f>
        <v>0</v>
      </c>
      <c r="BT59" s="563">
        <f t="shared" si="133"/>
        <v>1.0957139999999939</v>
      </c>
      <c r="BU59" s="563">
        <f t="shared" si="133"/>
        <v>0</v>
      </c>
      <c r="BV59" s="563">
        <f t="shared" si="133"/>
        <v>0</v>
      </c>
      <c r="BW59" s="563">
        <f t="shared" si="133"/>
        <v>0</v>
      </c>
      <c r="BX59" s="562"/>
      <c r="BY59" s="562"/>
      <c r="BZ59" s="562"/>
      <c r="CA59" s="562"/>
      <c r="CB59" s="562"/>
      <c r="CG59" s="580"/>
      <c r="DC59" s="669"/>
      <c r="DD59" s="669"/>
      <c r="DE59" s="669"/>
      <c r="DF59" s="669"/>
      <c r="DG59" s="669"/>
      <c r="DH59" s="669"/>
      <c r="DI59" s="669"/>
      <c r="DJ59" s="669"/>
      <c r="DK59" s="669"/>
      <c r="DL59" s="669"/>
      <c r="DM59" s="669"/>
      <c r="DN59" s="669"/>
      <c r="DO59" s="669"/>
      <c r="DP59" s="669"/>
    </row>
    <row r="60" spans="1:120">
      <c r="A60" s="632"/>
      <c r="B60" s="527">
        <v>2</v>
      </c>
      <c r="C60" s="71" t="s">
        <v>120</v>
      </c>
      <c r="D60" s="527" t="s">
        <v>600</v>
      </c>
      <c r="E60" s="549">
        <v>15</v>
      </c>
      <c r="F60" s="72"/>
      <c r="G60" s="72" t="str">
        <f t="shared" si="90"/>
        <v>042542L</v>
      </c>
      <c r="H60" s="46"/>
      <c r="I60" s="631" t="s">
        <v>698</v>
      </c>
      <c r="J60" s="631" t="s">
        <v>109</v>
      </c>
      <c r="K60" s="564" t="s">
        <v>603</v>
      </c>
      <c r="L60" s="566" t="s">
        <v>696</v>
      </c>
      <c r="M60" s="565">
        <f t="shared" si="130"/>
        <v>0</v>
      </c>
      <c r="N60" s="565">
        <f t="shared" si="130"/>
        <v>152</v>
      </c>
      <c r="O60" s="565">
        <f t="shared" si="130"/>
        <v>0</v>
      </c>
      <c r="P60" s="565">
        <f t="shared" si="130"/>
        <v>0</v>
      </c>
      <c r="Q60" s="565">
        <f t="shared" si="130"/>
        <v>0</v>
      </c>
      <c r="R60" s="565">
        <f t="shared" si="98"/>
        <v>0</v>
      </c>
      <c r="S60" s="603">
        <v>0</v>
      </c>
      <c r="T60" s="633">
        <f>T58-T95</f>
        <v>29.449999999999996</v>
      </c>
      <c r="U60" s="603"/>
      <c r="V60" s="603">
        <v>0</v>
      </c>
      <c r="W60" s="603">
        <v>0</v>
      </c>
      <c r="X60" s="631"/>
      <c r="Y60" s="69">
        <f t="shared" si="131"/>
        <v>0</v>
      </c>
      <c r="Z60" s="69">
        <f t="shared" si="131"/>
        <v>4476.3999999999996</v>
      </c>
      <c r="AA60" s="69">
        <f t="shared" si="131"/>
        <v>0</v>
      </c>
      <c r="AB60" s="69">
        <f t="shared" si="131"/>
        <v>0</v>
      </c>
      <c r="AC60" s="69">
        <f t="shared" si="131"/>
        <v>0</v>
      </c>
      <c r="AD60" s="631"/>
      <c r="AE60" s="565">
        <f>M60</f>
        <v>0</v>
      </c>
      <c r="AF60" s="565">
        <f>N60</f>
        <v>152</v>
      </c>
      <c r="AG60" s="565">
        <f>O60</f>
        <v>0</v>
      </c>
      <c r="AH60" s="565">
        <f>P60</f>
        <v>0</v>
      </c>
      <c r="AI60" s="565">
        <f>Q60</f>
        <v>0</v>
      </c>
      <c r="AJ60" s="631"/>
      <c r="AK60" s="570">
        <f>ROUND(S60*(1+AK$1),2)</f>
        <v>0</v>
      </c>
      <c r="AL60" s="570">
        <f>AL59-AL95</f>
        <v>30.61</v>
      </c>
      <c r="AM60" s="570">
        <f t="shared" si="113"/>
        <v>0</v>
      </c>
      <c r="AN60" s="570">
        <f t="shared" si="114"/>
        <v>0</v>
      </c>
      <c r="AO60" s="570">
        <f t="shared" si="115"/>
        <v>0</v>
      </c>
      <c r="AP60" s="631"/>
      <c r="AQ60" s="69">
        <f t="shared" si="116"/>
        <v>0</v>
      </c>
      <c r="AR60" s="69">
        <f t="shared" si="105"/>
        <v>4652.72</v>
      </c>
      <c r="AS60" s="69">
        <f t="shared" si="117"/>
        <v>0</v>
      </c>
      <c r="AT60" s="69">
        <f t="shared" si="118"/>
        <v>0</v>
      </c>
      <c r="AU60" s="69">
        <f t="shared" si="119"/>
        <v>0</v>
      </c>
      <c r="AV60" s="69">
        <f t="shared" si="65"/>
        <v>176.32000000000062</v>
      </c>
      <c r="AW60" s="443">
        <f t="shared" si="75"/>
        <v>3.9388794567062957E-2</v>
      </c>
      <c r="AX60" s="577">
        <v>39</v>
      </c>
      <c r="AY60" s="567"/>
      <c r="AZ60" s="567">
        <v>29.97</v>
      </c>
      <c r="BA60" s="567"/>
      <c r="BB60" s="567"/>
      <c r="BC60" s="567"/>
      <c r="BD60" s="567"/>
      <c r="BE60" s="573">
        <f>ROUND(AX60*$BE$2,2)+ROUND(AX60*$BE$1,2)</f>
        <v>8.0000000000000016E-2</v>
      </c>
      <c r="BF60" s="563"/>
      <c r="BG60" s="563">
        <f t="shared" si="129"/>
        <v>0</v>
      </c>
      <c r="BH60" s="563"/>
      <c r="BI60" s="563"/>
      <c r="BJ60" s="563"/>
      <c r="BK60" s="631"/>
      <c r="BL60" s="631"/>
      <c r="BM60" s="571">
        <f t="shared" si="120"/>
        <v>0</v>
      </c>
      <c r="BN60" s="571">
        <f t="shared" si="121"/>
        <v>31.072210999999996</v>
      </c>
      <c r="BO60" s="571">
        <f t="shared" si="132"/>
        <v>0</v>
      </c>
      <c r="BP60" s="571">
        <f t="shared" si="132"/>
        <v>0</v>
      </c>
      <c r="BQ60" s="571">
        <f t="shared" si="132"/>
        <v>0</v>
      </c>
      <c r="BR60" s="631"/>
      <c r="BS60" s="563">
        <f t="shared" si="133"/>
        <v>0</v>
      </c>
      <c r="BT60" s="563">
        <f t="shared" si="133"/>
        <v>1.1022109999999969</v>
      </c>
      <c r="BU60" s="563">
        <f t="shared" si="133"/>
        <v>0</v>
      </c>
      <c r="BV60" s="563">
        <f t="shared" si="133"/>
        <v>0</v>
      </c>
      <c r="BW60" s="563">
        <f t="shared" si="133"/>
        <v>0</v>
      </c>
      <c r="BX60" s="631"/>
      <c r="BY60" s="631"/>
      <c r="BZ60" s="631"/>
      <c r="CA60" s="631"/>
      <c r="CB60" s="631"/>
      <c r="CC60" s="631"/>
      <c r="CD60" s="631"/>
      <c r="CE60" s="631"/>
      <c r="CF60" s="631"/>
    </row>
    <row r="61" spans="1:120">
      <c r="A61" s="597"/>
      <c r="B61" s="527">
        <v>2</v>
      </c>
      <c r="C61" s="71" t="s">
        <v>120</v>
      </c>
      <c r="D61" s="527" t="s">
        <v>703</v>
      </c>
      <c r="E61" s="549">
        <v>9</v>
      </c>
      <c r="F61" s="72"/>
      <c r="G61" s="72" t="str">
        <f t="shared" si="90"/>
        <v>042542T</v>
      </c>
      <c r="H61" s="46"/>
      <c r="I61" t="s">
        <v>128</v>
      </c>
      <c r="J61" t="s">
        <v>110</v>
      </c>
      <c r="K61" s="58" t="s">
        <v>142</v>
      </c>
      <c r="L61" s="96">
        <v>533</v>
      </c>
      <c r="M61" s="68">
        <f t="shared" si="130"/>
        <v>0</v>
      </c>
      <c r="N61" s="68">
        <f t="shared" si="130"/>
        <v>21</v>
      </c>
      <c r="O61" s="68">
        <f t="shared" si="130"/>
        <v>3</v>
      </c>
      <c r="P61" s="68">
        <f t="shared" si="130"/>
        <v>0</v>
      </c>
      <c r="Q61" s="68">
        <f t="shared" si="130"/>
        <v>0</v>
      </c>
      <c r="R61" s="565">
        <f t="shared" si="98"/>
        <v>0</v>
      </c>
      <c r="S61" s="603">
        <v>0</v>
      </c>
      <c r="T61" s="603">
        <v>34.979999999999997</v>
      </c>
      <c r="U61" s="603">
        <v>11.68</v>
      </c>
      <c r="V61" s="603">
        <v>0</v>
      </c>
      <c r="W61" s="603">
        <v>0</v>
      </c>
      <c r="Y61" s="69">
        <f t="shared" si="57"/>
        <v>0</v>
      </c>
      <c r="Z61" s="69">
        <f t="shared" si="58"/>
        <v>734.57999999999993</v>
      </c>
      <c r="AA61" s="69">
        <f t="shared" si="59"/>
        <v>35.04</v>
      </c>
      <c r="AB61" s="69">
        <f t="shared" si="60"/>
        <v>0</v>
      </c>
      <c r="AC61" s="69">
        <f t="shared" si="61"/>
        <v>0</v>
      </c>
      <c r="AE61" s="68">
        <f t="shared" si="62"/>
        <v>0</v>
      </c>
      <c r="AF61" s="68">
        <f t="shared" si="125"/>
        <v>21</v>
      </c>
      <c r="AG61" s="68">
        <f t="shared" si="126"/>
        <v>3</v>
      </c>
      <c r="AH61" s="68">
        <f t="shared" si="127"/>
        <v>0</v>
      </c>
      <c r="AI61" s="68">
        <f t="shared" si="128"/>
        <v>0</v>
      </c>
      <c r="AK61" s="570">
        <f t="shared" si="112"/>
        <v>0</v>
      </c>
      <c r="AL61" s="570">
        <f t="shared" si="100"/>
        <v>36.14</v>
      </c>
      <c r="AM61" s="570">
        <f t="shared" si="113"/>
        <v>12.07</v>
      </c>
      <c r="AN61" s="570">
        <f t="shared" si="114"/>
        <v>0</v>
      </c>
      <c r="AO61" s="570">
        <f t="shared" si="115"/>
        <v>0</v>
      </c>
      <c r="AQ61" s="69">
        <f t="shared" si="116"/>
        <v>0</v>
      </c>
      <c r="AR61" s="69">
        <f t="shared" si="105"/>
        <v>758.94</v>
      </c>
      <c r="AS61" s="69">
        <f t="shared" si="117"/>
        <v>36.21</v>
      </c>
      <c r="AT61" s="69">
        <f t="shared" si="118"/>
        <v>0</v>
      </c>
      <c r="AU61" s="69">
        <f t="shared" si="119"/>
        <v>0</v>
      </c>
      <c r="AV61" s="69">
        <f t="shared" si="65"/>
        <v>24.360000000000127</v>
      </c>
      <c r="AW61" s="443">
        <f t="shared" si="75"/>
        <v>3.3161806746712583E-2</v>
      </c>
      <c r="AX61" s="434">
        <v>85</v>
      </c>
      <c r="AY61" s="567"/>
      <c r="AZ61" s="567">
        <v>35.69</v>
      </c>
      <c r="BA61" s="567">
        <v>12.04</v>
      </c>
      <c r="BB61" s="567"/>
      <c r="BC61" s="567"/>
      <c r="BD61" s="139"/>
      <c r="BE61" s="573">
        <f t="shared" si="66"/>
        <v>0.17999999999999994</v>
      </c>
      <c r="BF61" s="53"/>
      <c r="BG61" s="53">
        <f t="shared" si="129"/>
        <v>0</v>
      </c>
      <c r="BH61" s="53">
        <f>ROUND((U61*$BF$2)+$BE61-BA61,2)</f>
        <v>0</v>
      </c>
      <c r="BI61" s="53"/>
      <c r="BJ61" s="53"/>
      <c r="BM61" s="278">
        <f t="shared" si="120"/>
        <v>0</v>
      </c>
      <c r="BN61" s="278">
        <f t="shared" si="121"/>
        <v>36.685713999999997</v>
      </c>
      <c r="BO61" s="278">
        <f t="shared" si="76"/>
        <v>12.252256999999998</v>
      </c>
      <c r="BP61" s="278">
        <f t="shared" si="77"/>
        <v>0</v>
      </c>
      <c r="BQ61" s="278">
        <f t="shared" si="78"/>
        <v>0</v>
      </c>
      <c r="BS61" s="53">
        <f t="shared" si="70"/>
        <v>0</v>
      </c>
      <c r="BT61" s="53">
        <f t="shared" si="71"/>
        <v>0.99571399999999954</v>
      </c>
      <c r="BU61" s="53">
        <f t="shared" si="72"/>
        <v>0.21225699999999925</v>
      </c>
      <c r="BV61" s="53">
        <f t="shared" si="73"/>
        <v>0</v>
      </c>
      <c r="BW61" s="53">
        <f t="shared" si="74"/>
        <v>0</v>
      </c>
    </row>
    <row r="62" spans="1:120">
      <c r="A62" s="632"/>
      <c r="B62" s="527">
        <v>2</v>
      </c>
      <c r="C62" s="71" t="s">
        <v>120</v>
      </c>
      <c r="D62" s="527" t="s">
        <v>712</v>
      </c>
      <c r="E62" s="549">
        <v>8</v>
      </c>
      <c r="F62" s="72"/>
      <c r="G62" s="72" t="str">
        <f t="shared" si="90"/>
        <v>042546T</v>
      </c>
      <c r="H62" s="46"/>
      <c r="I62" s="422" t="s">
        <v>698</v>
      </c>
      <c r="J62" s="562" t="s">
        <v>110</v>
      </c>
      <c r="K62" s="564" t="s">
        <v>603</v>
      </c>
      <c r="L62" s="566" t="s">
        <v>596</v>
      </c>
      <c r="M62" s="565">
        <f t="shared" si="130"/>
        <v>0</v>
      </c>
      <c r="N62" s="565">
        <f t="shared" si="130"/>
        <v>53</v>
      </c>
      <c r="O62" s="565">
        <f t="shared" si="130"/>
        <v>0</v>
      </c>
      <c r="P62" s="565">
        <f t="shared" si="130"/>
        <v>0</v>
      </c>
      <c r="Q62" s="565">
        <f t="shared" si="130"/>
        <v>0</v>
      </c>
      <c r="R62" s="565">
        <f t="shared" si="98"/>
        <v>0</v>
      </c>
      <c r="S62" s="603">
        <v>0</v>
      </c>
      <c r="T62" s="633">
        <f>T61</f>
        <v>34.979999999999997</v>
      </c>
      <c r="U62" s="603">
        <v>0</v>
      </c>
      <c r="V62" s="603">
        <v>0</v>
      </c>
      <c r="W62" s="603"/>
      <c r="X62" s="562"/>
      <c r="Y62" s="69">
        <f t="shared" ref="Y62:AC63" si="134">IF(AND(M62&lt;&gt;0,S62=0),#VALUE!,M62*S62)</f>
        <v>0</v>
      </c>
      <c r="Z62" s="69">
        <f t="shared" si="134"/>
        <v>1853.9399999999998</v>
      </c>
      <c r="AA62" s="69">
        <f t="shared" si="134"/>
        <v>0</v>
      </c>
      <c r="AB62" s="69">
        <f t="shared" si="134"/>
        <v>0</v>
      </c>
      <c r="AC62" s="69">
        <f t="shared" si="134"/>
        <v>0</v>
      </c>
      <c r="AD62" s="562"/>
      <c r="AE62" s="565">
        <f>SUMIF($G:$G,TEXT(AE$3,"000")&amp;TEXT($L62,"000"),$E:$E)</f>
        <v>0</v>
      </c>
      <c r="AF62" s="565">
        <f>SUMIF($G:$G,TEXT(AF$3,"000")&amp;TEXT($L62,"000"),$E:$E)</f>
        <v>53</v>
      </c>
      <c r="AG62" s="565">
        <f>SUMIF($G:$G,TEXT(AG$3,"000")&amp;TEXT($L62,"000"),$E:$E)</f>
        <v>0</v>
      </c>
      <c r="AH62" s="565">
        <f>SUMIF($G:$G,TEXT(AH$3,"000")&amp;TEXT($L62,"000"),$E:$E)</f>
        <v>0</v>
      </c>
      <c r="AI62" s="565">
        <f>SUMIF($G:$G,TEXT(AI$3,"000")&amp;TEXT($L62,"000"),$E:$E)</f>
        <v>0</v>
      </c>
      <c r="AJ62" s="562"/>
      <c r="AK62" s="570">
        <f>ROUND(S62*(1+AK$1),2)</f>
        <v>0</v>
      </c>
      <c r="AL62" s="570">
        <f>AL61</f>
        <v>36.14</v>
      </c>
      <c r="AM62" s="570">
        <f t="shared" si="113"/>
        <v>0</v>
      </c>
      <c r="AN62" s="570">
        <f t="shared" si="114"/>
        <v>0</v>
      </c>
      <c r="AO62" s="570">
        <f t="shared" si="115"/>
        <v>0</v>
      </c>
      <c r="AP62" s="562"/>
      <c r="AQ62" s="69">
        <f t="shared" si="116"/>
        <v>0</v>
      </c>
      <c r="AR62" s="69">
        <f t="shared" si="105"/>
        <v>1915.42</v>
      </c>
      <c r="AS62" s="69">
        <f t="shared" si="117"/>
        <v>0</v>
      </c>
      <c r="AT62" s="69">
        <f t="shared" si="118"/>
        <v>0</v>
      </c>
      <c r="AU62" s="69">
        <f t="shared" si="119"/>
        <v>0</v>
      </c>
      <c r="AV62" s="69">
        <f t="shared" si="65"/>
        <v>61.480000000000246</v>
      </c>
      <c r="AW62" s="443">
        <f t="shared" si="75"/>
        <v>3.3161806746712541E-2</v>
      </c>
      <c r="AX62" s="577">
        <v>39</v>
      </c>
      <c r="AY62" s="567"/>
      <c r="AZ62" s="567">
        <v>35.590000000000003</v>
      </c>
      <c r="BA62" s="567"/>
      <c r="BB62" s="567"/>
      <c r="BC62" s="567"/>
      <c r="BD62" s="567"/>
      <c r="BE62" s="573">
        <f>ROUND(AX62*$BE$2,2)+ROUND(AX62*$BE$1,2)</f>
        <v>8.0000000000000016E-2</v>
      </c>
      <c r="BF62" s="563"/>
      <c r="BG62" s="563">
        <f t="shared" si="129"/>
        <v>0</v>
      </c>
      <c r="BH62" s="563"/>
      <c r="BI62" s="563"/>
      <c r="BJ62" s="563"/>
      <c r="BK62" s="562"/>
      <c r="BL62" s="562"/>
      <c r="BM62" s="571">
        <f t="shared" si="120"/>
        <v>0</v>
      </c>
      <c r="BN62" s="571">
        <f t="shared" si="121"/>
        <v>36.685713999999997</v>
      </c>
      <c r="BO62" s="571">
        <f t="shared" ref="BO62:BQ63" si="135">AM62*$BM$1</f>
        <v>0</v>
      </c>
      <c r="BP62" s="571">
        <f t="shared" si="135"/>
        <v>0</v>
      </c>
      <c r="BQ62" s="571">
        <f t="shared" si="135"/>
        <v>0</v>
      </c>
      <c r="BR62" s="562"/>
      <c r="BS62" s="563">
        <f t="shared" ref="BS62:BW63" si="136">BM62-AY62</f>
        <v>0</v>
      </c>
      <c r="BT62" s="563">
        <f t="shared" si="136"/>
        <v>1.0957139999999939</v>
      </c>
      <c r="BU62" s="563">
        <f t="shared" si="136"/>
        <v>0</v>
      </c>
      <c r="BV62" s="563">
        <f t="shared" si="136"/>
        <v>0</v>
      </c>
      <c r="BW62" s="563">
        <f t="shared" si="136"/>
        <v>0</v>
      </c>
      <c r="BX62" s="562"/>
      <c r="BY62" s="562"/>
      <c r="BZ62" s="562"/>
      <c r="CA62" s="562"/>
      <c r="CB62" s="562"/>
    </row>
    <row r="63" spans="1:120">
      <c r="B63" s="35">
        <v>2</v>
      </c>
      <c r="C63" s="71" t="s">
        <v>120</v>
      </c>
      <c r="D63" s="35">
        <v>631</v>
      </c>
      <c r="E63" s="547">
        <v>38</v>
      </c>
      <c r="F63" s="72"/>
      <c r="G63" s="72" t="str">
        <f t="shared" si="90"/>
        <v>042631</v>
      </c>
      <c r="H63" s="46"/>
      <c r="I63" s="631" t="s">
        <v>698</v>
      </c>
      <c r="J63" s="631" t="s">
        <v>110</v>
      </c>
      <c r="K63" s="564" t="s">
        <v>603</v>
      </c>
      <c r="L63" s="566" t="s">
        <v>697</v>
      </c>
      <c r="M63" s="565">
        <f t="shared" si="130"/>
        <v>0</v>
      </c>
      <c r="N63" s="565">
        <f t="shared" si="130"/>
        <v>47</v>
      </c>
      <c r="O63" s="565">
        <f t="shared" si="130"/>
        <v>0</v>
      </c>
      <c r="P63" s="565">
        <f t="shared" si="130"/>
        <v>0</v>
      </c>
      <c r="Q63" s="565">
        <f t="shared" si="130"/>
        <v>0</v>
      </c>
      <c r="R63" s="565">
        <f t="shared" si="98"/>
        <v>0</v>
      </c>
      <c r="S63" s="603">
        <v>0</v>
      </c>
      <c r="T63" s="633">
        <f>T61-T95</f>
        <v>29.449999999999996</v>
      </c>
      <c r="U63" s="603"/>
      <c r="V63" s="603">
        <v>0</v>
      </c>
      <c r="W63" s="603">
        <v>0</v>
      </c>
      <c r="X63" s="631"/>
      <c r="Y63" s="69">
        <f t="shared" si="134"/>
        <v>0</v>
      </c>
      <c r="Z63" s="69">
        <f t="shared" si="134"/>
        <v>1384.1499999999999</v>
      </c>
      <c r="AA63" s="69">
        <f t="shared" si="134"/>
        <v>0</v>
      </c>
      <c r="AB63" s="69">
        <f t="shared" si="134"/>
        <v>0</v>
      </c>
      <c r="AC63" s="69">
        <f t="shared" si="134"/>
        <v>0</v>
      </c>
      <c r="AD63" s="631"/>
      <c r="AE63" s="565">
        <f>M63</f>
        <v>0</v>
      </c>
      <c r="AF63" s="565">
        <f>N63</f>
        <v>47</v>
      </c>
      <c r="AG63" s="565">
        <f>O63</f>
        <v>0</v>
      </c>
      <c r="AH63" s="565">
        <f>P63</f>
        <v>0</v>
      </c>
      <c r="AI63" s="565">
        <f>Q63</f>
        <v>0</v>
      </c>
      <c r="AJ63" s="631"/>
      <c r="AK63" s="570">
        <f>ROUND(S63*(1+AK$1),2)</f>
        <v>0</v>
      </c>
      <c r="AL63" s="570">
        <f>AL62-AL95</f>
        <v>30.61</v>
      </c>
      <c r="AM63" s="570">
        <f t="shared" si="113"/>
        <v>0</v>
      </c>
      <c r="AN63" s="570">
        <f t="shared" si="114"/>
        <v>0</v>
      </c>
      <c r="AO63" s="570">
        <f t="shared" si="115"/>
        <v>0</v>
      </c>
      <c r="AP63" s="631"/>
      <c r="AQ63" s="69">
        <f t="shared" si="116"/>
        <v>0</v>
      </c>
      <c r="AR63" s="69">
        <f t="shared" si="105"/>
        <v>1438.67</v>
      </c>
      <c r="AS63" s="69">
        <f t="shared" si="117"/>
        <v>0</v>
      </c>
      <c r="AT63" s="69">
        <f t="shared" si="118"/>
        <v>0</v>
      </c>
      <c r="AU63" s="69">
        <f t="shared" si="119"/>
        <v>0</v>
      </c>
      <c r="AV63" s="69">
        <f t="shared" si="65"/>
        <v>54.520000000000209</v>
      </c>
      <c r="AW63" s="443">
        <f t="shared" si="75"/>
        <v>3.9388794567062971E-2</v>
      </c>
      <c r="AX63" s="577">
        <v>39</v>
      </c>
      <c r="AY63" s="567"/>
      <c r="AZ63" s="567">
        <v>29.97</v>
      </c>
      <c r="BA63" s="567"/>
      <c r="BB63" s="567"/>
      <c r="BC63" s="567"/>
      <c r="BD63" s="567"/>
      <c r="BE63" s="573">
        <f>ROUND(AX63*$BE$2,2)+ROUND(AX63*$BE$1,2)</f>
        <v>8.0000000000000016E-2</v>
      </c>
      <c r="BF63" s="563"/>
      <c r="BG63" s="563">
        <f t="shared" si="129"/>
        <v>0</v>
      </c>
      <c r="BH63" s="563"/>
      <c r="BI63" s="563"/>
      <c r="BJ63" s="563"/>
      <c r="BK63" s="631"/>
      <c r="BL63" s="631"/>
      <c r="BM63" s="571">
        <f t="shared" si="120"/>
        <v>0</v>
      </c>
      <c r="BN63" s="571">
        <f t="shared" si="121"/>
        <v>31.072210999999996</v>
      </c>
      <c r="BO63" s="571">
        <f t="shared" si="135"/>
        <v>0</v>
      </c>
      <c r="BP63" s="571">
        <f t="shared" si="135"/>
        <v>0</v>
      </c>
      <c r="BQ63" s="571">
        <f t="shared" si="135"/>
        <v>0</v>
      </c>
      <c r="BR63" s="631"/>
      <c r="BS63" s="563">
        <f t="shared" si="136"/>
        <v>0</v>
      </c>
      <c r="BT63" s="563">
        <f t="shared" si="136"/>
        <v>1.1022109999999969</v>
      </c>
      <c r="BU63" s="563">
        <f t="shared" si="136"/>
        <v>0</v>
      </c>
      <c r="BV63" s="563">
        <f t="shared" si="136"/>
        <v>0</v>
      </c>
      <c r="BW63" s="563">
        <f t="shared" si="136"/>
        <v>0</v>
      </c>
      <c r="BX63" s="631"/>
      <c r="BY63" s="631"/>
      <c r="BZ63" s="631"/>
      <c r="CA63" s="631"/>
      <c r="CB63" s="631"/>
      <c r="CC63" s="631"/>
      <c r="CD63" s="631"/>
      <c r="CE63" s="631"/>
      <c r="CF63" s="631"/>
    </row>
    <row r="64" spans="1:120">
      <c r="B64" s="35">
        <v>2</v>
      </c>
      <c r="C64" s="71" t="s">
        <v>120</v>
      </c>
      <c r="D64" s="35">
        <v>633</v>
      </c>
      <c r="E64" s="547">
        <v>34</v>
      </c>
      <c r="F64" s="72"/>
      <c r="G64" s="72" t="str">
        <f t="shared" si="90"/>
        <v>042633</v>
      </c>
      <c r="H64" s="46"/>
      <c r="I64" t="s">
        <v>128</v>
      </c>
      <c r="J64" t="s">
        <v>824</v>
      </c>
      <c r="K64" s="58" t="s">
        <v>142</v>
      </c>
      <c r="L64" s="96">
        <v>535</v>
      </c>
      <c r="M64" s="68">
        <f t="shared" si="130"/>
        <v>0</v>
      </c>
      <c r="N64" s="68">
        <f t="shared" si="130"/>
        <v>314</v>
      </c>
      <c r="O64" s="68">
        <f t="shared" si="130"/>
        <v>9</v>
      </c>
      <c r="P64" s="68">
        <f t="shared" si="130"/>
        <v>0</v>
      </c>
      <c r="Q64" s="68">
        <f t="shared" si="130"/>
        <v>49</v>
      </c>
      <c r="R64" s="565">
        <f t="shared" si="98"/>
        <v>0</v>
      </c>
      <c r="S64" s="603">
        <v>0</v>
      </c>
      <c r="T64" s="603">
        <v>19.45</v>
      </c>
      <c r="U64" s="603">
        <v>11.68</v>
      </c>
      <c r="V64" s="603">
        <v>0</v>
      </c>
      <c r="W64" s="603">
        <v>9.23</v>
      </c>
      <c r="Y64" s="69">
        <f t="shared" si="57"/>
        <v>0</v>
      </c>
      <c r="Z64" s="69">
        <f t="shared" si="58"/>
        <v>6107.3</v>
      </c>
      <c r="AA64" s="69">
        <f t="shared" si="59"/>
        <v>105.12</v>
      </c>
      <c r="AB64" s="69">
        <f t="shared" si="60"/>
        <v>0</v>
      </c>
      <c r="AC64" s="69">
        <f t="shared" si="61"/>
        <v>452.27000000000004</v>
      </c>
      <c r="AE64" s="68">
        <f t="shared" si="62"/>
        <v>0</v>
      </c>
      <c r="AF64" s="68">
        <f t="shared" si="125"/>
        <v>314</v>
      </c>
      <c r="AG64" s="68">
        <f t="shared" si="126"/>
        <v>9</v>
      </c>
      <c r="AH64" s="68">
        <f t="shared" si="127"/>
        <v>0</v>
      </c>
      <c r="AI64" s="68">
        <f t="shared" si="128"/>
        <v>49</v>
      </c>
      <c r="AK64" s="570">
        <f t="shared" si="112"/>
        <v>0</v>
      </c>
      <c r="AL64" s="570">
        <f t="shared" si="100"/>
        <v>20.100000000000001</v>
      </c>
      <c r="AM64" s="570">
        <f t="shared" si="113"/>
        <v>12.07</v>
      </c>
      <c r="AN64" s="570">
        <f t="shared" si="114"/>
        <v>0</v>
      </c>
      <c r="AO64" s="570">
        <f>ROUND(W64*(1+AO$1),2)</f>
        <v>9.5399999999999991</v>
      </c>
      <c r="AQ64" s="69">
        <f t="shared" si="116"/>
        <v>0</v>
      </c>
      <c r="AR64" s="69">
        <f t="shared" si="105"/>
        <v>6311.4000000000005</v>
      </c>
      <c r="AS64" s="69">
        <f t="shared" si="117"/>
        <v>108.63</v>
      </c>
      <c r="AT64" s="69">
        <f t="shared" si="118"/>
        <v>0</v>
      </c>
      <c r="AU64" s="69">
        <f t="shared" si="119"/>
        <v>467.46</v>
      </c>
      <c r="AV64" s="69">
        <f t="shared" si="65"/>
        <v>204.10000000000036</v>
      </c>
      <c r="AW64" s="443">
        <f t="shared" si="75"/>
        <v>3.3419023136246846E-2</v>
      </c>
      <c r="AX64" s="434">
        <v>85</v>
      </c>
      <c r="AY64" s="567"/>
      <c r="AZ64" s="567">
        <v>19.920000000000002</v>
      </c>
      <c r="BA64" s="567">
        <v>12.04</v>
      </c>
      <c r="BB64" s="567"/>
      <c r="BC64" s="567">
        <v>9.5500000000000007</v>
      </c>
      <c r="BD64" s="139"/>
      <c r="BE64" s="573">
        <f t="shared" si="66"/>
        <v>0.17999999999999994</v>
      </c>
      <c r="BF64" s="53"/>
      <c r="BG64" s="53">
        <f t="shared" si="129"/>
        <v>0</v>
      </c>
      <c r="BH64" s="53">
        <f>ROUND((U64*$BF$2)+$BE64-BA64,2)</f>
        <v>0</v>
      </c>
      <c r="BI64" s="53"/>
      <c r="BJ64" s="53">
        <f>ROUND((W64*$BF$2)+$BE64-BC64,2)</f>
        <v>0</v>
      </c>
      <c r="BM64" s="278">
        <f t="shared" si="120"/>
        <v>0</v>
      </c>
      <c r="BN64" s="278">
        <f t="shared" si="121"/>
        <v>20.403510000000001</v>
      </c>
      <c r="BO64" s="278">
        <f t="shared" si="76"/>
        <v>12.252256999999998</v>
      </c>
      <c r="BP64" s="278">
        <f t="shared" si="77"/>
        <v>0</v>
      </c>
      <c r="BQ64" s="278">
        <f t="shared" si="78"/>
        <v>9.6840539999999979</v>
      </c>
      <c r="BS64" s="53">
        <f t="shared" si="70"/>
        <v>0</v>
      </c>
      <c r="BT64" s="53">
        <f t="shared" si="71"/>
        <v>0.483509999999999</v>
      </c>
      <c r="BU64" s="53">
        <f t="shared" si="72"/>
        <v>0.21225699999999925</v>
      </c>
      <c r="BV64" s="53">
        <f t="shared" si="73"/>
        <v>0</v>
      </c>
      <c r="BW64" s="53">
        <f t="shared" si="74"/>
        <v>0.13405399999999723</v>
      </c>
    </row>
    <row r="65" spans="1:124">
      <c r="B65" s="35">
        <v>2</v>
      </c>
      <c r="C65" s="71" t="s">
        <v>120</v>
      </c>
      <c r="D65" s="35">
        <v>636</v>
      </c>
      <c r="E65" s="547">
        <v>2</v>
      </c>
      <c r="F65" s="72"/>
      <c r="G65" s="72" t="str">
        <f t="shared" si="90"/>
        <v>042636</v>
      </c>
      <c r="H65" s="46"/>
      <c r="I65" s="422" t="s">
        <v>698</v>
      </c>
      <c r="J65" s="671" t="s">
        <v>824</v>
      </c>
      <c r="K65" s="564" t="s">
        <v>603</v>
      </c>
      <c r="L65" s="566" t="s">
        <v>597</v>
      </c>
      <c r="M65" s="565">
        <f t="shared" si="130"/>
        <v>0</v>
      </c>
      <c r="N65" s="565">
        <f t="shared" si="130"/>
        <v>2134</v>
      </c>
      <c r="O65" s="565">
        <f t="shared" si="130"/>
        <v>0</v>
      </c>
      <c r="P65" s="565">
        <f t="shared" si="130"/>
        <v>0</v>
      </c>
      <c r="Q65" s="565">
        <f t="shared" si="130"/>
        <v>0</v>
      </c>
      <c r="R65" s="565">
        <f t="shared" si="98"/>
        <v>0</v>
      </c>
      <c r="S65" s="603">
        <v>0</v>
      </c>
      <c r="T65" s="633">
        <f>T64</f>
        <v>19.45</v>
      </c>
      <c r="U65" s="603">
        <v>0</v>
      </c>
      <c r="V65" s="603">
        <v>0</v>
      </c>
      <c r="W65" s="603"/>
      <c r="X65" s="562"/>
      <c r="Y65" s="69">
        <f t="shared" ref="Y65:AC66" si="137">IF(AND(M65&lt;&gt;0,S65=0),#VALUE!,M65*S65)</f>
        <v>0</v>
      </c>
      <c r="Z65" s="69">
        <f t="shared" si="137"/>
        <v>41506.299999999996</v>
      </c>
      <c r="AA65" s="69">
        <f t="shared" si="137"/>
        <v>0</v>
      </c>
      <c r="AB65" s="69">
        <f t="shared" si="137"/>
        <v>0</v>
      </c>
      <c r="AC65" s="69">
        <f t="shared" si="137"/>
        <v>0</v>
      </c>
      <c r="AD65" s="562"/>
      <c r="AE65" s="565">
        <f>SUMIF($G:$G,TEXT(AE$3,"000")&amp;TEXT($L65,"000"),$E:$E)</f>
        <v>0</v>
      </c>
      <c r="AF65" s="565">
        <f>SUMIF($G:$G,TEXT(AF$3,"000")&amp;TEXT($L65,"000"),$E:$E)</f>
        <v>2134</v>
      </c>
      <c r="AG65" s="565">
        <f>SUMIF($G:$G,TEXT(AG$3,"000")&amp;TEXT($L65,"000"),$E:$E)</f>
        <v>0</v>
      </c>
      <c r="AH65" s="565">
        <f>SUMIF($G:$G,TEXT(AH$3,"000")&amp;TEXT($L65,"000"),$E:$E)</f>
        <v>0</v>
      </c>
      <c r="AI65" s="565">
        <f>SUMIF($G:$G,TEXT(AI$3,"000")&amp;TEXT($L65,"000"),$E:$E)</f>
        <v>0</v>
      </c>
      <c r="AJ65" s="562"/>
      <c r="AK65" s="570">
        <f>ROUND(S65*(1+AK$1),2)</f>
        <v>0</v>
      </c>
      <c r="AL65" s="570">
        <f>AL64</f>
        <v>20.100000000000001</v>
      </c>
      <c r="AM65" s="570">
        <f t="shared" si="113"/>
        <v>0</v>
      </c>
      <c r="AN65" s="570">
        <f t="shared" si="114"/>
        <v>0</v>
      </c>
      <c r="AO65" s="570">
        <f t="shared" si="115"/>
        <v>0</v>
      </c>
      <c r="AP65" s="562"/>
      <c r="AQ65" s="69">
        <f t="shared" si="116"/>
        <v>0</v>
      </c>
      <c r="AR65" s="69">
        <f t="shared" si="105"/>
        <v>42893.4</v>
      </c>
      <c r="AS65" s="69">
        <f t="shared" si="117"/>
        <v>0</v>
      </c>
      <c r="AT65" s="69">
        <f t="shared" si="118"/>
        <v>0</v>
      </c>
      <c r="AU65" s="69">
        <f t="shared" si="119"/>
        <v>0</v>
      </c>
      <c r="AV65" s="69">
        <f t="shared" si="65"/>
        <v>1387.1000000000058</v>
      </c>
      <c r="AW65" s="443">
        <f t="shared" si="75"/>
        <v>3.3419023136246929E-2</v>
      </c>
      <c r="AX65" s="577">
        <v>39</v>
      </c>
      <c r="AY65" s="567"/>
      <c r="AZ65" s="567">
        <v>19.82</v>
      </c>
      <c r="BA65" s="567"/>
      <c r="BB65" s="567"/>
      <c r="BC65" s="567"/>
      <c r="BD65" s="567"/>
      <c r="BE65" s="573">
        <f>ROUND(AX65*$BE$2,2)+ROUND(AX65*$BE$1,2)</f>
        <v>8.0000000000000016E-2</v>
      </c>
      <c r="BF65" s="563"/>
      <c r="BG65" s="563">
        <f t="shared" si="129"/>
        <v>0</v>
      </c>
      <c r="BH65" s="563"/>
      <c r="BI65" s="563"/>
      <c r="BJ65" s="563"/>
      <c r="BK65" s="562"/>
      <c r="BL65" s="562"/>
      <c r="BM65" s="571">
        <f t="shared" si="120"/>
        <v>0</v>
      </c>
      <c r="BN65" s="571">
        <f t="shared" si="121"/>
        <v>20.403510000000001</v>
      </c>
      <c r="BO65" s="571">
        <f t="shared" ref="BO65:BQ66" si="138">AM65*$BM$1</f>
        <v>0</v>
      </c>
      <c r="BP65" s="571">
        <f t="shared" si="138"/>
        <v>0</v>
      </c>
      <c r="BQ65" s="571">
        <f t="shared" si="138"/>
        <v>0</v>
      </c>
      <c r="BR65" s="562"/>
      <c r="BS65" s="563">
        <f t="shared" ref="BS65:BW66" si="139">BM65-AY65</f>
        <v>0</v>
      </c>
      <c r="BT65" s="563">
        <f t="shared" si="139"/>
        <v>0.58351000000000042</v>
      </c>
      <c r="BU65" s="563">
        <f t="shared" si="139"/>
        <v>0</v>
      </c>
      <c r="BV65" s="563">
        <f t="shared" si="139"/>
        <v>0</v>
      </c>
      <c r="BW65" s="563">
        <f t="shared" si="139"/>
        <v>0</v>
      </c>
      <c r="BX65" s="562"/>
      <c r="BY65" s="562"/>
      <c r="BZ65" s="562"/>
      <c r="CA65" s="562"/>
      <c r="CB65" s="562"/>
      <c r="CE65" s="580"/>
      <c r="CF65" s="580"/>
    </row>
    <row r="66" spans="1:124">
      <c r="B66" s="35">
        <v>2</v>
      </c>
      <c r="C66" s="71" t="s">
        <v>120</v>
      </c>
      <c r="D66" s="35">
        <v>831</v>
      </c>
      <c r="E66" s="547">
        <v>0</v>
      </c>
      <c r="F66" s="72"/>
      <c r="G66" s="72" t="str">
        <f t="shared" si="90"/>
        <v>042831</v>
      </c>
      <c r="H66" s="46"/>
      <c r="I66" s="631" t="s">
        <v>698</v>
      </c>
      <c r="J66" s="671" t="s">
        <v>824</v>
      </c>
      <c r="K66" s="564" t="s">
        <v>603</v>
      </c>
      <c r="L66" s="566" t="s">
        <v>699</v>
      </c>
      <c r="M66" s="565">
        <f t="shared" si="130"/>
        <v>0</v>
      </c>
      <c r="N66" s="565">
        <f t="shared" si="130"/>
        <v>867</v>
      </c>
      <c r="O66" s="565">
        <f t="shared" si="130"/>
        <v>0</v>
      </c>
      <c r="P66" s="565">
        <f t="shared" si="130"/>
        <v>0</v>
      </c>
      <c r="Q66" s="565">
        <f t="shared" si="130"/>
        <v>0</v>
      </c>
      <c r="R66" s="565">
        <f t="shared" si="98"/>
        <v>0</v>
      </c>
      <c r="S66" s="603">
        <v>0</v>
      </c>
      <c r="T66" s="633">
        <f>T64-T95</f>
        <v>13.919999999999998</v>
      </c>
      <c r="U66" s="603"/>
      <c r="V66" s="603">
        <v>0</v>
      </c>
      <c r="W66" s="603"/>
      <c r="X66" s="631"/>
      <c r="Y66" s="69">
        <f t="shared" si="137"/>
        <v>0</v>
      </c>
      <c r="Z66" s="69">
        <f t="shared" si="137"/>
        <v>12068.639999999998</v>
      </c>
      <c r="AA66" s="69">
        <f t="shared" si="137"/>
        <v>0</v>
      </c>
      <c r="AB66" s="69">
        <f t="shared" si="137"/>
        <v>0</v>
      </c>
      <c r="AC66" s="69">
        <f t="shared" si="137"/>
        <v>0</v>
      </c>
      <c r="AD66" s="631"/>
      <c r="AE66" s="565">
        <f>M66</f>
        <v>0</v>
      </c>
      <c r="AF66" s="565">
        <f>N66</f>
        <v>867</v>
      </c>
      <c r="AG66" s="565">
        <f>O66</f>
        <v>0</v>
      </c>
      <c r="AH66" s="565">
        <f>P66</f>
        <v>0</v>
      </c>
      <c r="AI66" s="565">
        <f>Q66</f>
        <v>0</v>
      </c>
      <c r="AJ66" s="631"/>
      <c r="AK66" s="570">
        <f>ROUND(S66*(1+AK$1),2)</f>
        <v>0</v>
      </c>
      <c r="AL66" s="570">
        <f>AL65-AL95</f>
        <v>14.57</v>
      </c>
      <c r="AM66" s="570">
        <f t="shared" si="113"/>
        <v>0</v>
      </c>
      <c r="AN66" s="570">
        <f t="shared" si="114"/>
        <v>0</v>
      </c>
      <c r="AO66" s="570">
        <f t="shared" si="115"/>
        <v>0</v>
      </c>
      <c r="AP66" s="631"/>
      <c r="AQ66" s="69">
        <f t="shared" si="116"/>
        <v>0</v>
      </c>
      <c r="AR66" s="69">
        <f t="shared" si="105"/>
        <v>12632.19</v>
      </c>
      <c r="AS66" s="69">
        <f t="shared" si="117"/>
        <v>0</v>
      </c>
      <c r="AT66" s="69">
        <f t="shared" si="118"/>
        <v>0</v>
      </c>
      <c r="AU66" s="69">
        <f t="shared" si="119"/>
        <v>0</v>
      </c>
      <c r="AV66" s="69">
        <f t="shared" si="65"/>
        <v>563.55000000000291</v>
      </c>
      <c r="AW66" s="443">
        <f t="shared" si="75"/>
        <v>4.6695402298850823E-2</v>
      </c>
      <c r="AX66" s="577">
        <v>39</v>
      </c>
      <c r="AY66" s="567"/>
      <c r="AZ66" s="567">
        <v>14.21</v>
      </c>
      <c r="BA66" s="567"/>
      <c r="BB66" s="567"/>
      <c r="BC66" s="567"/>
      <c r="BD66" s="567"/>
      <c r="BE66" s="573">
        <f>ROUND(AX66*$BE$2,2)+ROUND(AX66*$BE$1,2)</f>
        <v>8.0000000000000016E-2</v>
      </c>
      <c r="BF66" s="563"/>
      <c r="BG66" s="563">
        <f t="shared" si="129"/>
        <v>0</v>
      </c>
      <c r="BH66" s="563"/>
      <c r="BI66" s="563"/>
      <c r="BJ66" s="563"/>
      <c r="BK66" s="631"/>
      <c r="BL66" s="631"/>
      <c r="BM66" s="571">
        <f t="shared" si="120"/>
        <v>0</v>
      </c>
      <c r="BN66" s="571">
        <f t="shared" si="121"/>
        <v>14.790006999999999</v>
      </c>
      <c r="BO66" s="571">
        <f t="shared" si="138"/>
        <v>0</v>
      </c>
      <c r="BP66" s="571">
        <f t="shared" si="138"/>
        <v>0</v>
      </c>
      <c r="BQ66" s="571">
        <f t="shared" si="138"/>
        <v>0</v>
      </c>
      <c r="BR66" s="631"/>
      <c r="BS66" s="563">
        <f t="shared" si="139"/>
        <v>0</v>
      </c>
      <c r="BT66" s="563">
        <f t="shared" si="139"/>
        <v>0.58000699999999838</v>
      </c>
      <c r="BU66" s="563">
        <f t="shared" si="139"/>
        <v>0</v>
      </c>
      <c r="BV66" s="563">
        <f t="shared" si="139"/>
        <v>0</v>
      </c>
      <c r="BW66" s="563">
        <f t="shared" si="139"/>
        <v>0</v>
      </c>
      <c r="BX66" s="631"/>
      <c r="BY66" s="631"/>
      <c r="BZ66" s="631"/>
      <c r="CA66" s="631"/>
      <c r="CB66" s="631"/>
      <c r="CC66" s="631"/>
      <c r="CD66" s="631"/>
      <c r="CE66" s="631"/>
      <c r="CF66" s="631"/>
    </row>
    <row r="67" spans="1:124">
      <c r="A67" s="631"/>
      <c r="B67" s="527">
        <v>2</v>
      </c>
      <c r="C67" s="71" t="s">
        <v>120</v>
      </c>
      <c r="D67" s="527" t="s">
        <v>704</v>
      </c>
      <c r="E67" s="549">
        <v>0</v>
      </c>
      <c r="F67" s="72"/>
      <c r="G67" s="72" t="str">
        <f t="shared" si="90"/>
        <v>042831T</v>
      </c>
      <c r="H67" s="46"/>
      <c r="I67" t="s">
        <v>128</v>
      </c>
      <c r="J67" t="s">
        <v>136</v>
      </c>
      <c r="K67" s="58" t="s">
        <v>142</v>
      </c>
      <c r="L67" s="96">
        <v>536</v>
      </c>
      <c r="M67" s="68">
        <f t="shared" si="130"/>
        <v>0</v>
      </c>
      <c r="N67" s="68">
        <f t="shared" si="130"/>
        <v>155</v>
      </c>
      <c r="O67" s="68">
        <f t="shared" si="130"/>
        <v>0</v>
      </c>
      <c r="P67" s="68">
        <f t="shared" si="130"/>
        <v>0</v>
      </c>
      <c r="Q67" s="68">
        <f t="shared" si="130"/>
        <v>0</v>
      </c>
      <c r="R67" s="565">
        <f t="shared" si="98"/>
        <v>0</v>
      </c>
      <c r="S67" s="603">
        <v>0</v>
      </c>
      <c r="T67" s="603">
        <v>23.62</v>
      </c>
      <c r="U67" s="603">
        <v>0</v>
      </c>
      <c r="V67" s="603">
        <v>0</v>
      </c>
      <c r="W67" s="603">
        <v>0</v>
      </c>
      <c r="Y67" s="69">
        <f t="shared" si="57"/>
        <v>0</v>
      </c>
      <c r="Z67" s="69">
        <f t="shared" si="58"/>
        <v>3661.1000000000004</v>
      </c>
      <c r="AA67" s="69">
        <f t="shared" si="59"/>
        <v>0</v>
      </c>
      <c r="AB67" s="69">
        <f t="shared" si="60"/>
        <v>0</v>
      </c>
      <c r="AC67" s="69">
        <f t="shared" si="61"/>
        <v>0</v>
      </c>
      <c r="AE67" s="68">
        <f t="shared" si="62"/>
        <v>0</v>
      </c>
      <c r="AF67" s="68">
        <f t="shared" si="125"/>
        <v>155</v>
      </c>
      <c r="AG67" s="68">
        <f t="shared" si="126"/>
        <v>0</v>
      </c>
      <c r="AH67" s="68">
        <f t="shared" si="127"/>
        <v>0</v>
      </c>
      <c r="AI67" s="68">
        <f t="shared" si="128"/>
        <v>0</v>
      </c>
      <c r="AK67" s="570">
        <f t="shared" si="112"/>
        <v>0</v>
      </c>
      <c r="AL67" s="570">
        <f t="shared" si="112"/>
        <v>24.41</v>
      </c>
      <c r="AM67" s="570">
        <f t="shared" si="113"/>
        <v>0</v>
      </c>
      <c r="AN67" s="570">
        <f t="shared" si="114"/>
        <v>0</v>
      </c>
      <c r="AO67" s="570">
        <f t="shared" si="115"/>
        <v>0</v>
      </c>
      <c r="AQ67" s="69">
        <f t="shared" si="116"/>
        <v>0</v>
      </c>
      <c r="AR67" s="69">
        <f t="shared" si="105"/>
        <v>3783.55</v>
      </c>
      <c r="AS67" s="69">
        <f t="shared" si="117"/>
        <v>0</v>
      </c>
      <c r="AT67" s="69">
        <f t="shared" si="118"/>
        <v>0</v>
      </c>
      <c r="AU67" s="69">
        <f t="shared" si="119"/>
        <v>0</v>
      </c>
      <c r="AV67" s="69">
        <f t="shared" si="65"/>
        <v>122.44999999999982</v>
      </c>
      <c r="AW67" s="443">
        <f t="shared" si="75"/>
        <v>3.3446232006773866E-2</v>
      </c>
      <c r="AX67" s="434">
        <v>85</v>
      </c>
      <c r="AY67" s="567"/>
      <c r="AZ67" s="567">
        <v>24.16</v>
      </c>
      <c r="BA67" s="567"/>
      <c r="BB67" s="567"/>
      <c r="BC67" s="567"/>
      <c r="BD67" s="139"/>
      <c r="BE67" s="573">
        <f t="shared" si="66"/>
        <v>0.17999999999999994</v>
      </c>
      <c r="BF67" s="53"/>
      <c r="BG67" s="53">
        <f t="shared" si="129"/>
        <v>0</v>
      </c>
      <c r="BH67" s="53"/>
      <c r="BI67" s="53"/>
      <c r="BJ67" s="53"/>
      <c r="BM67" s="278">
        <f t="shared" si="120"/>
        <v>0</v>
      </c>
      <c r="BN67" s="278">
        <f t="shared" si="121"/>
        <v>24.778590999999999</v>
      </c>
      <c r="BO67" s="278">
        <f t="shared" si="76"/>
        <v>0</v>
      </c>
      <c r="BP67" s="278">
        <f t="shared" si="77"/>
        <v>0</v>
      </c>
      <c r="BQ67" s="278">
        <f t="shared" si="78"/>
        <v>0</v>
      </c>
      <c r="BS67" s="53">
        <f t="shared" si="70"/>
        <v>0</v>
      </c>
      <c r="BT67" s="53">
        <f t="shared" si="71"/>
        <v>0.61859099999999856</v>
      </c>
      <c r="BU67" s="53">
        <f t="shared" si="72"/>
        <v>0</v>
      </c>
      <c r="BV67" s="53">
        <f t="shared" si="73"/>
        <v>0</v>
      </c>
      <c r="BW67" s="53">
        <f t="shared" si="74"/>
        <v>0</v>
      </c>
      <c r="CH67" s="631"/>
    </row>
    <row r="68" spans="1:124">
      <c r="A68" s="664"/>
      <c r="B68" s="527">
        <v>2</v>
      </c>
      <c r="C68" s="71" t="s">
        <v>120</v>
      </c>
      <c r="D68" s="527" t="s">
        <v>627</v>
      </c>
      <c r="E68" s="549">
        <v>0</v>
      </c>
      <c r="F68" s="72"/>
      <c r="G68" s="72" t="str">
        <f t="shared" ref="G68" si="140">IF(OR(ISBLANK(C68),ISBLANK(D68)),"",TEXT(C68,"000")&amp;TEXT(D68,"000"))</f>
        <v>042831L</v>
      </c>
      <c r="H68" s="46"/>
      <c r="I68" s="422" t="s">
        <v>698</v>
      </c>
      <c r="J68" s="562" t="s">
        <v>136</v>
      </c>
      <c r="K68" s="564" t="s">
        <v>603</v>
      </c>
      <c r="L68" s="566" t="s">
        <v>598</v>
      </c>
      <c r="M68" s="565">
        <f t="shared" si="130"/>
        <v>0</v>
      </c>
      <c r="N68" s="565">
        <f t="shared" si="130"/>
        <v>241</v>
      </c>
      <c r="O68" s="565">
        <f t="shared" si="130"/>
        <v>0</v>
      </c>
      <c r="P68" s="565">
        <f t="shared" si="130"/>
        <v>0</v>
      </c>
      <c r="Q68" s="565">
        <f t="shared" si="130"/>
        <v>0</v>
      </c>
      <c r="R68" s="565">
        <f t="shared" si="98"/>
        <v>0</v>
      </c>
      <c r="S68" s="603">
        <v>0</v>
      </c>
      <c r="T68" s="633">
        <f>T67</f>
        <v>23.62</v>
      </c>
      <c r="U68" s="603">
        <v>0</v>
      </c>
      <c r="V68" s="603">
        <v>0</v>
      </c>
      <c r="W68" s="603"/>
      <c r="X68" s="562"/>
      <c r="Y68" s="69">
        <f t="shared" ref="Y68:AC69" si="141">IF(AND(M68&lt;&gt;0,S68=0),#VALUE!,M68*S68)</f>
        <v>0</v>
      </c>
      <c r="Z68" s="69">
        <f t="shared" si="141"/>
        <v>5692.42</v>
      </c>
      <c r="AA68" s="69">
        <f t="shared" si="141"/>
        <v>0</v>
      </c>
      <c r="AB68" s="69">
        <f t="shared" si="141"/>
        <v>0</v>
      </c>
      <c r="AC68" s="69">
        <f t="shared" si="141"/>
        <v>0</v>
      </c>
      <c r="AD68" s="562"/>
      <c r="AE68" s="565">
        <f>SUMIF($G:$G,TEXT(AE$3,"000")&amp;TEXT($L68,"000"),$E:$E)</f>
        <v>0</v>
      </c>
      <c r="AF68" s="565">
        <f>SUMIF($G:$G,TEXT(AF$3,"000")&amp;TEXT($L68,"000"),$E:$E)</f>
        <v>241</v>
      </c>
      <c r="AG68" s="565">
        <f>SUMIF($G:$G,TEXT(AG$3,"000")&amp;TEXT($L68,"000"),$E:$E)</f>
        <v>0</v>
      </c>
      <c r="AH68" s="565">
        <f>SUMIF($G:$G,TEXT(AH$3,"000")&amp;TEXT($L68,"000"),$E:$E)</f>
        <v>0</v>
      </c>
      <c r="AI68" s="565">
        <f>SUMIF($G:$G,TEXT(AI$3,"000")&amp;TEXT($L68,"000"),$E:$E)</f>
        <v>0</v>
      </c>
      <c r="AJ68" s="562"/>
      <c r="AK68" s="570">
        <f>ROUND(S68*(1+AK$1),2)</f>
        <v>0</v>
      </c>
      <c r="AL68" s="570">
        <f>AL67</f>
        <v>24.41</v>
      </c>
      <c r="AM68" s="570">
        <f t="shared" si="113"/>
        <v>0</v>
      </c>
      <c r="AN68" s="570">
        <f t="shared" si="114"/>
        <v>0</v>
      </c>
      <c r="AO68" s="570">
        <f t="shared" si="115"/>
        <v>0</v>
      </c>
      <c r="AP68" s="562"/>
      <c r="AQ68" s="69">
        <f t="shared" si="116"/>
        <v>0</v>
      </c>
      <c r="AR68" s="69">
        <f t="shared" si="105"/>
        <v>5882.81</v>
      </c>
      <c r="AS68" s="69">
        <f t="shared" si="117"/>
        <v>0</v>
      </c>
      <c r="AT68" s="69">
        <f t="shared" si="118"/>
        <v>0</v>
      </c>
      <c r="AU68" s="69">
        <f t="shared" si="119"/>
        <v>0</v>
      </c>
      <c r="AV68" s="69">
        <f t="shared" si="65"/>
        <v>190.39000000000033</v>
      </c>
      <c r="AW68" s="443">
        <f t="shared" si="75"/>
        <v>3.3446232006773977E-2</v>
      </c>
      <c r="AX68" s="577">
        <v>39</v>
      </c>
      <c r="AY68" s="567"/>
      <c r="AZ68" s="567">
        <v>24.06</v>
      </c>
      <c r="BA68" s="567"/>
      <c r="BB68" s="567"/>
      <c r="BC68" s="567"/>
      <c r="BD68" s="567"/>
      <c r="BE68" s="573">
        <f>ROUND(AX68*$BE$2,2)+ROUND(AX68*$BE$1,2)</f>
        <v>8.0000000000000016E-2</v>
      </c>
      <c r="BF68" s="563"/>
      <c r="BG68" s="563">
        <f t="shared" si="129"/>
        <v>0</v>
      </c>
      <c r="BH68" s="563"/>
      <c r="BI68" s="563"/>
      <c r="BJ68" s="563"/>
      <c r="BK68" s="562"/>
      <c r="BL68" s="562"/>
      <c r="BM68" s="571">
        <f t="shared" si="120"/>
        <v>0</v>
      </c>
      <c r="BN68" s="571">
        <f t="shared" si="121"/>
        <v>24.778590999999999</v>
      </c>
      <c r="BO68" s="571">
        <f t="shared" ref="BO68:BQ69" si="142">AM68*$BM$1</f>
        <v>0</v>
      </c>
      <c r="BP68" s="571">
        <f t="shared" si="142"/>
        <v>0</v>
      </c>
      <c r="BQ68" s="571">
        <f t="shared" si="142"/>
        <v>0</v>
      </c>
      <c r="BR68" s="562"/>
      <c r="BS68" s="563">
        <f t="shared" ref="BS68:BW69" si="143">BM68-AY68</f>
        <v>0</v>
      </c>
      <c r="BT68" s="563">
        <f t="shared" si="143"/>
        <v>0.71859099999999998</v>
      </c>
      <c r="BU68" s="563">
        <f t="shared" si="143"/>
        <v>0</v>
      </c>
      <c r="BV68" s="563">
        <f t="shared" si="143"/>
        <v>0</v>
      </c>
      <c r="BW68" s="563">
        <f t="shared" si="143"/>
        <v>0</v>
      </c>
      <c r="BX68" s="562"/>
      <c r="BY68" s="562"/>
      <c r="BZ68" s="562"/>
      <c r="CA68" s="580"/>
      <c r="CB68" s="580"/>
      <c r="CC68" s="580"/>
      <c r="CD68" s="580"/>
      <c r="CE68" s="580"/>
      <c r="CF68" s="580"/>
    </row>
    <row r="69" spans="1:124">
      <c r="B69" s="35">
        <v>2</v>
      </c>
      <c r="C69" s="71" t="s">
        <v>120</v>
      </c>
      <c r="D69" s="35">
        <v>832</v>
      </c>
      <c r="E69" s="547">
        <v>0</v>
      </c>
      <c r="F69" s="72"/>
      <c r="G69" s="72" t="str">
        <f t="shared" si="90"/>
        <v>042832</v>
      </c>
      <c r="H69" s="46"/>
      <c r="I69" s="631" t="s">
        <v>698</v>
      </c>
      <c r="J69" s="631" t="s">
        <v>136</v>
      </c>
      <c r="K69" s="564" t="s">
        <v>603</v>
      </c>
      <c r="L69" s="566" t="s">
        <v>700</v>
      </c>
      <c r="M69" s="565">
        <f t="shared" ref="M69:Q78" si="144">SUMIF($G:$G,TEXT(M$3,"000")&amp;TEXT($L69,"000"),$E:$E)</f>
        <v>0</v>
      </c>
      <c r="N69" s="565">
        <f t="shared" si="144"/>
        <v>337</v>
      </c>
      <c r="O69" s="565">
        <f t="shared" si="144"/>
        <v>0</v>
      </c>
      <c r="P69" s="565">
        <f t="shared" si="144"/>
        <v>0</v>
      </c>
      <c r="Q69" s="565">
        <f t="shared" si="144"/>
        <v>0</v>
      </c>
      <c r="R69" s="565">
        <f t="shared" si="98"/>
        <v>0</v>
      </c>
      <c r="S69" s="603">
        <v>0</v>
      </c>
      <c r="T69" s="633">
        <f>T67-T95</f>
        <v>18.09</v>
      </c>
      <c r="U69" s="603">
        <v>0</v>
      </c>
      <c r="V69" s="603">
        <v>0</v>
      </c>
      <c r="W69" s="603">
        <v>0</v>
      </c>
      <c r="X69" s="631"/>
      <c r="Y69" s="69">
        <f t="shared" si="141"/>
        <v>0</v>
      </c>
      <c r="Z69" s="69">
        <f t="shared" si="141"/>
        <v>6096.33</v>
      </c>
      <c r="AA69" s="69">
        <f t="shared" si="141"/>
        <v>0</v>
      </c>
      <c r="AB69" s="69">
        <f t="shared" si="141"/>
        <v>0</v>
      </c>
      <c r="AC69" s="69">
        <f t="shared" si="141"/>
        <v>0</v>
      </c>
      <c r="AD69" s="631"/>
      <c r="AE69" s="565">
        <f>M69</f>
        <v>0</v>
      </c>
      <c r="AF69" s="565">
        <f>N69</f>
        <v>337</v>
      </c>
      <c r="AG69" s="565">
        <f>O69</f>
        <v>0</v>
      </c>
      <c r="AH69" s="565">
        <f>P69</f>
        <v>0</v>
      </c>
      <c r="AI69" s="565">
        <f>Q69</f>
        <v>0</v>
      </c>
      <c r="AJ69" s="631"/>
      <c r="AK69" s="570">
        <f>ROUND(S69*(1+AK$1),2)</f>
        <v>0</v>
      </c>
      <c r="AL69" s="570">
        <f>AL68-AL95</f>
        <v>18.88</v>
      </c>
      <c r="AM69" s="570">
        <f t="shared" si="113"/>
        <v>0</v>
      </c>
      <c r="AN69" s="570">
        <f t="shared" si="114"/>
        <v>0</v>
      </c>
      <c r="AO69" s="570">
        <f t="shared" si="115"/>
        <v>0</v>
      </c>
      <c r="AP69" s="631"/>
      <c r="AQ69" s="69">
        <f t="shared" si="116"/>
        <v>0</v>
      </c>
      <c r="AR69" s="69">
        <f t="shared" si="105"/>
        <v>6362.5599999999995</v>
      </c>
      <c r="AS69" s="69">
        <f t="shared" si="117"/>
        <v>0</v>
      </c>
      <c r="AT69" s="69">
        <f t="shared" si="118"/>
        <v>0</v>
      </c>
      <c r="AU69" s="69">
        <f t="shared" si="119"/>
        <v>0</v>
      </c>
      <c r="AV69" s="69">
        <f t="shared" si="65"/>
        <v>266.22999999999956</v>
      </c>
      <c r="AW69" s="443">
        <f t="shared" si="75"/>
        <v>4.3670536207849567E-2</v>
      </c>
      <c r="AX69" s="577">
        <v>39</v>
      </c>
      <c r="AY69" s="567"/>
      <c r="AZ69" s="567">
        <v>18.440000000000001</v>
      </c>
      <c r="BA69" s="567"/>
      <c r="BB69" s="567"/>
      <c r="BC69" s="567"/>
      <c r="BD69" s="567"/>
      <c r="BE69" s="573">
        <f>ROUND(AX69*$BE$2,2)+ROUND(AX69*$BE$1,2)</f>
        <v>8.0000000000000016E-2</v>
      </c>
      <c r="BF69" s="563"/>
      <c r="BG69" s="563">
        <f t="shared" si="129"/>
        <v>0</v>
      </c>
      <c r="BH69" s="563"/>
      <c r="BI69" s="563"/>
      <c r="BJ69" s="563"/>
      <c r="BK69" s="631"/>
      <c r="BL69" s="631"/>
      <c r="BM69" s="571">
        <f t="shared" si="120"/>
        <v>0</v>
      </c>
      <c r="BN69" s="571">
        <f t="shared" si="121"/>
        <v>19.165087999999997</v>
      </c>
      <c r="BO69" s="571">
        <f t="shared" si="142"/>
        <v>0</v>
      </c>
      <c r="BP69" s="571">
        <f t="shared" si="142"/>
        <v>0</v>
      </c>
      <c r="BQ69" s="571">
        <f t="shared" si="142"/>
        <v>0</v>
      </c>
      <c r="BR69" s="631"/>
      <c r="BS69" s="563">
        <f t="shared" si="143"/>
        <v>0</v>
      </c>
      <c r="BT69" s="563">
        <f t="shared" si="143"/>
        <v>0.72508799999999596</v>
      </c>
      <c r="BU69" s="563">
        <f t="shared" si="143"/>
        <v>0</v>
      </c>
      <c r="BV69" s="563">
        <f t="shared" si="143"/>
        <v>0</v>
      </c>
      <c r="BW69" s="563">
        <f t="shared" si="143"/>
        <v>0</v>
      </c>
      <c r="BX69" s="631"/>
      <c r="BY69" s="631"/>
      <c r="BZ69" s="631"/>
      <c r="CA69" s="631"/>
      <c r="CB69" s="631"/>
      <c r="CC69" s="631"/>
      <c r="CD69" s="631"/>
      <c r="CE69" s="631"/>
      <c r="CF69" s="631"/>
      <c r="CG69" s="631"/>
    </row>
    <row r="70" spans="1:124">
      <c r="A70" s="664"/>
      <c r="B70" s="527">
        <v>2</v>
      </c>
      <c r="C70" s="71" t="s">
        <v>120</v>
      </c>
      <c r="D70" s="527" t="s">
        <v>802</v>
      </c>
      <c r="E70" s="549">
        <v>19</v>
      </c>
      <c r="F70" s="72"/>
      <c r="G70" s="72" t="str">
        <f t="shared" ref="G70:G71" si="145">IF(OR(ISBLANK(C70),ISBLANK(D70)),"",TEXT(C70,"000")&amp;TEXT(D70,"000"))</f>
        <v>042832T</v>
      </c>
      <c r="H70" s="46"/>
      <c r="I70" t="s">
        <v>139</v>
      </c>
      <c r="J70" t="s">
        <v>826</v>
      </c>
      <c r="K70" s="58" t="s">
        <v>142</v>
      </c>
      <c r="L70" s="96">
        <v>541</v>
      </c>
      <c r="M70" s="68">
        <f t="shared" si="144"/>
        <v>0</v>
      </c>
      <c r="N70" s="68">
        <f t="shared" si="144"/>
        <v>4</v>
      </c>
      <c r="O70" s="68">
        <f t="shared" si="144"/>
        <v>0</v>
      </c>
      <c r="P70" s="68">
        <f t="shared" si="144"/>
        <v>0</v>
      </c>
      <c r="Q70" s="68">
        <f t="shared" si="144"/>
        <v>0</v>
      </c>
      <c r="R70" s="565">
        <f t="shared" si="98"/>
        <v>0</v>
      </c>
      <c r="S70" s="603">
        <v>0</v>
      </c>
      <c r="T70" s="603">
        <v>43.09</v>
      </c>
      <c r="U70" s="603">
        <v>0</v>
      </c>
      <c r="V70" s="603">
        <v>0</v>
      </c>
      <c r="W70" s="603">
        <v>0</v>
      </c>
      <c r="Y70" s="69">
        <f t="shared" si="57"/>
        <v>0</v>
      </c>
      <c r="Z70" s="69">
        <f t="shared" si="58"/>
        <v>172.36</v>
      </c>
      <c r="AA70" s="69">
        <f t="shared" si="59"/>
        <v>0</v>
      </c>
      <c r="AB70" s="69">
        <f t="shared" si="60"/>
        <v>0</v>
      </c>
      <c r="AC70" s="69">
        <f t="shared" si="61"/>
        <v>0</v>
      </c>
      <c r="AE70" s="68">
        <f t="shared" si="62"/>
        <v>0</v>
      </c>
      <c r="AF70" s="68">
        <f t="shared" si="125"/>
        <v>4</v>
      </c>
      <c r="AG70" s="68">
        <f t="shared" si="126"/>
        <v>0</v>
      </c>
      <c r="AH70" s="68">
        <f t="shared" si="127"/>
        <v>0</v>
      </c>
      <c r="AI70" s="68">
        <f t="shared" si="128"/>
        <v>0</v>
      </c>
      <c r="AK70" s="570">
        <f t="shared" si="112"/>
        <v>0</v>
      </c>
      <c r="AL70" s="570">
        <f t="shared" ref="AL70:AL81" si="146">ROUND(T70*(1+AL$1),2)</f>
        <v>44.52</v>
      </c>
      <c r="AM70" s="570">
        <f t="shared" si="113"/>
        <v>0</v>
      </c>
      <c r="AN70" s="570">
        <f t="shared" si="114"/>
        <v>0</v>
      </c>
      <c r="AO70" s="570">
        <f t="shared" si="115"/>
        <v>0</v>
      </c>
      <c r="AQ70" s="69">
        <f t="shared" si="116"/>
        <v>0</v>
      </c>
      <c r="AR70" s="69">
        <f t="shared" si="105"/>
        <v>178.08</v>
      </c>
      <c r="AS70" s="69">
        <f t="shared" si="117"/>
        <v>0</v>
      </c>
      <c r="AT70" s="69">
        <f t="shared" si="118"/>
        <v>0</v>
      </c>
      <c r="AU70" s="69">
        <f t="shared" si="119"/>
        <v>0</v>
      </c>
      <c r="AV70" s="69">
        <f t="shared" si="65"/>
        <v>5.7199999999999989</v>
      </c>
      <c r="AW70" s="443">
        <f t="shared" si="75"/>
        <v>3.318635414249245E-2</v>
      </c>
      <c r="AX70" s="434">
        <v>170</v>
      </c>
      <c r="AY70" s="567"/>
      <c r="AZ70" s="567">
        <v>44.11</v>
      </c>
      <c r="BA70" s="567"/>
      <c r="BB70" s="567"/>
      <c r="BC70" s="567"/>
      <c r="BD70" s="139"/>
      <c r="BE70" s="573">
        <f t="shared" si="66"/>
        <v>0.38000000000000012</v>
      </c>
      <c r="BF70" s="53"/>
      <c r="BG70" s="53">
        <f t="shared" si="129"/>
        <v>0.01</v>
      </c>
      <c r="BH70" s="53"/>
      <c r="BI70" s="53"/>
      <c r="BJ70" s="53"/>
      <c r="BM70" s="278">
        <f t="shared" si="120"/>
        <v>0</v>
      </c>
      <c r="BN70" s="278">
        <f t="shared" si="121"/>
        <v>45.192251999999996</v>
      </c>
      <c r="BO70" s="278">
        <f t="shared" si="76"/>
        <v>0</v>
      </c>
      <c r="BP70" s="278">
        <f t="shared" si="77"/>
        <v>0</v>
      </c>
      <c r="BQ70" s="278">
        <f t="shared" si="78"/>
        <v>0</v>
      </c>
      <c r="BS70" s="53">
        <f t="shared" si="70"/>
        <v>0</v>
      </c>
      <c r="BT70" s="53">
        <f t="shared" si="71"/>
        <v>1.0822519999999969</v>
      </c>
      <c r="BU70" s="53">
        <f t="shared" si="72"/>
        <v>0</v>
      </c>
      <c r="BV70" s="53">
        <f t="shared" si="73"/>
        <v>0</v>
      </c>
      <c r="BW70" s="53">
        <f t="shared" si="74"/>
        <v>0</v>
      </c>
      <c r="CH70" s="631"/>
    </row>
    <row r="71" spans="1:124">
      <c r="A71" s="664"/>
      <c r="B71" s="527">
        <v>2</v>
      </c>
      <c r="C71" s="71" t="s">
        <v>120</v>
      </c>
      <c r="D71" s="527" t="s">
        <v>628</v>
      </c>
      <c r="E71" s="549">
        <v>1</v>
      </c>
      <c r="F71" s="72"/>
      <c r="G71" s="72" t="str">
        <f t="shared" si="145"/>
        <v>042832L</v>
      </c>
      <c r="H71" s="46"/>
      <c r="I71" s="422" t="s">
        <v>702</v>
      </c>
      <c r="J71" s="671" t="s">
        <v>826</v>
      </c>
      <c r="K71" s="564" t="s">
        <v>603</v>
      </c>
      <c r="L71" s="566" t="s">
        <v>599</v>
      </c>
      <c r="M71" s="565">
        <f t="shared" si="144"/>
        <v>0</v>
      </c>
      <c r="N71" s="565">
        <f t="shared" si="144"/>
        <v>1</v>
      </c>
      <c r="O71" s="565">
        <f t="shared" si="144"/>
        <v>0</v>
      </c>
      <c r="P71" s="565">
        <f t="shared" si="144"/>
        <v>0</v>
      </c>
      <c r="Q71" s="565">
        <f t="shared" si="144"/>
        <v>0</v>
      </c>
      <c r="R71" s="565">
        <f t="shared" si="98"/>
        <v>0</v>
      </c>
      <c r="S71" s="603">
        <v>0</v>
      </c>
      <c r="T71" s="633">
        <f>T70</f>
        <v>43.09</v>
      </c>
      <c r="U71" s="603">
        <v>0</v>
      </c>
      <c r="V71" s="603">
        <v>0</v>
      </c>
      <c r="W71" s="603"/>
      <c r="X71" s="562"/>
      <c r="Y71" s="69">
        <f t="shared" ref="Y71:AC71" si="147">IF(AND(M71&lt;&gt;0,S71=0),#VALUE!,M71*S71)</f>
        <v>0</v>
      </c>
      <c r="Z71" s="69">
        <f t="shared" si="147"/>
        <v>43.09</v>
      </c>
      <c r="AA71" s="69">
        <f t="shared" si="147"/>
        <v>0</v>
      </c>
      <c r="AB71" s="69">
        <f t="shared" si="147"/>
        <v>0</v>
      </c>
      <c r="AC71" s="69">
        <f t="shared" si="147"/>
        <v>0</v>
      </c>
      <c r="AD71" s="562"/>
      <c r="AE71" s="565">
        <f t="shared" ref="AE71:AI72" si="148">SUMIF($G:$G,TEXT(AE$3,"000")&amp;TEXT($L71,"000"),$E:$E)</f>
        <v>0</v>
      </c>
      <c r="AF71" s="565">
        <f t="shared" si="148"/>
        <v>1</v>
      </c>
      <c r="AG71" s="565">
        <f t="shared" si="148"/>
        <v>0</v>
      </c>
      <c r="AH71" s="565">
        <f t="shared" si="148"/>
        <v>0</v>
      </c>
      <c r="AI71" s="565">
        <f t="shared" si="148"/>
        <v>0</v>
      </c>
      <c r="AJ71" s="562"/>
      <c r="AK71" s="570">
        <f>ROUND(S71*(1+AK$1),2)</f>
        <v>0</v>
      </c>
      <c r="AL71" s="570">
        <f>AL70</f>
        <v>44.52</v>
      </c>
      <c r="AM71" s="570">
        <f t="shared" si="113"/>
        <v>0</v>
      </c>
      <c r="AN71" s="570">
        <f t="shared" si="114"/>
        <v>0</v>
      </c>
      <c r="AO71" s="570">
        <f t="shared" si="115"/>
        <v>0</v>
      </c>
      <c r="AP71" s="562"/>
      <c r="AQ71" s="69">
        <f t="shared" si="116"/>
        <v>0</v>
      </c>
      <c r="AR71" s="69">
        <f t="shared" si="105"/>
        <v>44.52</v>
      </c>
      <c r="AS71" s="69">
        <f t="shared" si="117"/>
        <v>0</v>
      </c>
      <c r="AT71" s="69">
        <f t="shared" si="118"/>
        <v>0</v>
      </c>
      <c r="AU71" s="69">
        <f t="shared" si="119"/>
        <v>0</v>
      </c>
      <c r="AV71" s="69">
        <f t="shared" si="65"/>
        <v>1.4299999999999997</v>
      </c>
      <c r="AW71" s="443">
        <f t="shared" si="75"/>
        <v>3.318635414249245E-2</v>
      </c>
      <c r="AX71" s="577">
        <v>78</v>
      </c>
      <c r="AY71" s="567"/>
      <c r="AZ71" s="567">
        <v>43.91</v>
      </c>
      <c r="BA71" s="567"/>
      <c r="BB71" s="567"/>
      <c r="BC71" s="567"/>
      <c r="BD71" s="567"/>
      <c r="BE71" s="573">
        <f>ROUND(AX71*$BE$2,2)+ROUND(AX71*$BE$1,2)</f>
        <v>0.18000000000000005</v>
      </c>
      <c r="BF71" s="563"/>
      <c r="BG71" s="563">
        <f t="shared" si="129"/>
        <v>0.01</v>
      </c>
      <c r="BH71" s="563"/>
      <c r="BI71" s="563"/>
      <c r="BJ71" s="563"/>
      <c r="BK71" s="562"/>
      <c r="BL71" s="562"/>
      <c r="BM71" s="571">
        <f t="shared" si="120"/>
        <v>0</v>
      </c>
      <c r="BN71" s="571">
        <f t="shared" si="121"/>
        <v>45.192251999999996</v>
      </c>
      <c r="BO71" s="571">
        <f>AM71*$BM$1</f>
        <v>0</v>
      </c>
      <c r="BP71" s="571">
        <f>AN71*$BM$1</f>
        <v>0</v>
      </c>
      <c r="BQ71" s="571">
        <f>AO71*$BM$1</f>
        <v>0</v>
      </c>
      <c r="BR71" s="562"/>
      <c r="BS71" s="563">
        <f t="shared" ref="BS71:BW71" si="149">BM71-AY71</f>
        <v>0</v>
      </c>
      <c r="BT71" s="563">
        <f t="shared" si="149"/>
        <v>1.2822519999999997</v>
      </c>
      <c r="BU71" s="563">
        <f t="shared" si="149"/>
        <v>0</v>
      </c>
      <c r="BV71" s="563">
        <f t="shared" si="149"/>
        <v>0</v>
      </c>
      <c r="BW71" s="563">
        <f t="shared" si="149"/>
        <v>0</v>
      </c>
      <c r="BX71" s="580"/>
      <c r="BY71" s="580"/>
      <c r="BZ71" s="580"/>
      <c r="CA71" s="580"/>
      <c r="CB71" s="580"/>
      <c r="CC71" s="580"/>
      <c r="CD71" s="580"/>
    </row>
    <row r="72" spans="1:124">
      <c r="B72" s="35">
        <v>2</v>
      </c>
      <c r="C72" s="71" t="s">
        <v>120</v>
      </c>
      <c r="D72" s="35">
        <v>835</v>
      </c>
      <c r="E72" s="547">
        <f>8+36</f>
        <v>44</v>
      </c>
      <c r="F72" s="72"/>
      <c r="G72" s="72" t="str">
        <f t="shared" ref="G72:G137" si="150">IF(OR(ISBLANK(C72),ISBLANK(D72)),"",TEXT(C72,"000")&amp;TEXT(D72,"000"))</f>
        <v>042835</v>
      </c>
      <c r="H72" s="46"/>
      <c r="I72" s="422" t="s">
        <v>702</v>
      </c>
      <c r="J72" s="632" t="s">
        <v>109</v>
      </c>
      <c r="K72" s="564" t="s">
        <v>603</v>
      </c>
      <c r="L72" s="566" t="s">
        <v>600</v>
      </c>
      <c r="M72" s="565">
        <f t="shared" si="144"/>
        <v>0</v>
      </c>
      <c r="N72" s="565">
        <f t="shared" si="144"/>
        <v>15</v>
      </c>
      <c r="O72" s="565">
        <f t="shared" si="144"/>
        <v>0</v>
      </c>
      <c r="P72" s="565">
        <f t="shared" si="144"/>
        <v>0</v>
      </c>
      <c r="Q72" s="565">
        <f t="shared" si="144"/>
        <v>0</v>
      </c>
      <c r="R72" s="565">
        <f t="shared" si="98"/>
        <v>0</v>
      </c>
      <c r="S72" s="603">
        <v>0</v>
      </c>
      <c r="T72" s="603">
        <v>59.28</v>
      </c>
      <c r="U72" s="603">
        <v>0</v>
      </c>
      <c r="V72" s="603">
        <v>0</v>
      </c>
      <c r="W72" s="603"/>
      <c r="X72" s="632"/>
      <c r="Y72" s="69">
        <f t="shared" ref="Y72:AC74" si="151">IF(AND(M72&lt;&gt;0,S72=0),#VALUE!,M72*S72)</f>
        <v>0</v>
      </c>
      <c r="Z72" s="69">
        <f t="shared" si="151"/>
        <v>889.2</v>
      </c>
      <c r="AA72" s="69">
        <f t="shared" si="151"/>
        <v>0</v>
      </c>
      <c r="AB72" s="69">
        <f t="shared" si="151"/>
        <v>0</v>
      </c>
      <c r="AC72" s="69">
        <f t="shared" si="151"/>
        <v>0</v>
      </c>
      <c r="AD72" s="632"/>
      <c r="AE72" s="565">
        <f t="shared" si="148"/>
        <v>0</v>
      </c>
      <c r="AF72" s="565">
        <f t="shared" si="148"/>
        <v>15</v>
      </c>
      <c r="AG72" s="565">
        <f t="shared" si="148"/>
        <v>0</v>
      </c>
      <c r="AH72" s="565">
        <f t="shared" si="148"/>
        <v>0</v>
      </c>
      <c r="AI72" s="565">
        <f t="shared" si="148"/>
        <v>0</v>
      </c>
      <c r="AJ72" s="632"/>
      <c r="AK72" s="570">
        <f t="shared" si="112"/>
        <v>0</v>
      </c>
      <c r="AL72" s="570">
        <f t="shared" si="112"/>
        <v>61.25</v>
      </c>
      <c r="AM72" s="570">
        <f t="shared" si="113"/>
        <v>0</v>
      </c>
      <c r="AN72" s="570">
        <f t="shared" si="114"/>
        <v>0</v>
      </c>
      <c r="AO72" s="570">
        <f t="shared" si="115"/>
        <v>0</v>
      </c>
      <c r="AP72" s="632"/>
      <c r="AQ72" s="69">
        <f t="shared" si="116"/>
        <v>0</v>
      </c>
      <c r="AR72" s="69">
        <f t="shared" ref="AR72:AR93" si="152">IF(AND(AF72&lt;&gt;0,AL72=0),#VALUE!,AF72*AL72)</f>
        <v>918.75</v>
      </c>
      <c r="AS72" s="69">
        <f t="shared" si="117"/>
        <v>0</v>
      </c>
      <c r="AT72" s="69">
        <f t="shared" si="118"/>
        <v>0</v>
      </c>
      <c r="AU72" s="69">
        <f t="shared" si="119"/>
        <v>0</v>
      </c>
      <c r="AV72" s="69">
        <f t="shared" si="65"/>
        <v>29.549999999999955</v>
      </c>
      <c r="AW72" s="443">
        <f t="shared" si="75"/>
        <v>3.3232118758434494E-2</v>
      </c>
      <c r="AX72" s="577">
        <v>78</v>
      </c>
      <c r="AY72" s="567"/>
      <c r="AZ72" s="567">
        <v>60.35</v>
      </c>
      <c r="BA72" s="567"/>
      <c r="BB72" s="567"/>
      <c r="BC72" s="567"/>
      <c r="BD72" s="567"/>
      <c r="BE72" s="573">
        <f t="shared" si="66"/>
        <v>0.18000000000000005</v>
      </c>
      <c r="BF72" s="563"/>
      <c r="BG72" s="563">
        <f t="shared" si="129"/>
        <v>0.01</v>
      </c>
      <c r="BH72" s="563"/>
      <c r="BI72" s="563"/>
      <c r="BJ72" s="563"/>
      <c r="BK72" s="632"/>
      <c r="BL72" s="632"/>
      <c r="BM72" s="571">
        <f t="shared" si="120"/>
        <v>0</v>
      </c>
      <c r="BN72" s="571">
        <f t="shared" si="121"/>
        <v>62.174874999999993</v>
      </c>
      <c r="BO72" s="571">
        <f t="shared" si="76"/>
        <v>0</v>
      </c>
      <c r="BP72" s="571">
        <f t="shared" si="77"/>
        <v>0</v>
      </c>
      <c r="BQ72" s="571">
        <f t="shared" si="78"/>
        <v>0</v>
      </c>
      <c r="BR72" s="632"/>
      <c r="BS72" s="563">
        <f t="shared" si="70"/>
        <v>0</v>
      </c>
      <c r="BT72" s="563">
        <f t="shared" si="71"/>
        <v>1.8248749999999916</v>
      </c>
      <c r="BU72" s="563">
        <f t="shared" si="72"/>
        <v>0</v>
      </c>
      <c r="BV72" s="563">
        <f t="shared" si="73"/>
        <v>0</v>
      </c>
      <c r="BW72" s="563">
        <f t="shared" si="74"/>
        <v>0</v>
      </c>
      <c r="BX72" s="632"/>
      <c r="BY72" s="632"/>
      <c r="BZ72" s="632"/>
      <c r="CA72" s="632"/>
      <c r="CB72" s="632"/>
      <c r="CC72" s="632"/>
      <c r="CD72" s="632"/>
      <c r="CE72" s="632"/>
      <c r="CF72" s="632"/>
      <c r="CG72" s="632"/>
      <c r="CH72" s="632"/>
      <c r="CI72" s="632"/>
      <c r="CJ72" s="632"/>
      <c r="CK72" s="632"/>
      <c r="CL72" s="632"/>
      <c r="CM72" s="632"/>
      <c r="CN72" s="632"/>
      <c r="CO72" s="632"/>
      <c r="CP72" s="632"/>
      <c r="CQ72" s="632"/>
      <c r="CR72" s="632"/>
      <c r="CS72" s="632"/>
      <c r="CT72" s="632"/>
    </row>
    <row r="73" spans="1:124">
      <c r="A73" s="636"/>
      <c r="B73" s="527">
        <v>2</v>
      </c>
      <c r="C73" s="71" t="s">
        <v>120</v>
      </c>
      <c r="D73" s="527" t="s">
        <v>713</v>
      </c>
      <c r="E73" s="549">
        <f>19+26</f>
        <v>45</v>
      </c>
      <c r="F73" s="72"/>
      <c r="G73" s="72" t="str">
        <f>IF(OR(ISBLANK(C73),ISBLANK(D73)),"",TEXT(C73,"000")&amp;TEXT(D73,"000"))</f>
        <v>042835T</v>
      </c>
      <c r="H73" s="46"/>
      <c r="I73" s="631" t="s">
        <v>702</v>
      </c>
      <c r="J73" s="631" t="s">
        <v>109</v>
      </c>
      <c r="K73" s="564" t="s">
        <v>603</v>
      </c>
      <c r="L73" s="566" t="s">
        <v>703</v>
      </c>
      <c r="M73" s="565">
        <f t="shared" si="144"/>
        <v>0</v>
      </c>
      <c r="N73" s="565">
        <f t="shared" si="144"/>
        <v>9</v>
      </c>
      <c r="O73" s="565">
        <f t="shared" si="144"/>
        <v>0</v>
      </c>
      <c r="P73" s="565">
        <f t="shared" si="144"/>
        <v>0</v>
      </c>
      <c r="Q73" s="565">
        <f t="shared" si="144"/>
        <v>0</v>
      </c>
      <c r="R73" s="565">
        <f t="shared" si="98"/>
        <v>0</v>
      </c>
      <c r="S73" s="603">
        <v>0</v>
      </c>
      <c r="T73" s="633">
        <f>T72-T95-T95</f>
        <v>48.22</v>
      </c>
      <c r="U73" s="603"/>
      <c r="V73" s="603">
        <v>0</v>
      </c>
      <c r="W73" s="603">
        <v>0</v>
      </c>
      <c r="X73" s="631"/>
      <c r="Y73" s="69">
        <f t="shared" si="151"/>
        <v>0</v>
      </c>
      <c r="Z73" s="69">
        <f t="shared" si="151"/>
        <v>433.98</v>
      </c>
      <c r="AA73" s="69">
        <f t="shared" si="151"/>
        <v>0</v>
      </c>
      <c r="AB73" s="69">
        <f t="shared" si="151"/>
        <v>0</v>
      </c>
      <c r="AC73" s="69">
        <f t="shared" si="151"/>
        <v>0</v>
      </c>
      <c r="AD73" s="631"/>
      <c r="AE73" s="565">
        <f t="shared" ref="AE73:AI74" si="153">M73</f>
        <v>0</v>
      </c>
      <c r="AF73" s="565">
        <f t="shared" si="153"/>
        <v>9</v>
      </c>
      <c r="AG73" s="565">
        <f t="shared" si="153"/>
        <v>0</v>
      </c>
      <c r="AH73" s="565">
        <f t="shared" si="153"/>
        <v>0</v>
      </c>
      <c r="AI73" s="565">
        <f t="shared" si="153"/>
        <v>0</v>
      </c>
      <c r="AJ73" s="631"/>
      <c r="AK73" s="570">
        <f>ROUND(S73*(1+AK$1),2)</f>
        <v>0</v>
      </c>
      <c r="AL73" s="570">
        <f>AL72-AL95-AL95</f>
        <v>50.19</v>
      </c>
      <c r="AM73" s="570">
        <f t="shared" si="113"/>
        <v>0</v>
      </c>
      <c r="AN73" s="570">
        <f t="shared" si="114"/>
        <v>0</v>
      </c>
      <c r="AO73" s="570">
        <f t="shared" si="115"/>
        <v>0</v>
      </c>
      <c r="AP73" s="631"/>
      <c r="AQ73" s="69">
        <f t="shared" si="116"/>
        <v>0</v>
      </c>
      <c r="AR73" s="69">
        <f t="shared" si="152"/>
        <v>451.71</v>
      </c>
      <c r="AS73" s="69">
        <f t="shared" si="117"/>
        <v>0</v>
      </c>
      <c r="AT73" s="69">
        <f t="shared" si="118"/>
        <v>0</v>
      </c>
      <c r="AU73" s="69">
        <f t="shared" si="119"/>
        <v>0</v>
      </c>
      <c r="AV73" s="69">
        <f t="shared" si="65"/>
        <v>17.729999999999961</v>
      </c>
      <c r="AW73" s="443">
        <f t="shared" si="75"/>
        <v>4.0854417254251256E-2</v>
      </c>
      <c r="AX73" s="577">
        <v>78</v>
      </c>
      <c r="AY73" s="567"/>
      <c r="AZ73" s="567">
        <v>49.12</v>
      </c>
      <c r="BA73" s="567"/>
      <c r="BB73" s="567"/>
      <c r="BC73" s="567"/>
      <c r="BD73" s="567"/>
      <c r="BE73" s="573">
        <f>ROUND(AX73*$BE$2,2)+ROUND(AX73*$BE$1,2)</f>
        <v>0.18000000000000005</v>
      </c>
      <c r="BF73" s="563"/>
      <c r="BG73" s="563">
        <f>ROUND((T73*$BF$2)+$BE73-AZ73,2)</f>
        <v>0.01</v>
      </c>
      <c r="BH73" s="563"/>
      <c r="BI73" s="563"/>
      <c r="BJ73" s="563"/>
      <c r="BK73" s="631"/>
      <c r="BL73" s="631"/>
      <c r="BM73" s="571">
        <f t="shared" si="120"/>
        <v>0</v>
      </c>
      <c r="BN73" s="571">
        <f t="shared" si="121"/>
        <v>50.94786899999999</v>
      </c>
      <c r="BO73" s="571">
        <f t="shared" ref="BO73:BQ74" si="154">AM73*$BM$1</f>
        <v>0</v>
      </c>
      <c r="BP73" s="571">
        <f t="shared" si="154"/>
        <v>0</v>
      </c>
      <c r="BQ73" s="571">
        <f t="shared" si="154"/>
        <v>0</v>
      </c>
      <c r="BR73" s="631"/>
      <c r="BS73" s="563">
        <f t="shared" ref="BS73:BW74" si="155">BM73-AY73</f>
        <v>0</v>
      </c>
      <c r="BT73" s="563">
        <f t="shared" si="155"/>
        <v>1.8278689999999926</v>
      </c>
      <c r="BU73" s="563">
        <f t="shared" si="155"/>
        <v>0</v>
      </c>
      <c r="BV73" s="563">
        <f t="shared" si="155"/>
        <v>0</v>
      </c>
      <c r="BW73" s="563">
        <f t="shared" si="155"/>
        <v>0</v>
      </c>
      <c r="BX73" s="631"/>
      <c r="BY73" s="631"/>
      <c r="BZ73" s="631"/>
      <c r="CA73" s="631"/>
      <c r="CB73" s="631"/>
      <c r="CC73" s="631"/>
      <c r="CD73" s="631"/>
      <c r="CE73" s="631"/>
      <c r="CF73" s="631"/>
      <c r="CG73" s="631"/>
    </row>
    <row r="74" spans="1:124">
      <c r="A74" s="664"/>
      <c r="B74" s="527">
        <v>2</v>
      </c>
      <c r="C74" s="71" t="s">
        <v>120</v>
      </c>
      <c r="D74" s="527" t="s">
        <v>629</v>
      </c>
      <c r="E74" s="549">
        <f>9+13</f>
        <v>22</v>
      </c>
      <c r="F74" s="72"/>
      <c r="G74" s="72" t="str">
        <f>IF(OR(ISBLANK(C74),ISBLANK(D74)),"",TEXT(C74,"000")&amp;TEXT(D74,"000"))</f>
        <v>042835L</v>
      </c>
      <c r="H74" s="46"/>
      <c r="I74" s="19" t="s">
        <v>702</v>
      </c>
      <c r="J74" s="19" t="s">
        <v>136</v>
      </c>
      <c r="K74" s="85" t="s">
        <v>603</v>
      </c>
      <c r="L74" s="319" t="s">
        <v>712</v>
      </c>
      <c r="M74" s="565">
        <f t="shared" si="144"/>
        <v>0</v>
      </c>
      <c r="N74" s="565">
        <f t="shared" si="144"/>
        <v>8</v>
      </c>
      <c r="O74" s="565">
        <f t="shared" si="144"/>
        <v>0</v>
      </c>
      <c r="P74" s="565">
        <f t="shared" si="144"/>
        <v>0</v>
      </c>
      <c r="Q74" s="565">
        <f t="shared" si="144"/>
        <v>0</v>
      </c>
      <c r="R74" s="565">
        <f t="shared" si="98"/>
        <v>0</v>
      </c>
      <c r="S74" s="603">
        <v>0</v>
      </c>
      <c r="T74" s="633">
        <f>T137-T95-T95</f>
        <v>36.199999999999996</v>
      </c>
      <c r="U74" s="603"/>
      <c r="V74" s="603">
        <v>0</v>
      </c>
      <c r="W74" s="603">
        <v>0</v>
      </c>
      <c r="X74" s="632"/>
      <c r="Y74" s="69">
        <f t="shared" si="151"/>
        <v>0</v>
      </c>
      <c r="Z74" s="69">
        <f t="shared" si="151"/>
        <v>289.59999999999997</v>
      </c>
      <c r="AA74" s="69">
        <f t="shared" si="151"/>
        <v>0</v>
      </c>
      <c r="AB74" s="69">
        <f t="shared" si="151"/>
        <v>0</v>
      </c>
      <c r="AC74" s="69">
        <f t="shared" si="151"/>
        <v>0</v>
      </c>
      <c r="AD74" s="632"/>
      <c r="AE74" s="565">
        <f t="shared" si="153"/>
        <v>0</v>
      </c>
      <c r="AF74" s="565">
        <f t="shared" si="153"/>
        <v>8</v>
      </c>
      <c r="AG74" s="565">
        <f t="shared" si="153"/>
        <v>0</v>
      </c>
      <c r="AH74" s="565">
        <f t="shared" si="153"/>
        <v>0</v>
      </c>
      <c r="AI74" s="565">
        <f t="shared" si="153"/>
        <v>0</v>
      </c>
      <c r="AJ74" s="632"/>
      <c r="AK74" s="570">
        <f>ROUND(S74*(1+AK$1),2)</f>
        <v>0</v>
      </c>
      <c r="AL74" s="570">
        <f>AL137-AL95-AL95</f>
        <v>37.769999999999996</v>
      </c>
      <c r="AM74" s="570">
        <f t="shared" si="113"/>
        <v>0</v>
      </c>
      <c r="AN74" s="570">
        <f t="shared" si="114"/>
        <v>0</v>
      </c>
      <c r="AO74" s="570">
        <f t="shared" si="115"/>
        <v>0</v>
      </c>
      <c r="AP74" s="632"/>
      <c r="AQ74" s="69">
        <f t="shared" si="116"/>
        <v>0</v>
      </c>
      <c r="AR74" s="69">
        <f t="shared" si="152"/>
        <v>302.15999999999997</v>
      </c>
      <c r="AS74" s="69">
        <f t="shared" si="117"/>
        <v>0</v>
      </c>
      <c r="AT74" s="69">
        <f t="shared" si="118"/>
        <v>0</v>
      </c>
      <c r="AU74" s="69">
        <f t="shared" si="119"/>
        <v>0</v>
      </c>
      <c r="AV74" s="69">
        <f t="shared" si="65"/>
        <v>12.560000000000002</v>
      </c>
      <c r="AW74" s="443">
        <f t="shared" si="75"/>
        <v>4.3370165745856365E-2</v>
      </c>
      <c r="AX74" s="577">
        <v>78</v>
      </c>
      <c r="AY74" s="567"/>
      <c r="AZ74" s="567">
        <v>36.92</v>
      </c>
      <c r="BA74" s="567"/>
      <c r="BB74" s="567"/>
      <c r="BC74" s="567"/>
      <c r="BD74" s="567"/>
      <c r="BE74" s="573">
        <f>ROUND(AX74*$BE$2,2)+ROUND(AX74*$BE$1,2)</f>
        <v>0.18000000000000005</v>
      </c>
      <c r="BF74" s="563"/>
      <c r="BG74" s="563">
        <f t="shared" si="129"/>
        <v>0.01</v>
      </c>
      <c r="BH74" s="563"/>
      <c r="BI74" s="563"/>
      <c r="BJ74" s="563"/>
      <c r="BK74" s="632"/>
      <c r="BL74" s="632"/>
      <c r="BM74" s="571">
        <f t="shared" si="120"/>
        <v>0</v>
      </c>
      <c r="BN74" s="571">
        <f t="shared" si="121"/>
        <v>38.340326999999995</v>
      </c>
      <c r="BO74" s="571">
        <f t="shared" si="154"/>
        <v>0</v>
      </c>
      <c r="BP74" s="571">
        <f t="shared" si="154"/>
        <v>0</v>
      </c>
      <c r="BQ74" s="571">
        <f t="shared" si="154"/>
        <v>0</v>
      </c>
      <c r="BR74" s="632"/>
      <c r="BS74" s="563">
        <f t="shared" si="155"/>
        <v>0</v>
      </c>
      <c r="BT74" s="563">
        <f t="shared" si="155"/>
        <v>1.4203269999999932</v>
      </c>
      <c r="BU74" s="563">
        <f t="shared" si="155"/>
        <v>0</v>
      </c>
      <c r="BV74" s="563">
        <f t="shared" si="155"/>
        <v>0</v>
      </c>
      <c r="BW74" s="563">
        <f t="shared" si="155"/>
        <v>0</v>
      </c>
      <c r="BX74" s="632"/>
      <c r="BY74" s="632"/>
      <c r="BZ74" s="632"/>
      <c r="CA74" s="632"/>
      <c r="CB74" s="632"/>
      <c r="CC74" s="632"/>
      <c r="CD74" s="632"/>
      <c r="CE74" s="632"/>
      <c r="CF74" s="632"/>
      <c r="CG74" s="632"/>
      <c r="CH74" s="632"/>
      <c r="CI74" s="632"/>
      <c r="CJ74" s="632"/>
      <c r="CK74" s="632"/>
      <c r="CL74" s="632"/>
      <c r="CM74" s="632"/>
      <c r="CN74" s="632"/>
      <c r="CO74" s="632"/>
      <c r="CP74" s="632"/>
      <c r="CQ74" s="632"/>
      <c r="CR74" s="632"/>
      <c r="CS74" s="632"/>
      <c r="CT74" s="632"/>
      <c r="CU74" s="632"/>
      <c r="CV74" s="632"/>
      <c r="CW74" s="632"/>
      <c r="CX74" s="632"/>
      <c r="CY74" s="632"/>
      <c r="CZ74" s="632"/>
      <c r="DA74" s="632"/>
      <c r="DB74" s="632"/>
    </row>
    <row r="75" spans="1:124">
      <c r="A75" s="664"/>
      <c r="B75" s="527">
        <v>2</v>
      </c>
      <c r="C75" s="71" t="s">
        <v>120</v>
      </c>
      <c r="D75" s="527" t="s">
        <v>803</v>
      </c>
      <c r="E75" s="543">
        <v>3</v>
      </c>
      <c r="F75" s="72"/>
      <c r="G75" s="72" t="str">
        <f t="shared" ref="G75" si="156">IF(OR(ISBLANK(C75),ISBLANK(D75)),"",TEXT(C75,"000")&amp;TEXT(D75,"000"))</f>
        <v>042836T</v>
      </c>
      <c r="H75" s="46"/>
      <c r="I75" t="s">
        <v>124</v>
      </c>
      <c r="J75" t="s">
        <v>108</v>
      </c>
      <c r="K75" s="58">
        <v>20000</v>
      </c>
      <c r="L75" s="96">
        <v>611</v>
      </c>
      <c r="M75" s="68">
        <f t="shared" si="144"/>
        <v>6</v>
      </c>
      <c r="N75" s="68">
        <f t="shared" si="144"/>
        <v>0</v>
      </c>
      <c r="O75" s="68">
        <f t="shared" si="144"/>
        <v>0</v>
      </c>
      <c r="P75" s="68">
        <f t="shared" si="144"/>
        <v>0</v>
      </c>
      <c r="Q75" s="68">
        <f t="shared" si="144"/>
        <v>0</v>
      </c>
      <c r="R75" s="565">
        <f t="shared" si="98"/>
        <v>0</v>
      </c>
      <c r="S75" s="603">
        <v>27.56</v>
      </c>
      <c r="T75" s="603">
        <v>0</v>
      </c>
      <c r="U75" s="603">
        <v>0</v>
      </c>
      <c r="V75" s="603">
        <v>0</v>
      </c>
      <c r="W75" s="603">
        <v>0</v>
      </c>
      <c r="Y75" s="69">
        <f>IF(AND(M75&lt;&gt;0,S75=0),#VALUE!,M75*S75)</f>
        <v>165.35999999999999</v>
      </c>
      <c r="Z75" s="69">
        <f t="shared" si="58"/>
        <v>0</v>
      </c>
      <c r="AA75" s="69">
        <f t="shared" si="59"/>
        <v>0</v>
      </c>
      <c r="AB75" s="69">
        <f t="shared" si="60"/>
        <v>0</v>
      </c>
      <c r="AC75" s="69">
        <f t="shared" si="61"/>
        <v>0</v>
      </c>
      <c r="AE75" s="68">
        <f t="shared" si="62"/>
        <v>6</v>
      </c>
      <c r="AF75" s="68">
        <f t="shared" si="125"/>
        <v>0</v>
      </c>
      <c r="AG75" s="68">
        <f t="shared" si="126"/>
        <v>0</v>
      </c>
      <c r="AH75" s="68">
        <f t="shared" si="127"/>
        <v>0</v>
      </c>
      <c r="AI75" s="68">
        <f t="shared" si="128"/>
        <v>0</v>
      </c>
      <c r="AK75" s="570">
        <f t="shared" si="112"/>
        <v>28.48</v>
      </c>
      <c r="AL75" s="570">
        <f t="shared" si="146"/>
        <v>0</v>
      </c>
      <c r="AM75" s="570">
        <f t="shared" ref="AM75:AM93" si="157">ROUND(U75*(1+AM$1),2)</f>
        <v>0</v>
      </c>
      <c r="AN75" s="570">
        <f t="shared" ref="AN75:AN93" si="158">ROUND(V75*(1+AN$1),2)</f>
        <v>0</v>
      </c>
      <c r="AO75" s="570">
        <f t="shared" ref="AO75:AO93" si="159">ROUND(W75*(1+AO$1),2)</f>
        <v>0</v>
      </c>
      <c r="AQ75" s="69">
        <f t="shared" si="116"/>
        <v>170.88</v>
      </c>
      <c r="AR75" s="69">
        <f t="shared" si="152"/>
        <v>0</v>
      </c>
      <c r="AS75" s="69">
        <f t="shared" si="117"/>
        <v>0</v>
      </c>
      <c r="AT75" s="69">
        <f t="shared" si="118"/>
        <v>0</v>
      </c>
      <c r="AU75" s="69">
        <f t="shared" si="119"/>
        <v>0</v>
      </c>
      <c r="AV75" s="69">
        <f t="shared" si="65"/>
        <v>0</v>
      </c>
      <c r="AW75" s="443" t="e">
        <f t="shared" si="75"/>
        <v>#DIV/0!</v>
      </c>
      <c r="AX75" s="434">
        <v>182</v>
      </c>
      <c r="AY75" s="567">
        <v>28.38</v>
      </c>
      <c r="AZ75" s="567"/>
      <c r="BA75" s="567"/>
      <c r="BB75" s="567"/>
      <c r="BC75" s="567"/>
      <c r="BD75" s="139"/>
      <c r="BE75" s="573">
        <f t="shared" si="66"/>
        <v>0.41000000000000014</v>
      </c>
      <c r="BF75" s="53">
        <f>ROUND((S75*$BF$2)+$BE75-AY75,2)</f>
        <v>0.01</v>
      </c>
      <c r="BG75" s="53"/>
      <c r="BH75" s="53"/>
      <c r="BI75" s="53"/>
      <c r="BJ75" s="53"/>
      <c r="BM75" s="278">
        <f t="shared" si="120"/>
        <v>28.910047999999996</v>
      </c>
      <c r="BN75" s="278">
        <f t="shared" si="121"/>
        <v>0</v>
      </c>
      <c r="BO75" s="278">
        <f t="shared" si="76"/>
        <v>0</v>
      </c>
      <c r="BP75" s="278">
        <f t="shared" si="77"/>
        <v>0</v>
      </c>
      <c r="BQ75" s="278">
        <f t="shared" si="78"/>
        <v>0</v>
      </c>
      <c r="BS75" s="53">
        <f t="shared" si="70"/>
        <v>0.53004799999999719</v>
      </c>
      <c r="BT75" s="53">
        <f t="shared" si="71"/>
        <v>0</v>
      </c>
      <c r="BU75" s="53">
        <f t="shared" si="72"/>
        <v>0</v>
      </c>
      <c r="BV75" s="53">
        <f t="shared" si="73"/>
        <v>0</v>
      </c>
      <c r="BW75" s="53">
        <f t="shared" si="74"/>
        <v>0</v>
      </c>
      <c r="DT75" s="664"/>
    </row>
    <row r="76" spans="1:124">
      <c r="B76" s="35">
        <v>2</v>
      </c>
      <c r="C76" s="71" t="s">
        <v>120</v>
      </c>
      <c r="D76" s="35">
        <v>842</v>
      </c>
      <c r="E76" s="547">
        <v>2</v>
      </c>
      <c r="F76" s="72"/>
      <c r="G76" s="72" t="str">
        <f t="shared" si="150"/>
        <v>042842</v>
      </c>
      <c r="I76" t="s">
        <v>133</v>
      </c>
      <c r="J76" t="s">
        <v>131</v>
      </c>
      <c r="K76" s="58">
        <v>20000</v>
      </c>
      <c r="L76" s="96">
        <v>615</v>
      </c>
      <c r="M76" s="68">
        <f t="shared" si="144"/>
        <v>0</v>
      </c>
      <c r="N76" s="68">
        <f t="shared" si="144"/>
        <v>0</v>
      </c>
      <c r="O76" s="68">
        <f t="shared" si="144"/>
        <v>0</v>
      </c>
      <c r="P76" s="68">
        <f t="shared" si="144"/>
        <v>87</v>
      </c>
      <c r="Q76" s="68">
        <f t="shared" si="144"/>
        <v>0</v>
      </c>
      <c r="R76" s="565">
        <f t="shared" si="98"/>
        <v>0</v>
      </c>
      <c r="S76" s="603">
        <v>0</v>
      </c>
      <c r="T76" s="603">
        <v>0</v>
      </c>
      <c r="U76" s="603">
        <v>0</v>
      </c>
      <c r="V76" s="603">
        <v>14.91</v>
      </c>
      <c r="W76" s="603">
        <v>0</v>
      </c>
      <c r="Y76" s="69">
        <f t="shared" si="57"/>
        <v>0</v>
      </c>
      <c r="Z76" s="69">
        <f t="shared" si="58"/>
        <v>0</v>
      </c>
      <c r="AA76" s="69">
        <f t="shared" si="59"/>
        <v>0</v>
      </c>
      <c r="AB76" s="69">
        <f t="shared" si="60"/>
        <v>1297.17</v>
      </c>
      <c r="AC76" s="69">
        <f t="shared" si="61"/>
        <v>0</v>
      </c>
      <c r="AE76" s="68">
        <f t="shared" si="62"/>
        <v>0</v>
      </c>
      <c r="AF76" s="68">
        <f t="shared" si="125"/>
        <v>0</v>
      </c>
      <c r="AG76" s="68">
        <f t="shared" si="126"/>
        <v>0</v>
      </c>
      <c r="AH76" s="68">
        <f t="shared" si="127"/>
        <v>87</v>
      </c>
      <c r="AI76" s="68">
        <f t="shared" si="128"/>
        <v>0</v>
      </c>
      <c r="AK76" s="570">
        <f t="shared" si="112"/>
        <v>0</v>
      </c>
      <c r="AL76" s="570">
        <f t="shared" si="146"/>
        <v>0</v>
      </c>
      <c r="AM76" s="570">
        <f t="shared" si="157"/>
        <v>0</v>
      </c>
      <c r="AN76" s="570">
        <f t="shared" si="158"/>
        <v>15.41</v>
      </c>
      <c r="AO76" s="570">
        <f t="shared" si="159"/>
        <v>0</v>
      </c>
      <c r="AQ76" s="69">
        <f t="shared" ref="AQ76:AQ95" si="160">IF(AND(AE76&lt;&gt;0,AK76=0),#VALUE!,AE76*AK76)</f>
        <v>0</v>
      </c>
      <c r="AR76" s="69">
        <f t="shared" si="152"/>
        <v>0</v>
      </c>
      <c r="AS76" s="69">
        <f t="shared" ref="AS76:AS93" si="161">IF(AND(AG76&lt;&gt;0,AM76=0),#VALUE!,AG76*AM76)</f>
        <v>0</v>
      </c>
      <c r="AT76" s="69">
        <f t="shared" ref="AT76:AT93" si="162">IF(AND(AH76&lt;&gt;0,AN76=0),#VALUE!,AH76*AN76)</f>
        <v>1340.67</v>
      </c>
      <c r="AU76" s="69">
        <f t="shared" ref="AU76:AU93" si="163">IF(AND(AI76&lt;&gt;0,AO76=0),#VALUE!,AI76*AO76)</f>
        <v>0</v>
      </c>
      <c r="AV76" s="69">
        <f t="shared" si="65"/>
        <v>0</v>
      </c>
      <c r="AW76" s="443" t="e">
        <f t="shared" si="75"/>
        <v>#DIV/0!</v>
      </c>
      <c r="AX76" s="434">
        <v>182</v>
      </c>
      <c r="AY76" s="567"/>
      <c r="AZ76" s="567"/>
      <c r="BA76" s="567"/>
      <c r="BB76" s="567">
        <v>15.54</v>
      </c>
      <c r="BC76" s="567"/>
      <c r="BD76" s="139"/>
      <c r="BE76" s="573">
        <f t="shared" ref="BE76:BE93" si="164">ROUND(AX76*$BE$2,2)+ROUND(AX76*$BE$1,2)</f>
        <v>0.41000000000000014</v>
      </c>
      <c r="BF76" s="53"/>
      <c r="BG76" s="53"/>
      <c r="BH76" s="53"/>
      <c r="BI76" s="53">
        <f>ROUND((V76*$BF$2)+$BE76-BB76,2)</f>
        <v>0.01</v>
      </c>
      <c r="BJ76" s="53"/>
      <c r="BM76" s="278">
        <f t="shared" ref="BM76:BM93" si="165">AK76*$BM$1</f>
        <v>0</v>
      </c>
      <c r="BN76" s="278">
        <f t="shared" ref="BN76:BN93" si="166">AL76*$BM$1</f>
        <v>0</v>
      </c>
      <c r="BO76" s="278">
        <f t="shared" si="76"/>
        <v>0</v>
      </c>
      <c r="BP76" s="278">
        <f t="shared" si="77"/>
        <v>15.642690999999999</v>
      </c>
      <c r="BQ76" s="278">
        <f t="shared" si="78"/>
        <v>0</v>
      </c>
      <c r="BS76" s="53">
        <f t="shared" si="70"/>
        <v>0</v>
      </c>
      <c r="BT76" s="53">
        <f t="shared" si="71"/>
        <v>0</v>
      </c>
      <c r="BU76" s="53">
        <f t="shared" si="72"/>
        <v>0</v>
      </c>
      <c r="BV76" s="53">
        <f t="shared" si="73"/>
        <v>0.10269100000000009</v>
      </c>
      <c r="BW76" s="53">
        <f t="shared" si="74"/>
        <v>0</v>
      </c>
      <c r="CU76" s="632"/>
      <c r="CV76" s="632"/>
      <c r="CW76" s="632"/>
      <c r="CX76" s="632"/>
      <c r="CY76" s="632"/>
      <c r="CZ76" s="632"/>
      <c r="DA76" s="632"/>
      <c r="DB76" s="632"/>
      <c r="DC76" s="632"/>
      <c r="DD76" s="632"/>
      <c r="DH76" s="632"/>
      <c r="DI76" s="632"/>
      <c r="DJ76" s="632"/>
      <c r="DK76" s="632"/>
      <c r="DL76" s="632"/>
    </row>
    <row r="77" spans="1:124">
      <c r="E77" s="73">
        <f>SUM(E13:E76)</f>
        <v>22436</v>
      </c>
      <c r="F77" s="74"/>
      <c r="G77" s="72" t="str">
        <f t="shared" si="150"/>
        <v/>
      </c>
      <c r="H77" s="46"/>
      <c r="I77" s="732" t="s">
        <v>133</v>
      </c>
      <c r="J77" s="422" t="s">
        <v>904</v>
      </c>
      <c r="K77" s="564">
        <v>20000</v>
      </c>
      <c r="L77" s="566">
        <v>618</v>
      </c>
      <c r="M77" s="565">
        <f t="shared" si="144"/>
        <v>0</v>
      </c>
      <c r="N77" s="565">
        <f t="shared" si="144"/>
        <v>0</v>
      </c>
      <c r="O77" s="565">
        <f t="shared" si="144"/>
        <v>0</v>
      </c>
      <c r="P77" s="565">
        <f t="shared" si="144"/>
        <v>87</v>
      </c>
      <c r="Q77" s="565">
        <f t="shared" si="144"/>
        <v>0</v>
      </c>
      <c r="R77" s="565">
        <f t="shared" ref="R77" si="167">IF(SUM(M77:Q77)&gt;0,0,1)</f>
        <v>0</v>
      </c>
      <c r="S77" s="603">
        <v>0</v>
      </c>
      <c r="T77" s="603">
        <v>0</v>
      </c>
      <c r="U77" s="603">
        <v>0</v>
      </c>
      <c r="V77" s="633">
        <f>V76-((182-124)*0.105)</f>
        <v>8.82</v>
      </c>
      <c r="W77" s="603">
        <v>0</v>
      </c>
      <c r="X77" s="732"/>
      <c r="Y77" s="69">
        <f t="shared" ref="Y77" si="168">IF(AND(M77&lt;&gt;0,S77=0),#VALUE!,M77*S77)</f>
        <v>0</v>
      </c>
      <c r="Z77" s="69">
        <f t="shared" ref="Z77" si="169">IF(AND(N77&lt;&gt;0,T77=0),#VALUE!,N77*T77)</f>
        <v>0</v>
      </c>
      <c r="AA77" s="69">
        <f t="shared" ref="AA77" si="170">IF(AND(O77&lt;&gt;0,U77=0),#VALUE!,O77*U77)</f>
        <v>0</v>
      </c>
      <c r="AB77" s="69">
        <f t="shared" ref="AB77" si="171">IF(AND(P77&lt;&gt;0,V77=0),#VALUE!,P77*V77)</f>
        <v>767.34</v>
      </c>
      <c r="AC77" s="69">
        <f t="shared" ref="AC77" si="172">IF(AND(Q77&lt;&gt;0,W77=0),#VALUE!,Q77*W77)</f>
        <v>0</v>
      </c>
      <c r="AD77" s="732"/>
      <c r="AE77" s="565">
        <f t="shared" ref="AE77" si="173">M77</f>
        <v>0</v>
      </c>
      <c r="AF77" s="565">
        <f t="shared" ref="AF77" si="174">N77</f>
        <v>0</v>
      </c>
      <c r="AG77" s="565">
        <f t="shared" ref="AG77" si="175">O77</f>
        <v>0</v>
      </c>
      <c r="AH77" s="565">
        <f t="shared" ref="AH77" si="176">P77</f>
        <v>87</v>
      </c>
      <c r="AI77" s="565">
        <f t="shared" ref="AI77" si="177">Q77</f>
        <v>0</v>
      </c>
      <c r="AJ77" s="732"/>
      <c r="AK77" s="570">
        <f t="shared" ref="AK77" si="178">ROUND(S77*(1+AK$1),2)</f>
        <v>0</v>
      </c>
      <c r="AL77" s="570">
        <f t="shared" ref="AL77" si="179">ROUND(T77*(1+AL$1),2)</f>
        <v>0</v>
      </c>
      <c r="AM77" s="570">
        <f t="shared" ref="AM77" si="180">ROUND(U77*(1+AM$1),2)</f>
        <v>0</v>
      </c>
      <c r="AN77" s="570">
        <f t="shared" ref="AN77" si="181">ROUND(V77*(1+AN$1),2)</f>
        <v>9.11</v>
      </c>
      <c r="AO77" s="570">
        <f t="shared" ref="AO77" si="182">ROUND(W77*(1+AO$1),2)</f>
        <v>0</v>
      </c>
      <c r="AP77" s="732"/>
      <c r="AQ77" s="69">
        <f t="shared" ref="AQ77" si="183">IF(AND(AE77&lt;&gt;0,AK77=0),#VALUE!,AE77*AK77)</f>
        <v>0</v>
      </c>
      <c r="AR77" s="69">
        <f t="shared" ref="AR77" si="184">IF(AND(AF77&lt;&gt;0,AL77=0),#VALUE!,AF77*AL77)</f>
        <v>0</v>
      </c>
      <c r="AS77" s="69">
        <f t="shared" ref="AS77" si="185">IF(AND(AG77&lt;&gt;0,AM77=0),#VALUE!,AG77*AM77)</f>
        <v>0</v>
      </c>
      <c r="AT77" s="69">
        <f t="shared" ref="AT77" si="186">IF(AND(AH77&lt;&gt;0,AN77=0),#VALUE!,AH77*AN77)</f>
        <v>792.56999999999994</v>
      </c>
      <c r="AU77" s="69">
        <f t="shared" ref="AU77" si="187">IF(AND(AI77&lt;&gt;0,AO77=0),#VALUE!,AI77*AO77)</f>
        <v>0</v>
      </c>
      <c r="AV77" s="69">
        <f t="shared" si="65"/>
        <v>0</v>
      </c>
      <c r="AW77" s="443" t="e">
        <f t="shared" si="75"/>
        <v>#DIV/0!</v>
      </c>
      <c r="AX77" s="577">
        <v>124</v>
      </c>
      <c r="AY77" s="567"/>
      <c r="AZ77" s="567"/>
      <c r="BA77" s="567"/>
      <c r="BB77" s="567">
        <v>9.2200000000000006</v>
      </c>
      <c r="BC77" s="567"/>
      <c r="BD77" s="567"/>
      <c r="BE77" s="573">
        <f t="shared" ref="BE77" si="188">ROUND(AX77*$BE$2,2)+ROUND(AX77*$BE$1,2)</f>
        <v>0.28000000000000003</v>
      </c>
      <c r="BF77" s="563"/>
      <c r="BG77" s="563"/>
      <c r="BH77" s="563"/>
      <c r="BI77" s="563">
        <f>ROUND((V77*$BF$2)+$BE77-BB77,2)</f>
        <v>0.01</v>
      </c>
      <c r="BJ77" s="563"/>
      <c r="BK77" s="732"/>
      <c r="BL77" s="732"/>
      <c r="BM77" s="571">
        <f t="shared" ref="BM77" si="189">AK77*$BM$1</f>
        <v>0</v>
      </c>
      <c r="BN77" s="571">
        <f t="shared" ref="BN77" si="190">AL77*$BM$1</f>
        <v>0</v>
      </c>
      <c r="BO77" s="571">
        <f t="shared" ref="BO77" si="191">AM77*$BM$1</f>
        <v>0</v>
      </c>
      <c r="BP77" s="571">
        <f t="shared" ref="BP77" si="192">AN77*$BM$1</f>
        <v>9.2475609999999993</v>
      </c>
      <c r="BQ77" s="571">
        <f t="shared" ref="BQ77" si="193">AO77*$BM$1</f>
        <v>0</v>
      </c>
      <c r="BR77" s="732"/>
      <c r="BS77" s="563">
        <f t="shared" ref="BS77" si="194">BM77-AY77</f>
        <v>0</v>
      </c>
      <c r="BT77" s="563">
        <f t="shared" ref="BT77" si="195">BN77-AZ77</f>
        <v>0</v>
      </c>
      <c r="BU77" s="563">
        <f t="shared" ref="BU77" si="196">BO77-BA77</f>
        <v>0</v>
      </c>
      <c r="BV77" s="563">
        <f t="shared" ref="BV77" si="197">BP77-BB77</f>
        <v>2.7560999999998614E-2</v>
      </c>
      <c r="BW77" s="563">
        <f t="shared" ref="BW77" si="198">BQ77-BC77</f>
        <v>0</v>
      </c>
      <c r="BX77" s="732"/>
      <c r="BY77" s="732"/>
      <c r="BZ77" s="732"/>
      <c r="CA77" s="732"/>
      <c r="CB77" s="732"/>
      <c r="CC77" s="732"/>
      <c r="CD77" s="732"/>
      <c r="CE77" s="732"/>
      <c r="CF77" s="732"/>
      <c r="CG77" s="732"/>
      <c r="CH77" s="732"/>
      <c r="CI77" s="732"/>
      <c r="CJ77" s="732"/>
      <c r="CK77" s="732"/>
      <c r="CL77" s="732"/>
      <c r="CM77" s="732"/>
      <c r="CN77" s="732"/>
      <c r="CO77" s="732"/>
      <c r="CP77" s="732"/>
      <c r="CQ77" s="732"/>
      <c r="CR77" s="732"/>
      <c r="CS77" s="732"/>
      <c r="CT77" s="732"/>
    </row>
    <row r="78" spans="1:124">
      <c r="A78" s="430"/>
      <c r="E78" s="72"/>
      <c r="F78" s="72"/>
      <c r="G78" s="72" t="str">
        <f t="shared" si="150"/>
        <v/>
      </c>
      <c r="H78" s="46"/>
      <c r="I78" t="s">
        <v>128</v>
      </c>
      <c r="J78" t="s">
        <v>826</v>
      </c>
      <c r="K78" s="58" t="s">
        <v>143</v>
      </c>
      <c r="L78" s="96">
        <v>631</v>
      </c>
      <c r="M78" s="68">
        <f t="shared" si="144"/>
        <v>0</v>
      </c>
      <c r="N78" s="68">
        <f t="shared" si="144"/>
        <v>38</v>
      </c>
      <c r="O78" s="68">
        <f t="shared" si="144"/>
        <v>0</v>
      </c>
      <c r="P78" s="68">
        <f t="shared" si="144"/>
        <v>0</v>
      </c>
      <c r="Q78" s="68">
        <f t="shared" si="144"/>
        <v>0</v>
      </c>
      <c r="R78" s="565">
        <f t="shared" si="98"/>
        <v>0</v>
      </c>
      <c r="S78" s="603">
        <v>0</v>
      </c>
      <c r="T78" s="603">
        <v>23.69</v>
      </c>
      <c r="U78" s="603">
        <v>13.59</v>
      </c>
      <c r="V78" s="603">
        <v>0</v>
      </c>
      <c r="W78" s="603">
        <v>0</v>
      </c>
      <c r="Y78" s="69">
        <f t="shared" si="57"/>
        <v>0</v>
      </c>
      <c r="Z78" s="69">
        <f t="shared" si="58"/>
        <v>900.22</v>
      </c>
      <c r="AA78" s="69">
        <f t="shared" si="59"/>
        <v>0</v>
      </c>
      <c r="AB78" s="69">
        <f t="shared" si="60"/>
        <v>0</v>
      </c>
      <c r="AC78" s="69">
        <f t="shared" si="61"/>
        <v>0</v>
      </c>
      <c r="AE78" s="68">
        <f t="shared" si="62"/>
        <v>0</v>
      </c>
      <c r="AF78" s="68">
        <f t="shared" si="125"/>
        <v>38</v>
      </c>
      <c r="AG78" s="68">
        <f t="shared" si="126"/>
        <v>0</v>
      </c>
      <c r="AH78" s="68">
        <f t="shared" si="127"/>
        <v>0</v>
      </c>
      <c r="AI78" s="68">
        <f t="shared" si="128"/>
        <v>0</v>
      </c>
      <c r="AK78" s="570">
        <f t="shared" si="112"/>
        <v>0</v>
      </c>
      <c r="AL78" s="570">
        <f t="shared" si="146"/>
        <v>24.48</v>
      </c>
      <c r="AM78" s="623">
        <f t="shared" si="157"/>
        <v>14.04</v>
      </c>
      <c r="AN78" s="570">
        <f t="shared" si="158"/>
        <v>0</v>
      </c>
      <c r="AO78" s="570">
        <f t="shared" si="159"/>
        <v>0</v>
      </c>
      <c r="AQ78" s="69">
        <f t="shared" si="160"/>
        <v>0</v>
      </c>
      <c r="AR78" s="69">
        <f t="shared" si="152"/>
        <v>930.24</v>
      </c>
      <c r="AS78" s="69">
        <f t="shared" si="161"/>
        <v>0</v>
      </c>
      <c r="AT78" s="69">
        <f t="shared" si="162"/>
        <v>0</v>
      </c>
      <c r="AU78" s="69">
        <f t="shared" si="163"/>
        <v>0</v>
      </c>
      <c r="AV78" s="69">
        <f t="shared" si="65"/>
        <v>30.019999999999982</v>
      </c>
      <c r="AW78" s="443">
        <f t="shared" si="75"/>
        <v>3.334740396791893E-2</v>
      </c>
      <c r="AX78" s="434">
        <v>107</v>
      </c>
      <c r="AY78" s="567"/>
      <c r="AZ78" s="567">
        <v>24.29</v>
      </c>
      <c r="BA78" s="567">
        <v>14.04</v>
      </c>
      <c r="BB78" s="567"/>
      <c r="BC78" s="567"/>
      <c r="BD78" s="139"/>
      <c r="BE78" s="573">
        <f t="shared" si="164"/>
        <v>0.22999999999999998</v>
      </c>
      <c r="BF78" s="53"/>
      <c r="BG78" s="53">
        <f>ROUND((T78*$BF$2)+$BE78-AZ78,2)</f>
        <v>-0.01</v>
      </c>
      <c r="BH78" s="53">
        <f>ROUND((U78*$BF$2)+$BE78-BA78,2)</f>
        <v>-0.01</v>
      </c>
      <c r="BI78" s="53"/>
      <c r="BJ78" s="53"/>
      <c r="BM78" s="278">
        <f t="shared" si="165"/>
        <v>0</v>
      </c>
      <c r="BN78" s="278">
        <f t="shared" si="166"/>
        <v>24.849647999999998</v>
      </c>
      <c r="BO78" s="278">
        <f t="shared" si="76"/>
        <v>14.252003999999998</v>
      </c>
      <c r="BP78" s="278">
        <f t="shared" si="77"/>
        <v>0</v>
      </c>
      <c r="BQ78" s="278">
        <f t="shared" si="78"/>
        <v>0</v>
      </c>
      <c r="BS78" s="53">
        <f t="shared" si="70"/>
        <v>0</v>
      </c>
      <c r="BT78" s="53">
        <f t="shared" si="71"/>
        <v>0.55964799999999926</v>
      </c>
      <c r="BU78" s="53">
        <f t="shared" si="72"/>
        <v>0.21200399999999853</v>
      </c>
      <c r="BV78" s="53">
        <f t="shared" si="73"/>
        <v>0</v>
      </c>
      <c r="BW78" s="53">
        <f t="shared" si="74"/>
        <v>0</v>
      </c>
      <c r="DC78" s="632"/>
      <c r="DD78" s="632"/>
      <c r="DE78" s="632"/>
      <c r="DF78" s="632"/>
      <c r="DG78" s="632"/>
    </row>
    <row r="79" spans="1:124">
      <c r="B79" s="35">
        <v>2</v>
      </c>
      <c r="C79" s="71" t="s">
        <v>121</v>
      </c>
      <c r="D79" s="35">
        <v>431</v>
      </c>
      <c r="E79" s="546">
        <v>2</v>
      </c>
      <c r="F79" s="72"/>
      <c r="G79" s="72" t="str">
        <f>IF(OR(ISBLANK(C79),ISBLANK(D79)),"",TEXT(C79,"000")&amp;TEXT(D79,"000"))</f>
        <v>044431</v>
      </c>
      <c r="H79" s="46"/>
      <c r="I79" t="s">
        <v>128</v>
      </c>
      <c r="J79" t="s">
        <v>110</v>
      </c>
      <c r="K79" s="58" t="s">
        <v>143</v>
      </c>
      <c r="L79" s="96">
        <v>633</v>
      </c>
      <c r="M79" s="68">
        <f t="shared" ref="M79:Q86" si="199">SUMIF($G:$G,TEXT(M$3,"000")&amp;TEXT($L79,"000"),$E:$E)</f>
        <v>0</v>
      </c>
      <c r="N79" s="68">
        <f t="shared" si="199"/>
        <v>34</v>
      </c>
      <c r="O79" s="68">
        <f t="shared" si="199"/>
        <v>0</v>
      </c>
      <c r="P79" s="68">
        <f t="shared" si="199"/>
        <v>0</v>
      </c>
      <c r="Q79" s="68">
        <f t="shared" si="199"/>
        <v>0</v>
      </c>
      <c r="R79" s="565">
        <f t="shared" si="98"/>
        <v>0</v>
      </c>
      <c r="S79" s="603">
        <v>0</v>
      </c>
      <c r="T79" s="603">
        <v>39.22</v>
      </c>
      <c r="U79" s="603">
        <v>13.59</v>
      </c>
      <c r="V79" s="603">
        <v>0</v>
      </c>
      <c r="W79" s="603">
        <v>0</v>
      </c>
      <c r="Y79" s="69">
        <f t="shared" si="57"/>
        <v>0</v>
      </c>
      <c r="Z79" s="69">
        <f t="shared" si="58"/>
        <v>1333.48</v>
      </c>
      <c r="AA79" s="69">
        <f t="shared" si="59"/>
        <v>0</v>
      </c>
      <c r="AB79" s="69">
        <f t="shared" si="60"/>
        <v>0</v>
      </c>
      <c r="AC79" s="69">
        <f t="shared" si="61"/>
        <v>0</v>
      </c>
      <c r="AE79" s="68">
        <f t="shared" si="62"/>
        <v>0</v>
      </c>
      <c r="AF79" s="68">
        <f t="shared" si="125"/>
        <v>34</v>
      </c>
      <c r="AG79" s="68">
        <f t="shared" si="126"/>
        <v>0</v>
      </c>
      <c r="AH79" s="68">
        <f t="shared" si="127"/>
        <v>0</v>
      </c>
      <c r="AI79" s="68">
        <f t="shared" si="128"/>
        <v>0</v>
      </c>
      <c r="AK79" s="570">
        <f t="shared" si="112"/>
        <v>0</v>
      </c>
      <c r="AL79" s="570">
        <f t="shared" si="146"/>
        <v>40.53</v>
      </c>
      <c r="AM79" s="623">
        <f t="shared" si="157"/>
        <v>14.04</v>
      </c>
      <c r="AN79" s="570">
        <f t="shared" si="158"/>
        <v>0</v>
      </c>
      <c r="AO79" s="570">
        <f t="shared" si="159"/>
        <v>0</v>
      </c>
      <c r="AQ79" s="69">
        <f t="shared" si="160"/>
        <v>0</v>
      </c>
      <c r="AR79" s="69">
        <f t="shared" si="152"/>
        <v>1378.02</v>
      </c>
      <c r="AS79" s="69">
        <f t="shared" si="161"/>
        <v>0</v>
      </c>
      <c r="AT79" s="69">
        <f t="shared" si="162"/>
        <v>0</v>
      </c>
      <c r="AU79" s="69">
        <f t="shared" si="163"/>
        <v>0</v>
      </c>
      <c r="AV79" s="69">
        <f t="shared" si="65"/>
        <v>44.539999999999964</v>
      </c>
      <c r="AW79" s="443">
        <f t="shared" si="75"/>
        <v>3.3401325854156012E-2</v>
      </c>
      <c r="AX79" s="434">
        <v>107</v>
      </c>
      <c r="AY79" s="567"/>
      <c r="AZ79" s="567">
        <v>40.049999999999997</v>
      </c>
      <c r="BA79" s="567">
        <v>14.04</v>
      </c>
      <c r="BB79" s="567"/>
      <c r="BC79" s="567"/>
      <c r="BD79" s="139"/>
      <c r="BE79" s="573">
        <f t="shared" si="164"/>
        <v>0.22999999999999998</v>
      </c>
      <c r="BF79" s="53"/>
      <c r="BG79" s="53">
        <f>ROUND((T79*$BF$2)+$BE79-AZ79,2)</f>
        <v>-0.01</v>
      </c>
      <c r="BH79" s="53">
        <f>ROUND((U79*$BF$2)+$BE79-BA79,2)</f>
        <v>-0.01</v>
      </c>
      <c r="BI79" s="53"/>
      <c r="BJ79" s="53"/>
      <c r="BM79" s="278">
        <f t="shared" si="165"/>
        <v>0</v>
      </c>
      <c r="BN79" s="278">
        <f t="shared" si="166"/>
        <v>41.142002999999995</v>
      </c>
      <c r="BO79" s="278">
        <f t="shared" si="76"/>
        <v>14.252003999999998</v>
      </c>
      <c r="BP79" s="278">
        <f t="shared" si="77"/>
        <v>0</v>
      </c>
      <c r="BQ79" s="278">
        <f t="shared" si="78"/>
        <v>0</v>
      </c>
      <c r="BS79" s="53">
        <f t="shared" si="70"/>
        <v>0</v>
      </c>
      <c r="BT79" s="53">
        <f t="shared" si="71"/>
        <v>1.0920029999999983</v>
      </c>
      <c r="BU79" s="53">
        <f t="shared" si="72"/>
        <v>0.21200399999999853</v>
      </c>
      <c r="BV79" s="53">
        <f t="shared" si="73"/>
        <v>0</v>
      </c>
      <c r="BW79" s="53">
        <f t="shared" si="74"/>
        <v>0</v>
      </c>
    </row>
    <row r="80" spans="1:124">
      <c r="B80" s="35">
        <v>2</v>
      </c>
      <c r="C80" s="71" t="s">
        <v>121</v>
      </c>
      <c r="D80" s="35">
        <v>432</v>
      </c>
      <c r="E80" s="546">
        <v>4</v>
      </c>
      <c r="F80" s="72"/>
      <c r="G80" s="72" t="str">
        <f t="shared" si="150"/>
        <v>044432</v>
      </c>
      <c r="H80" s="46"/>
      <c r="I80" t="s">
        <v>128</v>
      </c>
      <c r="J80" t="s">
        <v>144</v>
      </c>
      <c r="K80" s="58" t="s">
        <v>143</v>
      </c>
      <c r="L80" s="96">
        <v>635</v>
      </c>
      <c r="M80" s="68">
        <f t="shared" si="199"/>
        <v>0</v>
      </c>
      <c r="N80" s="68">
        <f t="shared" si="199"/>
        <v>0</v>
      </c>
      <c r="O80" s="68">
        <f t="shared" si="199"/>
        <v>1</v>
      </c>
      <c r="P80" s="68">
        <f t="shared" si="199"/>
        <v>0</v>
      </c>
      <c r="Q80" s="68">
        <f t="shared" si="199"/>
        <v>236</v>
      </c>
      <c r="R80" s="565">
        <f t="shared" si="98"/>
        <v>0</v>
      </c>
      <c r="S80" s="603">
        <v>0</v>
      </c>
      <c r="T80" s="603">
        <v>0</v>
      </c>
      <c r="U80" s="603">
        <v>13.59</v>
      </c>
      <c r="V80" s="603">
        <v>0</v>
      </c>
      <c r="W80" s="603">
        <v>11.12</v>
      </c>
      <c r="Y80" s="69">
        <f t="shared" si="57"/>
        <v>0</v>
      </c>
      <c r="Z80" s="69">
        <f t="shared" si="58"/>
        <v>0</v>
      </c>
      <c r="AA80" s="69">
        <f t="shared" si="59"/>
        <v>13.59</v>
      </c>
      <c r="AB80" s="69">
        <f t="shared" si="60"/>
        <v>0</v>
      </c>
      <c r="AC80" s="69">
        <f t="shared" si="61"/>
        <v>2624.3199999999997</v>
      </c>
      <c r="AE80" s="68">
        <f t="shared" si="62"/>
        <v>0</v>
      </c>
      <c r="AF80" s="68">
        <f t="shared" si="125"/>
        <v>0</v>
      </c>
      <c r="AG80" s="68">
        <f t="shared" si="126"/>
        <v>1</v>
      </c>
      <c r="AH80" s="68">
        <f t="shared" si="127"/>
        <v>0</v>
      </c>
      <c r="AI80" s="68">
        <f t="shared" si="128"/>
        <v>236</v>
      </c>
      <c r="AK80" s="570">
        <f t="shared" si="112"/>
        <v>0</v>
      </c>
      <c r="AL80" s="570">
        <f t="shared" si="146"/>
        <v>0</v>
      </c>
      <c r="AM80" s="570">
        <f t="shared" si="157"/>
        <v>14.04</v>
      </c>
      <c r="AN80" s="570">
        <f t="shared" si="158"/>
        <v>0</v>
      </c>
      <c r="AO80" s="570">
        <f t="shared" si="159"/>
        <v>11.49</v>
      </c>
      <c r="AQ80" s="69">
        <f t="shared" si="160"/>
        <v>0</v>
      </c>
      <c r="AR80" s="69">
        <f t="shared" si="152"/>
        <v>0</v>
      </c>
      <c r="AS80" s="69">
        <f t="shared" si="161"/>
        <v>14.04</v>
      </c>
      <c r="AT80" s="69">
        <f t="shared" si="162"/>
        <v>0</v>
      </c>
      <c r="AU80" s="69">
        <f t="shared" si="163"/>
        <v>2711.64</v>
      </c>
      <c r="AV80" s="69">
        <f t="shared" si="65"/>
        <v>0</v>
      </c>
      <c r="AW80" s="443" t="e">
        <f t="shared" si="75"/>
        <v>#DIV/0!</v>
      </c>
      <c r="AX80" s="434">
        <v>107</v>
      </c>
      <c r="AY80" s="567"/>
      <c r="AZ80" s="567"/>
      <c r="BA80" s="567">
        <v>14.04</v>
      </c>
      <c r="BB80" s="567"/>
      <c r="BC80" s="567">
        <v>11.53</v>
      </c>
      <c r="BD80" s="139"/>
      <c r="BE80" s="573">
        <f t="shared" si="164"/>
        <v>0.22999999999999998</v>
      </c>
      <c r="BF80" s="53"/>
      <c r="BG80" s="53"/>
      <c r="BH80" s="53">
        <f>ROUND((U80*$BF$2)+$BE80-BA80,2)</f>
        <v>-0.01</v>
      </c>
      <c r="BI80" s="53"/>
      <c r="BJ80" s="53">
        <f>ROUND((W80*$BF$2)+$BE80-BC80,2)</f>
        <v>-0.01</v>
      </c>
      <c r="BM80" s="278">
        <f t="shared" si="165"/>
        <v>0</v>
      </c>
      <c r="BN80" s="278">
        <f t="shared" si="166"/>
        <v>0</v>
      </c>
      <c r="BO80" s="278">
        <f t="shared" si="76"/>
        <v>14.252003999999998</v>
      </c>
      <c r="BP80" s="278">
        <f t="shared" si="77"/>
        <v>0</v>
      </c>
      <c r="BQ80" s="278">
        <f t="shared" si="78"/>
        <v>11.663499</v>
      </c>
      <c r="BS80" s="53">
        <f t="shared" si="70"/>
        <v>0</v>
      </c>
      <c r="BT80" s="53">
        <f t="shared" si="71"/>
        <v>0</v>
      </c>
      <c r="BU80" s="53">
        <f t="shared" si="72"/>
        <v>0.21200399999999853</v>
      </c>
      <c r="BV80" s="53">
        <f t="shared" si="73"/>
        <v>0</v>
      </c>
      <c r="BW80" s="53">
        <f t="shared" si="74"/>
        <v>0.13349900000000048</v>
      </c>
    </row>
    <row r="81" spans="1:16384">
      <c r="B81" s="35">
        <v>2</v>
      </c>
      <c r="C81" s="71" t="s">
        <v>121</v>
      </c>
      <c r="D81" s="35">
        <v>433</v>
      </c>
      <c r="E81" s="546">
        <v>6</v>
      </c>
      <c r="F81" s="72"/>
      <c r="G81" s="72" t="str">
        <f t="shared" si="150"/>
        <v>044433</v>
      </c>
      <c r="H81" s="46"/>
      <c r="I81" t="s">
        <v>128</v>
      </c>
      <c r="J81" t="s">
        <v>136</v>
      </c>
      <c r="K81" s="58" t="s">
        <v>143</v>
      </c>
      <c r="L81" s="96">
        <v>636</v>
      </c>
      <c r="M81" s="68">
        <f t="shared" si="199"/>
        <v>0</v>
      </c>
      <c r="N81" s="68">
        <f t="shared" si="199"/>
        <v>2</v>
      </c>
      <c r="O81" s="68">
        <f t="shared" si="199"/>
        <v>0</v>
      </c>
      <c r="P81" s="68">
        <f t="shared" si="199"/>
        <v>0</v>
      </c>
      <c r="Q81" s="68">
        <f t="shared" si="199"/>
        <v>0</v>
      </c>
      <c r="R81" s="565">
        <f t="shared" si="98"/>
        <v>0</v>
      </c>
      <c r="S81" s="603">
        <v>0</v>
      </c>
      <c r="T81" s="603">
        <v>27.86</v>
      </c>
      <c r="U81" s="603">
        <v>0</v>
      </c>
      <c r="V81" s="603">
        <v>0</v>
      </c>
      <c r="W81" s="603">
        <v>0</v>
      </c>
      <c r="Y81" s="69">
        <f t="shared" si="57"/>
        <v>0</v>
      </c>
      <c r="Z81" s="69">
        <f t="shared" si="58"/>
        <v>55.72</v>
      </c>
      <c r="AA81" s="69">
        <f t="shared" si="59"/>
        <v>0</v>
      </c>
      <c r="AB81" s="69">
        <f t="shared" si="60"/>
        <v>0</v>
      </c>
      <c r="AC81" s="69">
        <f t="shared" si="61"/>
        <v>0</v>
      </c>
      <c r="AE81" s="68">
        <f t="shared" si="62"/>
        <v>0</v>
      </c>
      <c r="AF81" s="68">
        <f t="shared" si="125"/>
        <v>2</v>
      </c>
      <c r="AG81" s="68">
        <f t="shared" si="126"/>
        <v>0</v>
      </c>
      <c r="AH81" s="68">
        <f t="shared" si="127"/>
        <v>0</v>
      </c>
      <c r="AI81" s="68">
        <f t="shared" si="128"/>
        <v>0</v>
      </c>
      <c r="AK81" s="570">
        <f t="shared" si="112"/>
        <v>0</v>
      </c>
      <c r="AL81" s="570">
        <f t="shared" si="146"/>
        <v>28.79</v>
      </c>
      <c r="AM81" s="570">
        <f t="shared" si="157"/>
        <v>0</v>
      </c>
      <c r="AN81" s="570">
        <f t="shared" si="158"/>
        <v>0</v>
      </c>
      <c r="AO81" s="570">
        <f t="shared" si="159"/>
        <v>0</v>
      </c>
      <c r="AQ81" s="69">
        <f t="shared" si="160"/>
        <v>0</v>
      </c>
      <c r="AR81" s="69">
        <f t="shared" si="152"/>
        <v>57.58</v>
      </c>
      <c r="AS81" s="69">
        <f t="shared" si="161"/>
        <v>0</v>
      </c>
      <c r="AT81" s="69">
        <f t="shared" si="162"/>
        <v>0</v>
      </c>
      <c r="AU81" s="69">
        <f t="shared" si="163"/>
        <v>0</v>
      </c>
      <c r="AV81" s="69">
        <f t="shared" si="65"/>
        <v>1.8599999999999994</v>
      </c>
      <c r="AW81" s="443">
        <f t="shared" si="75"/>
        <v>3.3381191672648948E-2</v>
      </c>
      <c r="AX81" s="434">
        <v>107</v>
      </c>
      <c r="AY81" s="567"/>
      <c r="AZ81" s="567">
        <v>28.52</v>
      </c>
      <c r="BA81" s="567"/>
      <c r="BB81" s="567"/>
      <c r="BC81" s="567"/>
      <c r="BD81" s="139"/>
      <c r="BE81" s="573">
        <f t="shared" si="164"/>
        <v>0.22999999999999998</v>
      </c>
      <c r="BF81" s="53"/>
      <c r="BG81" s="53">
        <f>ROUND((T81*$BF$2)+$BE81-AZ81,2)</f>
        <v>-0.01</v>
      </c>
      <c r="BH81" s="53"/>
      <c r="BI81" s="53"/>
      <c r="BJ81" s="53"/>
      <c r="BM81" s="278">
        <f t="shared" si="165"/>
        <v>0</v>
      </c>
      <c r="BN81" s="278">
        <f t="shared" si="166"/>
        <v>29.224728999999996</v>
      </c>
      <c r="BO81" s="278">
        <f t="shared" si="76"/>
        <v>0</v>
      </c>
      <c r="BP81" s="278">
        <f t="shared" si="77"/>
        <v>0</v>
      </c>
      <c r="BQ81" s="278">
        <f t="shared" si="78"/>
        <v>0</v>
      </c>
      <c r="BS81" s="53">
        <f t="shared" si="70"/>
        <v>0</v>
      </c>
      <c r="BT81" s="53">
        <f t="shared" si="71"/>
        <v>0.70472899999999683</v>
      </c>
      <c r="BU81" s="53">
        <f t="shared" si="72"/>
        <v>0</v>
      </c>
      <c r="BV81" s="53">
        <f t="shared" si="73"/>
        <v>0</v>
      </c>
      <c r="BW81" s="53">
        <f t="shared" si="74"/>
        <v>0</v>
      </c>
    </row>
    <row r="82" spans="1:16384">
      <c r="B82" s="35">
        <v>2</v>
      </c>
      <c r="C82" s="71" t="s">
        <v>121</v>
      </c>
      <c r="D82" s="35">
        <v>435</v>
      </c>
      <c r="E82" s="546">
        <f>11+1+5</f>
        <v>17</v>
      </c>
      <c r="F82" s="72"/>
      <c r="G82" s="72" t="str">
        <f t="shared" si="150"/>
        <v>044435</v>
      </c>
      <c r="H82" s="46"/>
      <c r="I82" t="s">
        <v>133</v>
      </c>
      <c r="J82" t="s">
        <v>131</v>
      </c>
      <c r="K82" s="58">
        <v>35000</v>
      </c>
      <c r="L82" s="96">
        <v>715</v>
      </c>
      <c r="M82" s="68">
        <f t="shared" si="199"/>
        <v>0</v>
      </c>
      <c r="N82" s="68">
        <f t="shared" si="199"/>
        <v>0</v>
      </c>
      <c r="O82" s="68">
        <f t="shared" si="199"/>
        <v>0</v>
      </c>
      <c r="P82" s="68">
        <f t="shared" si="199"/>
        <v>6</v>
      </c>
      <c r="Q82" s="68">
        <f t="shared" si="199"/>
        <v>0</v>
      </c>
      <c r="R82" s="565">
        <f t="shared" si="98"/>
        <v>0</v>
      </c>
      <c r="S82" s="603">
        <v>0</v>
      </c>
      <c r="T82" s="603">
        <v>0</v>
      </c>
      <c r="U82" s="603">
        <v>0</v>
      </c>
      <c r="V82" s="603">
        <v>24.2</v>
      </c>
      <c r="W82" s="603">
        <v>0</v>
      </c>
      <c r="Y82" s="69">
        <f t="shared" si="57"/>
        <v>0</v>
      </c>
      <c r="Z82" s="69">
        <f t="shared" si="58"/>
        <v>0</v>
      </c>
      <c r="AA82" s="69">
        <f t="shared" si="59"/>
        <v>0</v>
      </c>
      <c r="AB82" s="69">
        <f t="shared" si="60"/>
        <v>145.19999999999999</v>
      </c>
      <c r="AC82" s="69">
        <f t="shared" si="61"/>
        <v>0</v>
      </c>
      <c r="AE82" s="68">
        <f t="shared" si="62"/>
        <v>0</v>
      </c>
      <c r="AF82" s="68">
        <f t="shared" si="125"/>
        <v>0</v>
      </c>
      <c r="AG82" s="68">
        <f t="shared" si="126"/>
        <v>0</v>
      </c>
      <c r="AH82" s="68">
        <f t="shared" si="127"/>
        <v>6</v>
      </c>
      <c r="AI82" s="68">
        <f t="shared" si="128"/>
        <v>0</v>
      </c>
      <c r="AK82" s="570">
        <f t="shared" si="112"/>
        <v>0</v>
      </c>
      <c r="AL82" s="570">
        <f t="shared" ref="AL82:AL84" si="200">ROUND(T82*(1+AL$1),2)</f>
        <v>0</v>
      </c>
      <c r="AM82" s="570">
        <f t="shared" si="157"/>
        <v>0</v>
      </c>
      <c r="AN82" s="570">
        <f t="shared" si="158"/>
        <v>25.01</v>
      </c>
      <c r="AO82" s="570">
        <f t="shared" si="159"/>
        <v>0</v>
      </c>
      <c r="AQ82" s="69">
        <f t="shared" si="160"/>
        <v>0</v>
      </c>
      <c r="AR82" s="69">
        <f t="shared" si="152"/>
        <v>0</v>
      </c>
      <c r="AS82" s="69">
        <f t="shared" si="161"/>
        <v>0</v>
      </c>
      <c r="AT82" s="69">
        <f t="shared" si="162"/>
        <v>150.06</v>
      </c>
      <c r="AU82" s="69">
        <f t="shared" si="163"/>
        <v>0</v>
      </c>
      <c r="AV82" s="69">
        <f t="shared" si="65"/>
        <v>0</v>
      </c>
      <c r="AW82" s="443" t="e">
        <f t="shared" si="75"/>
        <v>#DIV/0!</v>
      </c>
      <c r="AX82" s="434">
        <v>285</v>
      </c>
      <c r="AY82" s="567"/>
      <c r="AZ82" s="567"/>
      <c r="BA82" s="567"/>
      <c r="BB82" s="567">
        <v>25.19</v>
      </c>
      <c r="BC82" s="567"/>
      <c r="BD82" s="139"/>
      <c r="BE82" s="573">
        <f t="shared" si="164"/>
        <v>0.63000000000000034</v>
      </c>
      <c r="BF82" s="53"/>
      <c r="BG82" s="53"/>
      <c r="BH82" s="53"/>
      <c r="BI82" s="53">
        <f>ROUND((V82*$BF$2)+$BE82-BB82,2)</f>
        <v>0.01</v>
      </c>
      <c r="BJ82" s="53"/>
      <c r="BM82" s="278">
        <f t="shared" si="165"/>
        <v>0</v>
      </c>
      <c r="BN82" s="278">
        <f t="shared" si="166"/>
        <v>0</v>
      </c>
      <c r="BO82" s="278">
        <f t="shared" si="76"/>
        <v>0</v>
      </c>
      <c r="BP82" s="278">
        <f t="shared" si="77"/>
        <v>25.387650999999998</v>
      </c>
      <c r="BQ82" s="278">
        <f t="shared" si="78"/>
        <v>0</v>
      </c>
      <c r="BS82" s="53">
        <f t="shared" si="70"/>
        <v>0</v>
      </c>
      <c r="BT82" s="53">
        <f t="shared" si="71"/>
        <v>0</v>
      </c>
      <c r="BU82" s="53">
        <f t="shared" si="72"/>
        <v>0</v>
      </c>
      <c r="BV82" s="53">
        <f t="shared" si="73"/>
        <v>0.19765099999999691</v>
      </c>
      <c r="BW82" s="53">
        <f t="shared" si="74"/>
        <v>0</v>
      </c>
      <c r="DT82" s="580"/>
      <c r="DU82" s="580"/>
    </row>
    <row r="83" spans="1:16384">
      <c r="B83" s="35">
        <v>2</v>
      </c>
      <c r="C83" s="71" t="s">
        <v>121</v>
      </c>
      <c r="D83" s="35">
        <v>531</v>
      </c>
      <c r="E83" s="546">
        <v>1</v>
      </c>
      <c r="F83" s="72"/>
      <c r="G83" s="72" t="str">
        <f t="shared" si="150"/>
        <v>044531</v>
      </c>
      <c r="H83" s="46"/>
      <c r="I83" t="s">
        <v>128</v>
      </c>
      <c r="J83" t="s">
        <v>109</v>
      </c>
      <c r="K83" s="58" t="s">
        <v>145</v>
      </c>
      <c r="L83" s="96">
        <v>732</v>
      </c>
      <c r="M83" s="68">
        <f t="shared" si="199"/>
        <v>0</v>
      </c>
      <c r="N83" s="68">
        <f t="shared" si="199"/>
        <v>0</v>
      </c>
      <c r="O83" s="68">
        <f t="shared" si="199"/>
        <v>21</v>
      </c>
      <c r="P83" s="68">
        <f t="shared" si="199"/>
        <v>0</v>
      </c>
      <c r="Q83" s="68">
        <f t="shared" si="199"/>
        <v>0</v>
      </c>
      <c r="R83" s="565">
        <f t="shared" si="98"/>
        <v>0</v>
      </c>
      <c r="S83" s="603">
        <v>0</v>
      </c>
      <c r="T83" s="603">
        <v>0</v>
      </c>
      <c r="U83" s="603">
        <v>15.94</v>
      </c>
      <c r="V83" s="603">
        <v>0</v>
      </c>
      <c r="W83" s="603">
        <v>0</v>
      </c>
      <c r="Y83" s="69">
        <f t="shared" si="57"/>
        <v>0</v>
      </c>
      <c r="Z83" s="69">
        <f t="shared" si="58"/>
        <v>0</v>
      </c>
      <c r="AA83" s="69">
        <f t="shared" si="59"/>
        <v>334.74</v>
      </c>
      <c r="AB83" s="69">
        <f t="shared" si="60"/>
        <v>0</v>
      </c>
      <c r="AC83" s="69">
        <f t="shared" si="61"/>
        <v>0</v>
      </c>
      <c r="AE83" s="68">
        <f t="shared" si="62"/>
        <v>0</v>
      </c>
      <c r="AF83" s="68">
        <f t="shared" si="125"/>
        <v>0</v>
      </c>
      <c r="AG83" s="68">
        <f t="shared" si="126"/>
        <v>21</v>
      </c>
      <c r="AH83" s="68">
        <f t="shared" si="127"/>
        <v>0</v>
      </c>
      <c r="AI83" s="68">
        <f t="shared" si="128"/>
        <v>0</v>
      </c>
      <c r="AK83" s="570">
        <f t="shared" si="112"/>
        <v>0</v>
      </c>
      <c r="AL83" s="570">
        <f t="shared" si="200"/>
        <v>0</v>
      </c>
      <c r="AM83" s="570">
        <f t="shared" si="157"/>
        <v>16.47</v>
      </c>
      <c r="AN83" s="570">
        <f t="shared" si="158"/>
        <v>0</v>
      </c>
      <c r="AO83" s="570">
        <f t="shared" si="159"/>
        <v>0</v>
      </c>
      <c r="AQ83" s="69">
        <f t="shared" si="160"/>
        <v>0</v>
      </c>
      <c r="AR83" s="69">
        <f t="shared" si="152"/>
        <v>0</v>
      </c>
      <c r="AS83" s="69">
        <f t="shared" si="161"/>
        <v>345.87</v>
      </c>
      <c r="AT83" s="69">
        <f t="shared" si="162"/>
        <v>0</v>
      </c>
      <c r="AU83" s="69">
        <f t="shared" si="163"/>
        <v>0</v>
      </c>
      <c r="AV83" s="69">
        <f t="shared" si="65"/>
        <v>0</v>
      </c>
      <c r="AW83" s="443" t="e">
        <f t="shared" si="75"/>
        <v>#DIV/0!</v>
      </c>
      <c r="AX83" s="434">
        <v>133</v>
      </c>
      <c r="AY83" s="567"/>
      <c r="AZ83" s="567"/>
      <c r="BA83" s="567">
        <v>16.47</v>
      </c>
      <c r="BB83" s="567"/>
      <c r="BC83" s="567"/>
      <c r="BD83" s="139"/>
      <c r="BE83" s="573">
        <f t="shared" si="164"/>
        <v>0.29000000000000004</v>
      </c>
      <c r="BF83" s="53"/>
      <c r="BG83" s="53"/>
      <c r="BH83" s="53">
        <f>ROUND((U83*$BF$2)+$BE83-BA83,2)</f>
        <v>0</v>
      </c>
      <c r="BI83" s="53"/>
      <c r="BJ83" s="53"/>
      <c r="BM83" s="278">
        <f t="shared" si="165"/>
        <v>0</v>
      </c>
      <c r="BN83" s="278">
        <f t="shared" si="166"/>
        <v>0</v>
      </c>
      <c r="BO83" s="278">
        <f t="shared" si="76"/>
        <v>16.718696999999999</v>
      </c>
      <c r="BP83" s="278">
        <f t="shared" si="77"/>
        <v>0</v>
      </c>
      <c r="BQ83" s="278">
        <f t="shared" si="78"/>
        <v>0</v>
      </c>
      <c r="BS83" s="53">
        <f t="shared" si="70"/>
        <v>0</v>
      </c>
      <c r="BT83" s="53">
        <f t="shared" si="71"/>
        <v>0</v>
      </c>
      <c r="BU83" s="53">
        <f t="shared" si="72"/>
        <v>0.24869699999999995</v>
      </c>
      <c r="BV83" s="53">
        <f t="shared" si="73"/>
        <v>0</v>
      </c>
      <c r="BW83" s="53">
        <f t="shared" si="74"/>
        <v>0</v>
      </c>
      <c r="DT83" s="580"/>
      <c r="DU83" s="580"/>
      <c r="DV83" s="580"/>
      <c r="DW83" s="580"/>
      <c r="DX83" s="580"/>
      <c r="DY83" s="580"/>
      <c r="DZ83" s="580"/>
      <c r="EA83" s="580"/>
      <c r="EB83" s="580"/>
      <c r="EC83" s="580"/>
      <c r="ED83" s="580"/>
      <c r="EE83" s="580"/>
      <c r="EF83" s="580"/>
      <c r="EG83" s="580"/>
      <c r="EH83" s="580"/>
      <c r="EI83" s="580"/>
      <c r="EJ83" s="580"/>
      <c r="EK83" s="580"/>
      <c r="EL83" s="580"/>
      <c r="EM83" s="580"/>
      <c r="EN83" s="580"/>
      <c r="EO83" s="580"/>
      <c r="EP83" s="580"/>
    </row>
    <row r="84" spans="1:16384">
      <c r="B84" s="35">
        <v>2</v>
      </c>
      <c r="C84" s="71" t="s">
        <v>121</v>
      </c>
      <c r="D84" s="35">
        <v>532</v>
      </c>
      <c r="E84" s="546">
        <v>89</v>
      </c>
      <c r="F84" s="72"/>
      <c r="G84" s="72" t="str">
        <f t="shared" si="150"/>
        <v>044532</v>
      </c>
      <c r="H84" s="46"/>
      <c r="I84" t="s">
        <v>128</v>
      </c>
      <c r="J84" t="s">
        <v>135</v>
      </c>
      <c r="K84" s="58" t="s">
        <v>145</v>
      </c>
      <c r="L84" s="96">
        <v>735</v>
      </c>
      <c r="M84" s="68">
        <f t="shared" si="199"/>
        <v>0</v>
      </c>
      <c r="N84" s="68">
        <f t="shared" si="199"/>
        <v>0</v>
      </c>
      <c r="O84" s="68">
        <f t="shared" si="199"/>
        <v>1</v>
      </c>
      <c r="P84" s="68">
        <f t="shared" si="199"/>
        <v>0</v>
      </c>
      <c r="Q84" s="68">
        <f t="shared" si="199"/>
        <v>262</v>
      </c>
      <c r="R84" s="565">
        <f t="shared" si="98"/>
        <v>0</v>
      </c>
      <c r="S84" s="603">
        <v>0</v>
      </c>
      <c r="T84" s="603">
        <v>0</v>
      </c>
      <c r="U84" s="603">
        <v>15.94</v>
      </c>
      <c r="V84" s="603">
        <v>0</v>
      </c>
      <c r="W84" s="603">
        <v>13.41</v>
      </c>
      <c r="Y84" s="69">
        <f t="shared" si="57"/>
        <v>0</v>
      </c>
      <c r="Z84" s="69">
        <f t="shared" si="58"/>
        <v>0</v>
      </c>
      <c r="AA84" s="69">
        <f t="shared" si="59"/>
        <v>15.94</v>
      </c>
      <c r="AB84" s="69">
        <f t="shared" si="60"/>
        <v>0</v>
      </c>
      <c r="AC84" s="69">
        <f t="shared" si="61"/>
        <v>3513.42</v>
      </c>
      <c r="AE84" s="68">
        <f t="shared" si="62"/>
        <v>0</v>
      </c>
      <c r="AF84" s="68">
        <f t="shared" si="125"/>
        <v>0</v>
      </c>
      <c r="AG84" s="68">
        <f t="shared" si="126"/>
        <v>1</v>
      </c>
      <c r="AH84" s="68">
        <f t="shared" si="127"/>
        <v>0</v>
      </c>
      <c r="AI84" s="68">
        <f t="shared" si="128"/>
        <v>262</v>
      </c>
      <c r="AK84" s="570">
        <f t="shared" si="112"/>
        <v>0</v>
      </c>
      <c r="AL84" s="570">
        <f t="shared" si="200"/>
        <v>0</v>
      </c>
      <c r="AM84" s="570">
        <f t="shared" si="157"/>
        <v>16.47</v>
      </c>
      <c r="AN84" s="570">
        <f t="shared" si="158"/>
        <v>0</v>
      </c>
      <c r="AO84" s="570">
        <f t="shared" si="159"/>
        <v>13.86</v>
      </c>
      <c r="AQ84" s="69">
        <f t="shared" si="160"/>
        <v>0</v>
      </c>
      <c r="AR84" s="69">
        <f t="shared" si="152"/>
        <v>0</v>
      </c>
      <c r="AS84" s="69">
        <f t="shared" si="161"/>
        <v>16.47</v>
      </c>
      <c r="AT84" s="69">
        <f t="shared" si="162"/>
        <v>0</v>
      </c>
      <c r="AU84" s="69">
        <f t="shared" si="163"/>
        <v>3631.3199999999997</v>
      </c>
      <c r="AV84" s="69">
        <f t="shared" si="65"/>
        <v>0</v>
      </c>
      <c r="AW84" s="443" t="e">
        <f t="shared" si="75"/>
        <v>#DIV/0!</v>
      </c>
      <c r="AX84" s="434">
        <v>133</v>
      </c>
      <c r="AY84" s="567"/>
      <c r="AZ84" s="567"/>
      <c r="BA84" s="567">
        <v>16.47</v>
      </c>
      <c r="BB84" s="567"/>
      <c r="BC84" s="567">
        <v>13.9</v>
      </c>
      <c r="BD84" s="139"/>
      <c r="BE84" s="573">
        <f t="shared" si="164"/>
        <v>0.29000000000000004</v>
      </c>
      <c r="BF84" s="53"/>
      <c r="BG84" s="53"/>
      <c r="BH84" s="53">
        <f>ROUND((U84*$BF$2)+$BE84-BA84,2)</f>
        <v>0</v>
      </c>
      <c r="BI84" s="53"/>
      <c r="BJ84" s="53">
        <f>ROUND((W84*$BF$2)+$BE84-BC84,2)</f>
        <v>0</v>
      </c>
      <c r="BM84" s="278">
        <f t="shared" si="165"/>
        <v>0</v>
      </c>
      <c r="BN84" s="278">
        <f t="shared" si="166"/>
        <v>0</v>
      </c>
      <c r="BO84" s="278">
        <f t="shared" si="76"/>
        <v>16.718696999999999</v>
      </c>
      <c r="BP84" s="278">
        <f t="shared" si="77"/>
        <v>0</v>
      </c>
      <c r="BQ84" s="278">
        <f t="shared" si="78"/>
        <v>14.069285999999998</v>
      </c>
      <c r="BS84" s="53">
        <f t="shared" si="70"/>
        <v>0</v>
      </c>
      <c r="BT84" s="53">
        <f t="shared" si="71"/>
        <v>0</v>
      </c>
      <c r="BU84" s="53">
        <f t="shared" si="72"/>
        <v>0.24869699999999995</v>
      </c>
      <c r="BV84" s="53">
        <f t="shared" si="73"/>
        <v>0</v>
      </c>
      <c r="BW84" s="53">
        <f t="shared" si="74"/>
        <v>0.16928599999999783</v>
      </c>
      <c r="DV84" s="580"/>
      <c r="DW84" s="580"/>
      <c r="DX84" s="580"/>
      <c r="DY84" s="580"/>
      <c r="DZ84" s="580"/>
      <c r="EA84" s="580"/>
      <c r="EB84" s="580"/>
      <c r="EC84" s="580"/>
      <c r="ED84" s="580"/>
      <c r="EE84" s="580"/>
      <c r="EF84" s="580"/>
      <c r="EG84" s="580"/>
      <c r="EH84" s="580"/>
      <c r="EI84" s="580"/>
      <c r="EJ84" s="580"/>
      <c r="EK84" s="580"/>
      <c r="EL84" s="580"/>
      <c r="EM84" s="580"/>
      <c r="EN84" s="580"/>
      <c r="EO84" s="580"/>
      <c r="EP84" s="580"/>
      <c r="EQ84" s="580"/>
      <c r="ER84" s="580"/>
      <c r="ES84" s="580"/>
      <c r="ET84" s="580"/>
      <c r="EU84" s="580"/>
      <c r="EV84" s="580"/>
      <c r="EW84" s="580"/>
      <c r="EX84" s="580"/>
      <c r="EY84" s="580"/>
      <c r="EZ84" s="580"/>
    </row>
    <row r="85" spans="1:16384">
      <c r="B85" s="35">
        <v>2</v>
      </c>
      <c r="C85" s="71" t="s">
        <v>121</v>
      </c>
      <c r="D85" s="35">
        <v>533</v>
      </c>
      <c r="E85" s="546">
        <f>2+1</f>
        <v>3</v>
      </c>
      <c r="F85" s="72"/>
      <c r="G85" s="72" t="str">
        <f t="shared" si="150"/>
        <v>044533</v>
      </c>
      <c r="H85" s="46"/>
      <c r="I85" s="422" t="s">
        <v>698</v>
      </c>
      <c r="J85" s="664" t="s">
        <v>109</v>
      </c>
      <c r="K85" s="564" t="s">
        <v>626</v>
      </c>
      <c r="L85" s="566" t="s">
        <v>802</v>
      </c>
      <c r="M85" s="565">
        <f t="shared" si="199"/>
        <v>0</v>
      </c>
      <c r="N85" s="565">
        <f t="shared" si="199"/>
        <v>19</v>
      </c>
      <c r="O85" s="565">
        <f t="shared" si="199"/>
        <v>0</v>
      </c>
      <c r="P85" s="565">
        <f t="shared" si="199"/>
        <v>0</v>
      </c>
      <c r="Q85" s="565">
        <f t="shared" si="199"/>
        <v>0</v>
      </c>
      <c r="R85" s="565">
        <f t="shared" si="98"/>
        <v>0</v>
      </c>
      <c r="S85" s="603">
        <v>0</v>
      </c>
      <c r="T85" s="633">
        <f>T153-T96</f>
        <v>44.4</v>
      </c>
      <c r="U85" s="603">
        <v>0</v>
      </c>
      <c r="V85" s="603">
        <v>0</v>
      </c>
      <c r="W85" s="603"/>
      <c r="X85" s="664"/>
      <c r="Y85" s="664"/>
      <c r="Z85" s="69">
        <f>IF(AND(N85&lt;&gt;0,T85=0),#VALUE!,N85*T85)</f>
        <v>843.6</v>
      </c>
      <c r="AA85" s="69">
        <f t="shared" si="59"/>
        <v>0</v>
      </c>
      <c r="AB85" s="69">
        <f t="shared" si="60"/>
        <v>0</v>
      </c>
      <c r="AC85" s="69">
        <f t="shared" si="61"/>
        <v>0</v>
      </c>
      <c r="AD85" s="664"/>
      <c r="AE85" s="565">
        <f t="shared" ref="AE85:AI86" si="201">SUMIF($G:$G,TEXT(AE$3,"000")&amp;TEXT($L85,"000"),$E:$E)</f>
        <v>0</v>
      </c>
      <c r="AF85" s="565">
        <f t="shared" si="201"/>
        <v>19</v>
      </c>
      <c r="AG85" s="565">
        <f t="shared" si="201"/>
        <v>0</v>
      </c>
      <c r="AH85" s="565">
        <f t="shared" si="201"/>
        <v>0</v>
      </c>
      <c r="AI85" s="565">
        <f t="shared" si="201"/>
        <v>0</v>
      </c>
      <c r="AJ85" s="664"/>
      <c r="AK85" s="570">
        <f>ROUND(S85*(1+AK$1),2)</f>
        <v>0</v>
      </c>
      <c r="AL85" s="570">
        <f>AL86-AL96</f>
        <v>46.14</v>
      </c>
      <c r="AM85" s="570">
        <f t="shared" ref="AM85:AO86" si="202">ROUND(U85*(1+AM$1),2)</f>
        <v>0</v>
      </c>
      <c r="AN85" s="570">
        <f t="shared" si="202"/>
        <v>0</v>
      </c>
      <c r="AO85" s="570">
        <f t="shared" si="202"/>
        <v>0</v>
      </c>
      <c r="AP85" s="664"/>
      <c r="AQ85" s="69">
        <f t="shared" si="160"/>
        <v>0</v>
      </c>
      <c r="AR85" s="69">
        <f>IF(AND(AF85&lt;&gt;0,AL85=0),#VALUE!,AF85*AL85)</f>
        <v>876.66</v>
      </c>
      <c r="AS85" s="69">
        <f t="shared" si="161"/>
        <v>0</v>
      </c>
      <c r="AT85" s="69">
        <f t="shared" si="162"/>
        <v>0</v>
      </c>
      <c r="AU85" s="69">
        <f t="shared" si="163"/>
        <v>0</v>
      </c>
      <c r="AV85" s="69">
        <f t="shared" ref="AV85:AV86" si="203">SUM(AR85)-SUM(Z85)</f>
        <v>33.059999999999945</v>
      </c>
      <c r="AW85" s="443">
        <f t="shared" ref="AW85:AW93" si="204">AV85/Z85</f>
        <v>3.9189189189189122E-2</v>
      </c>
      <c r="AX85" s="664"/>
      <c r="AY85" s="664"/>
      <c r="AZ85" s="664"/>
      <c r="BA85" s="664"/>
      <c r="BB85" s="664"/>
      <c r="BC85" s="664"/>
      <c r="BD85" s="664"/>
      <c r="BE85" s="664"/>
      <c r="BF85" s="664"/>
      <c r="BG85" s="664"/>
      <c r="BH85" s="664"/>
      <c r="BI85" s="664"/>
      <c r="BJ85" s="664"/>
      <c r="BK85" s="664"/>
      <c r="BL85" s="664"/>
      <c r="BM85" s="664"/>
      <c r="BN85" s="664"/>
      <c r="BO85" s="664"/>
      <c r="BP85" s="664"/>
      <c r="BQ85" s="664"/>
      <c r="BR85" s="664"/>
      <c r="BS85" s="664"/>
      <c r="BT85" s="664"/>
      <c r="BU85" s="664"/>
      <c r="BV85" s="664"/>
      <c r="BW85" s="664"/>
      <c r="BX85" s="664"/>
      <c r="BY85" s="664"/>
      <c r="BZ85" s="664"/>
      <c r="CA85" s="664"/>
      <c r="CB85" s="664"/>
      <c r="CC85" s="664"/>
      <c r="CD85" s="664"/>
      <c r="CE85" s="664"/>
      <c r="CF85" s="664"/>
      <c r="CG85" s="664"/>
      <c r="CH85" s="664"/>
      <c r="CI85" s="664"/>
      <c r="CJ85" s="664"/>
      <c r="CK85" s="664"/>
      <c r="CL85" s="664"/>
      <c r="CM85" s="664"/>
      <c r="CN85" s="664"/>
      <c r="CO85" s="664"/>
      <c r="CP85" s="664"/>
      <c r="CQ85" s="664"/>
      <c r="CR85" s="664"/>
      <c r="CS85" s="664"/>
      <c r="CT85" s="664"/>
    </row>
    <row r="86" spans="1:16384">
      <c r="B86" s="35">
        <v>2</v>
      </c>
      <c r="C86" s="71" t="s">
        <v>121</v>
      </c>
      <c r="D86" s="35">
        <v>535</v>
      </c>
      <c r="E86" s="546">
        <f>8+1</f>
        <v>9</v>
      </c>
      <c r="F86" s="72"/>
      <c r="G86" s="72" t="str">
        <f t="shared" si="150"/>
        <v>044535</v>
      </c>
      <c r="H86" s="46"/>
      <c r="I86" s="422" t="s">
        <v>698</v>
      </c>
      <c r="J86" s="620" t="s">
        <v>109</v>
      </c>
      <c r="K86" s="564" t="s">
        <v>626</v>
      </c>
      <c r="L86" s="566" t="s">
        <v>628</v>
      </c>
      <c r="M86" s="565">
        <f t="shared" si="199"/>
        <v>0</v>
      </c>
      <c r="N86" s="565">
        <f t="shared" si="199"/>
        <v>1</v>
      </c>
      <c r="O86" s="565">
        <f t="shared" si="199"/>
        <v>0</v>
      </c>
      <c r="P86" s="565">
        <f t="shared" si="199"/>
        <v>0</v>
      </c>
      <c r="Q86" s="565">
        <f t="shared" si="199"/>
        <v>0</v>
      </c>
      <c r="R86" s="565">
        <f t="shared" si="98"/>
        <v>0</v>
      </c>
      <c r="S86" s="603">
        <v>0</v>
      </c>
      <c r="T86" s="633">
        <f>T153</f>
        <v>52.32</v>
      </c>
      <c r="U86" s="603">
        <v>0</v>
      </c>
      <c r="V86" s="603">
        <v>0</v>
      </c>
      <c r="W86" s="603"/>
      <c r="X86" s="620"/>
      <c r="Y86" s="620"/>
      <c r="Z86" s="69">
        <f t="shared" ref="Z86" si="205">IF(AND(N86&lt;&gt;0,T86=0),#VALUE!,N86*T86)</f>
        <v>52.32</v>
      </c>
      <c r="AA86" s="69">
        <f t="shared" si="59"/>
        <v>0</v>
      </c>
      <c r="AB86" s="69">
        <f t="shared" si="60"/>
        <v>0</v>
      </c>
      <c r="AC86" s="69">
        <f t="shared" si="61"/>
        <v>0</v>
      </c>
      <c r="AD86" s="620"/>
      <c r="AE86" s="565">
        <f t="shared" si="201"/>
        <v>0</v>
      </c>
      <c r="AF86" s="565">
        <f t="shared" si="201"/>
        <v>1</v>
      </c>
      <c r="AG86" s="565">
        <f t="shared" si="201"/>
        <v>0</v>
      </c>
      <c r="AH86" s="565">
        <f t="shared" si="201"/>
        <v>0</v>
      </c>
      <c r="AI86" s="565">
        <f t="shared" si="201"/>
        <v>0</v>
      </c>
      <c r="AJ86" s="620"/>
      <c r="AK86" s="570">
        <f>ROUND(S86*(1+AK$1),2)</f>
        <v>0</v>
      </c>
      <c r="AL86" s="570">
        <f>ROUND(T86*(1+AL$1),2)</f>
        <v>54.06</v>
      </c>
      <c r="AM86" s="570">
        <f t="shared" si="202"/>
        <v>0</v>
      </c>
      <c r="AN86" s="570">
        <f t="shared" si="202"/>
        <v>0</v>
      </c>
      <c r="AO86" s="570">
        <f t="shared" si="202"/>
        <v>0</v>
      </c>
      <c r="AP86" s="620"/>
      <c r="AQ86" s="69">
        <f t="shared" si="160"/>
        <v>0</v>
      </c>
      <c r="AR86" s="69">
        <f t="shared" si="152"/>
        <v>54.06</v>
      </c>
      <c r="AS86" s="69">
        <f t="shared" si="161"/>
        <v>0</v>
      </c>
      <c r="AT86" s="69">
        <f t="shared" si="162"/>
        <v>0</v>
      </c>
      <c r="AU86" s="69">
        <f t="shared" si="163"/>
        <v>0</v>
      </c>
      <c r="AV86" s="69">
        <f t="shared" si="203"/>
        <v>1.740000000000002</v>
      </c>
      <c r="AW86" s="443">
        <f t="shared" si="204"/>
        <v>3.3256880733944991E-2</v>
      </c>
      <c r="CV86" s="664"/>
      <c r="CW86" s="664"/>
      <c r="CX86" s="664"/>
      <c r="CY86" s="664"/>
      <c r="CZ86" s="664"/>
      <c r="DA86" s="664"/>
      <c r="DB86" s="664"/>
      <c r="FA86" s="580"/>
      <c r="FB86" s="580"/>
      <c r="FC86" s="580"/>
      <c r="FD86" s="580"/>
      <c r="FE86" s="580"/>
      <c r="FF86" s="580"/>
      <c r="FG86" s="580"/>
      <c r="FH86" s="580"/>
      <c r="FI86" s="580"/>
      <c r="FJ86" s="580"/>
      <c r="FK86" s="580"/>
      <c r="FL86" s="580"/>
      <c r="FM86" s="580"/>
      <c r="FN86" s="580"/>
      <c r="FO86" s="580"/>
    </row>
    <row r="87" spans="1:16384">
      <c r="B87" s="35">
        <v>2</v>
      </c>
      <c r="C87" s="71" t="s">
        <v>121</v>
      </c>
      <c r="D87" s="35">
        <v>632</v>
      </c>
      <c r="E87" s="546">
        <v>0</v>
      </c>
      <c r="F87" s="72"/>
      <c r="G87" s="72" t="str">
        <f t="shared" si="150"/>
        <v>044632</v>
      </c>
      <c r="H87" s="46"/>
      <c r="I87" t="s">
        <v>128</v>
      </c>
      <c r="J87" t="s">
        <v>824</v>
      </c>
      <c r="K87" s="58" t="s">
        <v>147</v>
      </c>
      <c r="L87" s="96">
        <v>835</v>
      </c>
      <c r="M87" s="68">
        <f t="shared" ref="M87:Q93" si="206">SUMIF($G:$G,TEXT(M$3,"000")&amp;TEXT($L87,"000"),$E:$E)</f>
        <v>0</v>
      </c>
      <c r="N87" s="68">
        <f t="shared" si="206"/>
        <v>44</v>
      </c>
      <c r="O87" s="68">
        <f t="shared" si="206"/>
        <v>9</v>
      </c>
      <c r="P87" s="68">
        <f t="shared" si="206"/>
        <v>0</v>
      </c>
      <c r="Q87" s="68">
        <f t="shared" si="206"/>
        <v>57</v>
      </c>
      <c r="R87" s="565">
        <f t="shared" si="98"/>
        <v>0</v>
      </c>
      <c r="S87" s="603">
        <v>0</v>
      </c>
      <c r="T87" s="603">
        <v>27.61</v>
      </c>
      <c r="U87" s="603">
        <v>20.46</v>
      </c>
      <c r="V87" s="603">
        <v>0</v>
      </c>
      <c r="W87" s="603">
        <v>17.010000000000002</v>
      </c>
      <c r="Y87" s="69">
        <f t="shared" si="57"/>
        <v>0</v>
      </c>
      <c r="Z87" s="69">
        <f t="shared" si="58"/>
        <v>1214.8399999999999</v>
      </c>
      <c r="AA87" s="69">
        <f t="shared" si="59"/>
        <v>184.14000000000001</v>
      </c>
      <c r="AB87" s="69">
        <f t="shared" si="60"/>
        <v>0</v>
      </c>
      <c r="AC87" s="69">
        <f t="shared" si="61"/>
        <v>969.57</v>
      </c>
      <c r="AE87" s="68">
        <f t="shared" si="62"/>
        <v>0</v>
      </c>
      <c r="AF87" s="68">
        <f t="shared" si="125"/>
        <v>44</v>
      </c>
      <c r="AG87" s="68">
        <f t="shared" si="126"/>
        <v>9</v>
      </c>
      <c r="AH87" s="68">
        <f t="shared" si="127"/>
        <v>0</v>
      </c>
      <c r="AI87" s="68">
        <f t="shared" si="128"/>
        <v>57</v>
      </c>
      <c r="AK87" s="570">
        <f t="shared" si="112"/>
        <v>0</v>
      </c>
      <c r="AL87" s="570">
        <f>ROUND(T87*(1+AL$1),2)</f>
        <v>28.53</v>
      </c>
      <c r="AM87" s="570">
        <f t="shared" si="157"/>
        <v>21.14</v>
      </c>
      <c r="AN87" s="570">
        <f t="shared" si="158"/>
        <v>0</v>
      </c>
      <c r="AO87" s="570">
        <f t="shared" si="159"/>
        <v>17.579999999999998</v>
      </c>
      <c r="AQ87" s="69">
        <f t="shared" si="160"/>
        <v>0</v>
      </c>
      <c r="AR87" s="69">
        <f>IF(AND(AF87&lt;&gt;0,AL87=0),#VALUE!,AF87*AL87)</f>
        <v>1255.3200000000002</v>
      </c>
      <c r="AS87" s="69">
        <f t="shared" si="161"/>
        <v>190.26</v>
      </c>
      <c r="AT87" s="69">
        <f t="shared" si="162"/>
        <v>0</v>
      </c>
      <c r="AU87" s="69">
        <f t="shared" si="163"/>
        <v>1002.06</v>
      </c>
      <c r="AV87" s="69">
        <f>SUM(AR87)-SUM(Z87)</f>
        <v>40.480000000000246</v>
      </c>
      <c r="AW87" s="443">
        <f>AV87/Z87</f>
        <v>3.3321260412894085E-2</v>
      </c>
      <c r="AX87" s="434">
        <v>169</v>
      </c>
      <c r="AY87" s="567"/>
      <c r="AZ87" s="567">
        <v>28.41</v>
      </c>
      <c r="BA87" s="567">
        <v>21.15</v>
      </c>
      <c r="BB87" s="567"/>
      <c r="BC87" s="567">
        <v>17.649999999999999</v>
      </c>
      <c r="BD87" s="139"/>
      <c r="BE87" s="573">
        <f t="shared" si="164"/>
        <v>0.37999999999999989</v>
      </c>
      <c r="BF87" s="53"/>
      <c r="BG87" s="53">
        <f t="shared" ref="BG87:BG91" si="207">ROUND((T87*$BF$2)+$BE87-AZ87,2)</f>
        <v>0</v>
      </c>
      <c r="BH87" s="53">
        <f>ROUND((U87*$BF$2)+$BE87-BA87,2)</f>
        <v>0</v>
      </c>
      <c r="BI87" s="53"/>
      <c r="BJ87" s="53">
        <f>ROUND((W87*$BF$2)+$BE87-BC87,2)</f>
        <v>0</v>
      </c>
      <c r="BM87" s="278">
        <f t="shared" si="165"/>
        <v>0</v>
      </c>
      <c r="BN87" s="278">
        <f t="shared" si="166"/>
        <v>28.960802999999999</v>
      </c>
      <c r="BO87" s="278">
        <f t="shared" si="76"/>
        <v>21.459213999999999</v>
      </c>
      <c r="BP87" s="278">
        <f t="shared" si="77"/>
        <v>0</v>
      </c>
      <c r="BQ87" s="278">
        <f t="shared" si="78"/>
        <v>17.845457999999997</v>
      </c>
      <c r="BS87" s="53">
        <f t="shared" si="70"/>
        <v>0</v>
      </c>
      <c r="BT87" s="53">
        <f t="shared" si="71"/>
        <v>0.55080299999999838</v>
      </c>
      <c r="BU87" s="53">
        <f t="shared" si="72"/>
        <v>0.30921400000000077</v>
      </c>
      <c r="BV87" s="53">
        <f t="shared" si="73"/>
        <v>0</v>
      </c>
      <c r="BW87" s="53">
        <f t="shared" si="74"/>
        <v>0.19545799999999858</v>
      </c>
      <c r="CU87" s="664"/>
      <c r="FA87" s="580"/>
      <c r="FB87" s="580"/>
      <c r="FC87" s="580"/>
      <c r="FD87" s="580"/>
      <c r="FE87" s="580"/>
      <c r="FF87" s="580"/>
      <c r="FG87" s="580"/>
      <c r="FH87" s="580"/>
      <c r="FI87" s="580"/>
      <c r="FJ87" s="580"/>
      <c r="FK87" s="580"/>
      <c r="FL87" s="580"/>
      <c r="FM87" s="580"/>
      <c r="FN87" s="580"/>
      <c r="FO87" s="580"/>
      <c r="FP87" s="580"/>
    </row>
    <row r="88" spans="1:16384">
      <c r="B88" s="35">
        <v>2</v>
      </c>
      <c r="C88" s="71" t="s">
        <v>121</v>
      </c>
      <c r="D88" s="35">
        <v>635</v>
      </c>
      <c r="E88" s="546">
        <v>1</v>
      </c>
      <c r="F88" s="72"/>
      <c r="G88" s="72" t="str">
        <f>IF(OR(ISBLANK(C88),ISBLANK(D88)),"",TEXT(C88,"000")&amp;TEXT(D88,"000"))</f>
        <v>044635</v>
      </c>
      <c r="H88" s="46"/>
      <c r="I88" s="636" t="s">
        <v>698</v>
      </c>
      <c r="J88" s="671" t="s">
        <v>824</v>
      </c>
      <c r="K88" s="564" t="s">
        <v>626</v>
      </c>
      <c r="L88" s="566" t="s">
        <v>713</v>
      </c>
      <c r="M88" s="565">
        <f t="shared" si="206"/>
        <v>0</v>
      </c>
      <c r="N88" s="565">
        <f t="shared" si="206"/>
        <v>45</v>
      </c>
      <c r="O88" s="565">
        <f t="shared" si="206"/>
        <v>0</v>
      </c>
      <c r="P88" s="565">
        <f t="shared" si="206"/>
        <v>0</v>
      </c>
      <c r="Q88" s="565">
        <f t="shared" si="206"/>
        <v>0</v>
      </c>
      <c r="R88" s="565">
        <f t="shared" si="98"/>
        <v>0</v>
      </c>
      <c r="S88" s="603">
        <v>0</v>
      </c>
      <c r="T88" s="633">
        <f>T87-T96</f>
        <v>19.689999999999998</v>
      </c>
      <c r="U88" s="603"/>
      <c r="V88" s="603">
        <v>0</v>
      </c>
      <c r="W88" s="603"/>
      <c r="X88" s="636"/>
      <c r="Y88" s="69">
        <f>IF(AND(M88&lt;&gt;0,S88=0),#VALUE!,M88*S88)</f>
        <v>0</v>
      </c>
      <c r="Z88" s="69">
        <f>IF(AND(N88&lt;&gt;0,T88=0),#VALUE!,N88*T88)</f>
        <v>886.05</v>
      </c>
      <c r="AA88" s="69">
        <f t="shared" si="59"/>
        <v>0</v>
      </c>
      <c r="AB88" s="69">
        <f t="shared" si="60"/>
        <v>0</v>
      </c>
      <c r="AC88" s="69">
        <f t="shared" si="61"/>
        <v>0</v>
      </c>
      <c r="AD88" s="636"/>
      <c r="AE88" s="565">
        <f>M88</f>
        <v>0</v>
      </c>
      <c r="AF88" s="565">
        <f>N88</f>
        <v>45</v>
      </c>
      <c r="AG88" s="565">
        <f>O88</f>
        <v>0</v>
      </c>
      <c r="AH88" s="565">
        <f>P88</f>
        <v>0</v>
      </c>
      <c r="AI88" s="565">
        <f>Q88</f>
        <v>0</v>
      </c>
      <c r="AJ88" s="636"/>
      <c r="AK88" s="570">
        <f>ROUND(S88*(1+AK$1),2)</f>
        <v>0</v>
      </c>
      <c r="AL88" s="570">
        <f>AL87-AL96</f>
        <v>20.61</v>
      </c>
      <c r="AM88" s="570">
        <f t="shared" si="157"/>
        <v>0</v>
      </c>
      <c r="AN88" s="570">
        <f t="shared" si="158"/>
        <v>0</v>
      </c>
      <c r="AO88" s="570">
        <f t="shared" si="159"/>
        <v>0</v>
      </c>
      <c r="AP88" s="636"/>
      <c r="AQ88" s="69">
        <f t="shared" si="160"/>
        <v>0</v>
      </c>
      <c r="AR88" s="69">
        <f t="shared" si="152"/>
        <v>927.44999999999993</v>
      </c>
      <c r="AS88" s="69">
        <f t="shared" si="161"/>
        <v>0</v>
      </c>
      <c r="AT88" s="69">
        <f t="shared" si="162"/>
        <v>0</v>
      </c>
      <c r="AU88" s="69">
        <f t="shared" si="163"/>
        <v>0</v>
      </c>
      <c r="AV88" s="69">
        <f>SUM(AR88)-SUM(Z88)</f>
        <v>41.399999999999977</v>
      </c>
      <c r="AW88" s="443">
        <f t="shared" si="204"/>
        <v>4.6724225495175194E-2</v>
      </c>
      <c r="AX88" s="577">
        <v>83</v>
      </c>
      <c r="AY88" s="567"/>
      <c r="AZ88" s="567">
        <v>20.18</v>
      </c>
      <c r="BA88" s="567"/>
      <c r="BB88" s="567"/>
      <c r="BC88" s="567"/>
      <c r="BD88" s="567"/>
      <c r="BE88" s="573">
        <f>ROUND(AX88*$BE$2,2)+ROUND(AX88*$BE$1,2)</f>
        <v>0.18999999999999995</v>
      </c>
      <c r="BF88" s="563"/>
      <c r="BG88" s="563">
        <f t="shared" si="207"/>
        <v>0</v>
      </c>
      <c r="BH88" s="563"/>
      <c r="BI88" s="563"/>
      <c r="BJ88" s="563"/>
      <c r="BK88" s="636"/>
      <c r="BL88" s="636"/>
      <c r="BM88" s="571">
        <f t="shared" si="165"/>
        <v>0</v>
      </c>
      <c r="BN88" s="571">
        <f t="shared" si="166"/>
        <v>20.921210999999996</v>
      </c>
      <c r="BO88" s="571">
        <f>AM88*$BM$1</f>
        <v>0</v>
      </c>
      <c r="BP88" s="571">
        <f>AN88*$BM$1</f>
        <v>0</v>
      </c>
      <c r="BQ88" s="571">
        <f>AO88*$BM$1</f>
        <v>0</v>
      </c>
      <c r="BR88" s="636"/>
      <c r="BS88" s="563">
        <f>BM88-AY88</f>
        <v>0</v>
      </c>
      <c r="BT88" s="563">
        <f>BN88-AZ88</f>
        <v>0.74121099999999629</v>
      </c>
      <c r="BU88" s="563">
        <f>BO88-BA88</f>
        <v>0</v>
      </c>
      <c r="BV88" s="563">
        <f>BP88-BB88</f>
        <v>0</v>
      </c>
      <c r="BW88" s="563">
        <f>BQ88-BC88</f>
        <v>0</v>
      </c>
      <c r="BX88" s="636"/>
      <c r="BY88" s="636"/>
      <c r="BZ88" s="636"/>
      <c r="CA88" s="636"/>
      <c r="CB88" s="636"/>
      <c r="CC88" s="636"/>
      <c r="CD88" s="636"/>
      <c r="CE88" s="636"/>
      <c r="CF88" s="636"/>
      <c r="CG88" s="636"/>
      <c r="CH88" s="636"/>
      <c r="CI88" s="636"/>
      <c r="CJ88" s="636"/>
      <c r="CK88" s="636"/>
      <c r="CL88" s="636"/>
      <c r="CM88" s="636"/>
      <c r="CN88" s="636"/>
      <c r="CO88" s="636"/>
      <c r="CP88" s="636"/>
      <c r="CQ88" s="636"/>
      <c r="CR88" s="636"/>
      <c r="CS88" s="636"/>
      <c r="CT88" s="636"/>
      <c r="DC88" s="664"/>
      <c r="DD88" s="664"/>
      <c r="DE88" s="664"/>
      <c r="DF88" s="664"/>
      <c r="DG88" s="664"/>
      <c r="FP88" s="580"/>
      <c r="FQ88" s="580"/>
      <c r="FR88" s="580"/>
    </row>
    <row r="89" spans="1:16384">
      <c r="B89" s="35">
        <v>2</v>
      </c>
      <c r="C89" s="71" t="s">
        <v>121</v>
      </c>
      <c r="D89" s="35">
        <v>732</v>
      </c>
      <c r="E89" s="546">
        <v>21</v>
      </c>
      <c r="F89" s="72"/>
      <c r="G89" s="72" t="str">
        <f>IF(OR(ISBLANK(C89),ISBLANK(D89)),"",TEXT(C89,"000")&amp;TEXT(D89,"000"))</f>
        <v>044732</v>
      </c>
      <c r="H89" s="46"/>
      <c r="I89" s="422" t="s">
        <v>698</v>
      </c>
      <c r="J89" s="671" t="s">
        <v>824</v>
      </c>
      <c r="K89" s="564" t="s">
        <v>626</v>
      </c>
      <c r="L89" s="566" t="s">
        <v>629</v>
      </c>
      <c r="M89" s="565">
        <f t="shared" si="206"/>
        <v>0</v>
      </c>
      <c r="N89" s="565">
        <f t="shared" si="206"/>
        <v>22</v>
      </c>
      <c r="O89" s="565">
        <f t="shared" si="206"/>
        <v>0</v>
      </c>
      <c r="P89" s="565">
        <f t="shared" si="206"/>
        <v>0</v>
      </c>
      <c r="Q89" s="565">
        <f t="shared" si="206"/>
        <v>0</v>
      </c>
      <c r="R89" s="565">
        <f t="shared" si="98"/>
        <v>0</v>
      </c>
      <c r="S89" s="603">
        <v>0</v>
      </c>
      <c r="T89" s="633">
        <f>T87</f>
        <v>27.61</v>
      </c>
      <c r="U89" s="603">
        <v>0</v>
      </c>
      <c r="V89" s="603">
        <v>0</v>
      </c>
      <c r="W89" s="603"/>
      <c r="X89" s="620"/>
      <c r="Y89" s="620"/>
      <c r="Z89" s="69">
        <f t="shared" ref="Z89" si="208">IF(AND(N89&lt;&gt;0,T89=0),#VALUE!,N89*T89)</f>
        <v>607.41999999999996</v>
      </c>
      <c r="AA89" s="69">
        <f t="shared" si="59"/>
        <v>0</v>
      </c>
      <c r="AB89" s="69">
        <f t="shared" si="60"/>
        <v>0</v>
      </c>
      <c r="AC89" s="69">
        <f t="shared" si="61"/>
        <v>0</v>
      </c>
      <c r="AD89" s="620"/>
      <c r="AE89" s="565">
        <f>SUMIF($G:$G,TEXT(AE$3,"000")&amp;TEXT($L89,"000"),$E:$E)</f>
        <v>0</v>
      </c>
      <c r="AF89" s="565">
        <f>SUMIF($G:$G,TEXT(AF$3,"000")&amp;TEXT($L89,"000"),$E:$E)</f>
        <v>22</v>
      </c>
      <c r="AG89" s="565">
        <f>SUMIF($G:$G,TEXT(AG$3,"000")&amp;TEXT($L89,"000"),$E:$E)</f>
        <v>0</v>
      </c>
      <c r="AH89" s="565">
        <f>SUMIF($G:$G,TEXT(AH$3,"000")&amp;TEXT($L89,"000"),$E:$E)</f>
        <v>0</v>
      </c>
      <c r="AI89" s="565">
        <f>SUMIF($G:$G,TEXT(AI$3,"000")&amp;TEXT($L89,"000"),$E:$E)</f>
        <v>0</v>
      </c>
      <c r="AJ89" s="620"/>
      <c r="AK89" s="570">
        <f>ROUND(S89*(1+AK$1),2)</f>
        <v>0</v>
      </c>
      <c r="AL89" s="570">
        <f>AL87</f>
        <v>28.53</v>
      </c>
      <c r="AM89" s="570">
        <f>ROUND(U89*(1+AM$1),2)</f>
        <v>0</v>
      </c>
      <c r="AN89" s="570">
        <f>ROUND(V89*(1+AN$1),2)</f>
        <v>0</v>
      </c>
      <c r="AO89" s="570">
        <f>ROUND(W89*(1+AO$1),2)</f>
        <v>0</v>
      </c>
      <c r="AP89" s="620"/>
      <c r="AQ89" s="69">
        <f t="shared" si="160"/>
        <v>0</v>
      </c>
      <c r="AR89" s="69">
        <f t="shared" si="152"/>
        <v>627.66000000000008</v>
      </c>
      <c r="AS89" s="69">
        <f t="shared" si="161"/>
        <v>0</v>
      </c>
      <c r="AT89" s="69">
        <f t="shared" si="162"/>
        <v>0</v>
      </c>
      <c r="AU89" s="69">
        <f t="shared" si="163"/>
        <v>0</v>
      </c>
      <c r="AV89" s="69">
        <f t="shared" ref="AV89:AV93" si="209">SUM(AR89)-SUM(Z89)</f>
        <v>20.240000000000123</v>
      </c>
      <c r="AW89" s="443">
        <f t="shared" si="204"/>
        <v>3.3321260412894085E-2</v>
      </c>
      <c r="FQ89" s="580"/>
      <c r="FR89" s="580"/>
      <c r="FS89" s="580"/>
      <c r="FT89" s="580"/>
      <c r="FU89" s="580"/>
      <c r="FV89" s="580"/>
      <c r="FW89" s="580"/>
    </row>
    <row r="90" spans="1:16384">
      <c r="A90" s="318"/>
      <c r="B90" s="35">
        <v>2</v>
      </c>
      <c r="C90" s="71" t="s">
        <v>121</v>
      </c>
      <c r="D90" s="35">
        <v>735</v>
      </c>
      <c r="E90" s="546">
        <v>1</v>
      </c>
      <c r="F90" s="72"/>
      <c r="G90" s="72" t="str">
        <f t="shared" si="150"/>
        <v>044735</v>
      </c>
      <c r="H90" s="46"/>
      <c r="I90" s="664" t="s">
        <v>698</v>
      </c>
      <c r="J90" s="664" t="s">
        <v>136</v>
      </c>
      <c r="K90" s="564" t="s">
        <v>626</v>
      </c>
      <c r="L90" s="566" t="s">
        <v>803</v>
      </c>
      <c r="M90" s="565">
        <f t="shared" si="206"/>
        <v>0</v>
      </c>
      <c r="N90" s="565">
        <f t="shared" si="206"/>
        <v>3</v>
      </c>
      <c r="O90" s="565">
        <f t="shared" si="206"/>
        <v>0</v>
      </c>
      <c r="P90" s="565">
        <f t="shared" si="206"/>
        <v>0</v>
      </c>
      <c r="Q90" s="565">
        <f t="shared" si="206"/>
        <v>0</v>
      </c>
      <c r="R90" s="565">
        <f t="shared" si="98"/>
        <v>0</v>
      </c>
      <c r="S90" s="603">
        <v>0</v>
      </c>
      <c r="T90" s="633">
        <f>T144-T96</f>
        <v>27.369999999999997</v>
      </c>
      <c r="U90" s="603">
        <v>0</v>
      </c>
      <c r="V90" s="603">
        <v>0</v>
      </c>
      <c r="W90" s="603">
        <v>0</v>
      </c>
      <c r="X90" s="664"/>
      <c r="Y90" s="69">
        <f t="shared" ref="Y90" si="210">IF(AND(M90&lt;&gt;0,S90=0),#VALUE!,M90*S90)</f>
        <v>0</v>
      </c>
      <c r="Z90" s="69">
        <f>IF(AND(N90&lt;&gt;0,T90=0),#VALUE!,N90*T90)</f>
        <v>82.109999999999985</v>
      </c>
      <c r="AA90" s="69">
        <f t="shared" si="59"/>
        <v>0</v>
      </c>
      <c r="AB90" s="69">
        <f t="shared" si="60"/>
        <v>0</v>
      </c>
      <c r="AC90" s="69">
        <f t="shared" si="61"/>
        <v>0</v>
      </c>
      <c r="AD90" s="664"/>
      <c r="AE90" s="565">
        <f t="shared" ref="AE90" si="211">M90</f>
        <v>0</v>
      </c>
      <c r="AF90" s="565">
        <f t="shared" ref="AF90" si="212">N90</f>
        <v>3</v>
      </c>
      <c r="AG90" s="565">
        <f t="shared" ref="AG90" si="213">O90</f>
        <v>0</v>
      </c>
      <c r="AH90" s="565">
        <f t="shared" ref="AH90" si="214">P90</f>
        <v>0</v>
      </c>
      <c r="AI90" s="565">
        <f t="shared" ref="AI90" si="215">Q90</f>
        <v>0</v>
      </c>
      <c r="AJ90" s="664"/>
      <c r="AK90" s="570">
        <f t="shared" ref="AK90" si="216">ROUND(S90*(1+AK$1),2)</f>
        <v>0</v>
      </c>
      <c r="AL90" s="570">
        <f>AL144-AL96</f>
        <v>28.549999999999997</v>
      </c>
      <c r="AM90" s="570">
        <f t="shared" ref="AM90" si="217">ROUND(U90*(1+AM$1),2)</f>
        <v>0</v>
      </c>
      <c r="AN90" s="570">
        <f t="shared" ref="AN90" si="218">ROUND(V90*(1+AN$1),2)</f>
        <v>0</v>
      </c>
      <c r="AO90" s="570">
        <f t="shared" ref="AO90" si="219">ROUND(W90*(1+AO$1),2)</f>
        <v>0</v>
      </c>
      <c r="AP90" s="664"/>
      <c r="AQ90" s="69">
        <f t="shared" si="160"/>
        <v>0</v>
      </c>
      <c r="AR90" s="69">
        <f t="shared" ref="AR90" si="220">IF(AND(AF90&lt;&gt;0,AL90=0),#VALUE!,AF90*AL90)</f>
        <v>85.649999999999991</v>
      </c>
      <c r="AS90" s="69">
        <f t="shared" si="161"/>
        <v>0</v>
      </c>
      <c r="AT90" s="69">
        <f t="shared" si="162"/>
        <v>0</v>
      </c>
      <c r="AU90" s="69">
        <f t="shared" si="163"/>
        <v>0</v>
      </c>
      <c r="AV90" s="69">
        <f t="shared" si="209"/>
        <v>3.5400000000000063</v>
      </c>
      <c r="AW90" s="443">
        <f t="shared" si="204"/>
        <v>4.3112897332846269E-2</v>
      </c>
      <c r="AX90" s="577">
        <v>83</v>
      </c>
      <c r="AY90" s="567"/>
      <c r="AZ90" s="567">
        <v>27.97</v>
      </c>
      <c r="BA90" s="567"/>
      <c r="BB90" s="567"/>
      <c r="BC90" s="567"/>
      <c r="BD90" s="567"/>
      <c r="BE90" s="573">
        <f t="shared" ref="BE90" si="221">ROUND(AX90*$BE$2,2)+ROUND(AX90*$BE$1,2)</f>
        <v>0.18999999999999995</v>
      </c>
      <c r="BF90" s="563"/>
      <c r="BG90" s="563">
        <f t="shared" ref="BG90" si="222">ROUND((T90*$BF$2)+$BE90-AZ90,2)</f>
        <v>0</v>
      </c>
      <c r="BH90" s="563"/>
      <c r="BI90" s="563"/>
      <c r="BJ90" s="563"/>
      <c r="BK90" s="664"/>
      <c r="BL90" s="664"/>
      <c r="BM90" s="571">
        <f t="shared" ref="BM90" si="223">AK90*$BM$1</f>
        <v>0</v>
      </c>
      <c r="BN90" s="571">
        <f t="shared" ref="BN90" si="224">AL90*$BM$1</f>
        <v>28.981104999999992</v>
      </c>
      <c r="BO90" s="571">
        <f t="shared" ref="BO90" si="225">AM90*$BM$1</f>
        <v>0</v>
      </c>
      <c r="BP90" s="571">
        <f t="shared" ref="BP90" si="226">AN90*$BM$1</f>
        <v>0</v>
      </c>
      <c r="BQ90" s="571">
        <f t="shared" ref="BQ90" si="227">AO90*$BM$1</f>
        <v>0</v>
      </c>
      <c r="BR90" s="664"/>
      <c r="BS90" s="563">
        <f t="shared" ref="BS90" si="228">BM90-AY90</f>
        <v>0</v>
      </c>
      <c r="BT90" s="563">
        <f t="shared" ref="BT90" si="229">BN90-AZ90</f>
        <v>1.0111049999999935</v>
      </c>
      <c r="BU90" s="563">
        <f t="shared" ref="BU90" si="230">BO90-BA90</f>
        <v>0</v>
      </c>
      <c r="BV90" s="563">
        <f t="shared" ref="BV90" si="231">BP90-BB90</f>
        <v>0</v>
      </c>
      <c r="BW90" s="563">
        <f t="shared" ref="BW90" si="232">BQ90-BC90</f>
        <v>0</v>
      </c>
      <c r="BX90" s="664"/>
      <c r="BY90" s="664"/>
      <c r="BZ90" s="664"/>
      <c r="CA90" s="664"/>
      <c r="CB90" s="664"/>
      <c r="CC90" s="664"/>
      <c r="CD90" s="664"/>
      <c r="CE90" s="664"/>
      <c r="CF90" s="664"/>
      <c r="CG90" s="664"/>
      <c r="CH90" s="664"/>
      <c r="CI90" s="664"/>
      <c r="CJ90" s="664"/>
      <c r="CK90" s="664"/>
      <c r="CL90" s="664"/>
      <c r="CM90" s="664"/>
      <c r="CN90" s="664"/>
      <c r="CO90" s="664"/>
      <c r="CP90" s="664"/>
      <c r="CQ90" s="664"/>
      <c r="CR90" s="664"/>
      <c r="CS90" s="664"/>
      <c r="CT90" s="664"/>
      <c r="FS90" s="580"/>
      <c r="FT90" s="580"/>
      <c r="FU90" s="580"/>
      <c r="FV90" s="580"/>
      <c r="FW90" s="580"/>
      <c r="FX90" s="580"/>
    </row>
    <row r="91" spans="1:16384">
      <c r="B91" s="35">
        <v>2</v>
      </c>
      <c r="C91" s="71" t="s">
        <v>121</v>
      </c>
      <c r="D91" s="35">
        <v>835</v>
      </c>
      <c r="E91" s="546">
        <v>9</v>
      </c>
      <c r="F91" s="72"/>
      <c r="G91" s="72" t="str">
        <f t="shared" si="150"/>
        <v>044835</v>
      </c>
      <c r="H91" s="46"/>
      <c r="I91" t="s">
        <v>139</v>
      </c>
      <c r="J91" t="s">
        <v>109</v>
      </c>
      <c r="K91" s="58" t="s">
        <v>147</v>
      </c>
      <c r="L91" s="96">
        <v>842</v>
      </c>
      <c r="M91" s="68">
        <f t="shared" si="206"/>
        <v>0</v>
      </c>
      <c r="N91" s="68">
        <f t="shared" si="206"/>
        <v>2</v>
      </c>
      <c r="O91" s="68">
        <f t="shared" si="206"/>
        <v>0</v>
      </c>
      <c r="P91" s="68">
        <f t="shared" si="206"/>
        <v>0</v>
      </c>
      <c r="Q91" s="68">
        <f t="shared" si="206"/>
        <v>0</v>
      </c>
      <c r="R91" s="565">
        <f t="shared" si="98"/>
        <v>0</v>
      </c>
      <c r="S91" s="603">
        <v>0</v>
      </c>
      <c r="T91" s="603">
        <v>92.5</v>
      </c>
      <c r="U91" s="603">
        <v>0</v>
      </c>
      <c r="V91" s="603">
        <v>0</v>
      </c>
      <c r="W91" s="603">
        <v>0</v>
      </c>
      <c r="Y91" s="69">
        <f t="shared" si="57"/>
        <v>0</v>
      </c>
      <c r="Z91" s="69">
        <f t="shared" si="58"/>
        <v>185</v>
      </c>
      <c r="AA91" s="69">
        <f t="shared" si="59"/>
        <v>0</v>
      </c>
      <c r="AB91" s="69">
        <f t="shared" si="60"/>
        <v>0</v>
      </c>
      <c r="AC91" s="69">
        <f t="shared" si="61"/>
        <v>0</v>
      </c>
      <c r="AE91" s="68">
        <f t="shared" si="62"/>
        <v>0</v>
      </c>
      <c r="AF91" s="68">
        <f t="shared" si="125"/>
        <v>2</v>
      </c>
      <c r="AG91" s="68">
        <f t="shared" si="126"/>
        <v>0</v>
      </c>
      <c r="AH91" s="68">
        <f t="shared" si="127"/>
        <v>0</v>
      </c>
      <c r="AI91" s="68">
        <f t="shared" si="128"/>
        <v>0</v>
      </c>
      <c r="AK91" s="570">
        <f t="shared" si="112"/>
        <v>0</v>
      </c>
      <c r="AL91" s="570">
        <f t="shared" ref="AL91:AL135" si="233">ROUND(T91*(1+AL$1),2)</f>
        <v>95.58</v>
      </c>
      <c r="AM91" s="570">
        <f t="shared" si="157"/>
        <v>0</v>
      </c>
      <c r="AN91" s="570">
        <f t="shared" si="158"/>
        <v>0</v>
      </c>
      <c r="AO91" s="570">
        <f t="shared" si="159"/>
        <v>0</v>
      </c>
      <c r="AQ91" s="69">
        <f t="shared" si="160"/>
        <v>0</v>
      </c>
      <c r="AR91" s="69">
        <f t="shared" si="152"/>
        <v>191.16</v>
      </c>
      <c r="AS91" s="69">
        <f t="shared" si="161"/>
        <v>0</v>
      </c>
      <c r="AT91" s="69">
        <f t="shared" si="162"/>
        <v>0</v>
      </c>
      <c r="AU91" s="69">
        <f t="shared" si="163"/>
        <v>0</v>
      </c>
      <c r="AV91" s="69">
        <f t="shared" si="209"/>
        <v>6.1599999999999966</v>
      </c>
      <c r="AW91" s="443">
        <f t="shared" si="204"/>
        <v>3.3297297297297281E-2</v>
      </c>
      <c r="AX91" s="434">
        <v>338</v>
      </c>
      <c r="AY91" s="567"/>
      <c r="AZ91" s="567">
        <v>94.64</v>
      </c>
      <c r="BA91" s="567"/>
      <c r="BB91" s="567"/>
      <c r="BC91" s="567"/>
      <c r="BD91" s="139"/>
      <c r="BE91" s="573">
        <f t="shared" si="164"/>
        <v>0.75</v>
      </c>
      <c r="BF91" s="53"/>
      <c r="BG91" s="53">
        <f t="shared" si="207"/>
        <v>0.01</v>
      </c>
      <c r="BH91" s="53"/>
      <c r="BI91" s="53"/>
      <c r="BJ91" s="53"/>
      <c r="BM91" s="278">
        <f t="shared" si="165"/>
        <v>0</v>
      </c>
      <c r="BN91" s="278">
        <f t="shared" si="166"/>
        <v>97.023257999999984</v>
      </c>
      <c r="BO91" s="278">
        <f t="shared" si="76"/>
        <v>0</v>
      </c>
      <c r="BP91" s="278">
        <f t="shared" si="77"/>
        <v>0</v>
      </c>
      <c r="BQ91" s="278">
        <f t="shared" si="78"/>
        <v>0</v>
      </c>
      <c r="BS91" s="53">
        <f t="shared" si="70"/>
        <v>0</v>
      </c>
      <c r="BT91" s="53">
        <f t="shared" si="71"/>
        <v>2.3832579999999837</v>
      </c>
      <c r="BU91" s="53">
        <f t="shared" si="72"/>
        <v>0</v>
      </c>
      <c r="BV91" s="53">
        <f t="shared" si="73"/>
        <v>0</v>
      </c>
      <c r="BW91" s="53">
        <f t="shared" si="74"/>
        <v>0</v>
      </c>
      <c r="CV91" s="664"/>
      <c r="CW91" s="664"/>
      <c r="CX91" s="664"/>
      <c r="CY91" s="664"/>
      <c r="CZ91" s="664"/>
      <c r="DA91" s="664"/>
      <c r="DB91" s="664"/>
      <c r="FX91" s="580"/>
    </row>
    <row r="92" spans="1:16384">
      <c r="B92" s="35">
        <v>2</v>
      </c>
      <c r="C92" s="71" t="s">
        <v>121</v>
      </c>
      <c r="D92" s="35">
        <v>845</v>
      </c>
      <c r="E92" s="546">
        <v>1</v>
      </c>
      <c r="F92" s="72"/>
      <c r="G92" s="72" t="str">
        <f t="shared" si="150"/>
        <v>044845</v>
      </c>
      <c r="I92" t="s">
        <v>139</v>
      </c>
      <c r="J92" t="s">
        <v>107</v>
      </c>
      <c r="K92" s="58" t="s">
        <v>147</v>
      </c>
      <c r="L92" s="96">
        <v>845</v>
      </c>
      <c r="M92" s="68">
        <f t="shared" si="206"/>
        <v>0</v>
      </c>
      <c r="N92" s="68">
        <f t="shared" si="206"/>
        <v>0</v>
      </c>
      <c r="O92" s="68">
        <f t="shared" si="206"/>
        <v>1</v>
      </c>
      <c r="P92" s="68">
        <f t="shared" si="206"/>
        <v>0</v>
      </c>
      <c r="Q92" s="68">
        <f t="shared" si="206"/>
        <v>0</v>
      </c>
      <c r="R92" s="565">
        <f t="shared" ref="R92:R93" si="234">IF(SUM(M92:Q92)&gt;0,0,1)</f>
        <v>0</v>
      </c>
      <c r="S92" s="603">
        <v>0</v>
      </c>
      <c r="T92" s="603">
        <v>0</v>
      </c>
      <c r="U92" s="603">
        <v>38.33</v>
      </c>
      <c r="V92" s="603">
        <v>0</v>
      </c>
      <c r="W92" s="603">
        <v>0</v>
      </c>
      <c r="Y92" s="69">
        <f>IF(AND(M92&lt;&gt;0,S92=0),#VALUE!,M92*S92)</f>
        <v>0</v>
      </c>
      <c r="Z92" s="69">
        <f t="shared" si="58"/>
        <v>0</v>
      </c>
      <c r="AA92" s="69">
        <f t="shared" si="59"/>
        <v>38.33</v>
      </c>
      <c r="AB92" s="69">
        <f t="shared" si="60"/>
        <v>0</v>
      </c>
      <c r="AC92" s="69">
        <f t="shared" si="61"/>
        <v>0</v>
      </c>
      <c r="AE92" s="68">
        <f t="shared" si="62"/>
        <v>0</v>
      </c>
      <c r="AF92" s="68">
        <f t="shared" si="125"/>
        <v>0</v>
      </c>
      <c r="AG92" s="68">
        <f t="shared" si="126"/>
        <v>1</v>
      </c>
      <c r="AH92" s="68">
        <f t="shared" si="127"/>
        <v>0</v>
      </c>
      <c r="AI92" s="68">
        <f t="shared" si="128"/>
        <v>0</v>
      </c>
      <c r="AK92" s="570">
        <f t="shared" si="112"/>
        <v>0</v>
      </c>
      <c r="AL92" s="570">
        <f t="shared" si="233"/>
        <v>0</v>
      </c>
      <c r="AM92" s="570">
        <f t="shared" si="157"/>
        <v>39.61</v>
      </c>
      <c r="AN92" s="570">
        <f t="shared" si="158"/>
        <v>0</v>
      </c>
      <c r="AO92" s="570">
        <f t="shared" si="159"/>
        <v>0</v>
      </c>
      <c r="AQ92" s="69">
        <f t="shared" si="160"/>
        <v>0</v>
      </c>
      <c r="AR92" s="69">
        <f t="shared" si="152"/>
        <v>0</v>
      </c>
      <c r="AS92" s="69">
        <f t="shared" si="161"/>
        <v>39.61</v>
      </c>
      <c r="AT92" s="69">
        <f t="shared" si="162"/>
        <v>0</v>
      </c>
      <c r="AU92" s="69">
        <f t="shared" si="163"/>
        <v>0</v>
      </c>
      <c r="AV92" s="69">
        <f t="shared" si="209"/>
        <v>0</v>
      </c>
      <c r="AW92" s="443" t="e">
        <f t="shared" si="204"/>
        <v>#DIV/0!</v>
      </c>
      <c r="AX92" s="434">
        <v>338</v>
      </c>
      <c r="AY92" s="567"/>
      <c r="AZ92" s="567"/>
      <c r="BA92" s="567">
        <v>39.65</v>
      </c>
      <c r="BB92" s="567"/>
      <c r="BC92" s="567"/>
      <c r="BD92" s="139"/>
      <c r="BE92" s="573">
        <f t="shared" si="164"/>
        <v>0.75</v>
      </c>
      <c r="BF92" s="53"/>
      <c r="BG92" s="53"/>
      <c r="BH92" s="53">
        <f>ROUND((U92*$BF$2)+$BE92-BA92,2)</f>
        <v>0.01</v>
      </c>
      <c r="BI92" s="53"/>
      <c r="BJ92" s="53"/>
      <c r="BM92" s="278">
        <f t="shared" si="165"/>
        <v>0</v>
      </c>
      <c r="BN92" s="278">
        <f t="shared" si="166"/>
        <v>0</v>
      </c>
      <c r="BO92" s="278">
        <f t="shared" si="76"/>
        <v>40.208110999999995</v>
      </c>
      <c r="BP92" s="278">
        <f t="shared" si="77"/>
        <v>0</v>
      </c>
      <c r="BQ92" s="278">
        <f t="shared" si="78"/>
        <v>0</v>
      </c>
      <c r="BS92" s="53">
        <f t="shared" si="70"/>
        <v>0</v>
      </c>
      <c r="BT92" s="53">
        <f t="shared" si="71"/>
        <v>0</v>
      </c>
      <c r="BU92" s="53">
        <f t="shared" si="72"/>
        <v>0.55811099999999669</v>
      </c>
      <c r="BV92" s="53">
        <f t="shared" si="73"/>
        <v>0</v>
      </c>
      <c r="BW92" s="53">
        <f t="shared" si="74"/>
        <v>0</v>
      </c>
      <c r="CU92" s="664"/>
      <c r="DH92" s="664"/>
      <c r="DI92" s="664"/>
      <c r="DJ92" s="664"/>
      <c r="DK92" s="664"/>
      <c r="DL92" s="664"/>
      <c r="DM92" s="664"/>
      <c r="FY92" s="580"/>
      <c r="FZ92" s="580"/>
      <c r="GA92" s="580"/>
      <c r="GB92" s="580"/>
      <c r="GC92" s="580"/>
      <c r="GD92" s="580"/>
      <c r="GE92" s="580"/>
      <c r="GF92" s="580"/>
      <c r="GG92" s="580"/>
      <c r="GH92" s="580"/>
      <c r="GI92" s="580"/>
      <c r="GJ92" s="580"/>
      <c r="GK92" s="580"/>
      <c r="GL92" s="580"/>
      <c r="GM92" s="580"/>
      <c r="GN92" s="580"/>
      <c r="GO92" s="580"/>
      <c r="GP92" s="580"/>
      <c r="GQ92" s="580"/>
      <c r="GR92" s="580"/>
      <c r="GS92" s="580"/>
      <c r="GT92" s="580"/>
      <c r="GU92" s="580"/>
      <c r="GV92" s="580"/>
      <c r="GW92" s="580"/>
      <c r="GX92" s="580"/>
      <c r="GY92" s="580"/>
      <c r="GZ92" s="580"/>
      <c r="HA92" s="580"/>
      <c r="HB92" s="580"/>
      <c r="HC92" s="580"/>
      <c r="HD92" s="580"/>
      <c r="HE92" s="580"/>
      <c r="HF92" s="580"/>
      <c r="HG92" s="580"/>
      <c r="HH92" s="580"/>
      <c r="HI92" s="580"/>
      <c r="HJ92" s="580"/>
      <c r="HK92" s="580"/>
      <c r="HL92" s="580"/>
      <c r="HM92" s="580"/>
      <c r="HN92" s="580"/>
      <c r="HO92" s="580"/>
      <c r="HP92" s="580"/>
      <c r="HQ92" s="580"/>
      <c r="HR92" s="580"/>
      <c r="HS92" s="580"/>
      <c r="HT92" s="580"/>
      <c r="HU92" s="580"/>
      <c r="HV92" s="580"/>
      <c r="HW92" s="580"/>
      <c r="HX92" s="580"/>
      <c r="HY92" s="580"/>
      <c r="HZ92" s="580"/>
      <c r="IA92" s="580"/>
      <c r="IB92" s="580"/>
      <c r="IC92" s="580"/>
      <c r="ID92" s="580"/>
      <c r="IE92" s="580"/>
      <c r="IF92" s="580"/>
      <c r="IG92" s="580"/>
      <c r="IH92" s="580"/>
      <c r="II92" s="580"/>
      <c r="IJ92" s="580"/>
      <c r="IK92" s="580"/>
      <c r="IL92" s="580"/>
      <c r="IM92" s="580"/>
      <c r="IN92" s="580"/>
      <c r="IO92" s="580"/>
      <c r="IP92" s="580"/>
      <c r="IQ92" s="580"/>
      <c r="IR92" s="580"/>
      <c r="IS92" s="580"/>
      <c r="IT92" s="580"/>
      <c r="IU92" s="580"/>
      <c r="IV92" s="580"/>
      <c r="IW92" s="580"/>
      <c r="IX92" s="580"/>
      <c r="IY92" s="580"/>
      <c r="IZ92" s="580"/>
      <c r="JA92" s="580"/>
      <c r="JB92" s="580"/>
      <c r="JC92" s="580"/>
      <c r="JD92" s="580"/>
      <c r="JE92" s="580"/>
      <c r="JF92" s="580"/>
      <c r="JG92" s="580"/>
      <c r="JH92" s="580"/>
      <c r="JI92" s="580"/>
      <c r="JJ92" s="580"/>
      <c r="JK92" s="580"/>
      <c r="JL92" s="580"/>
      <c r="JM92" s="580"/>
      <c r="JN92" s="580"/>
      <c r="JO92" s="580"/>
      <c r="JP92" s="580"/>
      <c r="JQ92" s="580"/>
      <c r="JR92" s="580"/>
      <c r="JS92" s="580"/>
      <c r="JT92" s="580"/>
      <c r="JU92" s="580"/>
      <c r="JV92" s="580"/>
      <c r="JW92" s="580"/>
      <c r="JX92" s="580"/>
      <c r="JY92" s="580"/>
      <c r="JZ92" s="580"/>
      <c r="KA92" s="580"/>
      <c r="KB92" s="580"/>
      <c r="KC92" s="580"/>
      <c r="KD92" s="580"/>
      <c r="KE92" s="580"/>
      <c r="KF92" s="580"/>
      <c r="KG92" s="580"/>
      <c r="KH92" s="580"/>
      <c r="KI92" s="580"/>
      <c r="KJ92" s="580"/>
      <c r="KK92" s="580"/>
      <c r="KL92" s="580"/>
      <c r="KM92" s="580"/>
      <c r="KN92" s="580"/>
      <c r="KO92" s="580"/>
      <c r="KP92" s="580"/>
      <c r="KQ92" s="580"/>
      <c r="KR92" s="580"/>
      <c r="KS92" s="580"/>
      <c r="KT92" s="580"/>
      <c r="KU92" s="580"/>
      <c r="KV92" s="580"/>
      <c r="KW92" s="580"/>
      <c r="KX92" s="580"/>
      <c r="KY92" s="580"/>
      <c r="KZ92" s="580"/>
      <c r="LA92" s="580"/>
      <c r="LB92" s="580"/>
      <c r="LC92" s="580"/>
      <c r="LD92" s="580"/>
      <c r="LE92" s="580"/>
      <c r="LF92" s="580"/>
      <c r="LG92" s="580"/>
      <c r="LH92" s="580"/>
      <c r="LI92" s="580"/>
      <c r="LJ92" s="580"/>
      <c r="LK92" s="580"/>
      <c r="LL92" s="580"/>
      <c r="LM92" s="580"/>
      <c r="LN92" s="580"/>
      <c r="LO92" s="580"/>
      <c r="LP92" s="580"/>
      <c r="LQ92" s="580"/>
      <c r="LR92" s="580"/>
      <c r="LS92" s="580"/>
      <c r="LT92" s="580"/>
      <c r="LU92" s="580"/>
      <c r="LV92" s="580"/>
      <c r="LW92" s="580"/>
      <c r="LX92" s="580"/>
      <c r="LY92" s="580"/>
      <c r="LZ92" s="580"/>
      <c r="MA92" s="580"/>
      <c r="MB92" s="580"/>
      <c r="MC92" s="580"/>
      <c r="MD92" s="580"/>
      <c r="ME92" s="580"/>
      <c r="MF92" s="580"/>
      <c r="MG92" s="580"/>
      <c r="MH92" s="580"/>
      <c r="MI92" s="580"/>
      <c r="MJ92" s="580"/>
      <c r="MK92" s="580"/>
      <c r="ML92" s="580"/>
      <c r="MM92" s="580"/>
      <c r="MN92" s="580"/>
      <c r="MO92" s="580"/>
      <c r="MP92" s="580"/>
      <c r="MQ92" s="580"/>
      <c r="MR92" s="580"/>
      <c r="MS92" s="580"/>
      <c r="MT92" s="580"/>
      <c r="MU92" s="580"/>
      <c r="MV92" s="580"/>
      <c r="MW92" s="580"/>
      <c r="MX92" s="580"/>
      <c r="MY92" s="580"/>
      <c r="MZ92" s="580"/>
      <c r="NA92" s="580"/>
      <c r="NB92" s="580"/>
      <c r="NC92" s="580"/>
      <c r="ND92" s="580"/>
      <c r="NE92" s="580"/>
      <c r="NF92" s="580"/>
      <c r="NG92" s="580"/>
      <c r="NH92" s="580"/>
      <c r="NI92" s="580"/>
      <c r="NJ92" s="580"/>
      <c r="NK92" s="580"/>
      <c r="NL92" s="580"/>
      <c r="NM92" s="580"/>
      <c r="NN92" s="580"/>
      <c r="NO92" s="580"/>
      <c r="NP92" s="580"/>
      <c r="NQ92" s="580"/>
      <c r="NR92" s="580"/>
      <c r="NS92" s="580"/>
      <c r="NT92" s="580"/>
      <c r="NU92" s="580"/>
      <c r="NV92" s="580"/>
      <c r="NW92" s="580"/>
      <c r="NX92" s="580"/>
      <c r="NY92" s="580"/>
      <c r="NZ92" s="580"/>
      <c r="OA92" s="580"/>
      <c r="OB92" s="580"/>
      <c r="OC92" s="580"/>
      <c r="OD92" s="580"/>
      <c r="OE92" s="580"/>
      <c r="OF92" s="580"/>
      <c r="OG92" s="580"/>
      <c r="OH92" s="580"/>
      <c r="OI92" s="580"/>
      <c r="OJ92" s="580"/>
      <c r="OK92" s="580"/>
      <c r="OL92" s="580"/>
      <c r="OM92" s="580"/>
      <c r="ON92" s="580"/>
      <c r="OO92" s="580"/>
      <c r="OP92" s="580"/>
      <c r="OQ92" s="580"/>
      <c r="OR92" s="580"/>
      <c r="OS92" s="580"/>
      <c r="OT92" s="580"/>
      <c r="OU92" s="580"/>
      <c r="OV92" s="580"/>
      <c r="OW92" s="580"/>
      <c r="OX92" s="580"/>
      <c r="OY92" s="580"/>
      <c r="OZ92" s="580"/>
      <c r="PA92" s="580"/>
      <c r="PB92" s="580"/>
      <c r="PC92" s="580"/>
      <c r="PD92" s="580"/>
      <c r="PE92" s="580"/>
      <c r="PF92" s="580"/>
      <c r="PG92" s="580"/>
      <c r="PH92" s="580"/>
      <c r="PI92" s="580"/>
      <c r="PJ92" s="580"/>
      <c r="PK92" s="580"/>
      <c r="PL92" s="580"/>
      <c r="PM92" s="580"/>
      <c r="PN92" s="580"/>
      <c r="PO92" s="580"/>
      <c r="PP92" s="580"/>
      <c r="PQ92" s="580"/>
      <c r="PR92" s="580"/>
      <c r="PS92" s="580"/>
      <c r="PT92" s="580"/>
      <c r="PU92" s="580"/>
      <c r="PV92" s="580"/>
      <c r="PW92" s="580"/>
      <c r="PX92" s="580"/>
      <c r="PY92" s="580"/>
      <c r="PZ92" s="580"/>
      <c r="QA92" s="580"/>
      <c r="QB92" s="580"/>
      <c r="QC92" s="580"/>
      <c r="QD92" s="580"/>
      <c r="QE92" s="580"/>
      <c r="QF92" s="580"/>
      <c r="QG92" s="580"/>
      <c r="QH92" s="580"/>
      <c r="QI92" s="580"/>
      <c r="QJ92" s="580"/>
      <c r="QK92" s="580"/>
      <c r="QL92" s="580"/>
      <c r="QM92" s="580"/>
      <c r="QN92" s="580"/>
      <c r="QO92" s="580"/>
      <c r="QP92" s="580"/>
      <c r="QQ92" s="580"/>
      <c r="QR92" s="580"/>
      <c r="QS92" s="580"/>
      <c r="QT92" s="580"/>
      <c r="QU92" s="580"/>
      <c r="QV92" s="580"/>
      <c r="QW92" s="580"/>
      <c r="QX92" s="580"/>
      <c r="QY92" s="580"/>
      <c r="QZ92" s="580"/>
      <c r="RA92" s="580"/>
      <c r="RB92" s="580"/>
      <c r="RC92" s="580"/>
      <c r="RD92" s="580"/>
      <c r="RE92" s="580"/>
      <c r="RF92" s="580"/>
      <c r="RG92" s="580"/>
      <c r="RH92" s="580"/>
      <c r="RI92" s="580"/>
      <c r="RJ92" s="580"/>
      <c r="RK92" s="580"/>
      <c r="RL92" s="580"/>
      <c r="RM92" s="580"/>
      <c r="RN92" s="580"/>
      <c r="RO92" s="580"/>
      <c r="RP92" s="580"/>
      <c r="RQ92" s="580"/>
      <c r="RR92" s="580"/>
      <c r="RS92" s="580"/>
      <c r="RT92" s="580"/>
      <c r="RU92" s="580"/>
      <c r="RV92" s="580"/>
      <c r="RW92" s="580"/>
      <c r="RX92" s="580"/>
      <c r="RY92" s="580"/>
      <c r="RZ92" s="580"/>
      <c r="SA92" s="580"/>
      <c r="SB92" s="580"/>
      <c r="SC92" s="580"/>
      <c r="SD92" s="580"/>
      <c r="SE92" s="580"/>
      <c r="SF92" s="580"/>
      <c r="SG92" s="580"/>
      <c r="SH92" s="580"/>
      <c r="SI92" s="580"/>
      <c r="SJ92" s="580"/>
      <c r="SK92" s="580"/>
      <c r="SL92" s="580"/>
      <c r="SM92" s="580"/>
      <c r="SN92" s="580"/>
      <c r="SO92" s="580"/>
      <c r="SP92" s="580"/>
      <c r="SQ92" s="580"/>
      <c r="SR92" s="580"/>
      <c r="SS92" s="580"/>
      <c r="ST92" s="580"/>
      <c r="SU92" s="580"/>
      <c r="SV92" s="580"/>
      <c r="SW92" s="580"/>
      <c r="SX92" s="580"/>
      <c r="SY92" s="580"/>
      <c r="SZ92" s="580"/>
      <c r="TA92" s="580"/>
      <c r="TB92" s="580"/>
      <c r="TC92" s="580"/>
      <c r="TD92" s="580"/>
      <c r="TE92" s="580"/>
      <c r="TF92" s="580"/>
      <c r="TG92" s="580"/>
      <c r="TH92" s="580"/>
      <c r="TI92" s="580"/>
      <c r="TJ92" s="580"/>
      <c r="TK92" s="580"/>
      <c r="TL92" s="580"/>
      <c r="TM92" s="580"/>
      <c r="TN92" s="580"/>
      <c r="TO92" s="580"/>
      <c r="TP92" s="580"/>
      <c r="TQ92" s="580"/>
      <c r="TR92" s="580"/>
      <c r="TS92" s="580"/>
      <c r="TT92" s="580"/>
      <c r="TU92" s="580"/>
      <c r="TV92" s="580"/>
      <c r="TW92" s="580"/>
      <c r="TX92" s="580"/>
      <c r="TY92" s="580"/>
      <c r="TZ92" s="580"/>
      <c r="UA92" s="580"/>
      <c r="UB92" s="580"/>
      <c r="UC92" s="580"/>
      <c r="UD92" s="580"/>
      <c r="UE92" s="580"/>
      <c r="UF92" s="580"/>
      <c r="UG92" s="580"/>
      <c r="UH92" s="580"/>
      <c r="UI92" s="580"/>
      <c r="UJ92" s="580"/>
      <c r="UK92" s="580"/>
      <c r="UL92" s="580"/>
      <c r="UM92" s="580"/>
      <c r="UN92" s="580"/>
      <c r="UO92" s="580"/>
      <c r="UP92" s="580"/>
      <c r="UQ92" s="580"/>
      <c r="UR92" s="580"/>
      <c r="US92" s="580"/>
      <c r="UT92" s="580"/>
      <c r="UU92" s="580"/>
      <c r="UV92" s="580"/>
      <c r="UW92" s="580"/>
      <c r="UX92" s="580"/>
      <c r="UY92" s="580"/>
      <c r="UZ92" s="580"/>
      <c r="VA92" s="580"/>
      <c r="VB92" s="580"/>
      <c r="VC92" s="580"/>
      <c r="VD92" s="580"/>
      <c r="VE92" s="580"/>
      <c r="VF92" s="580"/>
      <c r="VG92" s="580"/>
      <c r="VH92" s="580"/>
      <c r="VI92" s="580"/>
      <c r="VJ92" s="580"/>
      <c r="VK92" s="580"/>
      <c r="VL92" s="580"/>
      <c r="VM92" s="580"/>
      <c r="VN92" s="580"/>
      <c r="VO92" s="580"/>
      <c r="VP92" s="580"/>
      <c r="VQ92" s="580"/>
      <c r="VR92" s="580"/>
      <c r="VS92" s="580"/>
      <c r="VT92" s="580"/>
      <c r="VU92" s="580"/>
      <c r="VV92" s="580"/>
      <c r="VW92" s="580"/>
      <c r="VX92" s="580"/>
      <c r="VY92" s="580"/>
      <c r="VZ92" s="580"/>
      <c r="WA92" s="580"/>
      <c r="WB92" s="580"/>
      <c r="WC92" s="580"/>
      <c r="WD92" s="580"/>
      <c r="WE92" s="580"/>
      <c r="WF92" s="580"/>
      <c r="WG92" s="580"/>
      <c r="WH92" s="580"/>
      <c r="WI92" s="580"/>
      <c r="WJ92" s="580"/>
      <c r="WK92" s="580"/>
      <c r="WL92" s="580"/>
      <c r="WM92" s="580"/>
      <c r="WN92" s="580"/>
      <c r="WO92" s="580"/>
      <c r="WP92" s="580"/>
      <c r="WQ92" s="580"/>
      <c r="WR92" s="580"/>
      <c r="WS92" s="580"/>
      <c r="WT92" s="580"/>
      <c r="WU92" s="580"/>
      <c r="WV92" s="580"/>
      <c r="WW92" s="580"/>
      <c r="WX92" s="580"/>
      <c r="WY92" s="580"/>
      <c r="WZ92" s="580"/>
      <c r="XA92" s="580"/>
      <c r="XB92" s="580"/>
      <c r="XC92" s="580"/>
      <c r="XD92" s="580"/>
      <c r="XE92" s="580"/>
      <c r="XF92" s="580"/>
      <c r="XG92" s="580"/>
      <c r="XH92" s="580"/>
      <c r="XI92" s="580"/>
      <c r="XJ92" s="580"/>
      <c r="XK92" s="580"/>
      <c r="XL92" s="580"/>
      <c r="XM92" s="580"/>
      <c r="XN92" s="580"/>
      <c r="XO92" s="580"/>
      <c r="XP92" s="580"/>
      <c r="XQ92" s="580"/>
      <c r="XR92" s="580"/>
      <c r="XS92" s="580"/>
      <c r="XT92" s="580"/>
      <c r="XU92" s="580"/>
      <c r="XV92" s="580"/>
      <c r="XW92" s="580"/>
      <c r="XX92" s="580"/>
      <c r="XY92" s="580"/>
      <c r="XZ92" s="580"/>
      <c r="YA92" s="580"/>
      <c r="YB92" s="580"/>
      <c r="YC92" s="580"/>
      <c r="YD92" s="580"/>
      <c r="YE92" s="580"/>
      <c r="YF92" s="580"/>
      <c r="YG92" s="580"/>
      <c r="YH92" s="580"/>
      <c r="YI92" s="580"/>
      <c r="YJ92" s="580"/>
      <c r="YK92" s="580"/>
      <c r="YL92" s="580"/>
      <c r="YM92" s="580"/>
      <c r="YN92" s="580"/>
      <c r="YO92" s="580"/>
      <c r="YP92" s="580"/>
      <c r="YQ92" s="580"/>
      <c r="YR92" s="580"/>
      <c r="YS92" s="580"/>
      <c r="YT92" s="580"/>
      <c r="YU92" s="580"/>
      <c r="YV92" s="580"/>
      <c r="YW92" s="580"/>
      <c r="YX92" s="580"/>
      <c r="YY92" s="580"/>
      <c r="YZ92" s="580"/>
      <c r="ZA92" s="580"/>
      <c r="ZB92" s="580"/>
      <c r="ZC92" s="580"/>
      <c r="ZD92" s="580"/>
      <c r="ZE92" s="580"/>
      <c r="ZF92" s="580"/>
      <c r="ZG92" s="580"/>
      <c r="ZH92" s="580"/>
      <c r="ZI92" s="580"/>
      <c r="ZJ92" s="580"/>
      <c r="ZK92" s="580"/>
      <c r="ZL92" s="580"/>
      <c r="ZM92" s="580"/>
      <c r="ZN92" s="580"/>
      <c r="ZO92" s="580"/>
      <c r="ZP92" s="580"/>
      <c r="ZQ92" s="580"/>
      <c r="ZR92" s="580"/>
      <c r="ZS92" s="580"/>
      <c r="ZT92" s="580"/>
      <c r="ZU92" s="580"/>
      <c r="ZV92" s="580"/>
      <c r="ZW92" s="580"/>
      <c r="ZX92" s="580"/>
      <c r="ZY92" s="580"/>
      <c r="ZZ92" s="580"/>
      <c r="AAA92" s="580"/>
      <c r="AAB92" s="580"/>
      <c r="AAC92" s="580"/>
      <c r="AAD92" s="580"/>
      <c r="AAE92" s="580"/>
      <c r="AAF92" s="580"/>
      <c r="AAG92" s="580"/>
      <c r="AAH92" s="580"/>
      <c r="AAI92" s="580"/>
      <c r="AAJ92" s="580"/>
      <c r="AAK92" s="580"/>
      <c r="AAL92" s="580"/>
      <c r="AAM92" s="580"/>
      <c r="AAN92" s="580"/>
      <c r="AAO92" s="580"/>
      <c r="AAP92" s="580"/>
      <c r="AAQ92" s="580"/>
      <c r="AAR92" s="580"/>
      <c r="AAS92" s="580"/>
      <c r="AAT92" s="580"/>
      <c r="AAU92" s="580"/>
      <c r="AAV92" s="580"/>
      <c r="AAW92" s="580"/>
      <c r="AAX92" s="580"/>
      <c r="AAY92" s="580"/>
      <c r="AAZ92" s="580"/>
      <c r="ABA92" s="580"/>
      <c r="ABB92" s="580"/>
      <c r="ABC92" s="580"/>
      <c r="ABD92" s="580"/>
      <c r="ABE92" s="580"/>
      <c r="ABF92" s="580"/>
      <c r="ABG92" s="580"/>
      <c r="ABH92" s="580"/>
      <c r="ABI92" s="580"/>
      <c r="ABJ92" s="580"/>
      <c r="ABK92" s="580"/>
      <c r="ABL92" s="580"/>
      <c r="ABM92" s="580"/>
      <c r="ABN92" s="580"/>
      <c r="ABO92" s="580"/>
      <c r="ABP92" s="580"/>
      <c r="ABQ92" s="580"/>
      <c r="ABR92" s="580"/>
      <c r="ABS92" s="580"/>
      <c r="ABT92" s="580"/>
      <c r="ABU92" s="580"/>
      <c r="ABV92" s="580"/>
      <c r="ABW92" s="580"/>
      <c r="ABX92" s="580"/>
      <c r="ABY92" s="580"/>
      <c r="ABZ92" s="580"/>
      <c r="ACA92" s="580"/>
      <c r="ACB92" s="580"/>
      <c r="ACC92" s="580"/>
      <c r="ACD92" s="580"/>
      <c r="ACE92" s="580"/>
      <c r="ACF92" s="580"/>
      <c r="ACG92" s="580"/>
      <c r="ACH92" s="580"/>
      <c r="ACI92" s="580"/>
      <c r="ACJ92" s="580"/>
      <c r="ACK92" s="580"/>
      <c r="ACL92" s="580"/>
      <c r="ACM92" s="580"/>
      <c r="ACN92" s="580"/>
      <c r="ACO92" s="580"/>
      <c r="ACP92" s="580"/>
      <c r="ACQ92" s="580"/>
      <c r="ACR92" s="580"/>
      <c r="ACS92" s="580"/>
      <c r="ACT92" s="580"/>
      <c r="ACU92" s="580"/>
      <c r="ACV92" s="580"/>
      <c r="ACW92" s="580"/>
      <c r="ACX92" s="580"/>
      <c r="ACY92" s="580"/>
      <c r="ACZ92" s="580"/>
      <c r="ADA92" s="580"/>
      <c r="ADB92" s="580"/>
      <c r="ADC92" s="580"/>
      <c r="ADD92" s="580"/>
      <c r="ADE92" s="580"/>
      <c r="ADF92" s="580"/>
      <c r="ADG92" s="580"/>
      <c r="ADH92" s="580"/>
      <c r="ADI92" s="580"/>
      <c r="ADJ92" s="580"/>
      <c r="ADK92" s="580"/>
      <c r="ADL92" s="580"/>
      <c r="ADM92" s="580"/>
      <c r="ADN92" s="580"/>
      <c r="ADO92" s="580"/>
      <c r="ADP92" s="580"/>
      <c r="ADQ92" s="580"/>
      <c r="ADR92" s="580"/>
      <c r="ADS92" s="580"/>
      <c r="ADT92" s="580"/>
      <c r="ADU92" s="580"/>
      <c r="ADV92" s="580"/>
      <c r="ADW92" s="580"/>
      <c r="ADX92" s="580"/>
      <c r="ADY92" s="580"/>
      <c r="ADZ92" s="580"/>
      <c r="AEA92" s="580"/>
      <c r="AEB92" s="580"/>
      <c r="AEC92" s="580"/>
      <c r="AED92" s="580"/>
      <c r="AEE92" s="580"/>
      <c r="AEF92" s="580"/>
      <c r="AEG92" s="580"/>
      <c r="AEH92" s="580"/>
      <c r="AEI92" s="580"/>
      <c r="AEJ92" s="580"/>
      <c r="AEK92" s="580"/>
      <c r="AEL92" s="580"/>
      <c r="AEM92" s="580"/>
      <c r="AEN92" s="580"/>
      <c r="AEO92" s="580"/>
      <c r="AEP92" s="580"/>
      <c r="AEQ92" s="580"/>
      <c r="AER92" s="580"/>
      <c r="AES92" s="580"/>
      <c r="AET92" s="580"/>
      <c r="AEU92" s="580"/>
      <c r="AEV92" s="580"/>
      <c r="AEW92" s="580"/>
      <c r="AEX92" s="580"/>
      <c r="AEY92" s="580"/>
      <c r="AEZ92" s="580"/>
      <c r="AFA92" s="580"/>
      <c r="AFB92" s="580"/>
      <c r="AFC92" s="580"/>
      <c r="AFD92" s="580"/>
      <c r="AFE92" s="580"/>
      <c r="AFF92" s="580"/>
      <c r="AFG92" s="580"/>
      <c r="AFH92" s="580"/>
      <c r="AFI92" s="580"/>
      <c r="AFJ92" s="580"/>
      <c r="AFK92" s="580"/>
      <c r="AFL92" s="580"/>
      <c r="AFM92" s="580"/>
      <c r="AFN92" s="580"/>
      <c r="AFO92" s="580"/>
      <c r="AFP92" s="580"/>
      <c r="AFQ92" s="580"/>
      <c r="AFR92" s="580"/>
      <c r="AFS92" s="580"/>
      <c r="AFT92" s="580"/>
      <c r="AFU92" s="580"/>
      <c r="AFV92" s="580"/>
      <c r="AFW92" s="580"/>
      <c r="AFX92" s="580"/>
      <c r="AFY92" s="580"/>
      <c r="AFZ92" s="580"/>
      <c r="AGA92" s="580"/>
      <c r="AGB92" s="580"/>
      <c r="AGC92" s="580"/>
      <c r="AGD92" s="580"/>
      <c r="AGE92" s="580"/>
      <c r="AGF92" s="580"/>
      <c r="AGG92" s="580"/>
      <c r="AGH92" s="580"/>
      <c r="AGI92" s="580"/>
      <c r="AGJ92" s="580"/>
      <c r="AGK92" s="580"/>
      <c r="AGL92" s="580"/>
      <c r="AGM92" s="580"/>
      <c r="AGN92" s="580"/>
      <c r="AGO92" s="580"/>
      <c r="AGP92" s="580"/>
      <c r="AGQ92" s="580"/>
      <c r="AGR92" s="580"/>
      <c r="AGS92" s="580"/>
      <c r="AGT92" s="580"/>
      <c r="AGU92" s="580"/>
      <c r="AGV92" s="580"/>
      <c r="AGW92" s="580"/>
      <c r="AGX92" s="580"/>
      <c r="AGY92" s="580"/>
      <c r="AGZ92" s="580"/>
      <c r="AHA92" s="580"/>
      <c r="AHB92" s="580"/>
      <c r="AHC92" s="580"/>
      <c r="AHD92" s="580"/>
      <c r="AHE92" s="580"/>
      <c r="AHF92" s="580"/>
      <c r="AHG92" s="580"/>
      <c r="AHH92" s="580"/>
      <c r="AHI92" s="580"/>
      <c r="AHJ92" s="580"/>
      <c r="AHK92" s="580"/>
      <c r="AHL92" s="580"/>
      <c r="AHM92" s="580"/>
      <c r="AHN92" s="580"/>
      <c r="AHO92" s="580"/>
      <c r="AHP92" s="580"/>
      <c r="AHQ92" s="580"/>
      <c r="AHR92" s="580"/>
      <c r="AHS92" s="580"/>
      <c r="AHT92" s="580"/>
      <c r="AHU92" s="580"/>
      <c r="AHV92" s="580"/>
      <c r="AHW92" s="580"/>
      <c r="AHX92" s="580"/>
      <c r="AHY92" s="580"/>
      <c r="AHZ92" s="580"/>
      <c r="AIA92" s="580"/>
      <c r="AIB92" s="580"/>
      <c r="AIC92" s="580"/>
      <c r="AID92" s="580"/>
      <c r="AIE92" s="580"/>
      <c r="AIF92" s="580"/>
      <c r="AIG92" s="580"/>
      <c r="AIH92" s="580"/>
      <c r="AII92" s="580"/>
      <c r="AIJ92" s="580"/>
      <c r="AIK92" s="580"/>
      <c r="AIL92" s="580"/>
      <c r="AIM92" s="580"/>
      <c r="AIN92" s="580"/>
      <c r="AIO92" s="580"/>
      <c r="AIP92" s="580"/>
      <c r="AIQ92" s="580"/>
      <c r="AIR92" s="580"/>
      <c r="AIS92" s="580"/>
      <c r="AIT92" s="580"/>
      <c r="AIU92" s="580"/>
      <c r="AIV92" s="580"/>
      <c r="AIW92" s="580"/>
      <c r="AIX92" s="580"/>
      <c r="AIY92" s="580"/>
      <c r="AIZ92" s="580"/>
      <c r="AJA92" s="580"/>
      <c r="AJB92" s="580"/>
      <c r="AJC92" s="580"/>
      <c r="AJD92" s="580"/>
      <c r="AJE92" s="580"/>
      <c r="AJF92" s="580"/>
      <c r="AJG92" s="580"/>
      <c r="AJH92" s="580"/>
      <c r="AJI92" s="580"/>
      <c r="AJJ92" s="580"/>
      <c r="AJK92" s="580"/>
      <c r="AJL92" s="580"/>
      <c r="AJM92" s="580"/>
      <c r="AJN92" s="580"/>
      <c r="AJO92" s="580"/>
      <c r="AJP92" s="580"/>
      <c r="AJQ92" s="580"/>
      <c r="AJR92" s="580"/>
      <c r="AJS92" s="580"/>
      <c r="AJT92" s="580"/>
      <c r="AJU92" s="580"/>
      <c r="AJV92" s="580"/>
      <c r="AJW92" s="580"/>
      <c r="AJX92" s="580"/>
      <c r="AJY92" s="580"/>
      <c r="AJZ92" s="580"/>
      <c r="AKA92" s="580"/>
      <c r="AKB92" s="580"/>
      <c r="AKC92" s="580"/>
      <c r="AKD92" s="580"/>
      <c r="AKE92" s="580"/>
      <c r="AKF92" s="580"/>
      <c r="AKG92" s="580"/>
      <c r="AKH92" s="580"/>
      <c r="AKI92" s="580"/>
      <c r="AKJ92" s="580"/>
      <c r="AKK92" s="580"/>
      <c r="AKL92" s="580"/>
      <c r="AKM92" s="580"/>
      <c r="AKN92" s="580"/>
      <c r="AKO92" s="580"/>
      <c r="AKP92" s="580"/>
      <c r="AKQ92" s="580"/>
      <c r="AKR92" s="580"/>
      <c r="AKS92" s="580"/>
      <c r="AKT92" s="580"/>
      <c r="AKU92" s="580"/>
      <c r="AKV92" s="580"/>
      <c r="AKW92" s="580"/>
      <c r="AKX92" s="580"/>
      <c r="AKY92" s="580"/>
      <c r="AKZ92" s="580"/>
      <c r="ALA92" s="580"/>
      <c r="ALB92" s="580"/>
      <c r="ALC92" s="580"/>
      <c r="ALD92" s="580"/>
      <c r="ALE92" s="580"/>
      <c r="ALF92" s="580"/>
      <c r="ALG92" s="580"/>
      <c r="ALH92" s="580"/>
      <c r="ALI92" s="580"/>
      <c r="ALJ92" s="580"/>
      <c r="ALK92" s="580"/>
      <c r="ALL92" s="580"/>
      <c r="ALM92" s="580"/>
      <c r="ALN92" s="580"/>
      <c r="ALO92" s="580"/>
      <c r="ALP92" s="580"/>
      <c r="ALQ92" s="580"/>
      <c r="ALR92" s="580"/>
      <c r="ALS92" s="580"/>
      <c r="ALT92" s="580"/>
      <c r="ALU92" s="580"/>
      <c r="ALV92" s="580"/>
      <c r="ALW92" s="580"/>
      <c r="ALX92" s="580"/>
      <c r="ALY92" s="580"/>
      <c r="ALZ92" s="580"/>
      <c r="AMA92" s="580"/>
      <c r="AMB92" s="580"/>
      <c r="AMC92" s="580"/>
      <c r="AMD92" s="580"/>
      <c r="AME92" s="580"/>
      <c r="AMF92" s="580"/>
      <c r="AMG92" s="580"/>
      <c r="AMH92" s="580"/>
      <c r="AMI92" s="580"/>
      <c r="AMJ92" s="580"/>
      <c r="AMK92" s="580"/>
      <c r="AML92" s="580"/>
      <c r="AMM92" s="580"/>
      <c r="AMN92" s="580"/>
      <c r="AMO92" s="580"/>
      <c r="AMP92" s="580"/>
      <c r="AMQ92" s="580"/>
      <c r="AMR92" s="580"/>
      <c r="AMS92" s="580"/>
      <c r="AMT92" s="580"/>
      <c r="AMU92" s="580"/>
      <c r="AMV92" s="580"/>
      <c r="AMW92" s="580"/>
      <c r="AMX92" s="580"/>
      <c r="AMY92" s="580"/>
      <c r="AMZ92" s="580"/>
      <c r="ANA92" s="580"/>
      <c r="ANB92" s="580"/>
      <c r="ANC92" s="580"/>
      <c r="AND92" s="580"/>
      <c r="ANE92" s="580"/>
      <c r="ANF92" s="580"/>
      <c r="ANG92" s="580"/>
      <c r="ANH92" s="580"/>
      <c r="ANI92" s="580"/>
      <c r="ANJ92" s="580"/>
      <c r="ANK92" s="580"/>
      <c r="ANL92" s="580"/>
      <c r="ANM92" s="580"/>
      <c r="ANN92" s="580"/>
      <c r="ANO92" s="580"/>
      <c r="ANP92" s="580"/>
      <c r="ANQ92" s="580"/>
      <c r="ANR92" s="580"/>
      <c r="ANS92" s="580"/>
      <c r="ANT92" s="580"/>
      <c r="ANU92" s="580"/>
      <c r="ANV92" s="580"/>
      <c r="ANW92" s="580"/>
      <c r="ANX92" s="580"/>
      <c r="ANY92" s="580"/>
      <c r="ANZ92" s="580"/>
      <c r="AOA92" s="580"/>
      <c r="AOB92" s="580"/>
      <c r="AOC92" s="580"/>
      <c r="AOD92" s="580"/>
      <c r="AOE92" s="580"/>
      <c r="AOF92" s="580"/>
      <c r="AOG92" s="580"/>
      <c r="AOH92" s="580"/>
      <c r="AOI92" s="580"/>
      <c r="AOJ92" s="580"/>
      <c r="AOK92" s="580"/>
      <c r="AOL92" s="580"/>
      <c r="AOM92" s="580"/>
      <c r="AON92" s="580"/>
      <c r="AOO92" s="580"/>
      <c r="AOP92" s="580"/>
      <c r="AOQ92" s="580"/>
      <c r="AOR92" s="580"/>
      <c r="AOS92" s="580"/>
      <c r="AOT92" s="580"/>
      <c r="AOU92" s="580"/>
      <c r="AOV92" s="580"/>
      <c r="AOW92" s="580"/>
      <c r="AOX92" s="580"/>
      <c r="AOY92" s="580"/>
      <c r="AOZ92" s="580"/>
      <c r="APA92" s="580"/>
      <c r="APB92" s="580"/>
      <c r="APC92" s="580"/>
      <c r="APD92" s="580"/>
      <c r="APE92" s="580"/>
      <c r="APF92" s="580"/>
      <c r="APG92" s="580"/>
      <c r="APH92" s="580"/>
      <c r="API92" s="580"/>
      <c r="APJ92" s="580"/>
      <c r="APK92" s="580"/>
      <c r="APL92" s="580"/>
      <c r="APM92" s="580"/>
      <c r="APN92" s="580"/>
      <c r="APO92" s="580"/>
      <c r="APP92" s="580"/>
      <c r="APQ92" s="580"/>
      <c r="APR92" s="580"/>
      <c r="APS92" s="580"/>
      <c r="APT92" s="580"/>
      <c r="APU92" s="580"/>
      <c r="APV92" s="580"/>
      <c r="APW92" s="580"/>
      <c r="APX92" s="580"/>
      <c r="APY92" s="580"/>
      <c r="APZ92" s="580"/>
      <c r="AQA92" s="580"/>
      <c r="AQB92" s="580"/>
      <c r="AQC92" s="580"/>
      <c r="AQD92" s="580"/>
      <c r="AQE92" s="580"/>
      <c r="AQF92" s="580"/>
      <c r="AQG92" s="580"/>
      <c r="AQH92" s="580"/>
      <c r="AQI92" s="580"/>
      <c r="AQJ92" s="580"/>
      <c r="AQK92" s="580"/>
      <c r="AQL92" s="580"/>
      <c r="AQM92" s="580"/>
      <c r="AQN92" s="580"/>
      <c r="AQO92" s="580"/>
      <c r="AQP92" s="580"/>
      <c r="AQQ92" s="580"/>
      <c r="AQR92" s="580"/>
      <c r="AQS92" s="580"/>
      <c r="AQT92" s="580"/>
      <c r="AQU92" s="580"/>
      <c r="AQV92" s="580"/>
      <c r="AQW92" s="580"/>
      <c r="AQX92" s="580"/>
      <c r="AQY92" s="580"/>
      <c r="AQZ92" s="580"/>
      <c r="ARA92" s="580"/>
      <c r="ARB92" s="580"/>
      <c r="ARC92" s="580"/>
      <c r="ARD92" s="580"/>
      <c r="ARE92" s="580"/>
      <c r="ARF92" s="580"/>
      <c r="ARG92" s="580"/>
      <c r="ARH92" s="580"/>
      <c r="ARI92" s="580"/>
      <c r="ARJ92" s="580"/>
      <c r="ARK92" s="580"/>
      <c r="ARL92" s="580"/>
      <c r="ARM92" s="580"/>
      <c r="ARN92" s="580"/>
      <c r="ARO92" s="580"/>
      <c r="ARP92" s="580"/>
      <c r="ARQ92" s="580"/>
      <c r="ARR92" s="580"/>
      <c r="ARS92" s="580"/>
      <c r="ART92" s="580"/>
      <c r="ARU92" s="580"/>
      <c r="ARV92" s="580"/>
      <c r="ARW92" s="580"/>
      <c r="ARX92" s="580"/>
      <c r="ARY92" s="580"/>
      <c r="ARZ92" s="580"/>
      <c r="ASA92" s="580"/>
      <c r="ASB92" s="580"/>
      <c r="ASC92" s="580"/>
      <c r="ASD92" s="580"/>
      <c r="ASE92" s="580"/>
      <c r="ASF92" s="580"/>
      <c r="ASG92" s="580"/>
      <c r="ASH92" s="580"/>
      <c r="ASI92" s="580"/>
      <c r="ASJ92" s="580"/>
      <c r="ASK92" s="580"/>
      <c r="ASL92" s="580"/>
      <c r="ASM92" s="580"/>
      <c r="ASN92" s="580"/>
      <c r="ASO92" s="580"/>
      <c r="ASP92" s="580"/>
      <c r="ASQ92" s="580"/>
      <c r="ASR92" s="580"/>
      <c r="ASS92" s="580"/>
      <c r="AST92" s="580"/>
      <c r="ASU92" s="580"/>
      <c r="ASV92" s="580"/>
      <c r="ASW92" s="580"/>
      <c r="ASX92" s="580"/>
      <c r="ASY92" s="580"/>
      <c r="ASZ92" s="580"/>
      <c r="ATA92" s="580"/>
      <c r="ATB92" s="580"/>
      <c r="ATC92" s="580"/>
      <c r="ATD92" s="580"/>
      <c r="ATE92" s="580"/>
      <c r="ATF92" s="580"/>
      <c r="ATG92" s="580"/>
      <c r="ATH92" s="580"/>
      <c r="ATI92" s="580"/>
      <c r="ATJ92" s="580"/>
      <c r="ATK92" s="580"/>
      <c r="ATL92" s="580"/>
      <c r="ATM92" s="580"/>
      <c r="ATN92" s="580"/>
      <c r="ATO92" s="580"/>
      <c r="ATP92" s="580"/>
      <c r="ATQ92" s="580"/>
      <c r="ATR92" s="580"/>
      <c r="ATS92" s="580"/>
      <c r="ATT92" s="580"/>
      <c r="ATU92" s="580"/>
      <c r="ATV92" s="580"/>
      <c r="ATW92" s="580"/>
      <c r="ATX92" s="580"/>
      <c r="ATY92" s="580"/>
      <c r="ATZ92" s="580"/>
      <c r="AUA92" s="580"/>
      <c r="AUB92" s="580"/>
      <c r="AUC92" s="580"/>
      <c r="AUD92" s="580"/>
      <c r="AUE92" s="580"/>
      <c r="AUF92" s="580"/>
      <c r="AUG92" s="580"/>
      <c r="AUH92" s="580"/>
      <c r="AUI92" s="580"/>
      <c r="AUJ92" s="580"/>
      <c r="AUK92" s="580"/>
      <c r="AUL92" s="580"/>
      <c r="AUM92" s="580"/>
      <c r="AUN92" s="580"/>
      <c r="AUO92" s="580"/>
      <c r="AUP92" s="580"/>
      <c r="AUQ92" s="580"/>
      <c r="AUR92" s="580"/>
      <c r="AUS92" s="580"/>
      <c r="AUT92" s="580"/>
      <c r="AUU92" s="580"/>
      <c r="AUV92" s="580"/>
      <c r="AUW92" s="580"/>
      <c r="AUX92" s="580"/>
      <c r="AUY92" s="580"/>
      <c r="AUZ92" s="580"/>
      <c r="AVA92" s="580"/>
      <c r="AVB92" s="580"/>
      <c r="AVC92" s="580"/>
      <c r="AVD92" s="580"/>
      <c r="AVE92" s="580"/>
      <c r="AVF92" s="580"/>
      <c r="AVG92" s="580"/>
      <c r="AVH92" s="580"/>
      <c r="AVI92" s="580"/>
      <c r="AVJ92" s="580"/>
      <c r="AVK92" s="580"/>
      <c r="AVL92" s="580"/>
      <c r="AVM92" s="580"/>
      <c r="AVN92" s="580"/>
      <c r="AVO92" s="580"/>
      <c r="AVP92" s="580"/>
      <c r="AVQ92" s="580"/>
      <c r="AVR92" s="580"/>
      <c r="AVS92" s="580"/>
      <c r="AVT92" s="580"/>
      <c r="AVU92" s="580"/>
      <c r="AVV92" s="580"/>
      <c r="AVW92" s="580"/>
      <c r="AVX92" s="580"/>
      <c r="AVY92" s="580"/>
      <c r="AVZ92" s="580"/>
      <c r="AWA92" s="580"/>
      <c r="AWB92" s="580"/>
      <c r="AWC92" s="580"/>
      <c r="AWD92" s="580"/>
      <c r="AWE92" s="580"/>
      <c r="AWF92" s="580"/>
      <c r="AWG92" s="580"/>
      <c r="AWH92" s="580"/>
      <c r="AWI92" s="580"/>
      <c r="AWJ92" s="580"/>
      <c r="AWK92" s="580"/>
      <c r="AWL92" s="580"/>
      <c r="AWM92" s="580"/>
      <c r="AWN92" s="580"/>
      <c r="AWO92" s="580"/>
      <c r="AWP92" s="580"/>
      <c r="AWQ92" s="580"/>
      <c r="AWR92" s="580"/>
      <c r="AWS92" s="580"/>
      <c r="AWT92" s="580"/>
      <c r="AWU92" s="580"/>
      <c r="AWV92" s="580"/>
      <c r="AWW92" s="580"/>
      <c r="AWX92" s="580"/>
      <c r="AWY92" s="580"/>
      <c r="AWZ92" s="580"/>
      <c r="AXA92" s="580"/>
      <c r="AXB92" s="580"/>
      <c r="AXC92" s="580"/>
      <c r="AXD92" s="580"/>
      <c r="AXE92" s="580"/>
      <c r="AXF92" s="580"/>
      <c r="AXG92" s="580"/>
      <c r="AXH92" s="580"/>
      <c r="AXI92" s="580"/>
      <c r="AXJ92" s="580"/>
      <c r="AXK92" s="580"/>
      <c r="AXL92" s="580"/>
      <c r="AXM92" s="580"/>
      <c r="AXN92" s="580"/>
      <c r="AXO92" s="580"/>
      <c r="AXP92" s="580"/>
      <c r="AXQ92" s="580"/>
      <c r="AXR92" s="580"/>
      <c r="AXS92" s="580"/>
      <c r="AXT92" s="580"/>
      <c r="AXU92" s="580"/>
      <c r="AXV92" s="580"/>
      <c r="AXW92" s="580"/>
      <c r="AXX92" s="580"/>
      <c r="AXY92" s="580"/>
      <c r="AXZ92" s="580"/>
      <c r="AYA92" s="580"/>
      <c r="AYB92" s="580"/>
      <c r="AYC92" s="580"/>
      <c r="AYD92" s="580"/>
      <c r="AYE92" s="580"/>
      <c r="AYF92" s="580"/>
      <c r="AYG92" s="580"/>
      <c r="AYH92" s="580"/>
      <c r="AYI92" s="580"/>
      <c r="AYJ92" s="580"/>
      <c r="AYK92" s="580"/>
      <c r="AYL92" s="580"/>
      <c r="AYM92" s="580"/>
      <c r="AYN92" s="580"/>
      <c r="AYO92" s="580"/>
      <c r="AYP92" s="580"/>
      <c r="AYQ92" s="580"/>
      <c r="AYR92" s="580"/>
      <c r="AYS92" s="580"/>
      <c r="AYT92" s="580"/>
      <c r="AYU92" s="580"/>
      <c r="AYV92" s="580"/>
      <c r="AYW92" s="580"/>
      <c r="AYX92" s="580"/>
      <c r="AYY92" s="580"/>
      <c r="AYZ92" s="580"/>
      <c r="AZA92" s="580"/>
      <c r="AZB92" s="580"/>
      <c r="AZC92" s="580"/>
      <c r="AZD92" s="580"/>
      <c r="AZE92" s="580"/>
      <c r="AZF92" s="580"/>
      <c r="AZG92" s="580"/>
      <c r="AZH92" s="580"/>
      <c r="AZI92" s="580"/>
      <c r="AZJ92" s="580"/>
      <c r="AZK92" s="580"/>
      <c r="AZL92" s="580"/>
      <c r="AZM92" s="580"/>
      <c r="AZN92" s="580"/>
      <c r="AZO92" s="580"/>
      <c r="AZP92" s="580"/>
      <c r="AZQ92" s="580"/>
      <c r="AZR92" s="580"/>
      <c r="AZS92" s="580"/>
      <c r="AZT92" s="580"/>
      <c r="AZU92" s="580"/>
      <c r="AZV92" s="580"/>
      <c r="AZW92" s="580"/>
      <c r="AZX92" s="580"/>
      <c r="AZY92" s="580"/>
      <c r="AZZ92" s="580"/>
      <c r="BAA92" s="580"/>
      <c r="BAB92" s="580"/>
      <c r="BAC92" s="580"/>
      <c r="BAD92" s="580"/>
      <c r="BAE92" s="580"/>
      <c r="BAF92" s="580"/>
      <c r="BAG92" s="580"/>
      <c r="BAH92" s="580"/>
      <c r="BAI92" s="580"/>
      <c r="BAJ92" s="580"/>
      <c r="BAK92" s="580"/>
      <c r="BAL92" s="580"/>
      <c r="BAM92" s="580"/>
      <c r="BAN92" s="580"/>
      <c r="BAO92" s="580"/>
      <c r="BAP92" s="580"/>
      <c r="BAQ92" s="580"/>
      <c r="BAR92" s="580"/>
      <c r="BAS92" s="580"/>
      <c r="BAT92" s="580"/>
      <c r="BAU92" s="580"/>
      <c r="BAV92" s="580"/>
      <c r="BAW92" s="580"/>
      <c r="BAX92" s="580"/>
      <c r="BAY92" s="580"/>
      <c r="BAZ92" s="580"/>
      <c r="BBA92" s="580"/>
      <c r="BBB92" s="580"/>
      <c r="BBC92" s="580"/>
      <c r="BBD92" s="580"/>
      <c r="BBE92" s="580"/>
      <c r="BBF92" s="580"/>
      <c r="BBG92" s="580"/>
      <c r="BBH92" s="580"/>
      <c r="BBI92" s="580"/>
      <c r="BBJ92" s="580"/>
      <c r="BBK92" s="580"/>
      <c r="BBL92" s="580"/>
      <c r="BBM92" s="580"/>
      <c r="BBN92" s="580"/>
      <c r="BBO92" s="580"/>
      <c r="BBP92" s="580"/>
      <c r="BBQ92" s="580"/>
      <c r="BBR92" s="580"/>
      <c r="BBS92" s="580"/>
      <c r="BBT92" s="580"/>
      <c r="BBU92" s="580"/>
      <c r="BBV92" s="580"/>
      <c r="BBW92" s="580"/>
      <c r="BBX92" s="580"/>
      <c r="BBY92" s="580"/>
      <c r="BBZ92" s="580"/>
      <c r="BCA92" s="580"/>
      <c r="BCB92" s="580"/>
      <c r="BCC92" s="580"/>
      <c r="BCD92" s="580"/>
      <c r="BCE92" s="580"/>
      <c r="BCF92" s="580"/>
      <c r="BCG92" s="580"/>
      <c r="BCH92" s="580"/>
      <c r="BCI92" s="580"/>
      <c r="BCJ92" s="580"/>
      <c r="BCK92" s="580"/>
      <c r="BCL92" s="580"/>
      <c r="BCM92" s="580"/>
      <c r="BCN92" s="580"/>
      <c r="BCO92" s="580"/>
      <c r="BCP92" s="580"/>
      <c r="BCQ92" s="580"/>
      <c r="BCR92" s="580"/>
      <c r="BCS92" s="580"/>
      <c r="BCT92" s="580"/>
      <c r="BCU92" s="580"/>
      <c r="BCV92" s="580"/>
      <c r="BCW92" s="580"/>
      <c r="BCX92" s="580"/>
      <c r="BCY92" s="580"/>
      <c r="BCZ92" s="580"/>
      <c r="BDA92" s="580"/>
      <c r="BDB92" s="580"/>
      <c r="BDC92" s="580"/>
      <c r="BDD92" s="580"/>
      <c r="BDE92" s="580"/>
      <c r="BDF92" s="580"/>
      <c r="BDG92" s="580"/>
      <c r="BDH92" s="580"/>
      <c r="BDI92" s="580"/>
      <c r="BDJ92" s="580"/>
      <c r="BDK92" s="580"/>
      <c r="BDL92" s="580"/>
      <c r="BDM92" s="580"/>
      <c r="BDN92" s="580"/>
      <c r="BDO92" s="580"/>
      <c r="BDP92" s="580"/>
      <c r="BDQ92" s="580"/>
      <c r="BDR92" s="580"/>
      <c r="BDS92" s="580"/>
      <c r="BDT92" s="580"/>
      <c r="BDU92" s="580"/>
      <c r="BDV92" s="580"/>
      <c r="BDW92" s="580"/>
      <c r="BDX92" s="580"/>
      <c r="BDY92" s="580"/>
      <c r="BDZ92" s="580"/>
      <c r="BEA92" s="580"/>
      <c r="BEB92" s="580"/>
      <c r="BEC92" s="580"/>
      <c r="BED92" s="580"/>
      <c r="BEE92" s="580"/>
      <c r="BEF92" s="580"/>
      <c r="BEG92" s="580"/>
      <c r="BEH92" s="580"/>
      <c r="BEI92" s="580"/>
      <c r="BEJ92" s="580"/>
      <c r="BEK92" s="580"/>
      <c r="BEL92" s="580"/>
      <c r="BEM92" s="580"/>
      <c r="BEN92" s="580"/>
      <c r="BEO92" s="580"/>
      <c r="BEP92" s="580"/>
      <c r="BEQ92" s="580"/>
      <c r="BER92" s="580"/>
      <c r="BES92" s="580"/>
      <c r="BET92" s="580"/>
      <c r="BEU92" s="580"/>
      <c r="BEV92" s="580"/>
      <c r="BEW92" s="580"/>
      <c r="BEX92" s="580"/>
      <c r="BEY92" s="580"/>
      <c r="BEZ92" s="580"/>
      <c r="BFA92" s="580"/>
      <c r="BFB92" s="580"/>
      <c r="BFC92" s="580"/>
      <c r="BFD92" s="580"/>
      <c r="BFE92" s="580"/>
      <c r="BFF92" s="580"/>
      <c r="BFG92" s="580"/>
      <c r="BFH92" s="580"/>
      <c r="BFI92" s="580"/>
      <c r="BFJ92" s="580"/>
      <c r="BFK92" s="580"/>
      <c r="BFL92" s="580"/>
      <c r="BFM92" s="580"/>
      <c r="BFN92" s="580"/>
      <c r="BFO92" s="580"/>
      <c r="BFP92" s="580"/>
      <c r="BFQ92" s="580"/>
      <c r="BFR92" s="580"/>
      <c r="BFS92" s="580"/>
      <c r="BFT92" s="580"/>
      <c r="BFU92" s="580"/>
      <c r="BFV92" s="580"/>
      <c r="BFW92" s="580"/>
      <c r="BFX92" s="580"/>
      <c r="BFY92" s="580"/>
      <c r="BFZ92" s="580"/>
      <c r="BGA92" s="580"/>
      <c r="BGB92" s="580"/>
      <c r="BGC92" s="580"/>
      <c r="BGD92" s="580"/>
      <c r="BGE92" s="580"/>
      <c r="BGF92" s="580"/>
      <c r="BGG92" s="580"/>
      <c r="BGH92" s="580"/>
      <c r="BGI92" s="580"/>
      <c r="BGJ92" s="580"/>
      <c r="BGK92" s="580"/>
      <c r="BGL92" s="580"/>
      <c r="BGM92" s="580"/>
      <c r="BGN92" s="580"/>
      <c r="BGO92" s="580"/>
      <c r="BGP92" s="580"/>
      <c r="BGQ92" s="580"/>
      <c r="BGR92" s="580"/>
      <c r="BGS92" s="580"/>
      <c r="BGT92" s="580"/>
      <c r="BGU92" s="580"/>
      <c r="BGV92" s="580"/>
      <c r="BGW92" s="580"/>
      <c r="BGX92" s="580"/>
      <c r="BGY92" s="580"/>
      <c r="BGZ92" s="580"/>
      <c r="BHA92" s="580"/>
      <c r="BHB92" s="580"/>
      <c r="BHC92" s="580"/>
      <c r="BHD92" s="580"/>
      <c r="BHE92" s="580"/>
      <c r="BHF92" s="580"/>
      <c r="BHG92" s="580"/>
      <c r="BHH92" s="580"/>
      <c r="BHI92" s="580"/>
      <c r="BHJ92" s="580"/>
      <c r="BHK92" s="580"/>
      <c r="BHL92" s="580"/>
      <c r="BHM92" s="580"/>
      <c r="BHN92" s="580"/>
      <c r="BHO92" s="580"/>
      <c r="BHP92" s="580"/>
      <c r="BHQ92" s="580"/>
      <c r="BHR92" s="580"/>
      <c r="BHS92" s="580"/>
      <c r="BHT92" s="580"/>
      <c r="BHU92" s="580"/>
      <c r="BHV92" s="580"/>
      <c r="BHW92" s="580"/>
      <c r="BHX92" s="580"/>
      <c r="BHY92" s="580"/>
      <c r="BHZ92" s="580"/>
      <c r="BIA92" s="580"/>
      <c r="BIB92" s="580"/>
      <c r="BIC92" s="580"/>
      <c r="BID92" s="580"/>
      <c r="BIE92" s="580"/>
      <c r="BIF92" s="580"/>
      <c r="BIG92" s="580"/>
      <c r="BIH92" s="580"/>
      <c r="BII92" s="580"/>
      <c r="BIJ92" s="580"/>
      <c r="BIK92" s="580"/>
      <c r="BIL92" s="580"/>
      <c r="BIM92" s="580"/>
      <c r="BIN92" s="580"/>
      <c r="BIO92" s="580"/>
      <c r="BIP92" s="580"/>
      <c r="BIQ92" s="580"/>
      <c r="BIR92" s="580"/>
      <c r="BIS92" s="580"/>
      <c r="BIT92" s="580"/>
      <c r="BIU92" s="580"/>
      <c r="BIV92" s="580"/>
      <c r="BIW92" s="580"/>
      <c r="BIX92" s="580"/>
      <c r="BIY92" s="580"/>
      <c r="BIZ92" s="580"/>
      <c r="BJA92" s="580"/>
      <c r="BJB92" s="580"/>
      <c r="BJC92" s="580"/>
      <c r="BJD92" s="580"/>
      <c r="BJE92" s="580"/>
      <c r="BJF92" s="580"/>
      <c r="BJG92" s="580"/>
      <c r="BJH92" s="580"/>
      <c r="BJI92" s="580"/>
      <c r="BJJ92" s="580"/>
      <c r="BJK92" s="580"/>
      <c r="BJL92" s="580"/>
      <c r="BJM92" s="580"/>
      <c r="BJN92" s="580"/>
      <c r="BJO92" s="580"/>
      <c r="BJP92" s="580"/>
      <c r="BJQ92" s="580"/>
      <c r="BJR92" s="580"/>
      <c r="BJS92" s="580"/>
      <c r="BJT92" s="580"/>
      <c r="BJU92" s="580"/>
      <c r="BJV92" s="580"/>
      <c r="BJW92" s="580"/>
      <c r="BJX92" s="580"/>
      <c r="BJY92" s="580"/>
      <c r="BJZ92" s="580"/>
      <c r="BKA92" s="580"/>
      <c r="BKB92" s="580"/>
      <c r="BKC92" s="580"/>
      <c r="BKD92" s="580"/>
      <c r="BKE92" s="580"/>
      <c r="BKF92" s="580"/>
      <c r="BKG92" s="580"/>
      <c r="BKH92" s="580"/>
      <c r="BKI92" s="580"/>
      <c r="BKJ92" s="580"/>
      <c r="BKK92" s="580"/>
      <c r="BKL92" s="580"/>
      <c r="BKM92" s="580"/>
      <c r="BKN92" s="580"/>
      <c r="BKO92" s="580"/>
      <c r="BKP92" s="580"/>
      <c r="BKQ92" s="580"/>
      <c r="BKR92" s="580"/>
      <c r="BKS92" s="580"/>
      <c r="BKT92" s="580"/>
      <c r="BKU92" s="580"/>
      <c r="BKV92" s="580"/>
      <c r="BKW92" s="580"/>
      <c r="BKX92" s="580"/>
      <c r="BKY92" s="580"/>
      <c r="BKZ92" s="580"/>
      <c r="BLA92" s="580"/>
      <c r="BLB92" s="580"/>
      <c r="BLC92" s="580"/>
      <c r="BLD92" s="580"/>
      <c r="BLE92" s="580"/>
      <c r="BLF92" s="580"/>
      <c r="BLG92" s="580"/>
      <c r="BLH92" s="580"/>
      <c r="BLI92" s="580"/>
      <c r="BLJ92" s="580"/>
      <c r="BLK92" s="580"/>
      <c r="BLL92" s="580"/>
      <c r="BLM92" s="580"/>
      <c r="BLN92" s="580"/>
      <c r="BLO92" s="580"/>
      <c r="BLP92" s="580"/>
      <c r="BLQ92" s="580"/>
      <c r="BLR92" s="580"/>
      <c r="BLS92" s="580"/>
      <c r="BLT92" s="580"/>
      <c r="BLU92" s="580"/>
      <c r="BLV92" s="580"/>
      <c r="BLW92" s="580"/>
      <c r="BLX92" s="580"/>
      <c r="BLY92" s="580"/>
      <c r="BLZ92" s="580"/>
      <c r="BMA92" s="580"/>
      <c r="BMB92" s="580"/>
      <c r="BMC92" s="580"/>
      <c r="BMD92" s="580"/>
      <c r="BME92" s="580"/>
      <c r="BMF92" s="580"/>
      <c r="BMG92" s="580"/>
      <c r="BMH92" s="580"/>
      <c r="BMI92" s="580"/>
      <c r="BMJ92" s="580"/>
      <c r="BMK92" s="580"/>
      <c r="BML92" s="580"/>
      <c r="BMM92" s="580"/>
      <c r="BMN92" s="580"/>
      <c r="BMO92" s="580"/>
      <c r="BMP92" s="580"/>
      <c r="BMQ92" s="580"/>
      <c r="BMR92" s="580"/>
      <c r="BMS92" s="580"/>
      <c r="BMT92" s="580"/>
      <c r="BMU92" s="580"/>
      <c r="BMV92" s="580"/>
      <c r="BMW92" s="580"/>
      <c r="BMX92" s="580"/>
      <c r="BMY92" s="580"/>
      <c r="BMZ92" s="580"/>
      <c r="BNA92" s="580"/>
      <c r="BNB92" s="580"/>
      <c r="BNC92" s="580"/>
      <c r="BND92" s="580"/>
      <c r="BNE92" s="580"/>
      <c r="BNF92" s="580"/>
      <c r="BNG92" s="580"/>
      <c r="BNH92" s="580"/>
      <c r="BNI92" s="580"/>
      <c r="BNJ92" s="580"/>
      <c r="BNK92" s="580"/>
      <c r="BNL92" s="580"/>
      <c r="BNM92" s="580"/>
      <c r="BNN92" s="580"/>
      <c r="BNO92" s="580"/>
      <c r="BNP92" s="580"/>
      <c r="BNQ92" s="580"/>
      <c r="BNR92" s="580"/>
      <c r="BNS92" s="580"/>
      <c r="BNT92" s="580"/>
      <c r="BNU92" s="580"/>
      <c r="BNV92" s="580"/>
      <c r="BNW92" s="580"/>
      <c r="BNX92" s="580"/>
      <c r="BNY92" s="580"/>
      <c r="BNZ92" s="580"/>
      <c r="BOA92" s="580"/>
      <c r="BOB92" s="580"/>
      <c r="BOC92" s="580"/>
      <c r="BOD92" s="580"/>
      <c r="BOE92" s="580"/>
      <c r="BOF92" s="580"/>
      <c r="BOG92" s="580"/>
      <c r="BOH92" s="580"/>
      <c r="BOI92" s="580"/>
      <c r="BOJ92" s="580"/>
      <c r="BOK92" s="580"/>
      <c r="BOL92" s="580"/>
      <c r="BOM92" s="580"/>
      <c r="BON92" s="580"/>
      <c r="BOO92" s="580"/>
      <c r="BOP92" s="580"/>
      <c r="BOQ92" s="580"/>
      <c r="BOR92" s="580"/>
      <c r="BOS92" s="580"/>
      <c r="BOT92" s="580"/>
      <c r="BOU92" s="580"/>
      <c r="BOV92" s="580"/>
      <c r="BOW92" s="580"/>
      <c r="BOX92" s="580"/>
      <c r="BOY92" s="580"/>
      <c r="BOZ92" s="580"/>
      <c r="BPA92" s="580"/>
      <c r="BPB92" s="580"/>
      <c r="BPC92" s="580"/>
      <c r="BPD92" s="580"/>
      <c r="BPE92" s="580"/>
      <c r="BPF92" s="580"/>
      <c r="BPG92" s="580"/>
      <c r="BPH92" s="580"/>
      <c r="BPI92" s="580"/>
      <c r="BPJ92" s="580"/>
      <c r="BPK92" s="580"/>
      <c r="BPL92" s="580"/>
      <c r="BPM92" s="580"/>
      <c r="BPN92" s="580"/>
      <c r="BPO92" s="580"/>
      <c r="BPP92" s="580"/>
      <c r="BPQ92" s="580"/>
      <c r="BPR92" s="580"/>
      <c r="BPS92" s="580"/>
      <c r="BPT92" s="580"/>
      <c r="BPU92" s="580"/>
      <c r="BPV92" s="580"/>
      <c r="BPW92" s="580"/>
      <c r="BPX92" s="580"/>
      <c r="BPY92" s="580"/>
      <c r="BPZ92" s="580"/>
      <c r="BQA92" s="580"/>
      <c r="BQB92" s="580"/>
      <c r="BQC92" s="580"/>
      <c r="BQD92" s="580"/>
      <c r="BQE92" s="580"/>
      <c r="BQF92" s="580"/>
      <c r="BQG92" s="580"/>
      <c r="BQH92" s="580"/>
      <c r="BQI92" s="580"/>
      <c r="BQJ92" s="580"/>
      <c r="BQK92" s="580"/>
      <c r="BQL92" s="580"/>
      <c r="BQM92" s="580"/>
      <c r="BQN92" s="580"/>
      <c r="BQO92" s="580"/>
      <c r="BQP92" s="580"/>
      <c r="BQQ92" s="580"/>
      <c r="BQR92" s="580"/>
      <c r="BQS92" s="580"/>
      <c r="BQT92" s="580"/>
      <c r="BQU92" s="580"/>
      <c r="BQV92" s="580"/>
      <c r="BQW92" s="580"/>
      <c r="BQX92" s="580"/>
      <c r="BQY92" s="580"/>
      <c r="BQZ92" s="580"/>
      <c r="BRA92" s="580"/>
      <c r="BRB92" s="580"/>
      <c r="BRC92" s="580"/>
      <c r="BRD92" s="580"/>
      <c r="BRE92" s="580"/>
      <c r="BRF92" s="580"/>
      <c r="BRG92" s="580"/>
      <c r="BRH92" s="580"/>
      <c r="BRI92" s="580"/>
      <c r="BRJ92" s="580"/>
      <c r="BRK92" s="580"/>
      <c r="BRL92" s="580"/>
      <c r="BRM92" s="580"/>
      <c r="BRN92" s="580"/>
      <c r="BRO92" s="580"/>
      <c r="BRP92" s="580"/>
      <c r="BRQ92" s="580"/>
      <c r="BRR92" s="580"/>
      <c r="BRS92" s="580"/>
      <c r="BRT92" s="580"/>
      <c r="BRU92" s="580"/>
      <c r="BRV92" s="580"/>
      <c r="BRW92" s="580"/>
      <c r="BRX92" s="580"/>
      <c r="BRY92" s="580"/>
      <c r="BRZ92" s="580"/>
      <c r="BSA92" s="580"/>
      <c r="BSB92" s="580"/>
      <c r="BSC92" s="580"/>
      <c r="BSD92" s="580"/>
      <c r="BSE92" s="580"/>
      <c r="BSF92" s="580"/>
      <c r="BSG92" s="580"/>
      <c r="BSH92" s="580"/>
      <c r="BSI92" s="580"/>
      <c r="BSJ92" s="580"/>
      <c r="BSK92" s="580"/>
      <c r="BSL92" s="580"/>
      <c r="BSM92" s="580"/>
      <c r="BSN92" s="580"/>
      <c r="BSO92" s="580"/>
      <c r="BSP92" s="580"/>
      <c r="BSQ92" s="580"/>
      <c r="BSR92" s="580"/>
      <c r="BSS92" s="580"/>
      <c r="BST92" s="580"/>
      <c r="BSU92" s="580"/>
      <c r="BSV92" s="580"/>
      <c r="BSW92" s="580"/>
      <c r="BSX92" s="580"/>
      <c r="BSY92" s="580"/>
      <c r="BSZ92" s="580"/>
      <c r="BTA92" s="580"/>
      <c r="BTB92" s="580"/>
      <c r="BTC92" s="580"/>
      <c r="BTD92" s="580"/>
      <c r="BTE92" s="580"/>
      <c r="BTF92" s="580"/>
      <c r="BTG92" s="580"/>
      <c r="BTH92" s="580"/>
      <c r="BTI92" s="580"/>
      <c r="BTJ92" s="580"/>
      <c r="BTK92" s="580"/>
      <c r="BTL92" s="580"/>
      <c r="BTM92" s="580"/>
      <c r="BTN92" s="580"/>
      <c r="BTO92" s="580"/>
      <c r="BTP92" s="580"/>
      <c r="BTQ92" s="580"/>
      <c r="BTR92" s="580"/>
      <c r="BTS92" s="580"/>
      <c r="BTT92" s="580"/>
      <c r="BTU92" s="580"/>
      <c r="BTV92" s="580"/>
      <c r="BTW92" s="580"/>
      <c r="BTX92" s="580"/>
      <c r="BTY92" s="580"/>
      <c r="BTZ92" s="580"/>
      <c r="BUA92" s="580"/>
      <c r="BUB92" s="580"/>
      <c r="BUC92" s="580"/>
      <c r="BUD92" s="580"/>
      <c r="BUE92" s="580"/>
      <c r="BUF92" s="580"/>
      <c r="BUG92" s="580"/>
      <c r="BUH92" s="580"/>
      <c r="BUI92" s="580"/>
      <c r="BUJ92" s="580"/>
      <c r="BUK92" s="580"/>
      <c r="BUL92" s="580"/>
      <c r="BUM92" s="580"/>
      <c r="BUN92" s="580"/>
      <c r="BUO92" s="580"/>
      <c r="BUP92" s="580"/>
      <c r="BUQ92" s="580"/>
      <c r="BUR92" s="580"/>
      <c r="BUS92" s="580"/>
      <c r="BUT92" s="580"/>
      <c r="BUU92" s="580"/>
      <c r="BUV92" s="580"/>
      <c r="BUW92" s="580"/>
      <c r="BUX92" s="580"/>
      <c r="BUY92" s="580"/>
      <c r="BUZ92" s="580"/>
      <c r="BVA92" s="580"/>
      <c r="BVB92" s="580"/>
      <c r="BVC92" s="580"/>
      <c r="BVD92" s="580"/>
      <c r="BVE92" s="580"/>
      <c r="BVF92" s="580"/>
      <c r="BVG92" s="580"/>
      <c r="BVH92" s="580"/>
      <c r="BVI92" s="580"/>
      <c r="BVJ92" s="580"/>
      <c r="BVK92" s="580"/>
      <c r="BVL92" s="580"/>
      <c r="BVM92" s="580"/>
      <c r="BVN92" s="580"/>
      <c r="BVO92" s="580"/>
      <c r="BVP92" s="580"/>
      <c r="BVQ92" s="580"/>
      <c r="BVR92" s="580"/>
      <c r="BVS92" s="580"/>
      <c r="BVT92" s="580"/>
      <c r="BVU92" s="580"/>
      <c r="BVV92" s="580"/>
      <c r="BVW92" s="580"/>
      <c r="BVX92" s="580"/>
      <c r="BVY92" s="580"/>
      <c r="BVZ92" s="580"/>
      <c r="BWA92" s="580"/>
      <c r="BWB92" s="580"/>
      <c r="BWC92" s="580"/>
      <c r="BWD92" s="580"/>
      <c r="BWE92" s="580"/>
      <c r="BWF92" s="580"/>
      <c r="BWG92" s="580"/>
      <c r="BWH92" s="580"/>
      <c r="BWI92" s="580"/>
      <c r="BWJ92" s="580"/>
      <c r="BWK92" s="580"/>
      <c r="BWL92" s="580"/>
      <c r="BWM92" s="580"/>
      <c r="BWN92" s="580"/>
      <c r="BWO92" s="580"/>
      <c r="BWP92" s="580"/>
      <c r="BWQ92" s="580"/>
      <c r="BWR92" s="580"/>
      <c r="BWS92" s="580"/>
      <c r="BWT92" s="580"/>
      <c r="BWU92" s="580"/>
      <c r="BWV92" s="580"/>
      <c r="BWW92" s="580"/>
      <c r="BWX92" s="580"/>
      <c r="BWY92" s="580"/>
      <c r="BWZ92" s="580"/>
      <c r="BXA92" s="580"/>
      <c r="BXB92" s="580"/>
      <c r="BXC92" s="580"/>
      <c r="BXD92" s="580"/>
      <c r="BXE92" s="580"/>
      <c r="BXF92" s="580"/>
      <c r="BXG92" s="580"/>
      <c r="BXH92" s="580"/>
      <c r="BXI92" s="580"/>
      <c r="BXJ92" s="580"/>
      <c r="BXK92" s="580"/>
      <c r="BXL92" s="580"/>
      <c r="BXM92" s="580"/>
      <c r="BXN92" s="580"/>
      <c r="BXO92" s="580"/>
      <c r="BXP92" s="580"/>
      <c r="BXQ92" s="580"/>
      <c r="BXR92" s="580"/>
      <c r="BXS92" s="580"/>
      <c r="BXT92" s="580"/>
      <c r="BXU92" s="580"/>
      <c r="BXV92" s="580"/>
      <c r="BXW92" s="580"/>
      <c r="BXX92" s="580"/>
      <c r="BXY92" s="580"/>
      <c r="BXZ92" s="580"/>
      <c r="BYA92" s="580"/>
      <c r="BYB92" s="580"/>
      <c r="BYC92" s="580"/>
      <c r="BYD92" s="580"/>
      <c r="BYE92" s="580"/>
      <c r="BYF92" s="580"/>
      <c r="BYG92" s="580"/>
      <c r="BYH92" s="580"/>
      <c r="BYI92" s="580"/>
      <c r="BYJ92" s="580"/>
      <c r="BYK92" s="580"/>
      <c r="BYL92" s="580"/>
      <c r="BYM92" s="580"/>
      <c r="BYN92" s="580"/>
      <c r="BYO92" s="580"/>
      <c r="BYP92" s="580"/>
      <c r="BYQ92" s="580"/>
      <c r="BYR92" s="580"/>
      <c r="BYS92" s="580"/>
      <c r="BYT92" s="580"/>
      <c r="BYU92" s="580"/>
      <c r="BYV92" s="580"/>
      <c r="BYW92" s="580"/>
      <c r="BYX92" s="580"/>
      <c r="BYY92" s="580"/>
      <c r="BYZ92" s="580"/>
      <c r="BZA92" s="580"/>
      <c r="BZB92" s="580"/>
      <c r="BZC92" s="580"/>
      <c r="BZD92" s="580"/>
      <c r="BZE92" s="580"/>
      <c r="BZF92" s="580"/>
      <c r="BZG92" s="580"/>
      <c r="BZH92" s="580"/>
      <c r="BZI92" s="580"/>
      <c r="BZJ92" s="580"/>
      <c r="BZK92" s="580"/>
      <c r="BZL92" s="580"/>
      <c r="BZM92" s="580"/>
      <c r="BZN92" s="580"/>
      <c r="BZO92" s="580"/>
      <c r="BZP92" s="580"/>
      <c r="BZQ92" s="580"/>
      <c r="BZR92" s="580"/>
      <c r="BZS92" s="580"/>
      <c r="BZT92" s="580"/>
      <c r="BZU92" s="580"/>
      <c r="BZV92" s="580"/>
      <c r="BZW92" s="580"/>
      <c r="BZX92" s="580"/>
      <c r="BZY92" s="580"/>
      <c r="BZZ92" s="580"/>
      <c r="CAA92" s="580"/>
      <c r="CAB92" s="580"/>
      <c r="CAC92" s="580"/>
      <c r="CAD92" s="580"/>
      <c r="CAE92" s="580"/>
      <c r="CAF92" s="580"/>
      <c r="CAG92" s="580"/>
      <c r="CAH92" s="580"/>
      <c r="CAI92" s="580"/>
      <c r="CAJ92" s="580"/>
      <c r="CAK92" s="580"/>
      <c r="CAL92" s="580"/>
      <c r="CAM92" s="580"/>
      <c r="CAN92" s="580"/>
      <c r="CAO92" s="580"/>
      <c r="CAP92" s="580"/>
      <c r="CAQ92" s="580"/>
      <c r="CAR92" s="580"/>
      <c r="CAS92" s="580"/>
      <c r="CAT92" s="580"/>
      <c r="CAU92" s="580"/>
      <c r="CAV92" s="580"/>
      <c r="CAW92" s="580"/>
      <c r="CAX92" s="580"/>
      <c r="CAY92" s="580"/>
      <c r="CAZ92" s="580"/>
      <c r="CBA92" s="580"/>
      <c r="CBB92" s="580"/>
      <c r="CBC92" s="580"/>
      <c r="CBD92" s="580"/>
      <c r="CBE92" s="580"/>
      <c r="CBF92" s="580"/>
      <c r="CBG92" s="580"/>
      <c r="CBH92" s="580"/>
      <c r="CBI92" s="580"/>
      <c r="CBJ92" s="580"/>
      <c r="CBK92" s="580"/>
      <c r="CBL92" s="580"/>
      <c r="CBM92" s="580"/>
      <c r="CBN92" s="580"/>
      <c r="CBO92" s="580"/>
      <c r="CBP92" s="580"/>
      <c r="CBQ92" s="580"/>
      <c r="CBR92" s="580"/>
      <c r="CBS92" s="580"/>
      <c r="CBT92" s="580"/>
      <c r="CBU92" s="580"/>
      <c r="CBV92" s="580"/>
      <c r="CBW92" s="580"/>
      <c r="CBX92" s="580"/>
      <c r="CBY92" s="580"/>
      <c r="CBZ92" s="580"/>
      <c r="CCA92" s="580"/>
      <c r="CCB92" s="580"/>
      <c r="CCC92" s="580"/>
      <c r="CCD92" s="580"/>
      <c r="CCE92" s="580"/>
      <c r="CCF92" s="580"/>
      <c r="CCG92" s="580"/>
      <c r="CCH92" s="580"/>
      <c r="CCI92" s="580"/>
      <c r="CCJ92" s="580"/>
      <c r="CCK92" s="580"/>
      <c r="CCL92" s="580"/>
      <c r="CCM92" s="580"/>
      <c r="CCN92" s="580"/>
      <c r="CCO92" s="580"/>
      <c r="CCP92" s="580"/>
      <c r="CCQ92" s="580"/>
      <c r="CCR92" s="580"/>
      <c r="CCS92" s="580"/>
      <c r="CCT92" s="580"/>
      <c r="CCU92" s="580"/>
      <c r="CCV92" s="580"/>
      <c r="CCW92" s="580"/>
      <c r="CCX92" s="580"/>
      <c r="CCY92" s="580"/>
      <c r="CCZ92" s="580"/>
      <c r="CDA92" s="580"/>
      <c r="CDB92" s="580"/>
      <c r="CDC92" s="580"/>
      <c r="CDD92" s="580"/>
      <c r="CDE92" s="580"/>
      <c r="CDF92" s="580"/>
      <c r="CDG92" s="580"/>
      <c r="CDH92" s="580"/>
      <c r="CDI92" s="580"/>
      <c r="CDJ92" s="580"/>
      <c r="CDK92" s="580"/>
      <c r="CDL92" s="580"/>
      <c r="CDM92" s="580"/>
      <c r="CDN92" s="580"/>
      <c r="CDO92" s="580"/>
      <c r="CDP92" s="580"/>
      <c r="CDQ92" s="580"/>
      <c r="CDR92" s="580"/>
      <c r="CDS92" s="580"/>
      <c r="CDT92" s="580"/>
      <c r="CDU92" s="580"/>
      <c r="CDV92" s="580"/>
      <c r="CDW92" s="580"/>
      <c r="CDX92" s="580"/>
      <c r="CDY92" s="580"/>
      <c r="CDZ92" s="580"/>
      <c r="CEA92" s="580"/>
      <c r="CEB92" s="580"/>
      <c r="CEC92" s="580"/>
      <c r="CED92" s="580"/>
      <c r="CEE92" s="580"/>
      <c r="CEF92" s="580"/>
      <c r="CEG92" s="580"/>
      <c r="CEH92" s="580"/>
      <c r="CEI92" s="580"/>
      <c r="CEJ92" s="580"/>
      <c r="CEK92" s="580"/>
      <c r="CEL92" s="580"/>
      <c r="CEM92" s="580"/>
      <c r="CEN92" s="580"/>
      <c r="CEO92" s="580"/>
      <c r="CEP92" s="580"/>
      <c r="CEQ92" s="580"/>
      <c r="CER92" s="580"/>
      <c r="CES92" s="580"/>
      <c r="CET92" s="580"/>
      <c r="CEU92" s="580"/>
      <c r="CEV92" s="580"/>
      <c r="CEW92" s="580"/>
      <c r="CEX92" s="580"/>
      <c r="CEY92" s="580"/>
      <c r="CEZ92" s="580"/>
      <c r="CFA92" s="580"/>
      <c r="CFB92" s="580"/>
      <c r="CFC92" s="580"/>
      <c r="CFD92" s="580"/>
      <c r="CFE92" s="580"/>
      <c r="CFF92" s="580"/>
      <c r="CFG92" s="580"/>
      <c r="CFH92" s="580"/>
      <c r="CFI92" s="580"/>
      <c r="CFJ92" s="580"/>
      <c r="CFK92" s="580"/>
      <c r="CFL92" s="580"/>
      <c r="CFM92" s="580"/>
      <c r="CFN92" s="580"/>
      <c r="CFO92" s="580"/>
      <c r="CFP92" s="580"/>
      <c r="CFQ92" s="580"/>
      <c r="CFR92" s="580"/>
      <c r="CFS92" s="580"/>
      <c r="CFT92" s="580"/>
      <c r="CFU92" s="580"/>
      <c r="CFV92" s="580"/>
      <c r="CFW92" s="580"/>
      <c r="CFX92" s="580"/>
      <c r="CFY92" s="580"/>
      <c r="CFZ92" s="580"/>
      <c r="CGA92" s="580"/>
      <c r="CGB92" s="580"/>
      <c r="CGC92" s="580"/>
      <c r="CGD92" s="580"/>
      <c r="CGE92" s="580"/>
      <c r="CGF92" s="580"/>
      <c r="CGG92" s="580"/>
      <c r="CGH92" s="580"/>
      <c r="CGI92" s="580"/>
      <c r="CGJ92" s="580"/>
      <c r="CGK92" s="580"/>
      <c r="CGL92" s="580"/>
      <c r="CGM92" s="580"/>
      <c r="CGN92" s="580"/>
      <c r="CGO92" s="580"/>
      <c r="CGP92" s="580"/>
      <c r="CGQ92" s="580"/>
      <c r="CGR92" s="580"/>
      <c r="CGS92" s="580"/>
      <c r="CGT92" s="580"/>
      <c r="CGU92" s="580"/>
      <c r="CGV92" s="580"/>
      <c r="CGW92" s="580"/>
      <c r="CGX92" s="580"/>
      <c r="CGY92" s="580"/>
      <c r="CGZ92" s="580"/>
      <c r="CHA92" s="580"/>
      <c r="CHB92" s="580"/>
      <c r="CHC92" s="580"/>
      <c r="CHD92" s="580"/>
      <c r="CHE92" s="580"/>
      <c r="CHF92" s="580"/>
      <c r="CHG92" s="580"/>
      <c r="CHH92" s="580"/>
      <c r="CHI92" s="580"/>
      <c r="CHJ92" s="580"/>
      <c r="CHK92" s="580"/>
      <c r="CHL92" s="580"/>
      <c r="CHM92" s="580"/>
      <c r="CHN92" s="580"/>
      <c r="CHO92" s="580"/>
      <c r="CHP92" s="580"/>
      <c r="CHQ92" s="580"/>
      <c r="CHR92" s="580"/>
      <c r="CHS92" s="580"/>
      <c r="CHT92" s="580"/>
      <c r="CHU92" s="580"/>
      <c r="CHV92" s="580"/>
      <c r="CHW92" s="580"/>
      <c r="CHX92" s="580"/>
      <c r="CHY92" s="580"/>
      <c r="CHZ92" s="580"/>
      <c r="CIA92" s="580"/>
      <c r="CIB92" s="580"/>
      <c r="CIC92" s="580"/>
      <c r="CID92" s="580"/>
      <c r="CIE92" s="580"/>
      <c r="CIF92" s="580"/>
      <c r="CIG92" s="580"/>
      <c r="CIH92" s="580"/>
      <c r="CII92" s="580"/>
      <c r="CIJ92" s="580"/>
      <c r="CIK92" s="580"/>
      <c r="CIL92" s="580"/>
      <c r="CIM92" s="580"/>
      <c r="CIN92" s="580"/>
      <c r="CIO92" s="580"/>
      <c r="CIP92" s="580"/>
      <c r="CIQ92" s="580"/>
      <c r="CIR92" s="580"/>
      <c r="CIS92" s="580"/>
      <c r="CIT92" s="580"/>
      <c r="CIU92" s="580"/>
      <c r="CIV92" s="580"/>
      <c r="CIW92" s="580"/>
      <c r="CIX92" s="580"/>
      <c r="CIY92" s="580"/>
      <c r="CIZ92" s="580"/>
      <c r="CJA92" s="580"/>
      <c r="CJB92" s="580"/>
      <c r="CJC92" s="580"/>
      <c r="CJD92" s="580"/>
      <c r="CJE92" s="580"/>
      <c r="CJF92" s="580"/>
      <c r="CJG92" s="580"/>
      <c r="CJH92" s="580"/>
      <c r="CJI92" s="580"/>
      <c r="CJJ92" s="580"/>
      <c r="CJK92" s="580"/>
      <c r="CJL92" s="580"/>
      <c r="CJM92" s="580"/>
      <c r="CJN92" s="580"/>
      <c r="CJO92" s="580"/>
      <c r="CJP92" s="580"/>
      <c r="CJQ92" s="580"/>
      <c r="CJR92" s="580"/>
      <c r="CJS92" s="580"/>
      <c r="CJT92" s="580"/>
      <c r="CJU92" s="580"/>
      <c r="CJV92" s="580"/>
      <c r="CJW92" s="580"/>
      <c r="CJX92" s="580"/>
      <c r="CJY92" s="580"/>
      <c r="CJZ92" s="580"/>
      <c r="CKA92" s="580"/>
      <c r="CKB92" s="580"/>
      <c r="CKC92" s="580"/>
      <c r="CKD92" s="580"/>
      <c r="CKE92" s="580"/>
      <c r="CKF92" s="580"/>
      <c r="CKG92" s="580"/>
      <c r="CKH92" s="580"/>
      <c r="CKI92" s="580"/>
      <c r="CKJ92" s="580"/>
      <c r="CKK92" s="580"/>
      <c r="CKL92" s="580"/>
      <c r="CKM92" s="580"/>
      <c r="CKN92" s="580"/>
      <c r="CKO92" s="580"/>
      <c r="CKP92" s="580"/>
      <c r="CKQ92" s="580"/>
      <c r="CKR92" s="580"/>
      <c r="CKS92" s="580"/>
      <c r="CKT92" s="580"/>
      <c r="CKU92" s="580"/>
      <c r="CKV92" s="580"/>
      <c r="CKW92" s="580"/>
      <c r="CKX92" s="580"/>
      <c r="CKY92" s="580"/>
      <c r="CKZ92" s="580"/>
      <c r="CLA92" s="580"/>
      <c r="CLB92" s="580"/>
      <c r="CLC92" s="580"/>
      <c r="CLD92" s="580"/>
      <c r="CLE92" s="580"/>
      <c r="CLF92" s="580"/>
      <c r="CLG92" s="580"/>
      <c r="CLH92" s="580"/>
      <c r="CLI92" s="580"/>
      <c r="CLJ92" s="580"/>
      <c r="CLK92" s="580"/>
      <c r="CLL92" s="580"/>
      <c r="CLM92" s="580"/>
      <c r="CLN92" s="580"/>
      <c r="CLO92" s="580"/>
      <c r="CLP92" s="580"/>
      <c r="CLQ92" s="580"/>
      <c r="CLR92" s="580"/>
      <c r="CLS92" s="580"/>
      <c r="CLT92" s="580"/>
      <c r="CLU92" s="580"/>
      <c r="CLV92" s="580"/>
      <c r="CLW92" s="580"/>
      <c r="CLX92" s="580"/>
      <c r="CLY92" s="580"/>
      <c r="CLZ92" s="580"/>
      <c r="CMA92" s="580"/>
      <c r="CMB92" s="580"/>
      <c r="CMC92" s="580"/>
      <c r="CMD92" s="580"/>
      <c r="CME92" s="580"/>
      <c r="CMF92" s="580"/>
      <c r="CMG92" s="580"/>
      <c r="CMH92" s="580"/>
      <c r="CMI92" s="580"/>
      <c r="CMJ92" s="580"/>
      <c r="CMK92" s="580"/>
      <c r="CML92" s="580"/>
      <c r="CMM92" s="580"/>
      <c r="CMN92" s="580"/>
      <c r="CMO92" s="580"/>
      <c r="CMP92" s="580"/>
      <c r="CMQ92" s="580"/>
      <c r="CMR92" s="580"/>
      <c r="CMS92" s="580"/>
      <c r="CMT92" s="580"/>
      <c r="CMU92" s="580"/>
      <c r="CMV92" s="580"/>
      <c r="CMW92" s="580"/>
      <c r="CMX92" s="580"/>
      <c r="CMY92" s="580"/>
      <c r="CMZ92" s="580"/>
      <c r="CNA92" s="580"/>
      <c r="CNB92" s="580"/>
      <c r="CNC92" s="580"/>
      <c r="CND92" s="580"/>
      <c r="CNE92" s="580"/>
      <c r="CNF92" s="580"/>
      <c r="CNG92" s="580"/>
      <c r="CNH92" s="580"/>
      <c r="CNI92" s="580"/>
      <c r="CNJ92" s="580"/>
      <c r="CNK92" s="580"/>
      <c r="CNL92" s="580"/>
      <c r="CNM92" s="580"/>
      <c r="CNN92" s="580"/>
      <c r="CNO92" s="580"/>
      <c r="CNP92" s="580"/>
      <c r="CNQ92" s="580"/>
      <c r="CNR92" s="580"/>
      <c r="CNS92" s="580"/>
      <c r="CNT92" s="580"/>
      <c r="CNU92" s="580"/>
      <c r="CNV92" s="580"/>
      <c r="CNW92" s="580"/>
      <c r="CNX92" s="580"/>
      <c r="CNY92" s="580"/>
      <c r="CNZ92" s="580"/>
      <c r="COA92" s="580"/>
      <c r="COB92" s="580"/>
      <c r="COC92" s="580"/>
      <c r="COD92" s="580"/>
      <c r="COE92" s="580"/>
      <c r="COF92" s="580"/>
      <c r="COG92" s="580"/>
      <c r="COH92" s="580"/>
      <c r="COI92" s="580"/>
      <c r="COJ92" s="580"/>
      <c r="COK92" s="580"/>
      <c r="COL92" s="580"/>
      <c r="COM92" s="580"/>
      <c r="CON92" s="580"/>
      <c r="COO92" s="580"/>
      <c r="COP92" s="580"/>
      <c r="COQ92" s="580"/>
      <c r="COR92" s="580"/>
      <c r="COS92" s="580"/>
      <c r="COT92" s="580"/>
      <c r="COU92" s="580"/>
      <c r="COV92" s="580"/>
      <c r="COW92" s="580"/>
      <c r="COX92" s="580"/>
      <c r="COY92" s="580"/>
      <c r="COZ92" s="580"/>
      <c r="CPA92" s="580"/>
      <c r="CPB92" s="580"/>
      <c r="CPC92" s="580"/>
      <c r="CPD92" s="580"/>
      <c r="CPE92" s="580"/>
      <c r="CPF92" s="580"/>
      <c r="CPG92" s="580"/>
      <c r="CPH92" s="580"/>
      <c r="CPI92" s="580"/>
      <c r="CPJ92" s="580"/>
      <c r="CPK92" s="580"/>
      <c r="CPL92" s="580"/>
      <c r="CPM92" s="580"/>
      <c r="CPN92" s="580"/>
      <c r="CPO92" s="580"/>
      <c r="CPP92" s="580"/>
      <c r="CPQ92" s="580"/>
      <c r="CPR92" s="580"/>
      <c r="CPS92" s="580"/>
      <c r="CPT92" s="580"/>
      <c r="CPU92" s="580"/>
      <c r="CPV92" s="580"/>
      <c r="CPW92" s="580"/>
      <c r="CPX92" s="580"/>
      <c r="CPY92" s="580"/>
      <c r="CPZ92" s="580"/>
      <c r="CQA92" s="580"/>
      <c r="CQB92" s="580"/>
      <c r="CQC92" s="580"/>
      <c r="CQD92" s="580"/>
      <c r="CQE92" s="580"/>
      <c r="CQF92" s="580"/>
      <c r="CQG92" s="580"/>
      <c r="CQH92" s="580"/>
      <c r="CQI92" s="580"/>
      <c r="CQJ92" s="580"/>
      <c r="CQK92" s="580"/>
      <c r="CQL92" s="580"/>
      <c r="CQM92" s="580"/>
      <c r="CQN92" s="580"/>
      <c r="CQO92" s="580"/>
      <c r="CQP92" s="580"/>
      <c r="CQQ92" s="580"/>
      <c r="CQR92" s="580"/>
      <c r="CQS92" s="580"/>
      <c r="CQT92" s="580"/>
      <c r="CQU92" s="580"/>
      <c r="CQV92" s="580"/>
      <c r="CQW92" s="580"/>
      <c r="CQX92" s="580"/>
      <c r="CQY92" s="580"/>
      <c r="CQZ92" s="580"/>
      <c r="CRA92" s="580"/>
      <c r="CRB92" s="580"/>
      <c r="CRC92" s="580"/>
      <c r="CRD92" s="580"/>
      <c r="CRE92" s="580"/>
      <c r="CRF92" s="580"/>
      <c r="CRG92" s="580"/>
      <c r="CRH92" s="580"/>
      <c r="CRI92" s="580"/>
      <c r="CRJ92" s="580"/>
      <c r="CRK92" s="580"/>
      <c r="CRL92" s="580"/>
      <c r="CRM92" s="580"/>
      <c r="CRN92" s="580"/>
      <c r="CRO92" s="580"/>
      <c r="CRP92" s="580"/>
      <c r="CRQ92" s="580"/>
      <c r="CRR92" s="580"/>
      <c r="CRS92" s="580"/>
      <c r="CRT92" s="580"/>
      <c r="CRU92" s="580"/>
      <c r="CRV92" s="580"/>
      <c r="CRW92" s="580"/>
      <c r="CRX92" s="580"/>
      <c r="CRY92" s="580"/>
      <c r="CRZ92" s="580"/>
      <c r="CSA92" s="580"/>
      <c r="CSB92" s="580"/>
      <c r="CSC92" s="580"/>
      <c r="CSD92" s="580"/>
      <c r="CSE92" s="580"/>
      <c r="CSF92" s="580"/>
      <c r="CSG92" s="580"/>
      <c r="CSH92" s="580"/>
      <c r="CSI92" s="580"/>
      <c r="CSJ92" s="580"/>
      <c r="CSK92" s="580"/>
      <c r="CSL92" s="580"/>
      <c r="CSM92" s="580"/>
      <c r="CSN92" s="580"/>
      <c r="CSO92" s="580"/>
      <c r="CSP92" s="580"/>
      <c r="CSQ92" s="580"/>
      <c r="CSR92" s="580"/>
      <c r="CSS92" s="580"/>
      <c r="CST92" s="580"/>
      <c r="CSU92" s="580"/>
      <c r="CSV92" s="580"/>
      <c r="CSW92" s="580"/>
      <c r="CSX92" s="580"/>
      <c r="CSY92" s="580"/>
      <c r="CSZ92" s="580"/>
      <c r="CTA92" s="580"/>
      <c r="CTB92" s="580"/>
      <c r="CTC92" s="580"/>
      <c r="CTD92" s="580"/>
      <c r="CTE92" s="580"/>
      <c r="CTF92" s="580"/>
      <c r="CTG92" s="580"/>
      <c r="CTH92" s="580"/>
      <c r="CTI92" s="580"/>
      <c r="CTJ92" s="580"/>
      <c r="CTK92" s="580"/>
      <c r="CTL92" s="580"/>
      <c r="CTM92" s="580"/>
      <c r="CTN92" s="580"/>
      <c r="CTO92" s="580"/>
      <c r="CTP92" s="580"/>
      <c r="CTQ92" s="580"/>
      <c r="CTR92" s="580"/>
      <c r="CTS92" s="580"/>
      <c r="CTT92" s="580"/>
      <c r="CTU92" s="580"/>
      <c r="CTV92" s="580"/>
      <c r="CTW92" s="580"/>
      <c r="CTX92" s="580"/>
      <c r="CTY92" s="580"/>
      <c r="CTZ92" s="580"/>
      <c r="CUA92" s="580"/>
      <c r="CUB92" s="580"/>
      <c r="CUC92" s="580"/>
      <c r="CUD92" s="580"/>
      <c r="CUE92" s="580"/>
      <c r="CUF92" s="580"/>
      <c r="CUG92" s="580"/>
      <c r="CUH92" s="580"/>
      <c r="CUI92" s="580"/>
      <c r="CUJ92" s="580"/>
      <c r="CUK92" s="580"/>
      <c r="CUL92" s="580"/>
      <c r="CUM92" s="580"/>
      <c r="CUN92" s="580"/>
      <c r="CUO92" s="580"/>
      <c r="CUP92" s="580"/>
      <c r="CUQ92" s="580"/>
      <c r="CUR92" s="580"/>
      <c r="CUS92" s="580"/>
      <c r="CUT92" s="580"/>
      <c r="CUU92" s="580"/>
      <c r="CUV92" s="580"/>
      <c r="CUW92" s="580"/>
      <c r="CUX92" s="580"/>
      <c r="CUY92" s="580"/>
      <c r="CUZ92" s="580"/>
      <c r="CVA92" s="580"/>
      <c r="CVB92" s="580"/>
      <c r="CVC92" s="580"/>
      <c r="CVD92" s="580"/>
      <c r="CVE92" s="580"/>
      <c r="CVF92" s="580"/>
      <c r="CVG92" s="580"/>
      <c r="CVH92" s="580"/>
      <c r="CVI92" s="580"/>
      <c r="CVJ92" s="580"/>
      <c r="CVK92" s="580"/>
      <c r="CVL92" s="580"/>
      <c r="CVM92" s="580"/>
      <c r="CVN92" s="580"/>
      <c r="CVO92" s="580"/>
      <c r="CVP92" s="580"/>
      <c r="CVQ92" s="580"/>
      <c r="CVR92" s="580"/>
      <c r="CVS92" s="580"/>
      <c r="CVT92" s="580"/>
      <c r="CVU92" s="580"/>
      <c r="CVV92" s="580"/>
      <c r="CVW92" s="580"/>
      <c r="CVX92" s="580"/>
      <c r="CVY92" s="580"/>
      <c r="CVZ92" s="580"/>
      <c r="CWA92" s="580"/>
      <c r="CWB92" s="580"/>
      <c r="CWC92" s="580"/>
      <c r="CWD92" s="580"/>
      <c r="CWE92" s="580"/>
      <c r="CWF92" s="580"/>
      <c r="CWG92" s="580"/>
      <c r="CWH92" s="580"/>
      <c r="CWI92" s="580"/>
      <c r="CWJ92" s="580"/>
      <c r="CWK92" s="580"/>
      <c r="CWL92" s="580"/>
      <c r="CWM92" s="580"/>
      <c r="CWN92" s="580"/>
      <c r="CWO92" s="580"/>
      <c r="CWP92" s="580"/>
      <c r="CWQ92" s="580"/>
      <c r="CWR92" s="580"/>
      <c r="CWS92" s="580"/>
      <c r="CWT92" s="580"/>
      <c r="CWU92" s="580"/>
      <c r="CWV92" s="580"/>
      <c r="CWW92" s="580"/>
      <c r="CWX92" s="580"/>
      <c r="CWY92" s="580"/>
      <c r="CWZ92" s="580"/>
      <c r="CXA92" s="580"/>
      <c r="CXB92" s="580"/>
      <c r="CXC92" s="580"/>
      <c r="CXD92" s="580"/>
      <c r="CXE92" s="580"/>
      <c r="CXF92" s="580"/>
      <c r="CXG92" s="580"/>
      <c r="CXH92" s="580"/>
      <c r="CXI92" s="580"/>
      <c r="CXJ92" s="580"/>
      <c r="CXK92" s="580"/>
      <c r="CXL92" s="580"/>
      <c r="CXM92" s="580"/>
      <c r="CXN92" s="580"/>
      <c r="CXO92" s="580"/>
      <c r="CXP92" s="580"/>
      <c r="CXQ92" s="580"/>
      <c r="CXR92" s="580"/>
      <c r="CXS92" s="580"/>
      <c r="CXT92" s="580"/>
      <c r="CXU92" s="580"/>
      <c r="CXV92" s="580"/>
      <c r="CXW92" s="580"/>
      <c r="CXX92" s="580"/>
      <c r="CXY92" s="580"/>
      <c r="CXZ92" s="580"/>
      <c r="CYA92" s="580"/>
      <c r="CYB92" s="580"/>
      <c r="CYC92" s="580"/>
      <c r="CYD92" s="580"/>
      <c r="CYE92" s="580"/>
      <c r="CYF92" s="580"/>
      <c r="CYG92" s="580"/>
      <c r="CYH92" s="580"/>
      <c r="CYI92" s="580"/>
      <c r="CYJ92" s="580"/>
      <c r="CYK92" s="580"/>
      <c r="CYL92" s="580"/>
      <c r="CYM92" s="580"/>
      <c r="CYN92" s="580"/>
      <c r="CYO92" s="580"/>
      <c r="CYP92" s="580"/>
      <c r="CYQ92" s="580"/>
      <c r="CYR92" s="580"/>
      <c r="CYS92" s="580"/>
      <c r="CYT92" s="580"/>
      <c r="CYU92" s="580"/>
      <c r="CYV92" s="580"/>
      <c r="CYW92" s="580"/>
      <c r="CYX92" s="580"/>
      <c r="CYY92" s="580"/>
      <c r="CYZ92" s="580"/>
      <c r="CZA92" s="580"/>
      <c r="CZB92" s="580"/>
      <c r="CZC92" s="580"/>
      <c r="CZD92" s="580"/>
      <c r="CZE92" s="580"/>
      <c r="CZF92" s="580"/>
      <c r="CZG92" s="580"/>
      <c r="CZH92" s="580"/>
      <c r="CZI92" s="580"/>
      <c r="CZJ92" s="580"/>
      <c r="CZK92" s="580"/>
      <c r="CZL92" s="580"/>
      <c r="CZM92" s="580"/>
      <c r="CZN92" s="580"/>
      <c r="CZO92" s="580"/>
      <c r="CZP92" s="580"/>
      <c r="CZQ92" s="580"/>
      <c r="CZR92" s="580"/>
      <c r="CZS92" s="580"/>
      <c r="CZT92" s="580"/>
      <c r="CZU92" s="580"/>
      <c r="CZV92" s="580"/>
      <c r="CZW92" s="580"/>
      <c r="CZX92" s="580"/>
      <c r="CZY92" s="580"/>
      <c r="CZZ92" s="580"/>
      <c r="DAA92" s="580"/>
      <c r="DAB92" s="580"/>
      <c r="DAC92" s="580"/>
      <c r="DAD92" s="580"/>
      <c r="DAE92" s="580"/>
      <c r="DAF92" s="580"/>
      <c r="DAG92" s="580"/>
      <c r="DAH92" s="580"/>
      <c r="DAI92" s="580"/>
      <c r="DAJ92" s="580"/>
      <c r="DAK92" s="580"/>
      <c r="DAL92" s="580"/>
      <c r="DAM92" s="580"/>
      <c r="DAN92" s="580"/>
      <c r="DAO92" s="580"/>
      <c r="DAP92" s="580"/>
      <c r="DAQ92" s="580"/>
      <c r="DAR92" s="580"/>
      <c r="DAS92" s="580"/>
      <c r="DAT92" s="580"/>
      <c r="DAU92" s="580"/>
      <c r="DAV92" s="580"/>
      <c r="DAW92" s="580"/>
      <c r="DAX92" s="580"/>
      <c r="DAY92" s="580"/>
      <c r="DAZ92" s="580"/>
      <c r="DBA92" s="580"/>
      <c r="DBB92" s="580"/>
      <c r="DBC92" s="580"/>
      <c r="DBD92" s="580"/>
      <c r="DBE92" s="580"/>
      <c r="DBF92" s="580"/>
      <c r="DBG92" s="580"/>
      <c r="DBH92" s="580"/>
      <c r="DBI92" s="580"/>
      <c r="DBJ92" s="580"/>
      <c r="DBK92" s="580"/>
      <c r="DBL92" s="580"/>
      <c r="DBM92" s="580"/>
      <c r="DBN92" s="580"/>
      <c r="DBO92" s="580"/>
      <c r="DBP92" s="580"/>
      <c r="DBQ92" s="580"/>
      <c r="DBR92" s="580"/>
      <c r="DBS92" s="580"/>
      <c r="DBT92" s="580"/>
      <c r="DBU92" s="580"/>
      <c r="DBV92" s="580"/>
      <c r="DBW92" s="580"/>
      <c r="DBX92" s="580"/>
      <c r="DBY92" s="580"/>
      <c r="DBZ92" s="580"/>
      <c r="DCA92" s="580"/>
      <c r="DCB92" s="580"/>
      <c r="DCC92" s="580"/>
      <c r="DCD92" s="580"/>
      <c r="DCE92" s="580"/>
      <c r="DCF92" s="580"/>
      <c r="DCG92" s="580"/>
      <c r="DCH92" s="580"/>
      <c r="DCI92" s="580"/>
      <c r="DCJ92" s="580"/>
      <c r="DCK92" s="580"/>
      <c r="DCL92" s="580"/>
      <c r="DCM92" s="580"/>
      <c r="DCN92" s="580"/>
      <c r="DCO92" s="580"/>
      <c r="DCP92" s="580"/>
      <c r="DCQ92" s="580"/>
      <c r="DCR92" s="580"/>
      <c r="DCS92" s="580"/>
      <c r="DCT92" s="580"/>
      <c r="DCU92" s="580"/>
      <c r="DCV92" s="580"/>
      <c r="DCW92" s="580"/>
      <c r="DCX92" s="580"/>
      <c r="DCY92" s="580"/>
      <c r="DCZ92" s="580"/>
      <c r="DDA92" s="580"/>
      <c r="DDB92" s="580"/>
      <c r="DDC92" s="580"/>
      <c r="DDD92" s="580"/>
      <c r="DDE92" s="580"/>
      <c r="DDF92" s="580"/>
      <c r="DDG92" s="580"/>
      <c r="DDH92" s="580"/>
      <c r="DDI92" s="580"/>
      <c r="DDJ92" s="580"/>
      <c r="DDK92" s="580"/>
      <c r="DDL92" s="580"/>
      <c r="DDM92" s="580"/>
      <c r="DDN92" s="580"/>
      <c r="DDO92" s="580"/>
      <c r="DDP92" s="580"/>
      <c r="DDQ92" s="580"/>
      <c r="DDR92" s="580"/>
      <c r="DDS92" s="580"/>
      <c r="DDT92" s="580"/>
      <c r="DDU92" s="580"/>
      <c r="DDV92" s="580"/>
      <c r="DDW92" s="580"/>
      <c r="DDX92" s="580"/>
      <c r="DDY92" s="580"/>
      <c r="DDZ92" s="580"/>
      <c r="DEA92" s="580"/>
      <c r="DEB92" s="580"/>
      <c r="DEC92" s="580"/>
      <c r="DED92" s="580"/>
      <c r="DEE92" s="580"/>
      <c r="DEF92" s="580"/>
      <c r="DEG92" s="580"/>
      <c r="DEH92" s="580"/>
      <c r="DEI92" s="580"/>
      <c r="DEJ92" s="580"/>
      <c r="DEK92" s="580"/>
      <c r="DEL92" s="580"/>
      <c r="DEM92" s="580"/>
      <c r="DEN92" s="580"/>
      <c r="DEO92" s="580"/>
      <c r="DEP92" s="580"/>
      <c r="DEQ92" s="580"/>
      <c r="DER92" s="580"/>
      <c r="DES92" s="580"/>
      <c r="DET92" s="580"/>
      <c r="DEU92" s="580"/>
      <c r="DEV92" s="580"/>
      <c r="DEW92" s="580"/>
      <c r="DEX92" s="580"/>
      <c r="DEY92" s="580"/>
      <c r="DEZ92" s="580"/>
      <c r="DFA92" s="580"/>
      <c r="DFB92" s="580"/>
      <c r="DFC92" s="580"/>
      <c r="DFD92" s="580"/>
      <c r="DFE92" s="580"/>
      <c r="DFF92" s="580"/>
      <c r="DFG92" s="580"/>
      <c r="DFH92" s="580"/>
      <c r="DFI92" s="580"/>
      <c r="DFJ92" s="580"/>
      <c r="DFK92" s="580"/>
      <c r="DFL92" s="580"/>
      <c r="DFM92" s="580"/>
      <c r="DFN92" s="580"/>
      <c r="DFO92" s="580"/>
      <c r="DFP92" s="580"/>
      <c r="DFQ92" s="580"/>
      <c r="DFR92" s="580"/>
      <c r="DFS92" s="580"/>
      <c r="DFT92" s="580"/>
      <c r="DFU92" s="580"/>
      <c r="DFV92" s="580"/>
      <c r="DFW92" s="580"/>
      <c r="DFX92" s="580"/>
      <c r="DFY92" s="580"/>
      <c r="DFZ92" s="580"/>
      <c r="DGA92" s="580"/>
      <c r="DGB92" s="580"/>
      <c r="DGC92" s="580"/>
      <c r="DGD92" s="580"/>
      <c r="DGE92" s="580"/>
      <c r="DGF92" s="580"/>
      <c r="DGG92" s="580"/>
      <c r="DGH92" s="580"/>
      <c r="DGI92" s="580"/>
      <c r="DGJ92" s="580"/>
      <c r="DGK92" s="580"/>
      <c r="DGL92" s="580"/>
      <c r="DGM92" s="580"/>
      <c r="DGN92" s="580"/>
      <c r="DGO92" s="580"/>
      <c r="DGP92" s="580"/>
      <c r="DGQ92" s="580"/>
      <c r="DGR92" s="580"/>
      <c r="DGS92" s="580"/>
      <c r="DGT92" s="580"/>
      <c r="DGU92" s="580"/>
      <c r="DGV92" s="580"/>
      <c r="DGW92" s="580"/>
      <c r="DGX92" s="580"/>
      <c r="DGY92" s="580"/>
      <c r="DGZ92" s="580"/>
      <c r="DHA92" s="580"/>
      <c r="DHB92" s="580"/>
      <c r="DHC92" s="580"/>
      <c r="DHD92" s="580"/>
      <c r="DHE92" s="580"/>
      <c r="DHF92" s="580"/>
      <c r="DHG92" s="580"/>
      <c r="DHH92" s="580"/>
      <c r="DHI92" s="580"/>
      <c r="DHJ92" s="580"/>
      <c r="DHK92" s="580"/>
      <c r="DHL92" s="580"/>
      <c r="DHM92" s="580"/>
      <c r="DHN92" s="580"/>
      <c r="DHO92" s="580"/>
      <c r="DHP92" s="580"/>
      <c r="DHQ92" s="580"/>
      <c r="DHR92" s="580"/>
      <c r="DHS92" s="580"/>
      <c r="DHT92" s="580"/>
      <c r="DHU92" s="580"/>
      <c r="DHV92" s="580"/>
      <c r="DHW92" s="580"/>
      <c r="DHX92" s="580"/>
      <c r="DHY92" s="580"/>
      <c r="DHZ92" s="580"/>
      <c r="DIA92" s="580"/>
      <c r="DIB92" s="580"/>
      <c r="DIC92" s="580"/>
      <c r="DID92" s="580"/>
      <c r="DIE92" s="580"/>
      <c r="DIF92" s="580"/>
      <c r="DIG92" s="580"/>
      <c r="DIH92" s="580"/>
      <c r="DII92" s="580"/>
      <c r="DIJ92" s="580"/>
      <c r="DIK92" s="580"/>
      <c r="DIL92" s="580"/>
      <c r="DIM92" s="580"/>
      <c r="DIN92" s="580"/>
      <c r="DIO92" s="580"/>
      <c r="DIP92" s="580"/>
      <c r="DIQ92" s="580"/>
      <c r="DIR92" s="580"/>
      <c r="DIS92" s="580"/>
      <c r="DIT92" s="580"/>
      <c r="DIU92" s="580"/>
      <c r="DIV92" s="580"/>
      <c r="DIW92" s="580"/>
      <c r="DIX92" s="580"/>
      <c r="DIY92" s="580"/>
      <c r="DIZ92" s="580"/>
      <c r="DJA92" s="580"/>
      <c r="DJB92" s="580"/>
      <c r="DJC92" s="580"/>
      <c r="DJD92" s="580"/>
      <c r="DJE92" s="580"/>
      <c r="DJF92" s="580"/>
      <c r="DJG92" s="580"/>
      <c r="DJH92" s="580"/>
      <c r="DJI92" s="580"/>
      <c r="DJJ92" s="580"/>
      <c r="DJK92" s="580"/>
      <c r="DJL92" s="580"/>
      <c r="DJM92" s="580"/>
      <c r="DJN92" s="580"/>
      <c r="DJO92" s="580"/>
      <c r="DJP92" s="580"/>
      <c r="DJQ92" s="580"/>
      <c r="DJR92" s="580"/>
      <c r="DJS92" s="580"/>
      <c r="DJT92" s="580"/>
      <c r="DJU92" s="580"/>
      <c r="DJV92" s="580"/>
      <c r="DJW92" s="580"/>
      <c r="DJX92" s="580"/>
      <c r="DJY92" s="580"/>
      <c r="DJZ92" s="580"/>
      <c r="DKA92" s="580"/>
      <c r="DKB92" s="580"/>
      <c r="DKC92" s="580"/>
      <c r="DKD92" s="580"/>
      <c r="DKE92" s="580"/>
      <c r="DKF92" s="580"/>
      <c r="DKG92" s="580"/>
      <c r="DKH92" s="580"/>
      <c r="DKI92" s="580"/>
      <c r="DKJ92" s="580"/>
      <c r="DKK92" s="580"/>
      <c r="DKL92" s="580"/>
      <c r="DKM92" s="580"/>
      <c r="DKN92" s="580"/>
      <c r="DKO92" s="580"/>
      <c r="DKP92" s="580"/>
      <c r="DKQ92" s="580"/>
      <c r="DKR92" s="580"/>
      <c r="DKS92" s="580"/>
      <c r="DKT92" s="580"/>
      <c r="DKU92" s="580"/>
      <c r="DKV92" s="580"/>
      <c r="DKW92" s="580"/>
      <c r="DKX92" s="580"/>
      <c r="DKY92" s="580"/>
      <c r="DKZ92" s="580"/>
      <c r="DLA92" s="580"/>
      <c r="DLB92" s="580"/>
      <c r="DLC92" s="580"/>
      <c r="DLD92" s="580"/>
      <c r="DLE92" s="580"/>
      <c r="DLF92" s="580"/>
      <c r="DLG92" s="580"/>
      <c r="DLH92" s="580"/>
      <c r="DLI92" s="580"/>
      <c r="DLJ92" s="580"/>
      <c r="DLK92" s="580"/>
      <c r="DLL92" s="580"/>
      <c r="DLM92" s="580"/>
      <c r="DLN92" s="580"/>
      <c r="DLO92" s="580"/>
      <c r="DLP92" s="580"/>
      <c r="DLQ92" s="580"/>
      <c r="DLR92" s="580"/>
      <c r="DLS92" s="580"/>
      <c r="DLT92" s="580"/>
      <c r="DLU92" s="580"/>
      <c r="DLV92" s="580"/>
      <c r="DLW92" s="580"/>
      <c r="DLX92" s="580"/>
      <c r="DLY92" s="580"/>
      <c r="DLZ92" s="580"/>
      <c r="DMA92" s="580"/>
      <c r="DMB92" s="580"/>
      <c r="DMC92" s="580"/>
      <c r="DMD92" s="580"/>
      <c r="DME92" s="580"/>
      <c r="DMF92" s="580"/>
      <c r="DMG92" s="580"/>
      <c r="DMH92" s="580"/>
      <c r="DMI92" s="580"/>
      <c r="DMJ92" s="580"/>
      <c r="DMK92" s="580"/>
      <c r="DML92" s="580"/>
      <c r="DMM92" s="580"/>
      <c r="DMN92" s="580"/>
      <c r="DMO92" s="580"/>
      <c r="DMP92" s="580"/>
      <c r="DMQ92" s="580"/>
      <c r="DMR92" s="580"/>
      <c r="DMS92" s="580"/>
      <c r="DMT92" s="580"/>
      <c r="DMU92" s="580"/>
      <c r="DMV92" s="580"/>
      <c r="DMW92" s="580"/>
      <c r="DMX92" s="580"/>
      <c r="DMY92" s="580"/>
      <c r="DMZ92" s="580"/>
      <c r="DNA92" s="580"/>
      <c r="DNB92" s="580"/>
      <c r="DNC92" s="580"/>
      <c r="DND92" s="580"/>
      <c r="DNE92" s="580"/>
      <c r="DNF92" s="580"/>
      <c r="DNG92" s="580"/>
      <c r="DNH92" s="580"/>
      <c r="DNI92" s="580"/>
      <c r="DNJ92" s="580"/>
      <c r="DNK92" s="580"/>
      <c r="DNL92" s="580"/>
      <c r="DNM92" s="580"/>
      <c r="DNN92" s="580"/>
      <c r="DNO92" s="580"/>
      <c r="DNP92" s="580"/>
      <c r="DNQ92" s="580"/>
      <c r="DNR92" s="580"/>
      <c r="DNS92" s="580"/>
      <c r="DNT92" s="580"/>
      <c r="DNU92" s="580"/>
      <c r="DNV92" s="580"/>
      <c r="DNW92" s="580"/>
      <c r="DNX92" s="580"/>
      <c r="DNY92" s="580"/>
      <c r="DNZ92" s="580"/>
      <c r="DOA92" s="580"/>
      <c r="DOB92" s="580"/>
      <c r="DOC92" s="580"/>
      <c r="DOD92" s="580"/>
      <c r="DOE92" s="580"/>
      <c r="DOF92" s="580"/>
      <c r="DOG92" s="580"/>
      <c r="DOH92" s="580"/>
      <c r="DOI92" s="580"/>
      <c r="DOJ92" s="580"/>
      <c r="DOK92" s="580"/>
      <c r="DOL92" s="580"/>
      <c r="DOM92" s="580"/>
      <c r="DON92" s="580"/>
      <c r="DOO92" s="580"/>
      <c r="DOP92" s="580"/>
      <c r="DOQ92" s="580"/>
      <c r="DOR92" s="580"/>
      <c r="DOS92" s="580"/>
      <c r="DOT92" s="580"/>
      <c r="DOU92" s="580"/>
      <c r="DOV92" s="580"/>
      <c r="DOW92" s="580"/>
      <c r="DOX92" s="580"/>
      <c r="DOY92" s="580"/>
      <c r="DOZ92" s="580"/>
      <c r="DPA92" s="580"/>
      <c r="DPB92" s="580"/>
      <c r="DPC92" s="580"/>
      <c r="DPD92" s="580"/>
      <c r="DPE92" s="580"/>
      <c r="DPF92" s="580"/>
      <c r="DPG92" s="580"/>
      <c r="DPH92" s="580"/>
      <c r="DPI92" s="580"/>
      <c r="DPJ92" s="580"/>
      <c r="DPK92" s="580"/>
      <c r="DPL92" s="580"/>
      <c r="DPM92" s="580"/>
      <c r="DPN92" s="580"/>
      <c r="DPO92" s="580"/>
      <c r="DPP92" s="580"/>
      <c r="DPQ92" s="580"/>
      <c r="DPR92" s="580"/>
      <c r="DPS92" s="580"/>
      <c r="DPT92" s="580"/>
      <c r="DPU92" s="580"/>
      <c r="DPV92" s="580"/>
      <c r="DPW92" s="580"/>
      <c r="DPX92" s="580"/>
      <c r="DPY92" s="580"/>
      <c r="DPZ92" s="580"/>
      <c r="DQA92" s="580"/>
      <c r="DQB92" s="580"/>
      <c r="DQC92" s="580"/>
      <c r="DQD92" s="580"/>
      <c r="DQE92" s="580"/>
      <c r="DQF92" s="580"/>
      <c r="DQG92" s="580"/>
      <c r="DQH92" s="580"/>
      <c r="DQI92" s="580"/>
      <c r="DQJ92" s="580"/>
      <c r="DQK92" s="580"/>
      <c r="DQL92" s="580"/>
      <c r="DQM92" s="580"/>
      <c r="DQN92" s="580"/>
      <c r="DQO92" s="580"/>
      <c r="DQP92" s="580"/>
      <c r="DQQ92" s="580"/>
      <c r="DQR92" s="580"/>
      <c r="DQS92" s="580"/>
      <c r="DQT92" s="580"/>
      <c r="DQU92" s="580"/>
      <c r="DQV92" s="580"/>
      <c r="DQW92" s="580"/>
      <c r="DQX92" s="580"/>
      <c r="DQY92" s="580"/>
      <c r="DQZ92" s="580"/>
      <c r="DRA92" s="580"/>
      <c r="DRB92" s="580"/>
      <c r="DRC92" s="580"/>
      <c r="DRD92" s="580"/>
      <c r="DRE92" s="580"/>
      <c r="DRF92" s="580"/>
      <c r="DRG92" s="580"/>
      <c r="DRH92" s="580"/>
      <c r="DRI92" s="580"/>
      <c r="DRJ92" s="580"/>
      <c r="DRK92" s="580"/>
      <c r="DRL92" s="580"/>
      <c r="DRM92" s="580"/>
      <c r="DRN92" s="580"/>
      <c r="DRO92" s="580"/>
      <c r="DRP92" s="580"/>
      <c r="DRQ92" s="580"/>
      <c r="DRR92" s="580"/>
      <c r="DRS92" s="580"/>
      <c r="DRT92" s="580"/>
      <c r="DRU92" s="580"/>
      <c r="DRV92" s="580"/>
      <c r="DRW92" s="580"/>
      <c r="DRX92" s="580"/>
      <c r="DRY92" s="580"/>
      <c r="DRZ92" s="580"/>
      <c r="DSA92" s="580"/>
      <c r="DSB92" s="580"/>
      <c r="DSC92" s="580"/>
      <c r="DSD92" s="580"/>
      <c r="DSE92" s="580"/>
      <c r="DSF92" s="580"/>
      <c r="DSG92" s="580"/>
      <c r="DSH92" s="580"/>
      <c r="DSI92" s="580"/>
      <c r="DSJ92" s="580"/>
      <c r="DSK92" s="580"/>
      <c r="DSL92" s="580"/>
      <c r="DSM92" s="580"/>
      <c r="DSN92" s="580"/>
      <c r="DSO92" s="580"/>
      <c r="DSP92" s="580"/>
      <c r="DSQ92" s="580"/>
      <c r="DSR92" s="580"/>
      <c r="DSS92" s="580"/>
      <c r="DST92" s="580"/>
      <c r="DSU92" s="580"/>
      <c r="DSV92" s="580"/>
      <c r="DSW92" s="580"/>
      <c r="DSX92" s="580"/>
      <c r="DSY92" s="580"/>
      <c r="DSZ92" s="580"/>
      <c r="DTA92" s="580"/>
      <c r="DTB92" s="580"/>
      <c r="DTC92" s="580"/>
      <c r="DTD92" s="580"/>
      <c r="DTE92" s="580"/>
      <c r="DTF92" s="580"/>
      <c r="DTG92" s="580"/>
      <c r="DTH92" s="580"/>
      <c r="DTI92" s="580"/>
      <c r="DTJ92" s="580"/>
      <c r="DTK92" s="580"/>
      <c r="DTL92" s="580"/>
      <c r="DTM92" s="580"/>
      <c r="DTN92" s="580"/>
      <c r="DTO92" s="580"/>
      <c r="DTP92" s="580"/>
      <c r="DTQ92" s="580"/>
      <c r="DTR92" s="580"/>
      <c r="DTS92" s="580"/>
      <c r="DTT92" s="580"/>
      <c r="DTU92" s="580"/>
      <c r="DTV92" s="580"/>
      <c r="DTW92" s="580"/>
      <c r="DTX92" s="580"/>
      <c r="DTY92" s="580"/>
      <c r="DTZ92" s="580"/>
      <c r="DUA92" s="580"/>
      <c r="DUB92" s="580"/>
      <c r="DUC92" s="580"/>
      <c r="DUD92" s="580"/>
      <c r="DUE92" s="580"/>
      <c r="DUF92" s="580"/>
      <c r="DUG92" s="580"/>
      <c r="DUH92" s="580"/>
      <c r="DUI92" s="580"/>
      <c r="DUJ92" s="580"/>
      <c r="DUK92" s="580"/>
      <c r="DUL92" s="580"/>
      <c r="DUM92" s="580"/>
      <c r="DUN92" s="580"/>
      <c r="DUO92" s="580"/>
      <c r="DUP92" s="580"/>
      <c r="DUQ92" s="580"/>
      <c r="DUR92" s="580"/>
      <c r="DUS92" s="580"/>
      <c r="DUT92" s="580"/>
      <c r="DUU92" s="580"/>
      <c r="DUV92" s="580"/>
      <c r="DUW92" s="580"/>
      <c r="DUX92" s="580"/>
      <c r="DUY92" s="580"/>
      <c r="DUZ92" s="580"/>
      <c r="DVA92" s="580"/>
      <c r="DVB92" s="580"/>
      <c r="DVC92" s="580"/>
      <c r="DVD92" s="580"/>
      <c r="DVE92" s="580"/>
      <c r="DVF92" s="580"/>
      <c r="DVG92" s="580"/>
      <c r="DVH92" s="580"/>
      <c r="DVI92" s="580"/>
      <c r="DVJ92" s="580"/>
      <c r="DVK92" s="580"/>
      <c r="DVL92" s="580"/>
      <c r="DVM92" s="580"/>
      <c r="DVN92" s="580"/>
      <c r="DVO92" s="580"/>
      <c r="DVP92" s="580"/>
      <c r="DVQ92" s="580"/>
      <c r="DVR92" s="580"/>
      <c r="DVS92" s="580"/>
      <c r="DVT92" s="580"/>
      <c r="DVU92" s="580"/>
      <c r="DVV92" s="580"/>
      <c r="DVW92" s="580"/>
      <c r="DVX92" s="580"/>
      <c r="DVY92" s="580"/>
      <c r="DVZ92" s="580"/>
      <c r="DWA92" s="580"/>
      <c r="DWB92" s="580"/>
      <c r="DWC92" s="580"/>
      <c r="DWD92" s="580"/>
      <c r="DWE92" s="580"/>
      <c r="DWF92" s="580"/>
      <c r="DWG92" s="580"/>
      <c r="DWH92" s="580"/>
      <c r="DWI92" s="580"/>
      <c r="DWJ92" s="580"/>
      <c r="DWK92" s="580"/>
      <c r="DWL92" s="580"/>
      <c r="DWM92" s="580"/>
      <c r="DWN92" s="580"/>
      <c r="DWO92" s="580"/>
      <c r="DWP92" s="580"/>
      <c r="DWQ92" s="580"/>
      <c r="DWR92" s="580"/>
      <c r="DWS92" s="580"/>
      <c r="DWT92" s="580"/>
      <c r="DWU92" s="580"/>
      <c r="DWV92" s="580"/>
      <c r="DWW92" s="580"/>
      <c r="DWX92" s="580"/>
      <c r="DWY92" s="580"/>
      <c r="DWZ92" s="580"/>
      <c r="DXA92" s="580"/>
      <c r="DXB92" s="580"/>
      <c r="DXC92" s="580"/>
      <c r="DXD92" s="580"/>
      <c r="DXE92" s="580"/>
      <c r="DXF92" s="580"/>
      <c r="DXG92" s="580"/>
      <c r="DXH92" s="580"/>
      <c r="DXI92" s="580"/>
      <c r="DXJ92" s="580"/>
      <c r="DXK92" s="580"/>
      <c r="DXL92" s="580"/>
      <c r="DXM92" s="580"/>
      <c r="DXN92" s="580"/>
      <c r="DXO92" s="580"/>
      <c r="DXP92" s="580"/>
      <c r="DXQ92" s="580"/>
      <c r="DXR92" s="580"/>
      <c r="DXS92" s="580"/>
      <c r="DXT92" s="580"/>
      <c r="DXU92" s="580"/>
      <c r="DXV92" s="580"/>
      <c r="DXW92" s="580"/>
      <c r="DXX92" s="580"/>
      <c r="DXY92" s="580"/>
      <c r="DXZ92" s="580"/>
      <c r="DYA92" s="580"/>
      <c r="DYB92" s="580"/>
      <c r="DYC92" s="580"/>
      <c r="DYD92" s="580"/>
      <c r="DYE92" s="580"/>
      <c r="DYF92" s="580"/>
      <c r="DYG92" s="580"/>
      <c r="DYH92" s="580"/>
      <c r="DYI92" s="580"/>
      <c r="DYJ92" s="580"/>
      <c r="DYK92" s="580"/>
      <c r="DYL92" s="580"/>
      <c r="DYM92" s="580"/>
      <c r="DYN92" s="580"/>
      <c r="DYO92" s="580"/>
      <c r="DYP92" s="580"/>
      <c r="DYQ92" s="580"/>
      <c r="DYR92" s="580"/>
      <c r="DYS92" s="580"/>
      <c r="DYT92" s="580"/>
      <c r="DYU92" s="580"/>
      <c r="DYV92" s="580"/>
      <c r="DYW92" s="580"/>
      <c r="DYX92" s="580"/>
      <c r="DYY92" s="580"/>
      <c r="DYZ92" s="580"/>
      <c r="DZA92" s="580"/>
      <c r="DZB92" s="580"/>
      <c r="DZC92" s="580"/>
      <c r="DZD92" s="580"/>
      <c r="DZE92" s="580"/>
      <c r="DZF92" s="580"/>
      <c r="DZG92" s="580"/>
      <c r="DZH92" s="580"/>
      <c r="DZI92" s="580"/>
      <c r="DZJ92" s="580"/>
      <c r="DZK92" s="580"/>
      <c r="DZL92" s="580"/>
      <c r="DZM92" s="580"/>
      <c r="DZN92" s="580"/>
      <c r="DZO92" s="580"/>
      <c r="DZP92" s="580"/>
      <c r="DZQ92" s="580"/>
      <c r="DZR92" s="580"/>
      <c r="DZS92" s="580"/>
      <c r="DZT92" s="580"/>
      <c r="DZU92" s="580"/>
      <c r="DZV92" s="580"/>
      <c r="DZW92" s="580"/>
      <c r="DZX92" s="580"/>
      <c r="DZY92" s="580"/>
      <c r="DZZ92" s="580"/>
      <c r="EAA92" s="580"/>
      <c r="EAB92" s="580"/>
      <c r="EAC92" s="580"/>
      <c r="EAD92" s="580"/>
      <c r="EAE92" s="580"/>
      <c r="EAF92" s="580"/>
      <c r="EAG92" s="580"/>
      <c r="EAH92" s="580"/>
      <c r="EAI92" s="580"/>
      <c r="EAJ92" s="580"/>
      <c r="EAK92" s="580"/>
      <c r="EAL92" s="580"/>
      <c r="EAM92" s="580"/>
      <c r="EAN92" s="580"/>
      <c r="EAO92" s="580"/>
      <c r="EAP92" s="580"/>
      <c r="EAQ92" s="580"/>
      <c r="EAR92" s="580"/>
      <c r="EAS92" s="580"/>
      <c r="EAT92" s="580"/>
      <c r="EAU92" s="580"/>
      <c r="EAV92" s="580"/>
      <c r="EAW92" s="580"/>
      <c r="EAX92" s="580"/>
      <c r="EAY92" s="580"/>
      <c r="EAZ92" s="580"/>
      <c r="EBA92" s="580"/>
      <c r="EBB92" s="580"/>
      <c r="EBC92" s="580"/>
      <c r="EBD92" s="580"/>
      <c r="EBE92" s="580"/>
      <c r="EBF92" s="580"/>
      <c r="EBG92" s="580"/>
      <c r="EBH92" s="580"/>
      <c r="EBI92" s="580"/>
      <c r="EBJ92" s="580"/>
      <c r="EBK92" s="580"/>
      <c r="EBL92" s="580"/>
      <c r="EBM92" s="580"/>
      <c r="EBN92" s="580"/>
      <c r="EBO92" s="580"/>
      <c r="EBP92" s="580"/>
      <c r="EBQ92" s="580"/>
      <c r="EBR92" s="580"/>
      <c r="EBS92" s="580"/>
      <c r="EBT92" s="580"/>
      <c r="EBU92" s="580"/>
      <c r="EBV92" s="580"/>
      <c r="EBW92" s="580"/>
      <c r="EBX92" s="580"/>
      <c r="EBY92" s="580"/>
      <c r="EBZ92" s="580"/>
      <c r="ECA92" s="580"/>
      <c r="ECB92" s="580"/>
      <c r="ECC92" s="580"/>
      <c r="ECD92" s="580"/>
      <c r="ECE92" s="580"/>
      <c r="ECF92" s="580"/>
      <c r="ECG92" s="580"/>
      <c r="ECH92" s="580"/>
      <c r="ECI92" s="580"/>
      <c r="ECJ92" s="580"/>
      <c r="ECK92" s="580"/>
      <c r="ECL92" s="580"/>
      <c r="ECM92" s="580"/>
      <c r="ECN92" s="580"/>
      <c r="ECO92" s="580"/>
      <c r="ECP92" s="580"/>
      <c r="ECQ92" s="580"/>
      <c r="ECR92" s="580"/>
      <c r="ECS92" s="580"/>
      <c r="ECT92" s="580"/>
      <c r="ECU92" s="580"/>
      <c r="ECV92" s="580"/>
      <c r="ECW92" s="580"/>
      <c r="ECX92" s="580"/>
      <c r="ECY92" s="580"/>
      <c r="ECZ92" s="580"/>
      <c r="EDA92" s="580"/>
      <c r="EDB92" s="580"/>
      <c r="EDC92" s="580"/>
      <c r="EDD92" s="580"/>
      <c r="EDE92" s="580"/>
      <c r="EDF92" s="580"/>
      <c r="EDG92" s="580"/>
      <c r="EDH92" s="580"/>
      <c r="EDI92" s="580"/>
      <c r="EDJ92" s="580"/>
      <c r="EDK92" s="580"/>
      <c r="EDL92" s="580"/>
      <c r="EDM92" s="580"/>
      <c r="EDN92" s="580"/>
      <c r="EDO92" s="580"/>
      <c r="EDP92" s="580"/>
      <c r="EDQ92" s="580"/>
      <c r="EDR92" s="580"/>
      <c r="EDS92" s="580"/>
      <c r="EDT92" s="580"/>
      <c r="EDU92" s="580"/>
      <c r="EDV92" s="580"/>
      <c r="EDW92" s="580"/>
      <c r="EDX92" s="580"/>
      <c r="EDY92" s="580"/>
      <c r="EDZ92" s="580"/>
      <c r="EEA92" s="580"/>
      <c r="EEB92" s="580"/>
      <c r="EEC92" s="580"/>
      <c r="EED92" s="580"/>
      <c r="EEE92" s="580"/>
      <c r="EEF92" s="580"/>
      <c r="EEG92" s="580"/>
      <c r="EEH92" s="580"/>
      <c r="EEI92" s="580"/>
      <c r="EEJ92" s="580"/>
      <c r="EEK92" s="580"/>
      <c r="EEL92" s="580"/>
      <c r="EEM92" s="580"/>
      <c r="EEN92" s="580"/>
      <c r="EEO92" s="580"/>
      <c r="EEP92" s="580"/>
      <c r="EEQ92" s="580"/>
      <c r="EER92" s="580"/>
      <c r="EES92" s="580"/>
      <c r="EET92" s="580"/>
      <c r="EEU92" s="580"/>
      <c r="EEV92" s="580"/>
      <c r="EEW92" s="580"/>
      <c r="EEX92" s="580"/>
      <c r="EEY92" s="580"/>
      <c r="EEZ92" s="580"/>
      <c r="EFA92" s="580"/>
      <c r="EFB92" s="580"/>
      <c r="EFC92" s="580"/>
      <c r="EFD92" s="580"/>
      <c r="EFE92" s="580"/>
      <c r="EFF92" s="580"/>
      <c r="EFG92" s="580"/>
      <c r="EFH92" s="580"/>
      <c r="EFI92" s="580"/>
      <c r="EFJ92" s="580"/>
      <c r="EFK92" s="580"/>
      <c r="EFL92" s="580"/>
      <c r="EFM92" s="580"/>
      <c r="EFN92" s="580"/>
      <c r="EFO92" s="580"/>
      <c r="EFP92" s="580"/>
      <c r="EFQ92" s="580"/>
      <c r="EFR92" s="580"/>
      <c r="EFS92" s="580"/>
      <c r="EFT92" s="580"/>
      <c r="EFU92" s="580"/>
      <c r="EFV92" s="580"/>
      <c r="EFW92" s="580"/>
      <c r="EFX92" s="580"/>
      <c r="EFY92" s="580"/>
      <c r="EFZ92" s="580"/>
      <c r="EGA92" s="580"/>
      <c r="EGB92" s="580"/>
      <c r="EGC92" s="580"/>
      <c r="EGD92" s="580"/>
      <c r="EGE92" s="580"/>
      <c r="EGF92" s="580"/>
      <c r="EGG92" s="580"/>
      <c r="EGH92" s="580"/>
      <c r="EGI92" s="580"/>
      <c r="EGJ92" s="580"/>
      <c r="EGK92" s="580"/>
      <c r="EGL92" s="580"/>
      <c r="EGM92" s="580"/>
      <c r="EGN92" s="580"/>
      <c r="EGO92" s="580"/>
      <c r="EGP92" s="580"/>
      <c r="EGQ92" s="580"/>
      <c r="EGR92" s="580"/>
      <c r="EGS92" s="580"/>
      <c r="EGT92" s="580"/>
      <c r="EGU92" s="580"/>
      <c r="EGV92" s="580"/>
      <c r="EGW92" s="580"/>
      <c r="EGX92" s="580"/>
      <c r="EGY92" s="580"/>
      <c r="EGZ92" s="580"/>
      <c r="EHA92" s="580"/>
      <c r="EHB92" s="580"/>
      <c r="EHC92" s="580"/>
      <c r="EHD92" s="580"/>
      <c r="EHE92" s="580"/>
      <c r="EHF92" s="580"/>
      <c r="EHG92" s="580"/>
      <c r="EHH92" s="580"/>
      <c r="EHI92" s="580"/>
      <c r="EHJ92" s="580"/>
      <c r="EHK92" s="580"/>
      <c r="EHL92" s="580"/>
      <c r="EHM92" s="580"/>
      <c r="EHN92" s="580"/>
      <c r="EHO92" s="580"/>
      <c r="EHP92" s="580"/>
      <c r="EHQ92" s="580"/>
      <c r="EHR92" s="580"/>
      <c r="EHS92" s="580"/>
      <c r="EHT92" s="580"/>
      <c r="EHU92" s="580"/>
      <c r="EHV92" s="580"/>
      <c r="EHW92" s="580"/>
      <c r="EHX92" s="580"/>
      <c r="EHY92" s="580"/>
      <c r="EHZ92" s="580"/>
      <c r="EIA92" s="580"/>
      <c r="EIB92" s="580"/>
      <c r="EIC92" s="580"/>
      <c r="EID92" s="580"/>
      <c r="EIE92" s="580"/>
      <c r="EIF92" s="580"/>
      <c r="EIG92" s="580"/>
      <c r="EIH92" s="580"/>
      <c r="EII92" s="580"/>
      <c r="EIJ92" s="580"/>
      <c r="EIK92" s="580"/>
      <c r="EIL92" s="580"/>
      <c r="EIM92" s="580"/>
      <c r="EIN92" s="580"/>
      <c r="EIO92" s="580"/>
      <c r="EIP92" s="580"/>
      <c r="EIQ92" s="580"/>
      <c r="EIR92" s="580"/>
      <c r="EIS92" s="580"/>
      <c r="EIT92" s="580"/>
      <c r="EIU92" s="580"/>
      <c r="EIV92" s="580"/>
      <c r="EIW92" s="580"/>
      <c r="EIX92" s="580"/>
      <c r="EIY92" s="580"/>
      <c r="EIZ92" s="580"/>
      <c r="EJA92" s="580"/>
      <c r="EJB92" s="580"/>
      <c r="EJC92" s="580"/>
      <c r="EJD92" s="580"/>
      <c r="EJE92" s="580"/>
      <c r="EJF92" s="580"/>
      <c r="EJG92" s="580"/>
      <c r="EJH92" s="580"/>
      <c r="EJI92" s="580"/>
      <c r="EJJ92" s="580"/>
      <c r="EJK92" s="580"/>
      <c r="EJL92" s="580"/>
      <c r="EJM92" s="580"/>
      <c r="EJN92" s="580"/>
      <c r="EJO92" s="580"/>
      <c r="EJP92" s="580"/>
      <c r="EJQ92" s="580"/>
      <c r="EJR92" s="580"/>
      <c r="EJS92" s="580"/>
      <c r="EJT92" s="580"/>
      <c r="EJU92" s="580"/>
      <c r="EJV92" s="580"/>
      <c r="EJW92" s="580"/>
      <c r="EJX92" s="580"/>
      <c r="EJY92" s="580"/>
      <c r="EJZ92" s="580"/>
      <c r="EKA92" s="580"/>
      <c r="EKB92" s="580"/>
      <c r="EKC92" s="580"/>
      <c r="EKD92" s="580"/>
      <c r="EKE92" s="580"/>
      <c r="EKF92" s="580"/>
      <c r="EKG92" s="580"/>
      <c r="EKH92" s="580"/>
      <c r="EKI92" s="580"/>
      <c r="EKJ92" s="580"/>
      <c r="EKK92" s="580"/>
      <c r="EKL92" s="580"/>
      <c r="EKM92" s="580"/>
      <c r="EKN92" s="580"/>
      <c r="EKO92" s="580"/>
      <c r="EKP92" s="580"/>
      <c r="EKQ92" s="580"/>
      <c r="EKR92" s="580"/>
      <c r="EKS92" s="580"/>
      <c r="EKT92" s="580"/>
      <c r="EKU92" s="580"/>
      <c r="EKV92" s="580"/>
      <c r="EKW92" s="580"/>
      <c r="EKX92" s="580"/>
      <c r="EKY92" s="580"/>
      <c r="EKZ92" s="580"/>
      <c r="ELA92" s="580"/>
      <c r="ELB92" s="580"/>
      <c r="ELC92" s="580"/>
      <c r="ELD92" s="580"/>
      <c r="ELE92" s="580"/>
      <c r="ELF92" s="580"/>
      <c r="ELG92" s="580"/>
      <c r="ELH92" s="580"/>
      <c r="ELI92" s="580"/>
      <c r="ELJ92" s="580"/>
      <c r="ELK92" s="580"/>
      <c r="ELL92" s="580"/>
      <c r="ELM92" s="580"/>
      <c r="ELN92" s="580"/>
      <c r="ELO92" s="580"/>
      <c r="ELP92" s="580"/>
      <c r="ELQ92" s="580"/>
      <c r="ELR92" s="580"/>
      <c r="ELS92" s="580"/>
      <c r="ELT92" s="580"/>
      <c r="ELU92" s="580"/>
      <c r="ELV92" s="580"/>
      <c r="ELW92" s="580"/>
      <c r="ELX92" s="580"/>
      <c r="ELY92" s="580"/>
      <c r="ELZ92" s="580"/>
      <c r="EMA92" s="580"/>
      <c r="EMB92" s="580"/>
      <c r="EMC92" s="580"/>
      <c r="EMD92" s="580"/>
      <c r="EME92" s="580"/>
      <c r="EMF92" s="580"/>
      <c r="EMG92" s="580"/>
      <c r="EMH92" s="580"/>
      <c r="EMI92" s="580"/>
      <c r="EMJ92" s="580"/>
      <c r="EMK92" s="580"/>
      <c r="EML92" s="580"/>
      <c r="EMM92" s="580"/>
      <c r="EMN92" s="580"/>
      <c r="EMO92" s="580"/>
      <c r="EMP92" s="580"/>
      <c r="EMQ92" s="580"/>
      <c r="EMR92" s="580"/>
      <c r="EMS92" s="580"/>
      <c r="EMT92" s="580"/>
      <c r="EMU92" s="580"/>
      <c r="EMV92" s="580"/>
      <c r="EMW92" s="580"/>
      <c r="EMX92" s="580"/>
      <c r="EMY92" s="580"/>
      <c r="EMZ92" s="580"/>
      <c r="ENA92" s="580"/>
      <c r="ENB92" s="580"/>
      <c r="ENC92" s="580"/>
      <c r="END92" s="580"/>
      <c r="ENE92" s="580"/>
      <c r="ENF92" s="580"/>
      <c r="ENG92" s="580"/>
      <c r="ENH92" s="580"/>
      <c r="ENI92" s="580"/>
      <c r="ENJ92" s="580"/>
      <c r="ENK92" s="580"/>
      <c r="ENL92" s="580"/>
      <c r="ENM92" s="580"/>
      <c r="ENN92" s="580"/>
      <c r="ENO92" s="580"/>
      <c r="ENP92" s="580"/>
      <c r="ENQ92" s="580"/>
      <c r="ENR92" s="580"/>
      <c r="ENS92" s="580"/>
      <c r="ENT92" s="580"/>
      <c r="ENU92" s="580"/>
      <c r="ENV92" s="580"/>
      <c r="ENW92" s="580"/>
      <c r="ENX92" s="580"/>
      <c r="ENY92" s="580"/>
      <c r="ENZ92" s="580"/>
      <c r="EOA92" s="580"/>
      <c r="EOB92" s="580"/>
      <c r="EOC92" s="580"/>
      <c r="EOD92" s="580"/>
      <c r="EOE92" s="580"/>
      <c r="EOF92" s="580"/>
      <c r="EOG92" s="580"/>
      <c r="EOH92" s="580"/>
      <c r="EOI92" s="580"/>
      <c r="EOJ92" s="580"/>
      <c r="EOK92" s="580"/>
      <c r="EOL92" s="580"/>
      <c r="EOM92" s="580"/>
      <c r="EON92" s="580"/>
      <c r="EOO92" s="580"/>
      <c r="EOP92" s="580"/>
      <c r="EOQ92" s="580"/>
      <c r="EOR92" s="580"/>
      <c r="EOS92" s="580"/>
      <c r="EOT92" s="580"/>
      <c r="EOU92" s="580"/>
      <c r="EOV92" s="580"/>
      <c r="EOW92" s="580"/>
      <c r="EOX92" s="580"/>
      <c r="EOY92" s="580"/>
      <c r="EOZ92" s="580"/>
      <c r="EPA92" s="580"/>
      <c r="EPB92" s="580"/>
      <c r="EPC92" s="580"/>
      <c r="EPD92" s="580"/>
      <c r="EPE92" s="580"/>
      <c r="EPF92" s="580"/>
      <c r="EPG92" s="580"/>
      <c r="EPH92" s="580"/>
      <c r="EPI92" s="580"/>
      <c r="EPJ92" s="580"/>
      <c r="EPK92" s="580"/>
      <c r="EPL92" s="580"/>
      <c r="EPM92" s="580"/>
      <c r="EPN92" s="580"/>
      <c r="EPO92" s="580"/>
      <c r="EPP92" s="580"/>
      <c r="EPQ92" s="580"/>
      <c r="EPR92" s="580"/>
      <c r="EPS92" s="580"/>
      <c r="EPT92" s="580"/>
      <c r="EPU92" s="580"/>
      <c r="EPV92" s="580"/>
      <c r="EPW92" s="580"/>
      <c r="EPX92" s="580"/>
      <c r="EPY92" s="580"/>
      <c r="EPZ92" s="580"/>
      <c r="EQA92" s="580"/>
      <c r="EQB92" s="580"/>
      <c r="EQC92" s="580"/>
      <c r="EQD92" s="580"/>
      <c r="EQE92" s="580"/>
      <c r="EQF92" s="580"/>
      <c r="EQG92" s="580"/>
      <c r="EQH92" s="580"/>
      <c r="EQI92" s="580"/>
      <c r="EQJ92" s="580"/>
      <c r="EQK92" s="580"/>
      <c r="EQL92" s="580"/>
      <c r="EQM92" s="580"/>
      <c r="EQN92" s="580"/>
      <c r="EQO92" s="580"/>
      <c r="EQP92" s="580"/>
      <c r="EQQ92" s="580"/>
      <c r="EQR92" s="580"/>
      <c r="EQS92" s="580"/>
      <c r="EQT92" s="580"/>
      <c r="EQU92" s="580"/>
      <c r="EQV92" s="580"/>
      <c r="EQW92" s="580"/>
      <c r="EQX92" s="580"/>
      <c r="EQY92" s="580"/>
      <c r="EQZ92" s="580"/>
      <c r="ERA92" s="580"/>
      <c r="ERB92" s="580"/>
      <c r="ERC92" s="580"/>
      <c r="ERD92" s="580"/>
      <c r="ERE92" s="580"/>
      <c r="ERF92" s="580"/>
      <c r="ERG92" s="580"/>
      <c r="ERH92" s="580"/>
      <c r="ERI92" s="580"/>
      <c r="ERJ92" s="580"/>
      <c r="ERK92" s="580"/>
      <c r="ERL92" s="580"/>
      <c r="ERM92" s="580"/>
      <c r="ERN92" s="580"/>
      <c r="ERO92" s="580"/>
      <c r="ERP92" s="580"/>
      <c r="ERQ92" s="580"/>
      <c r="ERR92" s="580"/>
      <c r="ERS92" s="580"/>
      <c r="ERT92" s="580"/>
      <c r="ERU92" s="580"/>
      <c r="ERV92" s="580"/>
      <c r="ERW92" s="580"/>
      <c r="ERX92" s="580"/>
      <c r="ERY92" s="580"/>
      <c r="ERZ92" s="580"/>
      <c r="ESA92" s="580"/>
      <c r="ESB92" s="580"/>
      <c r="ESC92" s="580"/>
      <c r="ESD92" s="580"/>
      <c r="ESE92" s="580"/>
      <c r="ESF92" s="580"/>
      <c r="ESG92" s="580"/>
      <c r="ESH92" s="580"/>
      <c r="ESI92" s="580"/>
      <c r="ESJ92" s="580"/>
      <c r="ESK92" s="580"/>
      <c r="ESL92" s="580"/>
      <c r="ESM92" s="580"/>
      <c r="ESN92" s="580"/>
      <c r="ESO92" s="580"/>
      <c r="ESP92" s="580"/>
      <c r="ESQ92" s="580"/>
      <c r="ESR92" s="580"/>
      <c r="ESS92" s="580"/>
      <c r="EST92" s="580"/>
      <c r="ESU92" s="580"/>
      <c r="ESV92" s="580"/>
      <c r="ESW92" s="580"/>
      <c r="ESX92" s="580"/>
      <c r="ESY92" s="580"/>
      <c r="ESZ92" s="580"/>
      <c r="ETA92" s="580"/>
      <c r="ETB92" s="580"/>
      <c r="ETC92" s="580"/>
      <c r="ETD92" s="580"/>
      <c r="ETE92" s="580"/>
      <c r="ETF92" s="580"/>
      <c r="ETG92" s="580"/>
      <c r="ETH92" s="580"/>
      <c r="ETI92" s="580"/>
      <c r="ETJ92" s="580"/>
      <c r="ETK92" s="580"/>
      <c r="ETL92" s="580"/>
      <c r="ETM92" s="580"/>
      <c r="ETN92" s="580"/>
      <c r="ETO92" s="580"/>
      <c r="ETP92" s="580"/>
      <c r="ETQ92" s="580"/>
      <c r="ETR92" s="580"/>
      <c r="ETS92" s="580"/>
      <c r="ETT92" s="580"/>
      <c r="ETU92" s="580"/>
      <c r="ETV92" s="580"/>
      <c r="ETW92" s="580"/>
      <c r="ETX92" s="580"/>
      <c r="ETY92" s="580"/>
      <c r="ETZ92" s="580"/>
      <c r="EUA92" s="580"/>
      <c r="EUB92" s="580"/>
      <c r="EUC92" s="580"/>
      <c r="EUD92" s="580"/>
      <c r="EUE92" s="580"/>
      <c r="EUF92" s="580"/>
      <c r="EUG92" s="580"/>
      <c r="EUH92" s="580"/>
      <c r="EUI92" s="580"/>
      <c r="EUJ92" s="580"/>
      <c r="EUK92" s="580"/>
      <c r="EUL92" s="580"/>
      <c r="EUM92" s="580"/>
      <c r="EUN92" s="580"/>
      <c r="EUO92" s="580"/>
      <c r="EUP92" s="580"/>
      <c r="EUQ92" s="580"/>
      <c r="EUR92" s="580"/>
      <c r="EUS92" s="580"/>
      <c r="EUT92" s="580"/>
      <c r="EUU92" s="580"/>
      <c r="EUV92" s="580"/>
      <c r="EUW92" s="580"/>
      <c r="EUX92" s="580"/>
      <c r="EUY92" s="580"/>
      <c r="EUZ92" s="580"/>
      <c r="EVA92" s="580"/>
      <c r="EVB92" s="580"/>
      <c r="EVC92" s="580"/>
      <c r="EVD92" s="580"/>
      <c r="EVE92" s="580"/>
      <c r="EVF92" s="580"/>
      <c r="EVG92" s="580"/>
      <c r="EVH92" s="580"/>
      <c r="EVI92" s="580"/>
      <c r="EVJ92" s="580"/>
      <c r="EVK92" s="580"/>
      <c r="EVL92" s="580"/>
      <c r="EVM92" s="580"/>
      <c r="EVN92" s="580"/>
      <c r="EVO92" s="580"/>
      <c r="EVP92" s="580"/>
      <c r="EVQ92" s="580"/>
      <c r="EVR92" s="580"/>
      <c r="EVS92" s="580"/>
      <c r="EVT92" s="580"/>
      <c r="EVU92" s="580"/>
      <c r="EVV92" s="580"/>
      <c r="EVW92" s="580"/>
      <c r="EVX92" s="580"/>
      <c r="EVY92" s="580"/>
      <c r="EVZ92" s="580"/>
      <c r="EWA92" s="580"/>
      <c r="EWB92" s="580"/>
      <c r="EWC92" s="580"/>
      <c r="EWD92" s="580"/>
      <c r="EWE92" s="580"/>
      <c r="EWF92" s="580"/>
      <c r="EWG92" s="580"/>
      <c r="EWH92" s="580"/>
      <c r="EWI92" s="580"/>
      <c r="EWJ92" s="580"/>
      <c r="EWK92" s="580"/>
      <c r="EWL92" s="580"/>
      <c r="EWM92" s="580"/>
      <c r="EWN92" s="580"/>
      <c r="EWO92" s="580"/>
      <c r="EWP92" s="580"/>
      <c r="EWQ92" s="580"/>
      <c r="EWR92" s="580"/>
      <c r="EWS92" s="580"/>
      <c r="EWT92" s="580"/>
      <c r="EWU92" s="580"/>
      <c r="EWV92" s="580"/>
      <c r="EWW92" s="580"/>
      <c r="EWX92" s="580"/>
      <c r="EWY92" s="580"/>
      <c r="EWZ92" s="580"/>
      <c r="EXA92" s="580"/>
      <c r="EXB92" s="580"/>
      <c r="EXC92" s="580"/>
      <c r="EXD92" s="580"/>
      <c r="EXE92" s="580"/>
      <c r="EXF92" s="580"/>
      <c r="EXG92" s="580"/>
      <c r="EXH92" s="580"/>
      <c r="EXI92" s="580"/>
      <c r="EXJ92" s="580"/>
      <c r="EXK92" s="580"/>
      <c r="EXL92" s="580"/>
      <c r="EXM92" s="580"/>
      <c r="EXN92" s="580"/>
      <c r="EXO92" s="580"/>
      <c r="EXP92" s="580"/>
      <c r="EXQ92" s="580"/>
      <c r="EXR92" s="580"/>
      <c r="EXS92" s="580"/>
      <c r="EXT92" s="580"/>
      <c r="EXU92" s="580"/>
      <c r="EXV92" s="580"/>
      <c r="EXW92" s="580"/>
      <c r="EXX92" s="580"/>
      <c r="EXY92" s="580"/>
      <c r="EXZ92" s="580"/>
      <c r="EYA92" s="580"/>
      <c r="EYB92" s="580"/>
      <c r="EYC92" s="580"/>
      <c r="EYD92" s="580"/>
      <c r="EYE92" s="580"/>
      <c r="EYF92" s="580"/>
      <c r="EYG92" s="580"/>
      <c r="EYH92" s="580"/>
      <c r="EYI92" s="580"/>
      <c r="EYJ92" s="580"/>
      <c r="EYK92" s="580"/>
      <c r="EYL92" s="580"/>
      <c r="EYM92" s="580"/>
      <c r="EYN92" s="580"/>
      <c r="EYO92" s="580"/>
      <c r="EYP92" s="580"/>
      <c r="EYQ92" s="580"/>
      <c r="EYR92" s="580"/>
      <c r="EYS92" s="580"/>
      <c r="EYT92" s="580"/>
      <c r="EYU92" s="580"/>
      <c r="EYV92" s="580"/>
      <c r="EYW92" s="580"/>
      <c r="EYX92" s="580"/>
      <c r="EYY92" s="580"/>
      <c r="EYZ92" s="580"/>
      <c r="EZA92" s="580"/>
      <c r="EZB92" s="580"/>
      <c r="EZC92" s="580"/>
      <c r="EZD92" s="580"/>
      <c r="EZE92" s="580"/>
      <c r="EZF92" s="580"/>
      <c r="EZG92" s="580"/>
      <c r="EZH92" s="580"/>
      <c r="EZI92" s="580"/>
      <c r="EZJ92" s="580"/>
      <c r="EZK92" s="580"/>
      <c r="EZL92" s="580"/>
      <c r="EZM92" s="580"/>
      <c r="EZN92" s="580"/>
      <c r="EZO92" s="580"/>
      <c r="EZP92" s="580"/>
      <c r="EZQ92" s="580"/>
      <c r="EZR92" s="580"/>
      <c r="EZS92" s="580"/>
      <c r="EZT92" s="580"/>
      <c r="EZU92" s="580"/>
      <c r="EZV92" s="580"/>
      <c r="EZW92" s="580"/>
      <c r="EZX92" s="580"/>
      <c r="EZY92" s="580"/>
      <c r="EZZ92" s="580"/>
      <c r="FAA92" s="580"/>
      <c r="FAB92" s="580"/>
      <c r="FAC92" s="580"/>
      <c r="FAD92" s="580"/>
      <c r="FAE92" s="580"/>
      <c r="FAF92" s="580"/>
      <c r="FAG92" s="580"/>
      <c r="FAH92" s="580"/>
      <c r="FAI92" s="580"/>
      <c r="FAJ92" s="580"/>
      <c r="FAK92" s="580"/>
      <c r="FAL92" s="580"/>
      <c r="FAM92" s="580"/>
      <c r="FAN92" s="580"/>
      <c r="FAO92" s="580"/>
      <c r="FAP92" s="580"/>
      <c r="FAQ92" s="580"/>
      <c r="FAR92" s="580"/>
      <c r="FAS92" s="580"/>
      <c r="FAT92" s="580"/>
      <c r="FAU92" s="580"/>
      <c r="FAV92" s="580"/>
      <c r="FAW92" s="580"/>
      <c r="FAX92" s="580"/>
      <c r="FAY92" s="580"/>
      <c r="FAZ92" s="580"/>
      <c r="FBA92" s="580"/>
      <c r="FBB92" s="580"/>
      <c r="FBC92" s="580"/>
      <c r="FBD92" s="580"/>
      <c r="FBE92" s="580"/>
      <c r="FBF92" s="580"/>
      <c r="FBG92" s="580"/>
      <c r="FBH92" s="580"/>
      <c r="FBI92" s="580"/>
      <c r="FBJ92" s="580"/>
      <c r="FBK92" s="580"/>
      <c r="FBL92" s="580"/>
      <c r="FBM92" s="580"/>
      <c r="FBN92" s="580"/>
      <c r="FBO92" s="580"/>
      <c r="FBP92" s="580"/>
      <c r="FBQ92" s="580"/>
      <c r="FBR92" s="580"/>
      <c r="FBS92" s="580"/>
      <c r="FBT92" s="580"/>
      <c r="FBU92" s="580"/>
      <c r="FBV92" s="580"/>
      <c r="FBW92" s="580"/>
      <c r="FBX92" s="580"/>
      <c r="FBY92" s="580"/>
      <c r="FBZ92" s="580"/>
      <c r="FCA92" s="580"/>
      <c r="FCB92" s="580"/>
      <c r="FCC92" s="580"/>
      <c r="FCD92" s="580"/>
      <c r="FCE92" s="580"/>
      <c r="FCF92" s="580"/>
      <c r="FCG92" s="580"/>
      <c r="FCH92" s="580"/>
      <c r="FCI92" s="580"/>
      <c r="FCJ92" s="580"/>
      <c r="FCK92" s="580"/>
      <c r="FCL92" s="580"/>
      <c r="FCM92" s="580"/>
      <c r="FCN92" s="580"/>
      <c r="FCO92" s="580"/>
      <c r="FCP92" s="580"/>
      <c r="FCQ92" s="580"/>
      <c r="FCR92" s="580"/>
      <c r="FCS92" s="580"/>
      <c r="FCT92" s="580"/>
      <c r="FCU92" s="580"/>
      <c r="FCV92" s="580"/>
      <c r="FCW92" s="580"/>
      <c r="FCX92" s="580"/>
      <c r="FCY92" s="580"/>
      <c r="FCZ92" s="580"/>
      <c r="FDA92" s="580"/>
      <c r="FDB92" s="580"/>
      <c r="FDC92" s="580"/>
      <c r="FDD92" s="580"/>
      <c r="FDE92" s="580"/>
      <c r="FDF92" s="580"/>
      <c r="FDG92" s="580"/>
      <c r="FDH92" s="580"/>
      <c r="FDI92" s="580"/>
      <c r="FDJ92" s="580"/>
      <c r="FDK92" s="580"/>
      <c r="FDL92" s="580"/>
      <c r="FDM92" s="580"/>
      <c r="FDN92" s="580"/>
      <c r="FDO92" s="580"/>
      <c r="FDP92" s="580"/>
      <c r="FDQ92" s="580"/>
      <c r="FDR92" s="580"/>
      <c r="FDS92" s="580"/>
      <c r="FDT92" s="580"/>
      <c r="FDU92" s="580"/>
      <c r="FDV92" s="580"/>
      <c r="FDW92" s="580"/>
      <c r="FDX92" s="580"/>
      <c r="FDY92" s="580"/>
      <c r="FDZ92" s="580"/>
      <c r="FEA92" s="580"/>
      <c r="FEB92" s="580"/>
      <c r="FEC92" s="580"/>
      <c r="FED92" s="580"/>
      <c r="FEE92" s="580"/>
      <c r="FEF92" s="580"/>
      <c r="FEG92" s="580"/>
      <c r="FEH92" s="580"/>
      <c r="FEI92" s="580"/>
      <c r="FEJ92" s="580"/>
      <c r="FEK92" s="580"/>
      <c r="FEL92" s="580"/>
      <c r="FEM92" s="580"/>
      <c r="FEN92" s="580"/>
      <c r="FEO92" s="580"/>
      <c r="FEP92" s="580"/>
      <c r="FEQ92" s="580"/>
      <c r="FER92" s="580"/>
      <c r="FES92" s="580"/>
      <c r="FET92" s="580"/>
      <c r="FEU92" s="580"/>
      <c r="FEV92" s="580"/>
      <c r="FEW92" s="580"/>
      <c r="FEX92" s="580"/>
      <c r="FEY92" s="580"/>
      <c r="FEZ92" s="580"/>
      <c r="FFA92" s="580"/>
      <c r="FFB92" s="580"/>
      <c r="FFC92" s="580"/>
      <c r="FFD92" s="580"/>
      <c r="FFE92" s="580"/>
      <c r="FFF92" s="580"/>
      <c r="FFG92" s="580"/>
      <c r="FFH92" s="580"/>
      <c r="FFI92" s="580"/>
      <c r="FFJ92" s="580"/>
      <c r="FFK92" s="580"/>
      <c r="FFL92" s="580"/>
      <c r="FFM92" s="580"/>
      <c r="FFN92" s="580"/>
      <c r="FFO92" s="580"/>
      <c r="FFP92" s="580"/>
      <c r="FFQ92" s="580"/>
      <c r="FFR92" s="580"/>
      <c r="FFS92" s="580"/>
      <c r="FFT92" s="580"/>
      <c r="FFU92" s="580"/>
      <c r="FFV92" s="580"/>
      <c r="FFW92" s="580"/>
      <c r="FFX92" s="580"/>
      <c r="FFY92" s="580"/>
      <c r="FFZ92" s="580"/>
      <c r="FGA92" s="580"/>
      <c r="FGB92" s="580"/>
      <c r="FGC92" s="580"/>
      <c r="FGD92" s="580"/>
      <c r="FGE92" s="580"/>
      <c r="FGF92" s="580"/>
      <c r="FGG92" s="580"/>
      <c r="FGH92" s="580"/>
      <c r="FGI92" s="580"/>
      <c r="FGJ92" s="580"/>
      <c r="FGK92" s="580"/>
      <c r="FGL92" s="580"/>
      <c r="FGM92" s="580"/>
      <c r="FGN92" s="580"/>
      <c r="FGO92" s="580"/>
      <c r="FGP92" s="580"/>
      <c r="FGQ92" s="580"/>
      <c r="FGR92" s="580"/>
      <c r="FGS92" s="580"/>
      <c r="FGT92" s="580"/>
      <c r="FGU92" s="580"/>
      <c r="FGV92" s="580"/>
      <c r="FGW92" s="580"/>
      <c r="FGX92" s="580"/>
      <c r="FGY92" s="580"/>
      <c r="FGZ92" s="580"/>
      <c r="FHA92" s="580"/>
      <c r="FHB92" s="580"/>
      <c r="FHC92" s="580"/>
      <c r="FHD92" s="580"/>
      <c r="FHE92" s="580"/>
      <c r="FHF92" s="580"/>
      <c r="FHG92" s="580"/>
      <c r="FHH92" s="580"/>
      <c r="FHI92" s="580"/>
      <c r="FHJ92" s="580"/>
      <c r="FHK92" s="580"/>
      <c r="FHL92" s="580"/>
      <c r="FHM92" s="580"/>
      <c r="FHN92" s="580"/>
      <c r="FHO92" s="580"/>
      <c r="FHP92" s="580"/>
      <c r="FHQ92" s="580"/>
      <c r="FHR92" s="580"/>
      <c r="FHS92" s="580"/>
      <c r="FHT92" s="580"/>
      <c r="FHU92" s="580"/>
      <c r="FHV92" s="580"/>
      <c r="FHW92" s="580"/>
      <c r="FHX92" s="580"/>
      <c r="FHY92" s="580"/>
      <c r="FHZ92" s="580"/>
      <c r="FIA92" s="580"/>
      <c r="FIB92" s="580"/>
      <c r="FIC92" s="580"/>
      <c r="FID92" s="580"/>
      <c r="FIE92" s="580"/>
      <c r="FIF92" s="580"/>
      <c r="FIG92" s="580"/>
      <c r="FIH92" s="580"/>
      <c r="FII92" s="580"/>
      <c r="FIJ92" s="580"/>
      <c r="FIK92" s="580"/>
      <c r="FIL92" s="580"/>
      <c r="FIM92" s="580"/>
      <c r="FIN92" s="580"/>
      <c r="FIO92" s="580"/>
      <c r="FIP92" s="580"/>
      <c r="FIQ92" s="580"/>
      <c r="FIR92" s="580"/>
      <c r="FIS92" s="580"/>
      <c r="FIT92" s="580"/>
      <c r="FIU92" s="580"/>
      <c r="FIV92" s="580"/>
      <c r="FIW92" s="580"/>
      <c r="FIX92" s="580"/>
      <c r="FIY92" s="580"/>
      <c r="FIZ92" s="580"/>
      <c r="FJA92" s="580"/>
      <c r="FJB92" s="580"/>
      <c r="FJC92" s="580"/>
      <c r="FJD92" s="580"/>
      <c r="FJE92" s="580"/>
      <c r="FJF92" s="580"/>
      <c r="FJG92" s="580"/>
      <c r="FJH92" s="580"/>
      <c r="FJI92" s="580"/>
      <c r="FJJ92" s="580"/>
      <c r="FJK92" s="580"/>
      <c r="FJL92" s="580"/>
      <c r="FJM92" s="580"/>
      <c r="FJN92" s="580"/>
      <c r="FJO92" s="580"/>
      <c r="FJP92" s="580"/>
      <c r="FJQ92" s="580"/>
      <c r="FJR92" s="580"/>
      <c r="FJS92" s="580"/>
      <c r="FJT92" s="580"/>
      <c r="FJU92" s="580"/>
      <c r="FJV92" s="580"/>
      <c r="FJW92" s="580"/>
      <c r="FJX92" s="580"/>
      <c r="FJY92" s="580"/>
      <c r="FJZ92" s="580"/>
      <c r="FKA92" s="580"/>
      <c r="FKB92" s="580"/>
      <c r="FKC92" s="580"/>
      <c r="FKD92" s="580"/>
      <c r="FKE92" s="580"/>
      <c r="FKF92" s="580"/>
      <c r="FKG92" s="580"/>
      <c r="FKH92" s="580"/>
      <c r="FKI92" s="580"/>
      <c r="FKJ92" s="580"/>
      <c r="FKK92" s="580"/>
      <c r="FKL92" s="580"/>
      <c r="FKM92" s="580"/>
      <c r="FKN92" s="580"/>
      <c r="FKO92" s="580"/>
      <c r="FKP92" s="580"/>
      <c r="FKQ92" s="580"/>
      <c r="FKR92" s="580"/>
      <c r="FKS92" s="580"/>
      <c r="FKT92" s="580"/>
      <c r="FKU92" s="580"/>
      <c r="FKV92" s="580"/>
      <c r="FKW92" s="580"/>
      <c r="FKX92" s="580"/>
      <c r="FKY92" s="580"/>
      <c r="FKZ92" s="580"/>
      <c r="FLA92" s="580"/>
      <c r="FLB92" s="580"/>
      <c r="FLC92" s="580"/>
      <c r="FLD92" s="580"/>
      <c r="FLE92" s="580"/>
      <c r="FLF92" s="580"/>
      <c r="FLG92" s="580"/>
      <c r="FLH92" s="580"/>
      <c r="FLI92" s="580"/>
      <c r="FLJ92" s="580"/>
      <c r="FLK92" s="580"/>
      <c r="FLL92" s="580"/>
      <c r="FLM92" s="580"/>
      <c r="FLN92" s="580"/>
      <c r="FLO92" s="580"/>
      <c r="FLP92" s="580"/>
      <c r="FLQ92" s="580"/>
      <c r="FLR92" s="580"/>
      <c r="FLS92" s="580"/>
      <c r="FLT92" s="580"/>
      <c r="FLU92" s="580"/>
      <c r="FLV92" s="580"/>
      <c r="FLW92" s="580"/>
      <c r="FLX92" s="580"/>
      <c r="FLY92" s="580"/>
      <c r="FLZ92" s="580"/>
      <c r="FMA92" s="580"/>
      <c r="FMB92" s="580"/>
      <c r="FMC92" s="580"/>
      <c r="FMD92" s="580"/>
      <c r="FME92" s="580"/>
      <c r="FMF92" s="580"/>
      <c r="FMG92" s="580"/>
      <c r="FMH92" s="580"/>
      <c r="FMI92" s="580"/>
      <c r="FMJ92" s="580"/>
      <c r="FMK92" s="580"/>
      <c r="FML92" s="580"/>
      <c r="FMM92" s="580"/>
      <c r="FMN92" s="580"/>
      <c r="FMO92" s="580"/>
      <c r="FMP92" s="580"/>
      <c r="FMQ92" s="580"/>
      <c r="FMR92" s="580"/>
      <c r="FMS92" s="580"/>
      <c r="FMT92" s="580"/>
      <c r="FMU92" s="580"/>
      <c r="FMV92" s="580"/>
      <c r="FMW92" s="580"/>
      <c r="FMX92" s="580"/>
      <c r="FMY92" s="580"/>
      <c r="FMZ92" s="580"/>
      <c r="FNA92" s="580"/>
      <c r="FNB92" s="580"/>
      <c r="FNC92" s="580"/>
      <c r="FND92" s="580"/>
      <c r="FNE92" s="580"/>
      <c r="FNF92" s="580"/>
      <c r="FNG92" s="580"/>
      <c r="FNH92" s="580"/>
      <c r="FNI92" s="580"/>
      <c r="FNJ92" s="580"/>
      <c r="FNK92" s="580"/>
      <c r="FNL92" s="580"/>
      <c r="FNM92" s="580"/>
      <c r="FNN92" s="580"/>
      <c r="FNO92" s="580"/>
      <c r="FNP92" s="580"/>
      <c r="FNQ92" s="580"/>
      <c r="FNR92" s="580"/>
      <c r="FNS92" s="580"/>
      <c r="FNT92" s="580"/>
      <c r="FNU92" s="580"/>
      <c r="FNV92" s="580"/>
      <c r="FNW92" s="580"/>
      <c r="FNX92" s="580"/>
      <c r="FNY92" s="580"/>
      <c r="FNZ92" s="580"/>
      <c r="FOA92" s="580"/>
      <c r="FOB92" s="580"/>
      <c r="FOC92" s="580"/>
      <c r="FOD92" s="580"/>
      <c r="FOE92" s="580"/>
      <c r="FOF92" s="580"/>
      <c r="FOG92" s="580"/>
      <c r="FOH92" s="580"/>
      <c r="FOI92" s="580"/>
      <c r="FOJ92" s="580"/>
      <c r="FOK92" s="580"/>
      <c r="FOL92" s="580"/>
      <c r="FOM92" s="580"/>
      <c r="FON92" s="580"/>
      <c r="FOO92" s="580"/>
      <c r="FOP92" s="580"/>
      <c r="FOQ92" s="580"/>
      <c r="FOR92" s="580"/>
      <c r="FOS92" s="580"/>
      <c r="FOT92" s="580"/>
      <c r="FOU92" s="580"/>
      <c r="FOV92" s="580"/>
      <c r="FOW92" s="580"/>
      <c r="FOX92" s="580"/>
      <c r="FOY92" s="580"/>
      <c r="FOZ92" s="580"/>
      <c r="FPA92" s="580"/>
      <c r="FPB92" s="580"/>
      <c r="FPC92" s="580"/>
      <c r="FPD92" s="580"/>
      <c r="FPE92" s="580"/>
      <c r="FPF92" s="580"/>
      <c r="FPG92" s="580"/>
      <c r="FPH92" s="580"/>
      <c r="FPI92" s="580"/>
      <c r="FPJ92" s="580"/>
      <c r="FPK92" s="580"/>
      <c r="FPL92" s="580"/>
      <c r="FPM92" s="580"/>
      <c r="FPN92" s="580"/>
      <c r="FPO92" s="580"/>
      <c r="FPP92" s="580"/>
      <c r="FPQ92" s="580"/>
      <c r="FPR92" s="580"/>
      <c r="FPS92" s="580"/>
      <c r="FPT92" s="580"/>
      <c r="FPU92" s="580"/>
      <c r="FPV92" s="580"/>
      <c r="FPW92" s="580"/>
      <c r="FPX92" s="580"/>
      <c r="FPY92" s="580"/>
      <c r="FPZ92" s="580"/>
      <c r="FQA92" s="580"/>
      <c r="FQB92" s="580"/>
      <c r="FQC92" s="580"/>
      <c r="FQD92" s="580"/>
      <c r="FQE92" s="580"/>
      <c r="FQF92" s="580"/>
      <c r="FQG92" s="580"/>
      <c r="FQH92" s="580"/>
      <c r="FQI92" s="580"/>
      <c r="FQJ92" s="580"/>
      <c r="FQK92" s="580"/>
      <c r="FQL92" s="580"/>
      <c r="FQM92" s="580"/>
      <c r="FQN92" s="580"/>
      <c r="FQO92" s="580"/>
      <c r="FQP92" s="580"/>
      <c r="FQQ92" s="580"/>
      <c r="FQR92" s="580"/>
      <c r="FQS92" s="580"/>
      <c r="FQT92" s="580"/>
      <c r="FQU92" s="580"/>
      <c r="FQV92" s="580"/>
      <c r="FQW92" s="580"/>
      <c r="FQX92" s="580"/>
      <c r="FQY92" s="580"/>
      <c r="FQZ92" s="580"/>
      <c r="FRA92" s="580"/>
      <c r="FRB92" s="580"/>
      <c r="FRC92" s="580"/>
      <c r="FRD92" s="580"/>
      <c r="FRE92" s="580"/>
      <c r="FRF92" s="580"/>
      <c r="FRG92" s="580"/>
      <c r="FRH92" s="580"/>
      <c r="FRI92" s="580"/>
      <c r="FRJ92" s="580"/>
      <c r="FRK92" s="580"/>
      <c r="FRL92" s="580"/>
      <c r="FRM92" s="580"/>
      <c r="FRN92" s="580"/>
      <c r="FRO92" s="580"/>
      <c r="FRP92" s="580"/>
      <c r="FRQ92" s="580"/>
      <c r="FRR92" s="580"/>
      <c r="FRS92" s="580"/>
      <c r="FRT92" s="580"/>
      <c r="FRU92" s="580"/>
      <c r="FRV92" s="580"/>
      <c r="FRW92" s="580"/>
      <c r="FRX92" s="580"/>
      <c r="FRY92" s="580"/>
      <c r="FRZ92" s="580"/>
      <c r="FSA92" s="580"/>
      <c r="FSB92" s="580"/>
      <c r="FSC92" s="580"/>
      <c r="FSD92" s="580"/>
      <c r="FSE92" s="580"/>
      <c r="FSF92" s="580"/>
      <c r="FSG92" s="580"/>
      <c r="FSH92" s="580"/>
      <c r="FSI92" s="580"/>
      <c r="FSJ92" s="580"/>
      <c r="FSK92" s="580"/>
      <c r="FSL92" s="580"/>
      <c r="FSM92" s="580"/>
      <c r="FSN92" s="580"/>
      <c r="FSO92" s="580"/>
      <c r="FSP92" s="580"/>
      <c r="FSQ92" s="580"/>
      <c r="FSR92" s="580"/>
      <c r="FSS92" s="580"/>
      <c r="FST92" s="580"/>
      <c r="FSU92" s="580"/>
      <c r="FSV92" s="580"/>
      <c r="FSW92" s="580"/>
      <c r="FSX92" s="580"/>
      <c r="FSY92" s="580"/>
      <c r="FSZ92" s="580"/>
      <c r="FTA92" s="580"/>
      <c r="FTB92" s="580"/>
      <c r="FTC92" s="580"/>
      <c r="FTD92" s="580"/>
      <c r="FTE92" s="580"/>
      <c r="FTF92" s="580"/>
      <c r="FTG92" s="580"/>
      <c r="FTH92" s="580"/>
      <c r="FTI92" s="580"/>
      <c r="FTJ92" s="580"/>
      <c r="FTK92" s="580"/>
      <c r="FTL92" s="580"/>
      <c r="FTM92" s="580"/>
      <c r="FTN92" s="580"/>
      <c r="FTO92" s="580"/>
      <c r="FTP92" s="580"/>
      <c r="FTQ92" s="580"/>
      <c r="FTR92" s="580"/>
      <c r="FTS92" s="580"/>
      <c r="FTT92" s="580"/>
      <c r="FTU92" s="580"/>
      <c r="FTV92" s="580"/>
      <c r="FTW92" s="580"/>
      <c r="FTX92" s="580"/>
      <c r="FTY92" s="580"/>
      <c r="FTZ92" s="580"/>
      <c r="FUA92" s="580"/>
      <c r="FUB92" s="580"/>
      <c r="FUC92" s="580"/>
      <c r="FUD92" s="580"/>
      <c r="FUE92" s="580"/>
      <c r="FUF92" s="580"/>
      <c r="FUG92" s="580"/>
      <c r="FUH92" s="580"/>
      <c r="FUI92" s="580"/>
      <c r="FUJ92" s="580"/>
      <c r="FUK92" s="580"/>
      <c r="FUL92" s="580"/>
      <c r="FUM92" s="580"/>
      <c r="FUN92" s="580"/>
      <c r="FUO92" s="580"/>
      <c r="FUP92" s="580"/>
      <c r="FUQ92" s="580"/>
      <c r="FUR92" s="580"/>
      <c r="FUS92" s="580"/>
      <c r="FUT92" s="580"/>
      <c r="FUU92" s="580"/>
      <c r="FUV92" s="580"/>
      <c r="FUW92" s="580"/>
      <c r="FUX92" s="580"/>
      <c r="FUY92" s="580"/>
      <c r="FUZ92" s="580"/>
      <c r="FVA92" s="580"/>
      <c r="FVB92" s="580"/>
      <c r="FVC92" s="580"/>
      <c r="FVD92" s="580"/>
      <c r="FVE92" s="580"/>
      <c r="FVF92" s="580"/>
      <c r="FVG92" s="580"/>
      <c r="FVH92" s="580"/>
      <c r="FVI92" s="580"/>
      <c r="FVJ92" s="580"/>
      <c r="FVK92" s="580"/>
      <c r="FVL92" s="580"/>
      <c r="FVM92" s="580"/>
      <c r="FVN92" s="580"/>
      <c r="FVO92" s="580"/>
      <c r="FVP92" s="580"/>
      <c r="FVQ92" s="580"/>
      <c r="FVR92" s="580"/>
      <c r="FVS92" s="580"/>
      <c r="FVT92" s="580"/>
      <c r="FVU92" s="580"/>
      <c r="FVV92" s="580"/>
      <c r="FVW92" s="580"/>
      <c r="FVX92" s="580"/>
      <c r="FVY92" s="580"/>
      <c r="FVZ92" s="580"/>
      <c r="FWA92" s="580"/>
      <c r="FWB92" s="580"/>
      <c r="FWC92" s="580"/>
      <c r="FWD92" s="580"/>
      <c r="FWE92" s="580"/>
      <c r="FWF92" s="580"/>
      <c r="FWG92" s="580"/>
      <c r="FWH92" s="580"/>
      <c r="FWI92" s="580"/>
      <c r="FWJ92" s="580"/>
      <c r="FWK92" s="580"/>
      <c r="FWL92" s="580"/>
      <c r="FWM92" s="580"/>
      <c r="FWN92" s="580"/>
      <c r="FWO92" s="580"/>
      <c r="FWP92" s="580"/>
      <c r="FWQ92" s="580"/>
      <c r="FWR92" s="580"/>
      <c r="FWS92" s="580"/>
      <c r="FWT92" s="580"/>
      <c r="FWU92" s="580"/>
      <c r="FWV92" s="580"/>
      <c r="FWW92" s="580"/>
      <c r="FWX92" s="580"/>
      <c r="FWY92" s="580"/>
      <c r="FWZ92" s="580"/>
      <c r="FXA92" s="580"/>
      <c r="FXB92" s="580"/>
      <c r="FXC92" s="580"/>
      <c r="FXD92" s="580"/>
      <c r="FXE92" s="580"/>
      <c r="FXF92" s="580"/>
      <c r="FXG92" s="580"/>
      <c r="FXH92" s="580"/>
      <c r="FXI92" s="580"/>
      <c r="FXJ92" s="580"/>
      <c r="FXK92" s="580"/>
      <c r="FXL92" s="580"/>
      <c r="FXM92" s="580"/>
      <c r="FXN92" s="580"/>
      <c r="FXO92" s="580"/>
      <c r="FXP92" s="580"/>
      <c r="FXQ92" s="580"/>
      <c r="FXR92" s="580"/>
      <c r="FXS92" s="580"/>
      <c r="FXT92" s="580"/>
      <c r="FXU92" s="580"/>
      <c r="FXV92" s="580"/>
      <c r="FXW92" s="580"/>
      <c r="FXX92" s="580"/>
      <c r="FXY92" s="580"/>
      <c r="FXZ92" s="580"/>
      <c r="FYA92" s="580"/>
      <c r="FYB92" s="580"/>
      <c r="FYC92" s="580"/>
      <c r="FYD92" s="580"/>
      <c r="FYE92" s="580"/>
      <c r="FYF92" s="580"/>
      <c r="FYG92" s="580"/>
      <c r="FYH92" s="580"/>
      <c r="FYI92" s="580"/>
      <c r="FYJ92" s="580"/>
      <c r="FYK92" s="580"/>
      <c r="FYL92" s="580"/>
      <c r="FYM92" s="580"/>
      <c r="FYN92" s="580"/>
      <c r="FYO92" s="580"/>
      <c r="FYP92" s="580"/>
      <c r="FYQ92" s="580"/>
      <c r="FYR92" s="580"/>
      <c r="FYS92" s="580"/>
      <c r="FYT92" s="580"/>
      <c r="FYU92" s="580"/>
      <c r="FYV92" s="580"/>
      <c r="FYW92" s="580"/>
      <c r="FYX92" s="580"/>
      <c r="FYY92" s="580"/>
      <c r="FYZ92" s="580"/>
      <c r="FZA92" s="580"/>
      <c r="FZB92" s="580"/>
      <c r="FZC92" s="580"/>
      <c r="FZD92" s="580"/>
      <c r="FZE92" s="580"/>
      <c r="FZF92" s="580"/>
      <c r="FZG92" s="580"/>
      <c r="FZH92" s="580"/>
      <c r="FZI92" s="580"/>
      <c r="FZJ92" s="580"/>
      <c r="FZK92" s="580"/>
      <c r="FZL92" s="580"/>
      <c r="FZM92" s="580"/>
      <c r="FZN92" s="580"/>
      <c r="FZO92" s="580"/>
      <c r="FZP92" s="580"/>
      <c r="FZQ92" s="580"/>
      <c r="FZR92" s="580"/>
      <c r="FZS92" s="580"/>
      <c r="FZT92" s="580"/>
      <c r="FZU92" s="580"/>
      <c r="FZV92" s="580"/>
      <c r="FZW92" s="580"/>
      <c r="FZX92" s="580"/>
      <c r="FZY92" s="580"/>
      <c r="FZZ92" s="580"/>
      <c r="GAA92" s="580"/>
      <c r="GAB92" s="580"/>
      <c r="GAC92" s="580"/>
      <c r="GAD92" s="580"/>
      <c r="GAE92" s="580"/>
      <c r="GAF92" s="580"/>
      <c r="GAG92" s="580"/>
      <c r="GAH92" s="580"/>
      <c r="GAI92" s="580"/>
      <c r="GAJ92" s="580"/>
      <c r="GAK92" s="580"/>
      <c r="GAL92" s="580"/>
      <c r="GAM92" s="580"/>
      <c r="GAN92" s="580"/>
      <c r="GAO92" s="580"/>
      <c r="GAP92" s="580"/>
      <c r="GAQ92" s="580"/>
      <c r="GAR92" s="580"/>
      <c r="GAS92" s="580"/>
      <c r="GAT92" s="580"/>
      <c r="GAU92" s="580"/>
      <c r="GAV92" s="580"/>
      <c r="GAW92" s="580"/>
      <c r="GAX92" s="580"/>
      <c r="GAY92" s="580"/>
      <c r="GAZ92" s="580"/>
      <c r="GBA92" s="580"/>
      <c r="GBB92" s="580"/>
      <c r="GBC92" s="580"/>
      <c r="GBD92" s="580"/>
      <c r="GBE92" s="580"/>
      <c r="GBF92" s="580"/>
      <c r="GBG92" s="580"/>
      <c r="GBH92" s="580"/>
      <c r="GBI92" s="580"/>
      <c r="GBJ92" s="580"/>
      <c r="GBK92" s="580"/>
      <c r="GBL92" s="580"/>
      <c r="GBM92" s="580"/>
      <c r="GBN92" s="580"/>
      <c r="GBO92" s="580"/>
      <c r="GBP92" s="580"/>
      <c r="GBQ92" s="580"/>
      <c r="GBR92" s="580"/>
      <c r="GBS92" s="580"/>
      <c r="GBT92" s="580"/>
      <c r="GBU92" s="580"/>
      <c r="GBV92" s="580"/>
      <c r="GBW92" s="580"/>
      <c r="GBX92" s="580"/>
      <c r="GBY92" s="580"/>
      <c r="GBZ92" s="580"/>
      <c r="GCA92" s="580"/>
      <c r="GCB92" s="580"/>
      <c r="GCC92" s="580"/>
      <c r="GCD92" s="580"/>
      <c r="GCE92" s="580"/>
      <c r="GCF92" s="580"/>
      <c r="GCG92" s="580"/>
      <c r="GCH92" s="580"/>
      <c r="GCI92" s="580"/>
      <c r="GCJ92" s="580"/>
      <c r="GCK92" s="580"/>
      <c r="GCL92" s="580"/>
      <c r="GCM92" s="580"/>
      <c r="GCN92" s="580"/>
      <c r="GCO92" s="580"/>
      <c r="GCP92" s="580"/>
      <c r="GCQ92" s="580"/>
      <c r="GCR92" s="580"/>
      <c r="GCS92" s="580"/>
      <c r="GCT92" s="580"/>
      <c r="GCU92" s="580"/>
      <c r="GCV92" s="580"/>
      <c r="GCW92" s="580"/>
      <c r="GCX92" s="580"/>
      <c r="GCY92" s="580"/>
      <c r="GCZ92" s="580"/>
      <c r="GDA92" s="580"/>
      <c r="GDB92" s="580"/>
      <c r="GDC92" s="580"/>
      <c r="GDD92" s="580"/>
      <c r="GDE92" s="580"/>
      <c r="GDF92" s="580"/>
      <c r="GDG92" s="580"/>
      <c r="GDH92" s="580"/>
      <c r="GDI92" s="580"/>
      <c r="GDJ92" s="580"/>
      <c r="GDK92" s="580"/>
      <c r="GDL92" s="580"/>
      <c r="GDM92" s="580"/>
      <c r="GDN92" s="580"/>
      <c r="GDO92" s="580"/>
      <c r="GDP92" s="580"/>
      <c r="GDQ92" s="580"/>
      <c r="GDR92" s="580"/>
      <c r="GDS92" s="580"/>
      <c r="GDT92" s="580"/>
      <c r="GDU92" s="580"/>
      <c r="GDV92" s="580"/>
      <c r="GDW92" s="580"/>
      <c r="GDX92" s="580"/>
      <c r="GDY92" s="580"/>
      <c r="GDZ92" s="580"/>
      <c r="GEA92" s="580"/>
      <c r="GEB92" s="580"/>
      <c r="GEC92" s="580"/>
      <c r="GED92" s="580"/>
      <c r="GEE92" s="580"/>
      <c r="GEF92" s="580"/>
      <c r="GEG92" s="580"/>
      <c r="GEH92" s="580"/>
      <c r="GEI92" s="580"/>
      <c r="GEJ92" s="580"/>
      <c r="GEK92" s="580"/>
      <c r="GEL92" s="580"/>
      <c r="GEM92" s="580"/>
      <c r="GEN92" s="580"/>
      <c r="GEO92" s="580"/>
      <c r="GEP92" s="580"/>
      <c r="GEQ92" s="580"/>
      <c r="GER92" s="580"/>
      <c r="GES92" s="580"/>
      <c r="GET92" s="580"/>
      <c r="GEU92" s="580"/>
      <c r="GEV92" s="580"/>
      <c r="GEW92" s="580"/>
      <c r="GEX92" s="580"/>
      <c r="GEY92" s="580"/>
      <c r="GEZ92" s="580"/>
      <c r="GFA92" s="580"/>
      <c r="GFB92" s="580"/>
      <c r="GFC92" s="580"/>
      <c r="GFD92" s="580"/>
      <c r="GFE92" s="580"/>
      <c r="GFF92" s="580"/>
      <c r="GFG92" s="580"/>
      <c r="GFH92" s="580"/>
      <c r="GFI92" s="580"/>
      <c r="GFJ92" s="580"/>
      <c r="GFK92" s="580"/>
      <c r="GFL92" s="580"/>
      <c r="GFM92" s="580"/>
      <c r="GFN92" s="580"/>
      <c r="GFO92" s="580"/>
      <c r="GFP92" s="580"/>
      <c r="GFQ92" s="580"/>
      <c r="GFR92" s="580"/>
      <c r="GFS92" s="580"/>
      <c r="GFT92" s="580"/>
      <c r="GFU92" s="580"/>
      <c r="GFV92" s="580"/>
      <c r="GFW92" s="580"/>
      <c r="GFX92" s="580"/>
      <c r="GFY92" s="580"/>
      <c r="GFZ92" s="580"/>
      <c r="GGA92" s="580"/>
      <c r="GGB92" s="580"/>
      <c r="GGC92" s="580"/>
      <c r="GGD92" s="580"/>
      <c r="GGE92" s="580"/>
      <c r="GGF92" s="580"/>
      <c r="GGG92" s="580"/>
      <c r="GGH92" s="580"/>
      <c r="GGI92" s="580"/>
      <c r="GGJ92" s="580"/>
      <c r="GGK92" s="580"/>
      <c r="GGL92" s="580"/>
      <c r="GGM92" s="580"/>
      <c r="GGN92" s="580"/>
      <c r="GGO92" s="580"/>
      <c r="GGP92" s="580"/>
      <c r="GGQ92" s="580"/>
      <c r="GGR92" s="580"/>
      <c r="GGS92" s="580"/>
      <c r="GGT92" s="580"/>
      <c r="GGU92" s="580"/>
      <c r="GGV92" s="580"/>
      <c r="GGW92" s="580"/>
      <c r="GGX92" s="580"/>
      <c r="GGY92" s="580"/>
      <c r="GGZ92" s="580"/>
      <c r="GHA92" s="580"/>
      <c r="GHB92" s="580"/>
      <c r="GHC92" s="580"/>
      <c r="GHD92" s="580"/>
      <c r="GHE92" s="580"/>
      <c r="GHF92" s="580"/>
      <c r="GHG92" s="580"/>
      <c r="GHH92" s="580"/>
      <c r="GHI92" s="580"/>
      <c r="GHJ92" s="580"/>
      <c r="GHK92" s="580"/>
      <c r="GHL92" s="580"/>
      <c r="GHM92" s="580"/>
      <c r="GHN92" s="580"/>
      <c r="GHO92" s="580"/>
      <c r="GHP92" s="580"/>
      <c r="GHQ92" s="580"/>
      <c r="GHR92" s="580"/>
      <c r="GHS92" s="580"/>
      <c r="GHT92" s="580"/>
      <c r="GHU92" s="580"/>
      <c r="GHV92" s="580"/>
      <c r="GHW92" s="580"/>
      <c r="GHX92" s="580"/>
      <c r="GHY92" s="580"/>
      <c r="GHZ92" s="580"/>
      <c r="GIA92" s="580"/>
      <c r="GIB92" s="580"/>
      <c r="GIC92" s="580"/>
      <c r="GID92" s="580"/>
      <c r="GIE92" s="580"/>
      <c r="GIF92" s="580"/>
      <c r="GIG92" s="580"/>
      <c r="GIH92" s="580"/>
      <c r="GII92" s="580"/>
      <c r="GIJ92" s="580"/>
      <c r="GIK92" s="580"/>
      <c r="GIL92" s="580"/>
      <c r="GIM92" s="580"/>
      <c r="GIN92" s="580"/>
      <c r="GIO92" s="580"/>
      <c r="GIP92" s="580"/>
      <c r="GIQ92" s="580"/>
      <c r="GIR92" s="580"/>
      <c r="GIS92" s="580"/>
      <c r="GIT92" s="580"/>
      <c r="GIU92" s="580"/>
      <c r="GIV92" s="580"/>
      <c r="GIW92" s="580"/>
      <c r="GIX92" s="580"/>
      <c r="GIY92" s="580"/>
      <c r="GIZ92" s="580"/>
      <c r="GJA92" s="580"/>
      <c r="GJB92" s="580"/>
      <c r="GJC92" s="580"/>
      <c r="GJD92" s="580"/>
      <c r="GJE92" s="580"/>
      <c r="GJF92" s="580"/>
      <c r="GJG92" s="580"/>
      <c r="GJH92" s="580"/>
      <c r="GJI92" s="580"/>
      <c r="GJJ92" s="580"/>
      <c r="GJK92" s="580"/>
      <c r="GJL92" s="580"/>
      <c r="GJM92" s="580"/>
      <c r="GJN92" s="580"/>
      <c r="GJO92" s="580"/>
      <c r="GJP92" s="580"/>
      <c r="GJQ92" s="580"/>
      <c r="GJR92" s="580"/>
      <c r="GJS92" s="580"/>
      <c r="GJT92" s="580"/>
      <c r="GJU92" s="580"/>
      <c r="GJV92" s="580"/>
      <c r="GJW92" s="580"/>
      <c r="GJX92" s="580"/>
      <c r="GJY92" s="580"/>
      <c r="GJZ92" s="580"/>
      <c r="GKA92" s="580"/>
      <c r="GKB92" s="580"/>
      <c r="GKC92" s="580"/>
      <c r="GKD92" s="580"/>
      <c r="GKE92" s="580"/>
      <c r="GKF92" s="580"/>
      <c r="GKG92" s="580"/>
      <c r="GKH92" s="580"/>
      <c r="GKI92" s="580"/>
      <c r="GKJ92" s="580"/>
      <c r="GKK92" s="580"/>
      <c r="GKL92" s="580"/>
      <c r="GKM92" s="580"/>
      <c r="GKN92" s="580"/>
      <c r="GKO92" s="580"/>
      <c r="GKP92" s="580"/>
      <c r="GKQ92" s="580"/>
      <c r="GKR92" s="580"/>
      <c r="GKS92" s="580"/>
      <c r="GKT92" s="580"/>
      <c r="GKU92" s="580"/>
      <c r="GKV92" s="580"/>
      <c r="GKW92" s="580"/>
      <c r="GKX92" s="580"/>
      <c r="GKY92" s="580"/>
      <c r="GKZ92" s="580"/>
      <c r="GLA92" s="580"/>
      <c r="GLB92" s="580"/>
      <c r="GLC92" s="580"/>
      <c r="GLD92" s="580"/>
      <c r="GLE92" s="580"/>
      <c r="GLF92" s="580"/>
      <c r="GLG92" s="580"/>
      <c r="GLH92" s="580"/>
      <c r="GLI92" s="580"/>
      <c r="GLJ92" s="580"/>
      <c r="GLK92" s="580"/>
      <c r="GLL92" s="580"/>
      <c r="GLM92" s="580"/>
      <c r="GLN92" s="580"/>
      <c r="GLO92" s="580"/>
      <c r="GLP92" s="580"/>
      <c r="GLQ92" s="580"/>
      <c r="GLR92" s="580"/>
      <c r="GLS92" s="580"/>
      <c r="GLT92" s="580"/>
      <c r="GLU92" s="580"/>
      <c r="GLV92" s="580"/>
      <c r="GLW92" s="580"/>
      <c r="GLX92" s="580"/>
      <c r="GLY92" s="580"/>
      <c r="GLZ92" s="580"/>
      <c r="GMA92" s="580"/>
      <c r="GMB92" s="580"/>
      <c r="GMC92" s="580"/>
      <c r="GMD92" s="580"/>
      <c r="GME92" s="580"/>
      <c r="GMF92" s="580"/>
      <c r="GMG92" s="580"/>
      <c r="GMH92" s="580"/>
      <c r="GMI92" s="580"/>
      <c r="GMJ92" s="580"/>
      <c r="GMK92" s="580"/>
      <c r="GML92" s="580"/>
      <c r="GMM92" s="580"/>
      <c r="GMN92" s="580"/>
      <c r="GMO92" s="580"/>
      <c r="GMP92" s="580"/>
      <c r="GMQ92" s="580"/>
      <c r="GMR92" s="580"/>
      <c r="GMS92" s="580"/>
      <c r="GMT92" s="580"/>
      <c r="GMU92" s="580"/>
      <c r="GMV92" s="580"/>
      <c r="GMW92" s="580"/>
      <c r="GMX92" s="580"/>
      <c r="GMY92" s="580"/>
      <c r="GMZ92" s="580"/>
      <c r="GNA92" s="580"/>
      <c r="GNB92" s="580"/>
      <c r="GNC92" s="580"/>
      <c r="GND92" s="580"/>
      <c r="GNE92" s="580"/>
      <c r="GNF92" s="580"/>
      <c r="GNG92" s="580"/>
      <c r="GNH92" s="580"/>
      <c r="GNI92" s="580"/>
      <c r="GNJ92" s="580"/>
      <c r="GNK92" s="580"/>
      <c r="GNL92" s="580"/>
      <c r="GNM92" s="580"/>
      <c r="GNN92" s="580"/>
      <c r="GNO92" s="580"/>
      <c r="GNP92" s="580"/>
      <c r="GNQ92" s="580"/>
      <c r="GNR92" s="580"/>
      <c r="GNS92" s="580"/>
      <c r="GNT92" s="580"/>
      <c r="GNU92" s="580"/>
      <c r="GNV92" s="580"/>
      <c r="GNW92" s="580"/>
      <c r="GNX92" s="580"/>
      <c r="GNY92" s="580"/>
      <c r="GNZ92" s="580"/>
      <c r="GOA92" s="580"/>
      <c r="GOB92" s="580"/>
      <c r="GOC92" s="580"/>
      <c r="GOD92" s="580"/>
      <c r="GOE92" s="580"/>
      <c r="GOF92" s="580"/>
      <c r="GOG92" s="580"/>
      <c r="GOH92" s="580"/>
      <c r="GOI92" s="580"/>
      <c r="GOJ92" s="580"/>
      <c r="GOK92" s="580"/>
      <c r="GOL92" s="580"/>
      <c r="GOM92" s="580"/>
      <c r="GON92" s="580"/>
      <c r="GOO92" s="580"/>
      <c r="GOP92" s="580"/>
      <c r="GOQ92" s="580"/>
      <c r="GOR92" s="580"/>
      <c r="GOS92" s="580"/>
      <c r="GOT92" s="580"/>
      <c r="GOU92" s="580"/>
      <c r="GOV92" s="580"/>
      <c r="GOW92" s="580"/>
      <c r="GOX92" s="580"/>
      <c r="GOY92" s="580"/>
      <c r="GOZ92" s="580"/>
      <c r="GPA92" s="580"/>
      <c r="GPB92" s="580"/>
      <c r="GPC92" s="580"/>
      <c r="GPD92" s="580"/>
      <c r="GPE92" s="580"/>
      <c r="GPF92" s="580"/>
      <c r="GPG92" s="580"/>
      <c r="GPH92" s="580"/>
      <c r="GPI92" s="580"/>
      <c r="GPJ92" s="580"/>
      <c r="GPK92" s="580"/>
      <c r="GPL92" s="580"/>
      <c r="GPM92" s="580"/>
      <c r="GPN92" s="580"/>
      <c r="GPO92" s="580"/>
      <c r="GPP92" s="580"/>
      <c r="GPQ92" s="580"/>
      <c r="GPR92" s="580"/>
      <c r="GPS92" s="580"/>
      <c r="GPT92" s="580"/>
      <c r="GPU92" s="580"/>
      <c r="GPV92" s="580"/>
      <c r="GPW92" s="580"/>
      <c r="GPX92" s="580"/>
      <c r="GPY92" s="580"/>
      <c r="GPZ92" s="580"/>
      <c r="GQA92" s="580"/>
      <c r="GQB92" s="580"/>
      <c r="GQC92" s="580"/>
      <c r="GQD92" s="580"/>
      <c r="GQE92" s="580"/>
      <c r="GQF92" s="580"/>
      <c r="GQG92" s="580"/>
      <c r="GQH92" s="580"/>
      <c r="GQI92" s="580"/>
      <c r="GQJ92" s="580"/>
      <c r="GQK92" s="580"/>
      <c r="GQL92" s="580"/>
      <c r="GQM92" s="580"/>
      <c r="GQN92" s="580"/>
      <c r="GQO92" s="580"/>
      <c r="GQP92" s="580"/>
      <c r="GQQ92" s="580"/>
      <c r="GQR92" s="580"/>
      <c r="GQS92" s="580"/>
      <c r="GQT92" s="580"/>
      <c r="GQU92" s="580"/>
      <c r="GQV92" s="580"/>
      <c r="GQW92" s="580"/>
      <c r="GQX92" s="580"/>
      <c r="GQY92" s="580"/>
      <c r="GQZ92" s="580"/>
      <c r="GRA92" s="580"/>
      <c r="GRB92" s="580"/>
      <c r="GRC92" s="580"/>
      <c r="GRD92" s="580"/>
      <c r="GRE92" s="580"/>
      <c r="GRF92" s="580"/>
      <c r="GRG92" s="580"/>
      <c r="GRH92" s="580"/>
      <c r="GRI92" s="580"/>
      <c r="GRJ92" s="580"/>
      <c r="GRK92" s="580"/>
      <c r="GRL92" s="580"/>
      <c r="GRM92" s="580"/>
      <c r="GRN92" s="580"/>
      <c r="GRO92" s="580"/>
      <c r="GRP92" s="580"/>
      <c r="GRQ92" s="580"/>
      <c r="GRR92" s="580"/>
      <c r="GRS92" s="580"/>
      <c r="GRT92" s="580"/>
      <c r="GRU92" s="580"/>
      <c r="GRV92" s="580"/>
      <c r="GRW92" s="580"/>
      <c r="GRX92" s="580"/>
      <c r="GRY92" s="580"/>
      <c r="GRZ92" s="580"/>
      <c r="GSA92" s="580"/>
      <c r="GSB92" s="580"/>
      <c r="GSC92" s="580"/>
      <c r="GSD92" s="580"/>
      <c r="GSE92" s="580"/>
      <c r="GSF92" s="580"/>
      <c r="GSG92" s="580"/>
      <c r="GSH92" s="580"/>
      <c r="GSI92" s="580"/>
      <c r="GSJ92" s="580"/>
      <c r="GSK92" s="580"/>
      <c r="GSL92" s="580"/>
      <c r="GSM92" s="580"/>
      <c r="GSN92" s="580"/>
      <c r="GSO92" s="580"/>
      <c r="GSP92" s="580"/>
      <c r="GSQ92" s="580"/>
      <c r="GSR92" s="580"/>
      <c r="GSS92" s="580"/>
      <c r="GST92" s="580"/>
      <c r="GSU92" s="580"/>
      <c r="GSV92" s="580"/>
      <c r="GSW92" s="580"/>
      <c r="GSX92" s="580"/>
      <c r="GSY92" s="580"/>
      <c r="GSZ92" s="580"/>
      <c r="GTA92" s="580"/>
      <c r="GTB92" s="580"/>
      <c r="GTC92" s="580"/>
      <c r="GTD92" s="580"/>
      <c r="GTE92" s="580"/>
      <c r="GTF92" s="580"/>
      <c r="GTG92" s="580"/>
      <c r="GTH92" s="580"/>
      <c r="GTI92" s="580"/>
      <c r="GTJ92" s="580"/>
      <c r="GTK92" s="580"/>
      <c r="GTL92" s="580"/>
      <c r="GTM92" s="580"/>
      <c r="GTN92" s="580"/>
      <c r="GTO92" s="580"/>
      <c r="GTP92" s="580"/>
      <c r="GTQ92" s="580"/>
      <c r="GTR92" s="580"/>
      <c r="GTS92" s="580"/>
      <c r="GTT92" s="580"/>
      <c r="GTU92" s="580"/>
      <c r="GTV92" s="580"/>
      <c r="GTW92" s="580"/>
      <c r="GTX92" s="580"/>
      <c r="GTY92" s="580"/>
      <c r="GTZ92" s="580"/>
      <c r="GUA92" s="580"/>
      <c r="GUB92" s="580"/>
      <c r="GUC92" s="580"/>
      <c r="GUD92" s="580"/>
      <c r="GUE92" s="580"/>
      <c r="GUF92" s="580"/>
      <c r="GUG92" s="580"/>
      <c r="GUH92" s="580"/>
      <c r="GUI92" s="580"/>
      <c r="GUJ92" s="580"/>
      <c r="GUK92" s="580"/>
      <c r="GUL92" s="580"/>
      <c r="GUM92" s="580"/>
      <c r="GUN92" s="580"/>
      <c r="GUO92" s="580"/>
      <c r="GUP92" s="580"/>
      <c r="GUQ92" s="580"/>
      <c r="GUR92" s="580"/>
      <c r="GUS92" s="580"/>
      <c r="GUT92" s="580"/>
      <c r="GUU92" s="580"/>
      <c r="GUV92" s="580"/>
      <c r="GUW92" s="580"/>
      <c r="GUX92" s="580"/>
      <c r="GUY92" s="580"/>
      <c r="GUZ92" s="580"/>
      <c r="GVA92" s="580"/>
      <c r="GVB92" s="580"/>
      <c r="GVC92" s="580"/>
      <c r="GVD92" s="580"/>
      <c r="GVE92" s="580"/>
      <c r="GVF92" s="580"/>
      <c r="GVG92" s="580"/>
      <c r="GVH92" s="580"/>
      <c r="GVI92" s="580"/>
      <c r="GVJ92" s="580"/>
      <c r="GVK92" s="580"/>
      <c r="GVL92" s="580"/>
      <c r="GVM92" s="580"/>
      <c r="GVN92" s="580"/>
      <c r="GVO92" s="580"/>
      <c r="GVP92" s="580"/>
      <c r="GVQ92" s="580"/>
      <c r="GVR92" s="580"/>
      <c r="GVS92" s="580"/>
      <c r="GVT92" s="580"/>
      <c r="GVU92" s="580"/>
      <c r="GVV92" s="580"/>
      <c r="GVW92" s="580"/>
      <c r="GVX92" s="580"/>
      <c r="GVY92" s="580"/>
      <c r="GVZ92" s="580"/>
      <c r="GWA92" s="580"/>
      <c r="GWB92" s="580"/>
      <c r="GWC92" s="580"/>
      <c r="GWD92" s="580"/>
      <c r="GWE92" s="580"/>
      <c r="GWF92" s="580"/>
      <c r="GWG92" s="580"/>
      <c r="GWH92" s="580"/>
      <c r="GWI92" s="580"/>
      <c r="GWJ92" s="580"/>
      <c r="GWK92" s="580"/>
      <c r="GWL92" s="580"/>
      <c r="GWM92" s="580"/>
      <c r="GWN92" s="580"/>
      <c r="GWO92" s="580"/>
      <c r="GWP92" s="580"/>
      <c r="GWQ92" s="580"/>
      <c r="GWR92" s="580"/>
      <c r="GWS92" s="580"/>
      <c r="GWT92" s="580"/>
      <c r="GWU92" s="580"/>
      <c r="GWV92" s="580"/>
      <c r="GWW92" s="580"/>
      <c r="GWX92" s="580"/>
      <c r="GWY92" s="580"/>
      <c r="GWZ92" s="580"/>
      <c r="GXA92" s="580"/>
      <c r="GXB92" s="580"/>
      <c r="GXC92" s="580"/>
      <c r="GXD92" s="580"/>
      <c r="GXE92" s="580"/>
      <c r="GXF92" s="580"/>
      <c r="GXG92" s="580"/>
      <c r="GXH92" s="580"/>
      <c r="GXI92" s="580"/>
      <c r="GXJ92" s="580"/>
      <c r="GXK92" s="580"/>
      <c r="GXL92" s="580"/>
      <c r="GXM92" s="580"/>
      <c r="GXN92" s="580"/>
      <c r="GXO92" s="580"/>
      <c r="GXP92" s="580"/>
      <c r="GXQ92" s="580"/>
      <c r="GXR92" s="580"/>
      <c r="GXS92" s="580"/>
      <c r="GXT92" s="580"/>
      <c r="GXU92" s="580"/>
      <c r="GXV92" s="580"/>
      <c r="GXW92" s="580"/>
      <c r="GXX92" s="580"/>
      <c r="GXY92" s="580"/>
      <c r="GXZ92" s="580"/>
      <c r="GYA92" s="580"/>
      <c r="GYB92" s="580"/>
      <c r="GYC92" s="580"/>
      <c r="GYD92" s="580"/>
      <c r="GYE92" s="580"/>
      <c r="GYF92" s="580"/>
      <c r="GYG92" s="580"/>
      <c r="GYH92" s="580"/>
      <c r="GYI92" s="580"/>
      <c r="GYJ92" s="580"/>
      <c r="GYK92" s="580"/>
      <c r="GYL92" s="580"/>
      <c r="GYM92" s="580"/>
      <c r="GYN92" s="580"/>
      <c r="GYO92" s="580"/>
      <c r="GYP92" s="580"/>
      <c r="GYQ92" s="580"/>
      <c r="GYR92" s="580"/>
      <c r="GYS92" s="580"/>
      <c r="GYT92" s="580"/>
      <c r="GYU92" s="580"/>
      <c r="GYV92" s="580"/>
      <c r="GYW92" s="580"/>
      <c r="GYX92" s="580"/>
      <c r="GYY92" s="580"/>
      <c r="GYZ92" s="580"/>
      <c r="GZA92" s="580"/>
      <c r="GZB92" s="580"/>
      <c r="GZC92" s="580"/>
      <c r="GZD92" s="580"/>
      <c r="GZE92" s="580"/>
      <c r="GZF92" s="580"/>
      <c r="GZG92" s="580"/>
      <c r="GZH92" s="580"/>
      <c r="GZI92" s="580"/>
      <c r="GZJ92" s="580"/>
      <c r="GZK92" s="580"/>
      <c r="GZL92" s="580"/>
      <c r="GZM92" s="580"/>
      <c r="GZN92" s="580"/>
      <c r="GZO92" s="580"/>
      <c r="GZP92" s="580"/>
      <c r="GZQ92" s="580"/>
      <c r="GZR92" s="580"/>
      <c r="GZS92" s="580"/>
      <c r="GZT92" s="580"/>
      <c r="GZU92" s="580"/>
      <c r="GZV92" s="580"/>
      <c r="GZW92" s="580"/>
      <c r="GZX92" s="580"/>
      <c r="GZY92" s="580"/>
      <c r="GZZ92" s="580"/>
      <c r="HAA92" s="580"/>
      <c r="HAB92" s="580"/>
      <c r="HAC92" s="580"/>
      <c r="HAD92" s="580"/>
      <c r="HAE92" s="580"/>
      <c r="HAF92" s="580"/>
      <c r="HAG92" s="580"/>
      <c r="HAH92" s="580"/>
      <c r="HAI92" s="580"/>
      <c r="HAJ92" s="580"/>
      <c r="HAK92" s="580"/>
      <c r="HAL92" s="580"/>
      <c r="HAM92" s="580"/>
      <c r="HAN92" s="580"/>
      <c r="HAO92" s="580"/>
      <c r="HAP92" s="580"/>
      <c r="HAQ92" s="580"/>
      <c r="HAR92" s="580"/>
      <c r="HAS92" s="580"/>
      <c r="HAT92" s="580"/>
      <c r="HAU92" s="580"/>
      <c r="HAV92" s="580"/>
      <c r="HAW92" s="580"/>
      <c r="HAX92" s="580"/>
      <c r="HAY92" s="580"/>
      <c r="HAZ92" s="580"/>
      <c r="HBA92" s="580"/>
      <c r="HBB92" s="580"/>
      <c r="HBC92" s="580"/>
      <c r="HBD92" s="580"/>
      <c r="HBE92" s="580"/>
      <c r="HBF92" s="580"/>
      <c r="HBG92" s="580"/>
      <c r="HBH92" s="580"/>
      <c r="HBI92" s="580"/>
      <c r="HBJ92" s="580"/>
      <c r="HBK92" s="580"/>
      <c r="HBL92" s="580"/>
      <c r="HBM92" s="580"/>
      <c r="HBN92" s="580"/>
      <c r="HBO92" s="580"/>
      <c r="HBP92" s="580"/>
      <c r="HBQ92" s="580"/>
      <c r="HBR92" s="580"/>
      <c r="HBS92" s="580"/>
      <c r="HBT92" s="580"/>
      <c r="HBU92" s="580"/>
      <c r="HBV92" s="580"/>
      <c r="HBW92" s="580"/>
      <c r="HBX92" s="580"/>
      <c r="HBY92" s="580"/>
      <c r="HBZ92" s="580"/>
      <c r="HCA92" s="580"/>
      <c r="HCB92" s="580"/>
      <c r="HCC92" s="580"/>
      <c r="HCD92" s="580"/>
      <c r="HCE92" s="580"/>
      <c r="HCF92" s="580"/>
      <c r="HCG92" s="580"/>
      <c r="HCH92" s="580"/>
      <c r="HCI92" s="580"/>
      <c r="HCJ92" s="580"/>
      <c r="HCK92" s="580"/>
      <c r="HCL92" s="580"/>
      <c r="HCM92" s="580"/>
      <c r="HCN92" s="580"/>
      <c r="HCO92" s="580"/>
      <c r="HCP92" s="580"/>
      <c r="HCQ92" s="580"/>
      <c r="HCR92" s="580"/>
      <c r="HCS92" s="580"/>
      <c r="HCT92" s="580"/>
      <c r="HCU92" s="580"/>
      <c r="HCV92" s="580"/>
      <c r="HCW92" s="580"/>
      <c r="HCX92" s="580"/>
      <c r="HCY92" s="580"/>
      <c r="HCZ92" s="580"/>
      <c r="HDA92" s="580"/>
      <c r="HDB92" s="580"/>
      <c r="HDC92" s="580"/>
      <c r="HDD92" s="580"/>
      <c r="HDE92" s="580"/>
      <c r="HDF92" s="580"/>
      <c r="HDG92" s="580"/>
      <c r="HDH92" s="580"/>
      <c r="HDI92" s="580"/>
      <c r="HDJ92" s="580"/>
      <c r="HDK92" s="580"/>
      <c r="HDL92" s="580"/>
      <c r="HDM92" s="580"/>
      <c r="HDN92" s="580"/>
      <c r="HDO92" s="580"/>
      <c r="HDP92" s="580"/>
      <c r="HDQ92" s="580"/>
      <c r="HDR92" s="580"/>
      <c r="HDS92" s="580"/>
      <c r="HDT92" s="580"/>
      <c r="HDU92" s="580"/>
      <c r="HDV92" s="580"/>
      <c r="HDW92" s="580"/>
      <c r="HDX92" s="580"/>
      <c r="HDY92" s="580"/>
      <c r="HDZ92" s="580"/>
      <c r="HEA92" s="580"/>
      <c r="HEB92" s="580"/>
      <c r="HEC92" s="580"/>
      <c r="HED92" s="580"/>
      <c r="HEE92" s="580"/>
      <c r="HEF92" s="580"/>
      <c r="HEG92" s="580"/>
      <c r="HEH92" s="580"/>
      <c r="HEI92" s="580"/>
      <c r="HEJ92" s="580"/>
      <c r="HEK92" s="580"/>
      <c r="HEL92" s="580"/>
      <c r="HEM92" s="580"/>
      <c r="HEN92" s="580"/>
      <c r="HEO92" s="580"/>
      <c r="HEP92" s="580"/>
      <c r="HEQ92" s="580"/>
      <c r="HER92" s="580"/>
      <c r="HES92" s="580"/>
      <c r="HET92" s="580"/>
      <c r="HEU92" s="580"/>
      <c r="HEV92" s="580"/>
      <c r="HEW92" s="580"/>
      <c r="HEX92" s="580"/>
      <c r="HEY92" s="580"/>
      <c r="HEZ92" s="580"/>
      <c r="HFA92" s="580"/>
      <c r="HFB92" s="580"/>
      <c r="HFC92" s="580"/>
      <c r="HFD92" s="580"/>
      <c r="HFE92" s="580"/>
      <c r="HFF92" s="580"/>
      <c r="HFG92" s="580"/>
      <c r="HFH92" s="580"/>
      <c r="HFI92" s="580"/>
      <c r="HFJ92" s="580"/>
      <c r="HFK92" s="580"/>
      <c r="HFL92" s="580"/>
      <c r="HFM92" s="580"/>
      <c r="HFN92" s="580"/>
      <c r="HFO92" s="580"/>
      <c r="HFP92" s="580"/>
      <c r="HFQ92" s="580"/>
      <c r="HFR92" s="580"/>
      <c r="HFS92" s="580"/>
      <c r="HFT92" s="580"/>
      <c r="HFU92" s="580"/>
      <c r="HFV92" s="580"/>
      <c r="HFW92" s="580"/>
      <c r="HFX92" s="580"/>
      <c r="HFY92" s="580"/>
      <c r="HFZ92" s="580"/>
      <c r="HGA92" s="580"/>
      <c r="HGB92" s="580"/>
      <c r="HGC92" s="580"/>
      <c r="HGD92" s="580"/>
      <c r="HGE92" s="580"/>
      <c r="HGF92" s="580"/>
      <c r="HGG92" s="580"/>
      <c r="HGH92" s="580"/>
      <c r="HGI92" s="580"/>
      <c r="HGJ92" s="580"/>
      <c r="HGK92" s="580"/>
      <c r="HGL92" s="580"/>
      <c r="HGM92" s="580"/>
      <c r="HGN92" s="580"/>
      <c r="HGO92" s="580"/>
      <c r="HGP92" s="580"/>
      <c r="HGQ92" s="580"/>
      <c r="HGR92" s="580"/>
      <c r="HGS92" s="580"/>
      <c r="HGT92" s="580"/>
      <c r="HGU92" s="580"/>
      <c r="HGV92" s="580"/>
      <c r="HGW92" s="580"/>
      <c r="HGX92" s="580"/>
      <c r="HGY92" s="580"/>
      <c r="HGZ92" s="580"/>
      <c r="HHA92" s="580"/>
      <c r="HHB92" s="580"/>
      <c r="HHC92" s="580"/>
      <c r="HHD92" s="580"/>
      <c r="HHE92" s="580"/>
      <c r="HHF92" s="580"/>
      <c r="HHG92" s="580"/>
      <c r="HHH92" s="580"/>
      <c r="HHI92" s="580"/>
      <c r="HHJ92" s="580"/>
      <c r="HHK92" s="580"/>
      <c r="HHL92" s="580"/>
      <c r="HHM92" s="580"/>
      <c r="HHN92" s="580"/>
      <c r="HHO92" s="580"/>
      <c r="HHP92" s="580"/>
      <c r="HHQ92" s="580"/>
      <c r="HHR92" s="580"/>
      <c r="HHS92" s="580"/>
      <c r="HHT92" s="580"/>
      <c r="HHU92" s="580"/>
      <c r="HHV92" s="580"/>
      <c r="HHW92" s="580"/>
      <c r="HHX92" s="580"/>
      <c r="HHY92" s="580"/>
      <c r="HHZ92" s="580"/>
      <c r="HIA92" s="580"/>
      <c r="HIB92" s="580"/>
      <c r="HIC92" s="580"/>
      <c r="HID92" s="580"/>
      <c r="HIE92" s="580"/>
      <c r="HIF92" s="580"/>
      <c r="HIG92" s="580"/>
      <c r="HIH92" s="580"/>
      <c r="HII92" s="580"/>
      <c r="HIJ92" s="580"/>
      <c r="HIK92" s="580"/>
      <c r="HIL92" s="580"/>
      <c r="HIM92" s="580"/>
      <c r="HIN92" s="580"/>
      <c r="HIO92" s="580"/>
      <c r="HIP92" s="580"/>
      <c r="HIQ92" s="580"/>
      <c r="HIR92" s="580"/>
      <c r="HIS92" s="580"/>
      <c r="HIT92" s="580"/>
      <c r="HIU92" s="580"/>
      <c r="HIV92" s="580"/>
      <c r="HIW92" s="580"/>
      <c r="HIX92" s="580"/>
      <c r="HIY92" s="580"/>
      <c r="HIZ92" s="580"/>
      <c r="HJA92" s="580"/>
      <c r="HJB92" s="580"/>
      <c r="HJC92" s="580"/>
      <c r="HJD92" s="580"/>
      <c r="HJE92" s="580"/>
      <c r="HJF92" s="580"/>
      <c r="HJG92" s="580"/>
      <c r="HJH92" s="580"/>
      <c r="HJI92" s="580"/>
      <c r="HJJ92" s="580"/>
      <c r="HJK92" s="580"/>
      <c r="HJL92" s="580"/>
      <c r="HJM92" s="580"/>
      <c r="HJN92" s="580"/>
      <c r="HJO92" s="580"/>
      <c r="HJP92" s="580"/>
      <c r="HJQ92" s="580"/>
      <c r="HJR92" s="580"/>
      <c r="HJS92" s="580"/>
      <c r="HJT92" s="580"/>
      <c r="HJU92" s="580"/>
      <c r="HJV92" s="580"/>
      <c r="HJW92" s="580"/>
      <c r="HJX92" s="580"/>
      <c r="HJY92" s="580"/>
      <c r="HJZ92" s="580"/>
      <c r="HKA92" s="580"/>
      <c r="HKB92" s="580"/>
      <c r="HKC92" s="580"/>
      <c r="HKD92" s="580"/>
      <c r="HKE92" s="580"/>
      <c r="HKF92" s="580"/>
      <c r="HKG92" s="580"/>
      <c r="HKH92" s="580"/>
      <c r="HKI92" s="580"/>
      <c r="HKJ92" s="580"/>
      <c r="HKK92" s="580"/>
      <c r="HKL92" s="580"/>
      <c r="HKM92" s="580"/>
      <c r="HKN92" s="580"/>
      <c r="HKO92" s="580"/>
      <c r="HKP92" s="580"/>
      <c r="HKQ92" s="580"/>
      <c r="HKR92" s="580"/>
      <c r="HKS92" s="580"/>
      <c r="HKT92" s="580"/>
      <c r="HKU92" s="580"/>
      <c r="HKV92" s="580"/>
      <c r="HKW92" s="580"/>
      <c r="HKX92" s="580"/>
      <c r="HKY92" s="580"/>
      <c r="HKZ92" s="580"/>
      <c r="HLA92" s="580"/>
      <c r="HLB92" s="580"/>
      <c r="HLC92" s="580"/>
      <c r="HLD92" s="580"/>
      <c r="HLE92" s="580"/>
      <c r="HLF92" s="580"/>
      <c r="HLG92" s="580"/>
      <c r="HLH92" s="580"/>
      <c r="HLI92" s="580"/>
      <c r="HLJ92" s="580"/>
      <c r="HLK92" s="580"/>
      <c r="HLL92" s="580"/>
      <c r="HLM92" s="580"/>
      <c r="HLN92" s="580"/>
      <c r="HLO92" s="580"/>
      <c r="HLP92" s="580"/>
      <c r="HLQ92" s="580"/>
      <c r="HLR92" s="580"/>
      <c r="HLS92" s="580"/>
      <c r="HLT92" s="580"/>
      <c r="HLU92" s="580"/>
      <c r="HLV92" s="580"/>
      <c r="HLW92" s="580"/>
      <c r="HLX92" s="580"/>
      <c r="HLY92" s="580"/>
      <c r="HLZ92" s="580"/>
      <c r="HMA92" s="580"/>
      <c r="HMB92" s="580"/>
      <c r="HMC92" s="580"/>
      <c r="HMD92" s="580"/>
      <c r="HME92" s="580"/>
      <c r="HMF92" s="580"/>
      <c r="HMG92" s="580"/>
      <c r="HMH92" s="580"/>
      <c r="HMI92" s="580"/>
      <c r="HMJ92" s="580"/>
      <c r="HMK92" s="580"/>
      <c r="HML92" s="580"/>
      <c r="HMM92" s="580"/>
      <c r="HMN92" s="580"/>
      <c r="HMO92" s="580"/>
      <c r="HMP92" s="580"/>
      <c r="HMQ92" s="580"/>
      <c r="HMR92" s="580"/>
      <c r="HMS92" s="580"/>
      <c r="HMT92" s="580"/>
      <c r="HMU92" s="580"/>
      <c r="HMV92" s="580"/>
      <c r="HMW92" s="580"/>
      <c r="HMX92" s="580"/>
      <c r="HMY92" s="580"/>
      <c r="HMZ92" s="580"/>
      <c r="HNA92" s="580"/>
      <c r="HNB92" s="580"/>
      <c r="HNC92" s="580"/>
      <c r="HND92" s="580"/>
      <c r="HNE92" s="580"/>
      <c r="HNF92" s="580"/>
      <c r="HNG92" s="580"/>
      <c r="HNH92" s="580"/>
      <c r="HNI92" s="580"/>
      <c r="HNJ92" s="580"/>
      <c r="HNK92" s="580"/>
      <c r="HNL92" s="580"/>
      <c r="HNM92" s="580"/>
      <c r="HNN92" s="580"/>
      <c r="HNO92" s="580"/>
      <c r="HNP92" s="580"/>
      <c r="HNQ92" s="580"/>
      <c r="HNR92" s="580"/>
      <c r="HNS92" s="580"/>
      <c r="HNT92" s="580"/>
      <c r="HNU92" s="580"/>
      <c r="HNV92" s="580"/>
      <c r="HNW92" s="580"/>
      <c r="HNX92" s="580"/>
      <c r="HNY92" s="580"/>
      <c r="HNZ92" s="580"/>
      <c r="HOA92" s="580"/>
      <c r="HOB92" s="580"/>
      <c r="HOC92" s="580"/>
      <c r="HOD92" s="580"/>
      <c r="HOE92" s="580"/>
      <c r="HOF92" s="580"/>
      <c r="HOG92" s="580"/>
      <c r="HOH92" s="580"/>
      <c r="HOI92" s="580"/>
      <c r="HOJ92" s="580"/>
      <c r="HOK92" s="580"/>
      <c r="HOL92" s="580"/>
      <c r="HOM92" s="580"/>
      <c r="HON92" s="580"/>
      <c r="HOO92" s="580"/>
      <c r="HOP92" s="580"/>
      <c r="HOQ92" s="580"/>
      <c r="HOR92" s="580"/>
      <c r="HOS92" s="580"/>
      <c r="HOT92" s="580"/>
      <c r="HOU92" s="580"/>
      <c r="HOV92" s="580"/>
      <c r="HOW92" s="580"/>
      <c r="HOX92" s="580"/>
      <c r="HOY92" s="580"/>
      <c r="HOZ92" s="580"/>
      <c r="HPA92" s="580"/>
      <c r="HPB92" s="580"/>
      <c r="HPC92" s="580"/>
      <c r="HPD92" s="580"/>
      <c r="HPE92" s="580"/>
      <c r="HPF92" s="580"/>
      <c r="HPG92" s="580"/>
      <c r="HPH92" s="580"/>
      <c r="HPI92" s="580"/>
      <c r="HPJ92" s="580"/>
      <c r="HPK92" s="580"/>
      <c r="HPL92" s="580"/>
      <c r="HPM92" s="580"/>
      <c r="HPN92" s="580"/>
      <c r="HPO92" s="580"/>
      <c r="HPP92" s="580"/>
      <c r="HPQ92" s="580"/>
      <c r="HPR92" s="580"/>
      <c r="HPS92" s="580"/>
      <c r="HPT92" s="580"/>
      <c r="HPU92" s="580"/>
      <c r="HPV92" s="580"/>
      <c r="HPW92" s="580"/>
      <c r="HPX92" s="580"/>
      <c r="HPY92" s="580"/>
      <c r="HPZ92" s="580"/>
      <c r="HQA92" s="580"/>
      <c r="HQB92" s="580"/>
      <c r="HQC92" s="580"/>
      <c r="HQD92" s="580"/>
      <c r="HQE92" s="580"/>
      <c r="HQF92" s="580"/>
      <c r="HQG92" s="580"/>
      <c r="HQH92" s="580"/>
      <c r="HQI92" s="580"/>
      <c r="HQJ92" s="580"/>
      <c r="HQK92" s="580"/>
      <c r="HQL92" s="580"/>
      <c r="HQM92" s="580"/>
      <c r="HQN92" s="580"/>
      <c r="HQO92" s="580"/>
      <c r="HQP92" s="580"/>
      <c r="HQQ92" s="580"/>
      <c r="HQR92" s="580"/>
      <c r="HQS92" s="580"/>
      <c r="HQT92" s="580"/>
      <c r="HQU92" s="580"/>
      <c r="HQV92" s="580"/>
      <c r="HQW92" s="580"/>
      <c r="HQX92" s="580"/>
      <c r="HQY92" s="580"/>
      <c r="HQZ92" s="580"/>
      <c r="HRA92" s="580"/>
      <c r="HRB92" s="580"/>
      <c r="HRC92" s="580"/>
      <c r="HRD92" s="580"/>
      <c r="HRE92" s="580"/>
      <c r="HRF92" s="580"/>
      <c r="HRG92" s="580"/>
      <c r="HRH92" s="580"/>
      <c r="HRI92" s="580"/>
      <c r="HRJ92" s="580"/>
      <c r="HRK92" s="580"/>
      <c r="HRL92" s="580"/>
      <c r="HRM92" s="580"/>
      <c r="HRN92" s="580"/>
      <c r="HRO92" s="580"/>
      <c r="HRP92" s="580"/>
      <c r="HRQ92" s="580"/>
      <c r="HRR92" s="580"/>
      <c r="HRS92" s="580"/>
      <c r="HRT92" s="580"/>
      <c r="HRU92" s="580"/>
      <c r="HRV92" s="580"/>
      <c r="HRW92" s="580"/>
      <c r="HRX92" s="580"/>
      <c r="HRY92" s="580"/>
      <c r="HRZ92" s="580"/>
      <c r="HSA92" s="580"/>
      <c r="HSB92" s="580"/>
      <c r="HSC92" s="580"/>
      <c r="HSD92" s="580"/>
      <c r="HSE92" s="580"/>
      <c r="HSF92" s="580"/>
      <c r="HSG92" s="580"/>
      <c r="HSH92" s="580"/>
      <c r="HSI92" s="580"/>
      <c r="HSJ92" s="580"/>
      <c r="HSK92" s="580"/>
      <c r="HSL92" s="580"/>
      <c r="HSM92" s="580"/>
      <c r="HSN92" s="580"/>
      <c r="HSO92" s="580"/>
      <c r="HSP92" s="580"/>
      <c r="HSQ92" s="580"/>
      <c r="HSR92" s="580"/>
      <c r="HSS92" s="580"/>
      <c r="HST92" s="580"/>
      <c r="HSU92" s="580"/>
      <c r="HSV92" s="580"/>
      <c r="HSW92" s="580"/>
      <c r="HSX92" s="580"/>
      <c r="HSY92" s="580"/>
      <c r="HSZ92" s="580"/>
      <c r="HTA92" s="580"/>
      <c r="HTB92" s="580"/>
      <c r="HTC92" s="580"/>
      <c r="HTD92" s="580"/>
      <c r="HTE92" s="580"/>
      <c r="HTF92" s="580"/>
      <c r="HTG92" s="580"/>
      <c r="HTH92" s="580"/>
      <c r="HTI92" s="580"/>
      <c r="HTJ92" s="580"/>
      <c r="HTK92" s="580"/>
      <c r="HTL92" s="580"/>
      <c r="HTM92" s="580"/>
      <c r="HTN92" s="580"/>
      <c r="HTO92" s="580"/>
      <c r="HTP92" s="580"/>
      <c r="HTQ92" s="580"/>
      <c r="HTR92" s="580"/>
      <c r="HTS92" s="580"/>
      <c r="HTT92" s="580"/>
      <c r="HTU92" s="580"/>
      <c r="HTV92" s="580"/>
      <c r="HTW92" s="580"/>
      <c r="HTX92" s="580"/>
      <c r="HTY92" s="580"/>
      <c r="HTZ92" s="580"/>
      <c r="HUA92" s="580"/>
      <c r="HUB92" s="580"/>
      <c r="HUC92" s="580"/>
      <c r="HUD92" s="580"/>
      <c r="HUE92" s="580"/>
      <c r="HUF92" s="580"/>
      <c r="HUG92" s="580"/>
      <c r="HUH92" s="580"/>
      <c r="HUI92" s="580"/>
      <c r="HUJ92" s="580"/>
      <c r="HUK92" s="580"/>
      <c r="HUL92" s="580"/>
      <c r="HUM92" s="580"/>
      <c r="HUN92" s="580"/>
      <c r="HUO92" s="580"/>
      <c r="HUP92" s="580"/>
      <c r="HUQ92" s="580"/>
      <c r="HUR92" s="580"/>
      <c r="HUS92" s="580"/>
      <c r="HUT92" s="580"/>
      <c r="HUU92" s="580"/>
      <c r="HUV92" s="580"/>
      <c r="HUW92" s="580"/>
      <c r="HUX92" s="580"/>
      <c r="HUY92" s="580"/>
      <c r="HUZ92" s="580"/>
      <c r="HVA92" s="580"/>
      <c r="HVB92" s="580"/>
      <c r="HVC92" s="580"/>
      <c r="HVD92" s="580"/>
      <c r="HVE92" s="580"/>
      <c r="HVF92" s="580"/>
      <c r="HVG92" s="580"/>
      <c r="HVH92" s="580"/>
      <c r="HVI92" s="580"/>
      <c r="HVJ92" s="580"/>
      <c r="HVK92" s="580"/>
      <c r="HVL92" s="580"/>
      <c r="HVM92" s="580"/>
      <c r="HVN92" s="580"/>
      <c r="HVO92" s="580"/>
      <c r="HVP92" s="580"/>
      <c r="HVQ92" s="580"/>
      <c r="HVR92" s="580"/>
      <c r="HVS92" s="580"/>
      <c r="HVT92" s="580"/>
      <c r="HVU92" s="580"/>
      <c r="HVV92" s="580"/>
      <c r="HVW92" s="580"/>
      <c r="HVX92" s="580"/>
      <c r="HVY92" s="580"/>
      <c r="HVZ92" s="580"/>
      <c r="HWA92" s="580"/>
      <c r="HWB92" s="580"/>
      <c r="HWC92" s="580"/>
      <c r="HWD92" s="580"/>
      <c r="HWE92" s="580"/>
      <c r="HWF92" s="580"/>
      <c r="HWG92" s="580"/>
      <c r="HWH92" s="580"/>
      <c r="HWI92" s="580"/>
      <c r="HWJ92" s="580"/>
      <c r="HWK92" s="580"/>
      <c r="HWL92" s="580"/>
      <c r="HWM92" s="580"/>
      <c r="HWN92" s="580"/>
      <c r="HWO92" s="580"/>
      <c r="HWP92" s="580"/>
      <c r="HWQ92" s="580"/>
      <c r="HWR92" s="580"/>
      <c r="HWS92" s="580"/>
      <c r="HWT92" s="580"/>
      <c r="HWU92" s="580"/>
      <c r="HWV92" s="580"/>
      <c r="HWW92" s="580"/>
      <c r="HWX92" s="580"/>
      <c r="HWY92" s="580"/>
      <c r="HWZ92" s="580"/>
      <c r="HXA92" s="580"/>
      <c r="HXB92" s="580"/>
      <c r="HXC92" s="580"/>
      <c r="HXD92" s="580"/>
      <c r="HXE92" s="580"/>
      <c r="HXF92" s="580"/>
      <c r="HXG92" s="580"/>
      <c r="HXH92" s="580"/>
      <c r="HXI92" s="580"/>
      <c r="HXJ92" s="580"/>
      <c r="HXK92" s="580"/>
      <c r="HXL92" s="580"/>
      <c r="HXM92" s="580"/>
      <c r="HXN92" s="580"/>
      <c r="HXO92" s="580"/>
      <c r="HXP92" s="580"/>
      <c r="HXQ92" s="580"/>
      <c r="HXR92" s="580"/>
      <c r="HXS92" s="580"/>
      <c r="HXT92" s="580"/>
      <c r="HXU92" s="580"/>
      <c r="HXV92" s="580"/>
      <c r="HXW92" s="580"/>
      <c r="HXX92" s="580"/>
      <c r="HXY92" s="580"/>
      <c r="HXZ92" s="580"/>
      <c r="HYA92" s="580"/>
      <c r="HYB92" s="580"/>
      <c r="HYC92" s="580"/>
      <c r="HYD92" s="580"/>
      <c r="HYE92" s="580"/>
      <c r="HYF92" s="580"/>
      <c r="HYG92" s="580"/>
      <c r="HYH92" s="580"/>
      <c r="HYI92" s="580"/>
      <c r="HYJ92" s="580"/>
      <c r="HYK92" s="580"/>
      <c r="HYL92" s="580"/>
      <c r="HYM92" s="580"/>
      <c r="HYN92" s="580"/>
      <c r="HYO92" s="580"/>
      <c r="HYP92" s="580"/>
      <c r="HYQ92" s="580"/>
      <c r="HYR92" s="580"/>
      <c r="HYS92" s="580"/>
      <c r="HYT92" s="580"/>
      <c r="HYU92" s="580"/>
      <c r="HYV92" s="580"/>
      <c r="HYW92" s="580"/>
      <c r="HYX92" s="580"/>
      <c r="HYY92" s="580"/>
      <c r="HYZ92" s="580"/>
      <c r="HZA92" s="580"/>
      <c r="HZB92" s="580"/>
      <c r="HZC92" s="580"/>
      <c r="HZD92" s="580"/>
      <c r="HZE92" s="580"/>
      <c r="HZF92" s="580"/>
      <c r="HZG92" s="580"/>
      <c r="HZH92" s="580"/>
      <c r="HZI92" s="580"/>
      <c r="HZJ92" s="580"/>
      <c r="HZK92" s="580"/>
      <c r="HZL92" s="580"/>
      <c r="HZM92" s="580"/>
      <c r="HZN92" s="580"/>
      <c r="HZO92" s="580"/>
      <c r="HZP92" s="580"/>
      <c r="HZQ92" s="580"/>
      <c r="HZR92" s="580"/>
      <c r="HZS92" s="580"/>
      <c r="HZT92" s="580"/>
      <c r="HZU92" s="580"/>
      <c r="HZV92" s="580"/>
      <c r="HZW92" s="580"/>
      <c r="HZX92" s="580"/>
      <c r="HZY92" s="580"/>
      <c r="HZZ92" s="580"/>
      <c r="IAA92" s="580"/>
      <c r="IAB92" s="580"/>
      <c r="IAC92" s="580"/>
      <c r="IAD92" s="580"/>
      <c r="IAE92" s="580"/>
      <c r="IAF92" s="580"/>
      <c r="IAG92" s="580"/>
      <c r="IAH92" s="580"/>
      <c r="IAI92" s="580"/>
      <c r="IAJ92" s="580"/>
      <c r="IAK92" s="580"/>
      <c r="IAL92" s="580"/>
      <c r="IAM92" s="580"/>
      <c r="IAN92" s="580"/>
      <c r="IAO92" s="580"/>
      <c r="IAP92" s="580"/>
      <c r="IAQ92" s="580"/>
      <c r="IAR92" s="580"/>
      <c r="IAS92" s="580"/>
      <c r="IAT92" s="580"/>
      <c r="IAU92" s="580"/>
      <c r="IAV92" s="580"/>
      <c r="IAW92" s="580"/>
      <c r="IAX92" s="580"/>
      <c r="IAY92" s="580"/>
      <c r="IAZ92" s="580"/>
      <c r="IBA92" s="580"/>
      <c r="IBB92" s="580"/>
      <c r="IBC92" s="580"/>
      <c r="IBD92" s="580"/>
      <c r="IBE92" s="580"/>
      <c r="IBF92" s="580"/>
      <c r="IBG92" s="580"/>
      <c r="IBH92" s="580"/>
      <c r="IBI92" s="580"/>
      <c r="IBJ92" s="580"/>
      <c r="IBK92" s="580"/>
      <c r="IBL92" s="580"/>
      <c r="IBM92" s="580"/>
      <c r="IBN92" s="580"/>
      <c r="IBO92" s="580"/>
      <c r="IBP92" s="580"/>
      <c r="IBQ92" s="580"/>
      <c r="IBR92" s="580"/>
      <c r="IBS92" s="580"/>
      <c r="IBT92" s="580"/>
      <c r="IBU92" s="580"/>
      <c r="IBV92" s="580"/>
      <c r="IBW92" s="580"/>
      <c r="IBX92" s="580"/>
      <c r="IBY92" s="580"/>
      <c r="IBZ92" s="580"/>
      <c r="ICA92" s="580"/>
      <c r="ICB92" s="580"/>
      <c r="ICC92" s="580"/>
      <c r="ICD92" s="580"/>
      <c r="ICE92" s="580"/>
      <c r="ICF92" s="580"/>
      <c r="ICG92" s="580"/>
      <c r="ICH92" s="580"/>
      <c r="ICI92" s="580"/>
      <c r="ICJ92" s="580"/>
      <c r="ICK92" s="580"/>
      <c r="ICL92" s="580"/>
      <c r="ICM92" s="580"/>
      <c r="ICN92" s="580"/>
      <c r="ICO92" s="580"/>
      <c r="ICP92" s="580"/>
      <c r="ICQ92" s="580"/>
      <c r="ICR92" s="580"/>
      <c r="ICS92" s="580"/>
      <c r="ICT92" s="580"/>
      <c r="ICU92" s="580"/>
      <c r="ICV92" s="580"/>
      <c r="ICW92" s="580"/>
      <c r="ICX92" s="580"/>
      <c r="ICY92" s="580"/>
      <c r="ICZ92" s="580"/>
      <c r="IDA92" s="580"/>
      <c r="IDB92" s="580"/>
      <c r="IDC92" s="580"/>
      <c r="IDD92" s="580"/>
      <c r="IDE92" s="580"/>
      <c r="IDF92" s="580"/>
      <c r="IDG92" s="580"/>
      <c r="IDH92" s="580"/>
      <c r="IDI92" s="580"/>
      <c r="IDJ92" s="580"/>
      <c r="IDK92" s="580"/>
      <c r="IDL92" s="580"/>
      <c r="IDM92" s="580"/>
      <c r="IDN92" s="580"/>
      <c r="IDO92" s="580"/>
      <c r="IDP92" s="580"/>
      <c r="IDQ92" s="580"/>
      <c r="IDR92" s="580"/>
      <c r="IDS92" s="580"/>
      <c r="IDT92" s="580"/>
      <c r="IDU92" s="580"/>
      <c r="IDV92" s="580"/>
      <c r="IDW92" s="580"/>
      <c r="IDX92" s="580"/>
      <c r="IDY92" s="580"/>
      <c r="IDZ92" s="580"/>
      <c r="IEA92" s="580"/>
      <c r="IEB92" s="580"/>
      <c r="IEC92" s="580"/>
      <c r="IED92" s="580"/>
      <c r="IEE92" s="580"/>
      <c r="IEF92" s="580"/>
      <c r="IEG92" s="580"/>
      <c r="IEH92" s="580"/>
      <c r="IEI92" s="580"/>
      <c r="IEJ92" s="580"/>
      <c r="IEK92" s="580"/>
      <c r="IEL92" s="580"/>
      <c r="IEM92" s="580"/>
      <c r="IEN92" s="580"/>
      <c r="IEO92" s="580"/>
      <c r="IEP92" s="580"/>
      <c r="IEQ92" s="580"/>
      <c r="IER92" s="580"/>
      <c r="IES92" s="580"/>
      <c r="IET92" s="580"/>
      <c r="IEU92" s="580"/>
      <c r="IEV92" s="580"/>
      <c r="IEW92" s="580"/>
      <c r="IEX92" s="580"/>
      <c r="IEY92" s="580"/>
      <c r="IEZ92" s="580"/>
      <c r="IFA92" s="580"/>
      <c r="IFB92" s="580"/>
      <c r="IFC92" s="580"/>
      <c r="IFD92" s="580"/>
      <c r="IFE92" s="580"/>
      <c r="IFF92" s="580"/>
      <c r="IFG92" s="580"/>
      <c r="IFH92" s="580"/>
      <c r="IFI92" s="580"/>
      <c r="IFJ92" s="580"/>
      <c r="IFK92" s="580"/>
      <c r="IFL92" s="580"/>
      <c r="IFM92" s="580"/>
      <c r="IFN92" s="580"/>
      <c r="IFO92" s="580"/>
      <c r="IFP92" s="580"/>
      <c r="IFQ92" s="580"/>
      <c r="IFR92" s="580"/>
      <c r="IFS92" s="580"/>
      <c r="IFT92" s="580"/>
      <c r="IFU92" s="580"/>
      <c r="IFV92" s="580"/>
      <c r="IFW92" s="580"/>
      <c r="IFX92" s="580"/>
      <c r="IFY92" s="580"/>
      <c r="IFZ92" s="580"/>
      <c r="IGA92" s="580"/>
      <c r="IGB92" s="580"/>
      <c r="IGC92" s="580"/>
      <c r="IGD92" s="580"/>
      <c r="IGE92" s="580"/>
      <c r="IGF92" s="580"/>
      <c r="IGG92" s="580"/>
      <c r="IGH92" s="580"/>
      <c r="IGI92" s="580"/>
      <c r="IGJ92" s="580"/>
      <c r="IGK92" s="580"/>
      <c r="IGL92" s="580"/>
      <c r="IGM92" s="580"/>
      <c r="IGN92" s="580"/>
      <c r="IGO92" s="580"/>
      <c r="IGP92" s="580"/>
      <c r="IGQ92" s="580"/>
      <c r="IGR92" s="580"/>
      <c r="IGS92" s="580"/>
      <c r="IGT92" s="580"/>
      <c r="IGU92" s="580"/>
      <c r="IGV92" s="580"/>
      <c r="IGW92" s="580"/>
      <c r="IGX92" s="580"/>
      <c r="IGY92" s="580"/>
      <c r="IGZ92" s="580"/>
      <c r="IHA92" s="580"/>
      <c r="IHB92" s="580"/>
      <c r="IHC92" s="580"/>
      <c r="IHD92" s="580"/>
      <c r="IHE92" s="580"/>
      <c r="IHF92" s="580"/>
      <c r="IHG92" s="580"/>
      <c r="IHH92" s="580"/>
      <c r="IHI92" s="580"/>
      <c r="IHJ92" s="580"/>
      <c r="IHK92" s="580"/>
      <c r="IHL92" s="580"/>
      <c r="IHM92" s="580"/>
      <c r="IHN92" s="580"/>
      <c r="IHO92" s="580"/>
      <c r="IHP92" s="580"/>
      <c r="IHQ92" s="580"/>
      <c r="IHR92" s="580"/>
      <c r="IHS92" s="580"/>
      <c r="IHT92" s="580"/>
      <c r="IHU92" s="580"/>
      <c r="IHV92" s="580"/>
      <c r="IHW92" s="580"/>
      <c r="IHX92" s="580"/>
      <c r="IHY92" s="580"/>
      <c r="IHZ92" s="580"/>
      <c r="IIA92" s="580"/>
      <c r="IIB92" s="580"/>
      <c r="IIC92" s="580"/>
      <c r="IID92" s="580"/>
      <c r="IIE92" s="580"/>
      <c r="IIF92" s="580"/>
      <c r="IIG92" s="580"/>
      <c r="IIH92" s="580"/>
      <c r="III92" s="580"/>
      <c r="IIJ92" s="580"/>
      <c r="IIK92" s="580"/>
      <c r="IIL92" s="580"/>
      <c r="IIM92" s="580"/>
      <c r="IIN92" s="580"/>
      <c r="IIO92" s="580"/>
      <c r="IIP92" s="580"/>
      <c r="IIQ92" s="580"/>
      <c r="IIR92" s="580"/>
      <c r="IIS92" s="580"/>
      <c r="IIT92" s="580"/>
      <c r="IIU92" s="580"/>
      <c r="IIV92" s="580"/>
      <c r="IIW92" s="580"/>
      <c r="IIX92" s="580"/>
      <c r="IIY92" s="580"/>
      <c r="IIZ92" s="580"/>
      <c r="IJA92" s="580"/>
      <c r="IJB92" s="580"/>
      <c r="IJC92" s="580"/>
      <c r="IJD92" s="580"/>
      <c r="IJE92" s="580"/>
      <c r="IJF92" s="580"/>
      <c r="IJG92" s="580"/>
      <c r="IJH92" s="580"/>
      <c r="IJI92" s="580"/>
      <c r="IJJ92" s="580"/>
      <c r="IJK92" s="580"/>
      <c r="IJL92" s="580"/>
      <c r="IJM92" s="580"/>
      <c r="IJN92" s="580"/>
      <c r="IJO92" s="580"/>
      <c r="IJP92" s="580"/>
      <c r="IJQ92" s="580"/>
      <c r="IJR92" s="580"/>
      <c r="IJS92" s="580"/>
      <c r="IJT92" s="580"/>
      <c r="IJU92" s="580"/>
      <c r="IJV92" s="580"/>
      <c r="IJW92" s="580"/>
      <c r="IJX92" s="580"/>
      <c r="IJY92" s="580"/>
      <c r="IJZ92" s="580"/>
      <c r="IKA92" s="580"/>
      <c r="IKB92" s="580"/>
      <c r="IKC92" s="580"/>
      <c r="IKD92" s="580"/>
      <c r="IKE92" s="580"/>
      <c r="IKF92" s="580"/>
      <c r="IKG92" s="580"/>
      <c r="IKH92" s="580"/>
      <c r="IKI92" s="580"/>
      <c r="IKJ92" s="580"/>
      <c r="IKK92" s="580"/>
      <c r="IKL92" s="580"/>
      <c r="IKM92" s="580"/>
      <c r="IKN92" s="580"/>
      <c r="IKO92" s="580"/>
      <c r="IKP92" s="580"/>
      <c r="IKQ92" s="580"/>
      <c r="IKR92" s="580"/>
      <c r="IKS92" s="580"/>
      <c r="IKT92" s="580"/>
      <c r="IKU92" s="580"/>
      <c r="IKV92" s="580"/>
      <c r="IKW92" s="580"/>
      <c r="IKX92" s="580"/>
      <c r="IKY92" s="580"/>
      <c r="IKZ92" s="580"/>
      <c r="ILA92" s="580"/>
      <c r="ILB92" s="580"/>
      <c r="ILC92" s="580"/>
      <c r="ILD92" s="580"/>
      <c r="ILE92" s="580"/>
      <c r="ILF92" s="580"/>
      <c r="ILG92" s="580"/>
      <c r="ILH92" s="580"/>
      <c r="ILI92" s="580"/>
      <c r="ILJ92" s="580"/>
      <c r="ILK92" s="580"/>
      <c r="ILL92" s="580"/>
      <c r="ILM92" s="580"/>
      <c r="ILN92" s="580"/>
      <c r="ILO92" s="580"/>
      <c r="ILP92" s="580"/>
      <c r="ILQ92" s="580"/>
      <c r="ILR92" s="580"/>
      <c r="ILS92" s="580"/>
      <c r="ILT92" s="580"/>
      <c r="ILU92" s="580"/>
      <c r="ILV92" s="580"/>
      <c r="ILW92" s="580"/>
      <c r="ILX92" s="580"/>
      <c r="ILY92" s="580"/>
      <c r="ILZ92" s="580"/>
      <c r="IMA92" s="580"/>
      <c r="IMB92" s="580"/>
      <c r="IMC92" s="580"/>
      <c r="IMD92" s="580"/>
      <c r="IME92" s="580"/>
      <c r="IMF92" s="580"/>
      <c r="IMG92" s="580"/>
      <c r="IMH92" s="580"/>
      <c r="IMI92" s="580"/>
      <c r="IMJ92" s="580"/>
      <c r="IMK92" s="580"/>
      <c r="IML92" s="580"/>
      <c r="IMM92" s="580"/>
      <c r="IMN92" s="580"/>
      <c r="IMO92" s="580"/>
      <c r="IMP92" s="580"/>
      <c r="IMQ92" s="580"/>
      <c r="IMR92" s="580"/>
      <c r="IMS92" s="580"/>
      <c r="IMT92" s="580"/>
      <c r="IMU92" s="580"/>
      <c r="IMV92" s="580"/>
      <c r="IMW92" s="580"/>
      <c r="IMX92" s="580"/>
      <c r="IMY92" s="580"/>
      <c r="IMZ92" s="580"/>
      <c r="INA92" s="580"/>
      <c r="INB92" s="580"/>
      <c r="INC92" s="580"/>
      <c r="IND92" s="580"/>
      <c r="INE92" s="580"/>
      <c r="INF92" s="580"/>
      <c r="ING92" s="580"/>
      <c r="INH92" s="580"/>
      <c r="INI92" s="580"/>
      <c r="INJ92" s="580"/>
      <c r="INK92" s="580"/>
      <c r="INL92" s="580"/>
      <c r="INM92" s="580"/>
      <c r="INN92" s="580"/>
      <c r="INO92" s="580"/>
      <c r="INP92" s="580"/>
      <c r="INQ92" s="580"/>
      <c r="INR92" s="580"/>
      <c r="INS92" s="580"/>
      <c r="INT92" s="580"/>
      <c r="INU92" s="580"/>
      <c r="INV92" s="580"/>
      <c r="INW92" s="580"/>
      <c r="INX92" s="580"/>
      <c r="INY92" s="580"/>
      <c r="INZ92" s="580"/>
      <c r="IOA92" s="580"/>
      <c r="IOB92" s="580"/>
      <c r="IOC92" s="580"/>
      <c r="IOD92" s="580"/>
      <c r="IOE92" s="580"/>
      <c r="IOF92" s="580"/>
      <c r="IOG92" s="580"/>
      <c r="IOH92" s="580"/>
      <c r="IOI92" s="580"/>
      <c r="IOJ92" s="580"/>
      <c r="IOK92" s="580"/>
      <c r="IOL92" s="580"/>
      <c r="IOM92" s="580"/>
      <c r="ION92" s="580"/>
      <c r="IOO92" s="580"/>
      <c r="IOP92" s="580"/>
      <c r="IOQ92" s="580"/>
      <c r="IOR92" s="580"/>
      <c r="IOS92" s="580"/>
      <c r="IOT92" s="580"/>
      <c r="IOU92" s="580"/>
      <c r="IOV92" s="580"/>
      <c r="IOW92" s="580"/>
      <c r="IOX92" s="580"/>
      <c r="IOY92" s="580"/>
      <c r="IOZ92" s="580"/>
      <c r="IPA92" s="580"/>
      <c r="IPB92" s="580"/>
      <c r="IPC92" s="580"/>
      <c r="IPD92" s="580"/>
      <c r="IPE92" s="580"/>
      <c r="IPF92" s="580"/>
      <c r="IPG92" s="580"/>
      <c r="IPH92" s="580"/>
      <c r="IPI92" s="580"/>
      <c r="IPJ92" s="580"/>
      <c r="IPK92" s="580"/>
      <c r="IPL92" s="580"/>
      <c r="IPM92" s="580"/>
      <c r="IPN92" s="580"/>
      <c r="IPO92" s="580"/>
      <c r="IPP92" s="580"/>
      <c r="IPQ92" s="580"/>
      <c r="IPR92" s="580"/>
      <c r="IPS92" s="580"/>
      <c r="IPT92" s="580"/>
      <c r="IPU92" s="580"/>
      <c r="IPV92" s="580"/>
      <c r="IPW92" s="580"/>
      <c r="IPX92" s="580"/>
      <c r="IPY92" s="580"/>
      <c r="IPZ92" s="580"/>
      <c r="IQA92" s="580"/>
      <c r="IQB92" s="580"/>
      <c r="IQC92" s="580"/>
      <c r="IQD92" s="580"/>
      <c r="IQE92" s="580"/>
      <c r="IQF92" s="580"/>
      <c r="IQG92" s="580"/>
      <c r="IQH92" s="580"/>
      <c r="IQI92" s="580"/>
      <c r="IQJ92" s="580"/>
      <c r="IQK92" s="580"/>
      <c r="IQL92" s="580"/>
      <c r="IQM92" s="580"/>
      <c r="IQN92" s="580"/>
      <c r="IQO92" s="580"/>
      <c r="IQP92" s="580"/>
      <c r="IQQ92" s="580"/>
      <c r="IQR92" s="580"/>
      <c r="IQS92" s="580"/>
      <c r="IQT92" s="580"/>
      <c r="IQU92" s="580"/>
      <c r="IQV92" s="580"/>
      <c r="IQW92" s="580"/>
      <c r="IQX92" s="580"/>
      <c r="IQY92" s="580"/>
      <c r="IQZ92" s="580"/>
      <c r="IRA92" s="580"/>
      <c r="IRB92" s="580"/>
      <c r="IRC92" s="580"/>
      <c r="IRD92" s="580"/>
      <c r="IRE92" s="580"/>
      <c r="IRF92" s="580"/>
      <c r="IRG92" s="580"/>
      <c r="IRH92" s="580"/>
      <c r="IRI92" s="580"/>
      <c r="IRJ92" s="580"/>
      <c r="IRK92" s="580"/>
      <c r="IRL92" s="580"/>
      <c r="IRM92" s="580"/>
      <c r="IRN92" s="580"/>
      <c r="IRO92" s="580"/>
      <c r="IRP92" s="580"/>
      <c r="IRQ92" s="580"/>
      <c r="IRR92" s="580"/>
      <c r="IRS92" s="580"/>
      <c r="IRT92" s="580"/>
      <c r="IRU92" s="580"/>
      <c r="IRV92" s="580"/>
      <c r="IRW92" s="580"/>
      <c r="IRX92" s="580"/>
      <c r="IRY92" s="580"/>
      <c r="IRZ92" s="580"/>
      <c r="ISA92" s="580"/>
      <c r="ISB92" s="580"/>
      <c r="ISC92" s="580"/>
      <c r="ISD92" s="580"/>
      <c r="ISE92" s="580"/>
      <c r="ISF92" s="580"/>
      <c r="ISG92" s="580"/>
      <c r="ISH92" s="580"/>
      <c r="ISI92" s="580"/>
      <c r="ISJ92" s="580"/>
      <c r="ISK92" s="580"/>
      <c r="ISL92" s="580"/>
      <c r="ISM92" s="580"/>
      <c r="ISN92" s="580"/>
      <c r="ISO92" s="580"/>
      <c r="ISP92" s="580"/>
      <c r="ISQ92" s="580"/>
      <c r="ISR92" s="580"/>
      <c r="ISS92" s="580"/>
      <c r="IST92" s="580"/>
      <c r="ISU92" s="580"/>
      <c r="ISV92" s="580"/>
      <c r="ISW92" s="580"/>
      <c r="ISX92" s="580"/>
      <c r="ISY92" s="580"/>
      <c r="ISZ92" s="580"/>
      <c r="ITA92" s="580"/>
      <c r="ITB92" s="580"/>
      <c r="ITC92" s="580"/>
      <c r="ITD92" s="580"/>
      <c r="ITE92" s="580"/>
      <c r="ITF92" s="580"/>
      <c r="ITG92" s="580"/>
      <c r="ITH92" s="580"/>
      <c r="ITI92" s="580"/>
      <c r="ITJ92" s="580"/>
      <c r="ITK92" s="580"/>
      <c r="ITL92" s="580"/>
      <c r="ITM92" s="580"/>
      <c r="ITN92" s="580"/>
      <c r="ITO92" s="580"/>
      <c r="ITP92" s="580"/>
      <c r="ITQ92" s="580"/>
      <c r="ITR92" s="580"/>
      <c r="ITS92" s="580"/>
      <c r="ITT92" s="580"/>
      <c r="ITU92" s="580"/>
      <c r="ITV92" s="580"/>
      <c r="ITW92" s="580"/>
      <c r="ITX92" s="580"/>
      <c r="ITY92" s="580"/>
      <c r="ITZ92" s="580"/>
      <c r="IUA92" s="580"/>
      <c r="IUB92" s="580"/>
      <c r="IUC92" s="580"/>
      <c r="IUD92" s="580"/>
      <c r="IUE92" s="580"/>
      <c r="IUF92" s="580"/>
      <c r="IUG92" s="580"/>
      <c r="IUH92" s="580"/>
      <c r="IUI92" s="580"/>
      <c r="IUJ92" s="580"/>
      <c r="IUK92" s="580"/>
      <c r="IUL92" s="580"/>
      <c r="IUM92" s="580"/>
      <c r="IUN92" s="580"/>
      <c r="IUO92" s="580"/>
      <c r="IUP92" s="580"/>
      <c r="IUQ92" s="580"/>
      <c r="IUR92" s="580"/>
      <c r="IUS92" s="580"/>
      <c r="IUT92" s="580"/>
      <c r="IUU92" s="580"/>
      <c r="IUV92" s="580"/>
      <c r="IUW92" s="580"/>
      <c r="IUX92" s="580"/>
      <c r="IUY92" s="580"/>
      <c r="IUZ92" s="580"/>
      <c r="IVA92" s="580"/>
      <c r="IVB92" s="580"/>
      <c r="IVC92" s="580"/>
      <c r="IVD92" s="580"/>
      <c r="IVE92" s="580"/>
      <c r="IVF92" s="580"/>
      <c r="IVG92" s="580"/>
      <c r="IVH92" s="580"/>
      <c r="IVI92" s="580"/>
      <c r="IVJ92" s="580"/>
      <c r="IVK92" s="580"/>
      <c r="IVL92" s="580"/>
      <c r="IVM92" s="580"/>
      <c r="IVN92" s="580"/>
      <c r="IVO92" s="580"/>
      <c r="IVP92" s="580"/>
      <c r="IVQ92" s="580"/>
      <c r="IVR92" s="580"/>
      <c r="IVS92" s="580"/>
      <c r="IVT92" s="580"/>
      <c r="IVU92" s="580"/>
      <c r="IVV92" s="580"/>
      <c r="IVW92" s="580"/>
      <c r="IVX92" s="580"/>
      <c r="IVY92" s="580"/>
      <c r="IVZ92" s="580"/>
      <c r="IWA92" s="580"/>
      <c r="IWB92" s="580"/>
      <c r="IWC92" s="580"/>
      <c r="IWD92" s="580"/>
      <c r="IWE92" s="580"/>
      <c r="IWF92" s="580"/>
      <c r="IWG92" s="580"/>
      <c r="IWH92" s="580"/>
      <c r="IWI92" s="580"/>
      <c r="IWJ92" s="580"/>
      <c r="IWK92" s="580"/>
      <c r="IWL92" s="580"/>
      <c r="IWM92" s="580"/>
      <c r="IWN92" s="580"/>
      <c r="IWO92" s="580"/>
      <c r="IWP92" s="580"/>
      <c r="IWQ92" s="580"/>
      <c r="IWR92" s="580"/>
      <c r="IWS92" s="580"/>
      <c r="IWT92" s="580"/>
      <c r="IWU92" s="580"/>
      <c r="IWV92" s="580"/>
      <c r="IWW92" s="580"/>
      <c r="IWX92" s="580"/>
      <c r="IWY92" s="580"/>
      <c r="IWZ92" s="580"/>
      <c r="IXA92" s="580"/>
      <c r="IXB92" s="580"/>
      <c r="IXC92" s="580"/>
      <c r="IXD92" s="580"/>
      <c r="IXE92" s="580"/>
      <c r="IXF92" s="580"/>
      <c r="IXG92" s="580"/>
      <c r="IXH92" s="580"/>
      <c r="IXI92" s="580"/>
      <c r="IXJ92" s="580"/>
      <c r="IXK92" s="580"/>
      <c r="IXL92" s="580"/>
      <c r="IXM92" s="580"/>
      <c r="IXN92" s="580"/>
      <c r="IXO92" s="580"/>
      <c r="IXP92" s="580"/>
      <c r="IXQ92" s="580"/>
      <c r="IXR92" s="580"/>
      <c r="IXS92" s="580"/>
      <c r="IXT92" s="580"/>
      <c r="IXU92" s="580"/>
      <c r="IXV92" s="580"/>
      <c r="IXW92" s="580"/>
      <c r="IXX92" s="580"/>
      <c r="IXY92" s="580"/>
      <c r="IXZ92" s="580"/>
      <c r="IYA92" s="580"/>
      <c r="IYB92" s="580"/>
      <c r="IYC92" s="580"/>
      <c r="IYD92" s="580"/>
      <c r="IYE92" s="580"/>
      <c r="IYF92" s="580"/>
      <c r="IYG92" s="580"/>
      <c r="IYH92" s="580"/>
      <c r="IYI92" s="580"/>
      <c r="IYJ92" s="580"/>
      <c r="IYK92" s="580"/>
      <c r="IYL92" s="580"/>
      <c r="IYM92" s="580"/>
      <c r="IYN92" s="580"/>
      <c r="IYO92" s="580"/>
      <c r="IYP92" s="580"/>
      <c r="IYQ92" s="580"/>
      <c r="IYR92" s="580"/>
      <c r="IYS92" s="580"/>
      <c r="IYT92" s="580"/>
      <c r="IYU92" s="580"/>
      <c r="IYV92" s="580"/>
      <c r="IYW92" s="580"/>
      <c r="IYX92" s="580"/>
      <c r="IYY92" s="580"/>
      <c r="IYZ92" s="580"/>
      <c r="IZA92" s="580"/>
      <c r="IZB92" s="580"/>
      <c r="IZC92" s="580"/>
      <c r="IZD92" s="580"/>
      <c r="IZE92" s="580"/>
      <c r="IZF92" s="580"/>
      <c r="IZG92" s="580"/>
      <c r="IZH92" s="580"/>
      <c r="IZI92" s="580"/>
      <c r="IZJ92" s="580"/>
      <c r="IZK92" s="580"/>
      <c r="IZL92" s="580"/>
      <c r="IZM92" s="580"/>
      <c r="IZN92" s="580"/>
      <c r="IZO92" s="580"/>
      <c r="IZP92" s="580"/>
      <c r="IZQ92" s="580"/>
      <c r="IZR92" s="580"/>
      <c r="IZS92" s="580"/>
      <c r="IZT92" s="580"/>
      <c r="IZU92" s="580"/>
      <c r="IZV92" s="580"/>
      <c r="IZW92" s="580"/>
      <c r="IZX92" s="580"/>
      <c r="IZY92" s="580"/>
      <c r="IZZ92" s="580"/>
      <c r="JAA92" s="580"/>
      <c r="JAB92" s="580"/>
      <c r="JAC92" s="580"/>
      <c r="JAD92" s="580"/>
      <c r="JAE92" s="580"/>
      <c r="JAF92" s="580"/>
      <c r="JAG92" s="580"/>
      <c r="JAH92" s="580"/>
      <c r="JAI92" s="580"/>
      <c r="JAJ92" s="580"/>
      <c r="JAK92" s="580"/>
      <c r="JAL92" s="580"/>
      <c r="JAM92" s="580"/>
      <c r="JAN92" s="580"/>
      <c r="JAO92" s="580"/>
      <c r="JAP92" s="580"/>
      <c r="JAQ92" s="580"/>
      <c r="JAR92" s="580"/>
      <c r="JAS92" s="580"/>
      <c r="JAT92" s="580"/>
      <c r="JAU92" s="580"/>
      <c r="JAV92" s="580"/>
      <c r="JAW92" s="580"/>
      <c r="JAX92" s="580"/>
      <c r="JAY92" s="580"/>
      <c r="JAZ92" s="580"/>
      <c r="JBA92" s="580"/>
      <c r="JBB92" s="580"/>
      <c r="JBC92" s="580"/>
      <c r="JBD92" s="580"/>
      <c r="JBE92" s="580"/>
      <c r="JBF92" s="580"/>
      <c r="JBG92" s="580"/>
      <c r="JBH92" s="580"/>
      <c r="JBI92" s="580"/>
      <c r="JBJ92" s="580"/>
      <c r="JBK92" s="580"/>
      <c r="JBL92" s="580"/>
      <c r="JBM92" s="580"/>
      <c r="JBN92" s="580"/>
      <c r="JBO92" s="580"/>
      <c r="JBP92" s="580"/>
      <c r="JBQ92" s="580"/>
      <c r="JBR92" s="580"/>
      <c r="JBS92" s="580"/>
      <c r="JBT92" s="580"/>
      <c r="JBU92" s="580"/>
      <c r="JBV92" s="580"/>
      <c r="JBW92" s="580"/>
      <c r="JBX92" s="580"/>
      <c r="JBY92" s="580"/>
      <c r="JBZ92" s="580"/>
      <c r="JCA92" s="580"/>
      <c r="JCB92" s="580"/>
      <c r="JCC92" s="580"/>
      <c r="JCD92" s="580"/>
      <c r="JCE92" s="580"/>
      <c r="JCF92" s="580"/>
      <c r="JCG92" s="580"/>
      <c r="JCH92" s="580"/>
      <c r="JCI92" s="580"/>
      <c r="JCJ92" s="580"/>
      <c r="JCK92" s="580"/>
      <c r="JCL92" s="580"/>
      <c r="JCM92" s="580"/>
      <c r="JCN92" s="580"/>
      <c r="JCO92" s="580"/>
      <c r="JCP92" s="580"/>
      <c r="JCQ92" s="580"/>
      <c r="JCR92" s="580"/>
      <c r="JCS92" s="580"/>
      <c r="JCT92" s="580"/>
      <c r="JCU92" s="580"/>
      <c r="JCV92" s="580"/>
      <c r="JCW92" s="580"/>
      <c r="JCX92" s="580"/>
      <c r="JCY92" s="580"/>
      <c r="JCZ92" s="580"/>
      <c r="JDA92" s="580"/>
      <c r="JDB92" s="580"/>
      <c r="JDC92" s="580"/>
      <c r="JDD92" s="580"/>
      <c r="JDE92" s="580"/>
      <c r="JDF92" s="580"/>
      <c r="JDG92" s="580"/>
      <c r="JDH92" s="580"/>
      <c r="JDI92" s="580"/>
      <c r="JDJ92" s="580"/>
      <c r="JDK92" s="580"/>
      <c r="JDL92" s="580"/>
      <c r="JDM92" s="580"/>
      <c r="JDN92" s="580"/>
      <c r="JDO92" s="580"/>
      <c r="JDP92" s="580"/>
      <c r="JDQ92" s="580"/>
      <c r="JDR92" s="580"/>
      <c r="JDS92" s="580"/>
      <c r="JDT92" s="580"/>
      <c r="JDU92" s="580"/>
      <c r="JDV92" s="580"/>
      <c r="JDW92" s="580"/>
      <c r="JDX92" s="580"/>
      <c r="JDY92" s="580"/>
      <c r="JDZ92" s="580"/>
      <c r="JEA92" s="580"/>
      <c r="JEB92" s="580"/>
      <c r="JEC92" s="580"/>
      <c r="JED92" s="580"/>
      <c r="JEE92" s="580"/>
      <c r="JEF92" s="580"/>
      <c r="JEG92" s="580"/>
      <c r="JEH92" s="580"/>
      <c r="JEI92" s="580"/>
      <c r="JEJ92" s="580"/>
      <c r="JEK92" s="580"/>
      <c r="JEL92" s="580"/>
      <c r="JEM92" s="580"/>
      <c r="JEN92" s="580"/>
      <c r="JEO92" s="580"/>
      <c r="JEP92" s="580"/>
      <c r="JEQ92" s="580"/>
      <c r="JER92" s="580"/>
      <c r="JES92" s="580"/>
      <c r="JET92" s="580"/>
      <c r="JEU92" s="580"/>
      <c r="JEV92" s="580"/>
      <c r="JEW92" s="580"/>
      <c r="JEX92" s="580"/>
      <c r="JEY92" s="580"/>
      <c r="JEZ92" s="580"/>
      <c r="JFA92" s="580"/>
      <c r="JFB92" s="580"/>
      <c r="JFC92" s="580"/>
      <c r="JFD92" s="580"/>
      <c r="JFE92" s="580"/>
      <c r="JFF92" s="580"/>
      <c r="JFG92" s="580"/>
      <c r="JFH92" s="580"/>
      <c r="JFI92" s="580"/>
      <c r="JFJ92" s="580"/>
      <c r="JFK92" s="580"/>
      <c r="JFL92" s="580"/>
      <c r="JFM92" s="580"/>
      <c r="JFN92" s="580"/>
      <c r="JFO92" s="580"/>
      <c r="JFP92" s="580"/>
      <c r="JFQ92" s="580"/>
      <c r="JFR92" s="580"/>
      <c r="JFS92" s="580"/>
      <c r="JFT92" s="580"/>
      <c r="JFU92" s="580"/>
      <c r="JFV92" s="580"/>
      <c r="JFW92" s="580"/>
      <c r="JFX92" s="580"/>
      <c r="JFY92" s="580"/>
      <c r="JFZ92" s="580"/>
      <c r="JGA92" s="580"/>
      <c r="JGB92" s="580"/>
      <c r="JGC92" s="580"/>
      <c r="JGD92" s="580"/>
      <c r="JGE92" s="580"/>
      <c r="JGF92" s="580"/>
      <c r="JGG92" s="580"/>
      <c r="JGH92" s="580"/>
      <c r="JGI92" s="580"/>
      <c r="JGJ92" s="580"/>
      <c r="JGK92" s="580"/>
      <c r="JGL92" s="580"/>
      <c r="JGM92" s="580"/>
      <c r="JGN92" s="580"/>
      <c r="JGO92" s="580"/>
      <c r="JGP92" s="580"/>
      <c r="JGQ92" s="580"/>
      <c r="JGR92" s="580"/>
      <c r="JGS92" s="580"/>
      <c r="JGT92" s="580"/>
      <c r="JGU92" s="580"/>
      <c r="JGV92" s="580"/>
      <c r="JGW92" s="580"/>
      <c r="JGX92" s="580"/>
      <c r="JGY92" s="580"/>
      <c r="JGZ92" s="580"/>
      <c r="JHA92" s="580"/>
      <c r="JHB92" s="580"/>
      <c r="JHC92" s="580"/>
      <c r="JHD92" s="580"/>
      <c r="JHE92" s="580"/>
      <c r="JHF92" s="580"/>
      <c r="JHG92" s="580"/>
      <c r="JHH92" s="580"/>
      <c r="JHI92" s="580"/>
      <c r="JHJ92" s="580"/>
      <c r="JHK92" s="580"/>
      <c r="JHL92" s="580"/>
      <c r="JHM92" s="580"/>
      <c r="JHN92" s="580"/>
      <c r="JHO92" s="580"/>
      <c r="JHP92" s="580"/>
      <c r="JHQ92" s="580"/>
      <c r="JHR92" s="580"/>
      <c r="JHS92" s="580"/>
      <c r="JHT92" s="580"/>
      <c r="JHU92" s="580"/>
      <c r="JHV92" s="580"/>
      <c r="JHW92" s="580"/>
      <c r="JHX92" s="580"/>
      <c r="JHY92" s="580"/>
      <c r="JHZ92" s="580"/>
      <c r="JIA92" s="580"/>
      <c r="JIB92" s="580"/>
      <c r="JIC92" s="580"/>
      <c r="JID92" s="580"/>
      <c r="JIE92" s="580"/>
      <c r="JIF92" s="580"/>
      <c r="JIG92" s="580"/>
      <c r="JIH92" s="580"/>
      <c r="JII92" s="580"/>
      <c r="JIJ92" s="580"/>
      <c r="JIK92" s="580"/>
      <c r="JIL92" s="580"/>
      <c r="JIM92" s="580"/>
      <c r="JIN92" s="580"/>
      <c r="JIO92" s="580"/>
      <c r="JIP92" s="580"/>
      <c r="JIQ92" s="580"/>
      <c r="JIR92" s="580"/>
      <c r="JIS92" s="580"/>
      <c r="JIT92" s="580"/>
      <c r="JIU92" s="580"/>
      <c r="JIV92" s="580"/>
      <c r="JIW92" s="580"/>
      <c r="JIX92" s="580"/>
      <c r="JIY92" s="580"/>
      <c r="JIZ92" s="580"/>
      <c r="JJA92" s="580"/>
      <c r="JJB92" s="580"/>
      <c r="JJC92" s="580"/>
      <c r="JJD92" s="580"/>
      <c r="JJE92" s="580"/>
      <c r="JJF92" s="580"/>
      <c r="JJG92" s="580"/>
      <c r="JJH92" s="580"/>
      <c r="JJI92" s="580"/>
      <c r="JJJ92" s="580"/>
      <c r="JJK92" s="580"/>
      <c r="JJL92" s="580"/>
      <c r="JJM92" s="580"/>
      <c r="JJN92" s="580"/>
      <c r="JJO92" s="580"/>
      <c r="JJP92" s="580"/>
      <c r="JJQ92" s="580"/>
      <c r="JJR92" s="580"/>
      <c r="JJS92" s="580"/>
      <c r="JJT92" s="580"/>
      <c r="JJU92" s="580"/>
      <c r="JJV92" s="580"/>
      <c r="JJW92" s="580"/>
      <c r="JJX92" s="580"/>
      <c r="JJY92" s="580"/>
      <c r="JJZ92" s="580"/>
      <c r="JKA92" s="580"/>
      <c r="JKB92" s="580"/>
      <c r="JKC92" s="580"/>
      <c r="JKD92" s="580"/>
      <c r="JKE92" s="580"/>
      <c r="JKF92" s="580"/>
      <c r="JKG92" s="580"/>
      <c r="JKH92" s="580"/>
      <c r="JKI92" s="580"/>
      <c r="JKJ92" s="580"/>
      <c r="JKK92" s="580"/>
      <c r="JKL92" s="580"/>
      <c r="JKM92" s="580"/>
      <c r="JKN92" s="580"/>
      <c r="JKO92" s="580"/>
      <c r="JKP92" s="580"/>
      <c r="JKQ92" s="580"/>
      <c r="JKR92" s="580"/>
      <c r="JKS92" s="580"/>
      <c r="JKT92" s="580"/>
      <c r="JKU92" s="580"/>
      <c r="JKV92" s="580"/>
      <c r="JKW92" s="580"/>
      <c r="JKX92" s="580"/>
      <c r="JKY92" s="580"/>
      <c r="JKZ92" s="580"/>
      <c r="JLA92" s="580"/>
      <c r="JLB92" s="580"/>
      <c r="JLC92" s="580"/>
      <c r="JLD92" s="580"/>
      <c r="JLE92" s="580"/>
      <c r="JLF92" s="580"/>
      <c r="JLG92" s="580"/>
      <c r="JLH92" s="580"/>
      <c r="JLI92" s="580"/>
      <c r="JLJ92" s="580"/>
      <c r="JLK92" s="580"/>
      <c r="JLL92" s="580"/>
      <c r="JLM92" s="580"/>
      <c r="JLN92" s="580"/>
      <c r="JLO92" s="580"/>
      <c r="JLP92" s="580"/>
      <c r="JLQ92" s="580"/>
      <c r="JLR92" s="580"/>
      <c r="JLS92" s="580"/>
      <c r="JLT92" s="580"/>
      <c r="JLU92" s="580"/>
      <c r="JLV92" s="580"/>
      <c r="JLW92" s="580"/>
      <c r="JLX92" s="580"/>
      <c r="JLY92" s="580"/>
      <c r="JLZ92" s="580"/>
      <c r="JMA92" s="580"/>
      <c r="JMB92" s="580"/>
      <c r="JMC92" s="580"/>
      <c r="JMD92" s="580"/>
      <c r="JME92" s="580"/>
      <c r="JMF92" s="580"/>
      <c r="JMG92" s="580"/>
      <c r="JMH92" s="580"/>
      <c r="JMI92" s="580"/>
      <c r="JMJ92" s="580"/>
      <c r="JMK92" s="580"/>
      <c r="JML92" s="580"/>
      <c r="JMM92" s="580"/>
      <c r="JMN92" s="580"/>
      <c r="JMO92" s="580"/>
      <c r="JMP92" s="580"/>
      <c r="JMQ92" s="580"/>
      <c r="JMR92" s="580"/>
      <c r="JMS92" s="580"/>
      <c r="JMT92" s="580"/>
      <c r="JMU92" s="580"/>
      <c r="JMV92" s="580"/>
      <c r="JMW92" s="580"/>
      <c r="JMX92" s="580"/>
      <c r="JMY92" s="580"/>
      <c r="JMZ92" s="580"/>
      <c r="JNA92" s="580"/>
      <c r="JNB92" s="580"/>
      <c r="JNC92" s="580"/>
      <c r="JND92" s="580"/>
      <c r="JNE92" s="580"/>
      <c r="JNF92" s="580"/>
      <c r="JNG92" s="580"/>
      <c r="JNH92" s="580"/>
      <c r="JNI92" s="580"/>
      <c r="JNJ92" s="580"/>
      <c r="JNK92" s="580"/>
      <c r="JNL92" s="580"/>
      <c r="JNM92" s="580"/>
      <c r="JNN92" s="580"/>
      <c r="JNO92" s="580"/>
      <c r="JNP92" s="580"/>
      <c r="JNQ92" s="580"/>
      <c r="JNR92" s="580"/>
      <c r="JNS92" s="580"/>
      <c r="JNT92" s="580"/>
      <c r="JNU92" s="580"/>
      <c r="JNV92" s="580"/>
      <c r="JNW92" s="580"/>
      <c r="JNX92" s="580"/>
      <c r="JNY92" s="580"/>
      <c r="JNZ92" s="580"/>
      <c r="JOA92" s="580"/>
      <c r="JOB92" s="580"/>
      <c r="JOC92" s="580"/>
      <c r="JOD92" s="580"/>
      <c r="JOE92" s="580"/>
      <c r="JOF92" s="580"/>
      <c r="JOG92" s="580"/>
      <c r="JOH92" s="580"/>
      <c r="JOI92" s="580"/>
      <c r="JOJ92" s="580"/>
      <c r="JOK92" s="580"/>
      <c r="JOL92" s="580"/>
      <c r="JOM92" s="580"/>
      <c r="JON92" s="580"/>
      <c r="JOO92" s="580"/>
      <c r="JOP92" s="580"/>
      <c r="JOQ92" s="580"/>
      <c r="JOR92" s="580"/>
      <c r="JOS92" s="580"/>
      <c r="JOT92" s="580"/>
      <c r="JOU92" s="580"/>
      <c r="JOV92" s="580"/>
      <c r="JOW92" s="580"/>
      <c r="JOX92" s="580"/>
      <c r="JOY92" s="580"/>
      <c r="JOZ92" s="580"/>
      <c r="JPA92" s="580"/>
      <c r="JPB92" s="580"/>
      <c r="JPC92" s="580"/>
      <c r="JPD92" s="580"/>
      <c r="JPE92" s="580"/>
      <c r="JPF92" s="580"/>
      <c r="JPG92" s="580"/>
      <c r="JPH92" s="580"/>
      <c r="JPI92" s="580"/>
      <c r="JPJ92" s="580"/>
      <c r="JPK92" s="580"/>
      <c r="JPL92" s="580"/>
      <c r="JPM92" s="580"/>
      <c r="JPN92" s="580"/>
      <c r="JPO92" s="580"/>
      <c r="JPP92" s="580"/>
      <c r="JPQ92" s="580"/>
      <c r="JPR92" s="580"/>
      <c r="JPS92" s="580"/>
      <c r="JPT92" s="580"/>
      <c r="JPU92" s="580"/>
      <c r="JPV92" s="580"/>
      <c r="JPW92" s="580"/>
      <c r="JPX92" s="580"/>
      <c r="JPY92" s="580"/>
      <c r="JPZ92" s="580"/>
      <c r="JQA92" s="580"/>
      <c r="JQB92" s="580"/>
      <c r="JQC92" s="580"/>
      <c r="JQD92" s="580"/>
      <c r="JQE92" s="580"/>
      <c r="JQF92" s="580"/>
      <c r="JQG92" s="580"/>
      <c r="JQH92" s="580"/>
      <c r="JQI92" s="580"/>
      <c r="JQJ92" s="580"/>
      <c r="JQK92" s="580"/>
      <c r="JQL92" s="580"/>
      <c r="JQM92" s="580"/>
      <c r="JQN92" s="580"/>
      <c r="JQO92" s="580"/>
      <c r="JQP92" s="580"/>
      <c r="JQQ92" s="580"/>
      <c r="JQR92" s="580"/>
      <c r="JQS92" s="580"/>
      <c r="JQT92" s="580"/>
      <c r="JQU92" s="580"/>
      <c r="JQV92" s="580"/>
      <c r="JQW92" s="580"/>
      <c r="JQX92" s="580"/>
      <c r="JQY92" s="580"/>
      <c r="JQZ92" s="580"/>
      <c r="JRA92" s="580"/>
      <c r="JRB92" s="580"/>
      <c r="JRC92" s="580"/>
      <c r="JRD92" s="580"/>
      <c r="JRE92" s="580"/>
      <c r="JRF92" s="580"/>
      <c r="JRG92" s="580"/>
      <c r="JRH92" s="580"/>
      <c r="JRI92" s="580"/>
      <c r="JRJ92" s="580"/>
      <c r="JRK92" s="580"/>
      <c r="JRL92" s="580"/>
      <c r="JRM92" s="580"/>
      <c r="JRN92" s="580"/>
      <c r="JRO92" s="580"/>
      <c r="JRP92" s="580"/>
      <c r="JRQ92" s="580"/>
      <c r="JRR92" s="580"/>
      <c r="JRS92" s="580"/>
      <c r="JRT92" s="580"/>
      <c r="JRU92" s="580"/>
      <c r="JRV92" s="580"/>
      <c r="JRW92" s="580"/>
      <c r="JRX92" s="580"/>
      <c r="JRY92" s="580"/>
      <c r="JRZ92" s="580"/>
      <c r="JSA92" s="580"/>
      <c r="JSB92" s="580"/>
      <c r="JSC92" s="580"/>
      <c r="JSD92" s="580"/>
      <c r="JSE92" s="580"/>
      <c r="JSF92" s="580"/>
      <c r="JSG92" s="580"/>
      <c r="JSH92" s="580"/>
      <c r="JSI92" s="580"/>
      <c r="JSJ92" s="580"/>
      <c r="JSK92" s="580"/>
      <c r="JSL92" s="580"/>
      <c r="JSM92" s="580"/>
      <c r="JSN92" s="580"/>
      <c r="JSO92" s="580"/>
      <c r="JSP92" s="580"/>
      <c r="JSQ92" s="580"/>
      <c r="JSR92" s="580"/>
      <c r="JSS92" s="580"/>
      <c r="JST92" s="580"/>
      <c r="JSU92" s="580"/>
      <c r="JSV92" s="580"/>
      <c r="JSW92" s="580"/>
      <c r="JSX92" s="580"/>
      <c r="JSY92" s="580"/>
      <c r="JSZ92" s="580"/>
      <c r="JTA92" s="580"/>
      <c r="JTB92" s="580"/>
      <c r="JTC92" s="580"/>
      <c r="JTD92" s="580"/>
      <c r="JTE92" s="580"/>
      <c r="JTF92" s="580"/>
      <c r="JTG92" s="580"/>
      <c r="JTH92" s="580"/>
      <c r="JTI92" s="580"/>
      <c r="JTJ92" s="580"/>
      <c r="JTK92" s="580"/>
      <c r="JTL92" s="580"/>
      <c r="JTM92" s="580"/>
      <c r="JTN92" s="580"/>
      <c r="JTO92" s="580"/>
      <c r="JTP92" s="580"/>
      <c r="JTQ92" s="580"/>
      <c r="JTR92" s="580"/>
      <c r="JTS92" s="580"/>
      <c r="JTT92" s="580"/>
      <c r="JTU92" s="580"/>
      <c r="JTV92" s="580"/>
      <c r="JTW92" s="580"/>
      <c r="JTX92" s="580"/>
      <c r="JTY92" s="580"/>
      <c r="JTZ92" s="580"/>
      <c r="JUA92" s="580"/>
      <c r="JUB92" s="580"/>
      <c r="JUC92" s="580"/>
      <c r="JUD92" s="580"/>
      <c r="JUE92" s="580"/>
      <c r="JUF92" s="580"/>
      <c r="JUG92" s="580"/>
      <c r="JUH92" s="580"/>
      <c r="JUI92" s="580"/>
      <c r="JUJ92" s="580"/>
      <c r="JUK92" s="580"/>
      <c r="JUL92" s="580"/>
      <c r="JUM92" s="580"/>
      <c r="JUN92" s="580"/>
      <c r="JUO92" s="580"/>
      <c r="JUP92" s="580"/>
      <c r="JUQ92" s="580"/>
      <c r="JUR92" s="580"/>
      <c r="JUS92" s="580"/>
      <c r="JUT92" s="580"/>
      <c r="JUU92" s="580"/>
      <c r="JUV92" s="580"/>
      <c r="JUW92" s="580"/>
      <c r="JUX92" s="580"/>
      <c r="JUY92" s="580"/>
      <c r="JUZ92" s="580"/>
      <c r="JVA92" s="580"/>
      <c r="JVB92" s="580"/>
      <c r="JVC92" s="580"/>
      <c r="JVD92" s="580"/>
      <c r="JVE92" s="580"/>
      <c r="JVF92" s="580"/>
      <c r="JVG92" s="580"/>
      <c r="JVH92" s="580"/>
      <c r="JVI92" s="580"/>
      <c r="JVJ92" s="580"/>
      <c r="JVK92" s="580"/>
      <c r="JVL92" s="580"/>
      <c r="JVM92" s="580"/>
      <c r="JVN92" s="580"/>
      <c r="JVO92" s="580"/>
      <c r="JVP92" s="580"/>
      <c r="JVQ92" s="580"/>
      <c r="JVR92" s="580"/>
      <c r="JVS92" s="580"/>
      <c r="JVT92" s="580"/>
      <c r="JVU92" s="580"/>
      <c r="JVV92" s="580"/>
      <c r="JVW92" s="580"/>
      <c r="JVX92" s="580"/>
      <c r="JVY92" s="580"/>
      <c r="JVZ92" s="580"/>
      <c r="JWA92" s="580"/>
      <c r="JWB92" s="580"/>
      <c r="JWC92" s="580"/>
      <c r="JWD92" s="580"/>
      <c r="JWE92" s="580"/>
      <c r="JWF92" s="580"/>
      <c r="JWG92" s="580"/>
      <c r="JWH92" s="580"/>
      <c r="JWI92" s="580"/>
      <c r="JWJ92" s="580"/>
      <c r="JWK92" s="580"/>
      <c r="JWL92" s="580"/>
      <c r="JWM92" s="580"/>
      <c r="JWN92" s="580"/>
      <c r="JWO92" s="580"/>
      <c r="JWP92" s="580"/>
      <c r="JWQ92" s="580"/>
      <c r="JWR92" s="580"/>
      <c r="JWS92" s="580"/>
      <c r="JWT92" s="580"/>
      <c r="JWU92" s="580"/>
      <c r="JWV92" s="580"/>
      <c r="JWW92" s="580"/>
      <c r="JWX92" s="580"/>
      <c r="JWY92" s="580"/>
      <c r="JWZ92" s="580"/>
      <c r="JXA92" s="580"/>
      <c r="JXB92" s="580"/>
      <c r="JXC92" s="580"/>
      <c r="JXD92" s="580"/>
      <c r="JXE92" s="580"/>
      <c r="JXF92" s="580"/>
      <c r="JXG92" s="580"/>
      <c r="JXH92" s="580"/>
      <c r="JXI92" s="580"/>
      <c r="JXJ92" s="580"/>
      <c r="JXK92" s="580"/>
      <c r="JXL92" s="580"/>
      <c r="JXM92" s="580"/>
      <c r="JXN92" s="580"/>
      <c r="JXO92" s="580"/>
      <c r="JXP92" s="580"/>
      <c r="JXQ92" s="580"/>
      <c r="JXR92" s="580"/>
      <c r="JXS92" s="580"/>
      <c r="JXT92" s="580"/>
      <c r="JXU92" s="580"/>
      <c r="JXV92" s="580"/>
      <c r="JXW92" s="580"/>
      <c r="JXX92" s="580"/>
      <c r="JXY92" s="580"/>
      <c r="JXZ92" s="580"/>
      <c r="JYA92" s="580"/>
      <c r="JYB92" s="580"/>
      <c r="JYC92" s="580"/>
      <c r="JYD92" s="580"/>
      <c r="JYE92" s="580"/>
      <c r="JYF92" s="580"/>
      <c r="JYG92" s="580"/>
      <c r="JYH92" s="580"/>
      <c r="JYI92" s="580"/>
      <c r="JYJ92" s="580"/>
      <c r="JYK92" s="580"/>
      <c r="JYL92" s="580"/>
      <c r="JYM92" s="580"/>
      <c r="JYN92" s="580"/>
      <c r="JYO92" s="580"/>
      <c r="JYP92" s="580"/>
      <c r="JYQ92" s="580"/>
      <c r="JYR92" s="580"/>
      <c r="JYS92" s="580"/>
      <c r="JYT92" s="580"/>
      <c r="JYU92" s="580"/>
      <c r="JYV92" s="580"/>
      <c r="JYW92" s="580"/>
      <c r="JYX92" s="580"/>
      <c r="JYY92" s="580"/>
      <c r="JYZ92" s="580"/>
      <c r="JZA92" s="580"/>
      <c r="JZB92" s="580"/>
      <c r="JZC92" s="580"/>
      <c r="JZD92" s="580"/>
      <c r="JZE92" s="580"/>
      <c r="JZF92" s="580"/>
      <c r="JZG92" s="580"/>
      <c r="JZH92" s="580"/>
      <c r="JZI92" s="580"/>
      <c r="JZJ92" s="580"/>
      <c r="JZK92" s="580"/>
      <c r="JZL92" s="580"/>
      <c r="JZM92" s="580"/>
      <c r="JZN92" s="580"/>
      <c r="JZO92" s="580"/>
      <c r="JZP92" s="580"/>
      <c r="JZQ92" s="580"/>
      <c r="JZR92" s="580"/>
      <c r="JZS92" s="580"/>
      <c r="JZT92" s="580"/>
      <c r="JZU92" s="580"/>
      <c r="JZV92" s="580"/>
      <c r="JZW92" s="580"/>
      <c r="JZX92" s="580"/>
      <c r="JZY92" s="580"/>
      <c r="JZZ92" s="580"/>
      <c r="KAA92" s="580"/>
      <c r="KAB92" s="580"/>
      <c r="KAC92" s="580"/>
      <c r="KAD92" s="580"/>
      <c r="KAE92" s="580"/>
      <c r="KAF92" s="580"/>
      <c r="KAG92" s="580"/>
      <c r="KAH92" s="580"/>
      <c r="KAI92" s="580"/>
      <c r="KAJ92" s="580"/>
      <c r="KAK92" s="580"/>
      <c r="KAL92" s="580"/>
      <c r="KAM92" s="580"/>
      <c r="KAN92" s="580"/>
      <c r="KAO92" s="580"/>
      <c r="KAP92" s="580"/>
      <c r="KAQ92" s="580"/>
      <c r="KAR92" s="580"/>
      <c r="KAS92" s="580"/>
      <c r="KAT92" s="580"/>
      <c r="KAU92" s="580"/>
      <c r="KAV92" s="580"/>
      <c r="KAW92" s="580"/>
      <c r="KAX92" s="580"/>
      <c r="KAY92" s="580"/>
      <c r="KAZ92" s="580"/>
      <c r="KBA92" s="580"/>
      <c r="KBB92" s="580"/>
      <c r="KBC92" s="580"/>
      <c r="KBD92" s="580"/>
      <c r="KBE92" s="580"/>
      <c r="KBF92" s="580"/>
      <c r="KBG92" s="580"/>
      <c r="KBH92" s="580"/>
      <c r="KBI92" s="580"/>
      <c r="KBJ92" s="580"/>
      <c r="KBK92" s="580"/>
      <c r="KBL92" s="580"/>
      <c r="KBM92" s="580"/>
      <c r="KBN92" s="580"/>
      <c r="KBO92" s="580"/>
      <c r="KBP92" s="580"/>
      <c r="KBQ92" s="580"/>
      <c r="KBR92" s="580"/>
      <c r="KBS92" s="580"/>
      <c r="KBT92" s="580"/>
      <c r="KBU92" s="580"/>
      <c r="KBV92" s="580"/>
      <c r="KBW92" s="580"/>
      <c r="KBX92" s="580"/>
      <c r="KBY92" s="580"/>
      <c r="KBZ92" s="580"/>
      <c r="KCA92" s="580"/>
      <c r="KCB92" s="580"/>
      <c r="KCC92" s="580"/>
      <c r="KCD92" s="580"/>
      <c r="KCE92" s="580"/>
      <c r="KCF92" s="580"/>
      <c r="KCG92" s="580"/>
      <c r="KCH92" s="580"/>
      <c r="KCI92" s="580"/>
      <c r="KCJ92" s="580"/>
      <c r="KCK92" s="580"/>
      <c r="KCL92" s="580"/>
      <c r="KCM92" s="580"/>
      <c r="KCN92" s="580"/>
      <c r="KCO92" s="580"/>
      <c r="KCP92" s="580"/>
      <c r="KCQ92" s="580"/>
      <c r="KCR92" s="580"/>
      <c r="KCS92" s="580"/>
      <c r="KCT92" s="580"/>
      <c r="KCU92" s="580"/>
      <c r="KCV92" s="580"/>
      <c r="KCW92" s="580"/>
      <c r="KCX92" s="580"/>
      <c r="KCY92" s="580"/>
      <c r="KCZ92" s="580"/>
      <c r="KDA92" s="580"/>
      <c r="KDB92" s="580"/>
      <c r="KDC92" s="580"/>
      <c r="KDD92" s="580"/>
      <c r="KDE92" s="580"/>
      <c r="KDF92" s="580"/>
      <c r="KDG92" s="580"/>
      <c r="KDH92" s="580"/>
      <c r="KDI92" s="580"/>
      <c r="KDJ92" s="580"/>
      <c r="KDK92" s="580"/>
      <c r="KDL92" s="580"/>
      <c r="KDM92" s="580"/>
      <c r="KDN92" s="580"/>
      <c r="KDO92" s="580"/>
      <c r="KDP92" s="580"/>
      <c r="KDQ92" s="580"/>
      <c r="KDR92" s="580"/>
      <c r="KDS92" s="580"/>
      <c r="KDT92" s="580"/>
      <c r="KDU92" s="580"/>
      <c r="KDV92" s="580"/>
      <c r="KDW92" s="580"/>
      <c r="KDX92" s="580"/>
      <c r="KDY92" s="580"/>
      <c r="KDZ92" s="580"/>
      <c r="KEA92" s="580"/>
      <c r="KEB92" s="580"/>
      <c r="KEC92" s="580"/>
      <c r="KED92" s="580"/>
      <c r="KEE92" s="580"/>
      <c r="KEF92" s="580"/>
      <c r="KEG92" s="580"/>
      <c r="KEH92" s="580"/>
      <c r="KEI92" s="580"/>
      <c r="KEJ92" s="580"/>
      <c r="KEK92" s="580"/>
      <c r="KEL92" s="580"/>
      <c r="KEM92" s="580"/>
      <c r="KEN92" s="580"/>
      <c r="KEO92" s="580"/>
      <c r="KEP92" s="580"/>
      <c r="KEQ92" s="580"/>
      <c r="KER92" s="580"/>
      <c r="KES92" s="580"/>
      <c r="KET92" s="580"/>
      <c r="KEU92" s="580"/>
      <c r="KEV92" s="580"/>
      <c r="KEW92" s="580"/>
      <c r="KEX92" s="580"/>
      <c r="KEY92" s="580"/>
      <c r="KEZ92" s="580"/>
      <c r="KFA92" s="580"/>
      <c r="KFB92" s="580"/>
      <c r="KFC92" s="580"/>
      <c r="KFD92" s="580"/>
      <c r="KFE92" s="580"/>
      <c r="KFF92" s="580"/>
      <c r="KFG92" s="580"/>
      <c r="KFH92" s="580"/>
      <c r="KFI92" s="580"/>
      <c r="KFJ92" s="580"/>
      <c r="KFK92" s="580"/>
      <c r="KFL92" s="580"/>
      <c r="KFM92" s="580"/>
      <c r="KFN92" s="580"/>
      <c r="KFO92" s="580"/>
      <c r="KFP92" s="580"/>
      <c r="KFQ92" s="580"/>
      <c r="KFR92" s="580"/>
      <c r="KFS92" s="580"/>
      <c r="KFT92" s="580"/>
      <c r="KFU92" s="580"/>
      <c r="KFV92" s="580"/>
      <c r="KFW92" s="580"/>
      <c r="KFX92" s="580"/>
      <c r="KFY92" s="580"/>
      <c r="KFZ92" s="580"/>
      <c r="KGA92" s="580"/>
      <c r="KGB92" s="580"/>
      <c r="KGC92" s="580"/>
      <c r="KGD92" s="580"/>
      <c r="KGE92" s="580"/>
      <c r="KGF92" s="580"/>
      <c r="KGG92" s="580"/>
      <c r="KGH92" s="580"/>
      <c r="KGI92" s="580"/>
      <c r="KGJ92" s="580"/>
      <c r="KGK92" s="580"/>
      <c r="KGL92" s="580"/>
      <c r="KGM92" s="580"/>
      <c r="KGN92" s="580"/>
      <c r="KGO92" s="580"/>
      <c r="KGP92" s="580"/>
      <c r="KGQ92" s="580"/>
      <c r="KGR92" s="580"/>
      <c r="KGS92" s="580"/>
      <c r="KGT92" s="580"/>
      <c r="KGU92" s="580"/>
      <c r="KGV92" s="580"/>
      <c r="KGW92" s="580"/>
      <c r="KGX92" s="580"/>
      <c r="KGY92" s="580"/>
      <c r="KGZ92" s="580"/>
      <c r="KHA92" s="580"/>
      <c r="KHB92" s="580"/>
      <c r="KHC92" s="580"/>
      <c r="KHD92" s="580"/>
      <c r="KHE92" s="580"/>
      <c r="KHF92" s="580"/>
      <c r="KHG92" s="580"/>
      <c r="KHH92" s="580"/>
      <c r="KHI92" s="580"/>
      <c r="KHJ92" s="580"/>
      <c r="KHK92" s="580"/>
      <c r="KHL92" s="580"/>
      <c r="KHM92" s="580"/>
      <c r="KHN92" s="580"/>
      <c r="KHO92" s="580"/>
      <c r="KHP92" s="580"/>
      <c r="KHQ92" s="580"/>
      <c r="KHR92" s="580"/>
      <c r="KHS92" s="580"/>
      <c r="KHT92" s="580"/>
      <c r="KHU92" s="580"/>
      <c r="KHV92" s="580"/>
      <c r="KHW92" s="580"/>
      <c r="KHX92" s="580"/>
      <c r="KHY92" s="580"/>
      <c r="KHZ92" s="580"/>
      <c r="KIA92" s="580"/>
      <c r="KIB92" s="580"/>
      <c r="KIC92" s="580"/>
      <c r="KID92" s="580"/>
      <c r="KIE92" s="580"/>
      <c r="KIF92" s="580"/>
      <c r="KIG92" s="580"/>
      <c r="KIH92" s="580"/>
      <c r="KII92" s="580"/>
      <c r="KIJ92" s="580"/>
      <c r="KIK92" s="580"/>
      <c r="KIL92" s="580"/>
      <c r="KIM92" s="580"/>
      <c r="KIN92" s="580"/>
      <c r="KIO92" s="580"/>
      <c r="KIP92" s="580"/>
      <c r="KIQ92" s="580"/>
      <c r="KIR92" s="580"/>
      <c r="KIS92" s="580"/>
      <c r="KIT92" s="580"/>
      <c r="KIU92" s="580"/>
      <c r="KIV92" s="580"/>
      <c r="KIW92" s="580"/>
      <c r="KIX92" s="580"/>
      <c r="KIY92" s="580"/>
      <c r="KIZ92" s="580"/>
      <c r="KJA92" s="580"/>
      <c r="KJB92" s="580"/>
      <c r="KJC92" s="580"/>
      <c r="KJD92" s="580"/>
      <c r="KJE92" s="580"/>
      <c r="KJF92" s="580"/>
      <c r="KJG92" s="580"/>
      <c r="KJH92" s="580"/>
      <c r="KJI92" s="580"/>
      <c r="KJJ92" s="580"/>
      <c r="KJK92" s="580"/>
      <c r="KJL92" s="580"/>
      <c r="KJM92" s="580"/>
      <c r="KJN92" s="580"/>
      <c r="KJO92" s="580"/>
      <c r="KJP92" s="580"/>
      <c r="KJQ92" s="580"/>
      <c r="KJR92" s="580"/>
      <c r="KJS92" s="580"/>
      <c r="KJT92" s="580"/>
      <c r="KJU92" s="580"/>
      <c r="KJV92" s="580"/>
      <c r="KJW92" s="580"/>
      <c r="KJX92" s="580"/>
      <c r="KJY92" s="580"/>
      <c r="KJZ92" s="580"/>
      <c r="KKA92" s="580"/>
      <c r="KKB92" s="580"/>
      <c r="KKC92" s="580"/>
      <c r="KKD92" s="580"/>
      <c r="KKE92" s="580"/>
      <c r="KKF92" s="580"/>
      <c r="KKG92" s="580"/>
      <c r="KKH92" s="580"/>
      <c r="KKI92" s="580"/>
      <c r="KKJ92" s="580"/>
      <c r="KKK92" s="580"/>
      <c r="KKL92" s="580"/>
      <c r="KKM92" s="580"/>
      <c r="KKN92" s="580"/>
      <c r="KKO92" s="580"/>
      <c r="KKP92" s="580"/>
      <c r="KKQ92" s="580"/>
      <c r="KKR92" s="580"/>
      <c r="KKS92" s="580"/>
      <c r="KKT92" s="580"/>
      <c r="KKU92" s="580"/>
      <c r="KKV92" s="580"/>
      <c r="KKW92" s="580"/>
      <c r="KKX92" s="580"/>
      <c r="KKY92" s="580"/>
      <c r="KKZ92" s="580"/>
      <c r="KLA92" s="580"/>
      <c r="KLB92" s="580"/>
      <c r="KLC92" s="580"/>
      <c r="KLD92" s="580"/>
      <c r="KLE92" s="580"/>
      <c r="KLF92" s="580"/>
      <c r="KLG92" s="580"/>
      <c r="KLH92" s="580"/>
      <c r="KLI92" s="580"/>
      <c r="KLJ92" s="580"/>
      <c r="KLK92" s="580"/>
      <c r="KLL92" s="580"/>
      <c r="KLM92" s="580"/>
      <c r="KLN92" s="580"/>
      <c r="KLO92" s="580"/>
      <c r="KLP92" s="580"/>
      <c r="KLQ92" s="580"/>
      <c r="KLR92" s="580"/>
      <c r="KLS92" s="580"/>
      <c r="KLT92" s="580"/>
      <c r="KLU92" s="580"/>
      <c r="KLV92" s="580"/>
      <c r="KLW92" s="580"/>
      <c r="KLX92" s="580"/>
      <c r="KLY92" s="580"/>
      <c r="KLZ92" s="580"/>
      <c r="KMA92" s="580"/>
      <c r="KMB92" s="580"/>
      <c r="KMC92" s="580"/>
      <c r="KMD92" s="580"/>
      <c r="KME92" s="580"/>
      <c r="KMF92" s="580"/>
      <c r="KMG92" s="580"/>
      <c r="KMH92" s="580"/>
      <c r="KMI92" s="580"/>
      <c r="KMJ92" s="580"/>
      <c r="KMK92" s="580"/>
      <c r="KML92" s="580"/>
      <c r="KMM92" s="580"/>
      <c r="KMN92" s="580"/>
      <c r="KMO92" s="580"/>
      <c r="KMP92" s="580"/>
      <c r="KMQ92" s="580"/>
      <c r="KMR92" s="580"/>
      <c r="KMS92" s="580"/>
      <c r="KMT92" s="580"/>
      <c r="KMU92" s="580"/>
      <c r="KMV92" s="580"/>
      <c r="KMW92" s="580"/>
      <c r="KMX92" s="580"/>
      <c r="KMY92" s="580"/>
      <c r="KMZ92" s="580"/>
      <c r="KNA92" s="580"/>
      <c r="KNB92" s="580"/>
      <c r="KNC92" s="580"/>
      <c r="KND92" s="580"/>
      <c r="KNE92" s="580"/>
      <c r="KNF92" s="580"/>
      <c r="KNG92" s="580"/>
      <c r="KNH92" s="580"/>
      <c r="KNI92" s="580"/>
      <c r="KNJ92" s="580"/>
      <c r="KNK92" s="580"/>
      <c r="KNL92" s="580"/>
      <c r="KNM92" s="580"/>
      <c r="KNN92" s="580"/>
      <c r="KNO92" s="580"/>
      <c r="KNP92" s="580"/>
      <c r="KNQ92" s="580"/>
      <c r="KNR92" s="580"/>
      <c r="KNS92" s="580"/>
      <c r="KNT92" s="580"/>
      <c r="KNU92" s="580"/>
      <c r="KNV92" s="580"/>
      <c r="KNW92" s="580"/>
      <c r="KNX92" s="580"/>
      <c r="KNY92" s="580"/>
      <c r="KNZ92" s="580"/>
      <c r="KOA92" s="580"/>
      <c r="KOB92" s="580"/>
      <c r="KOC92" s="580"/>
      <c r="KOD92" s="580"/>
      <c r="KOE92" s="580"/>
      <c r="KOF92" s="580"/>
      <c r="KOG92" s="580"/>
      <c r="KOH92" s="580"/>
      <c r="KOI92" s="580"/>
      <c r="KOJ92" s="580"/>
      <c r="KOK92" s="580"/>
      <c r="KOL92" s="580"/>
      <c r="KOM92" s="580"/>
      <c r="KON92" s="580"/>
      <c r="KOO92" s="580"/>
      <c r="KOP92" s="580"/>
      <c r="KOQ92" s="580"/>
      <c r="KOR92" s="580"/>
      <c r="KOS92" s="580"/>
      <c r="KOT92" s="580"/>
      <c r="KOU92" s="580"/>
      <c r="KOV92" s="580"/>
      <c r="KOW92" s="580"/>
      <c r="KOX92" s="580"/>
      <c r="KOY92" s="580"/>
      <c r="KOZ92" s="580"/>
      <c r="KPA92" s="580"/>
      <c r="KPB92" s="580"/>
      <c r="KPC92" s="580"/>
      <c r="KPD92" s="580"/>
      <c r="KPE92" s="580"/>
      <c r="KPF92" s="580"/>
      <c r="KPG92" s="580"/>
      <c r="KPH92" s="580"/>
      <c r="KPI92" s="580"/>
      <c r="KPJ92" s="580"/>
      <c r="KPK92" s="580"/>
      <c r="KPL92" s="580"/>
      <c r="KPM92" s="580"/>
      <c r="KPN92" s="580"/>
      <c r="KPO92" s="580"/>
      <c r="KPP92" s="580"/>
      <c r="KPQ92" s="580"/>
      <c r="KPR92" s="580"/>
      <c r="KPS92" s="580"/>
      <c r="KPT92" s="580"/>
      <c r="KPU92" s="580"/>
      <c r="KPV92" s="580"/>
      <c r="KPW92" s="580"/>
      <c r="KPX92" s="580"/>
      <c r="KPY92" s="580"/>
      <c r="KPZ92" s="580"/>
      <c r="KQA92" s="580"/>
      <c r="KQB92" s="580"/>
      <c r="KQC92" s="580"/>
      <c r="KQD92" s="580"/>
      <c r="KQE92" s="580"/>
      <c r="KQF92" s="580"/>
      <c r="KQG92" s="580"/>
      <c r="KQH92" s="580"/>
      <c r="KQI92" s="580"/>
      <c r="KQJ92" s="580"/>
      <c r="KQK92" s="580"/>
      <c r="KQL92" s="580"/>
      <c r="KQM92" s="580"/>
      <c r="KQN92" s="580"/>
      <c r="KQO92" s="580"/>
      <c r="KQP92" s="580"/>
      <c r="KQQ92" s="580"/>
      <c r="KQR92" s="580"/>
      <c r="KQS92" s="580"/>
      <c r="KQT92" s="580"/>
      <c r="KQU92" s="580"/>
      <c r="KQV92" s="580"/>
      <c r="KQW92" s="580"/>
      <c r="KQX92" s="580"/>
      <c r="KQY92" s="580"/>
      <c r="KQZ92" s="580"/>
      <c r="KRA92" s="580"/>
      <c r="KRB92" s="580"/>
      <c r="KRC92" s="580"/>
      <c r="KRD92" s="580"/>
      <c r="KRE92" s="580"/>
      <c r="KRF92" s="580"/>
      <c r="KRG92" s="580"/>
      <c r="KRH92" s="580"/>
      <c r="KRI92" s="580"/>
      <c r="KRJ92" s="580"/>
      <c r="KRK92" s="580"/>
      <c r="KRL92" s="580"/>
      <c r="KRM92" s="580"/>
      <c r="KRN92" s="580"/>
      <c r="KRO92" s="580"/>
      <c r="KRP92" s="580"/>
      <c r="KRQ92" s="580"/>
      <c r="KRR92" s="580"/>
      <c r="KRS92" s="580"/>
      <c r="KRT92" s="580"/>
      <c r="KRU92" s="580"/>
      <c r="KRV92" s="580"/>
      <c r="KRW92" s="580"/>
      <c r="KRX92" s="580"/>
      <c r="KRY92" s="580"/>
      <c r="KRZ92" s="580"/>
      <c r="KSA92" s="580"/>
      <c r="KSB92" s="580"/>
      <c r="KSC92" s="580"/>
      <c r="KSD92" s="580"/>
      <c r="KSE92" s="580"/>
      <c r="KSF92" s="580"/>
      <c r="KSG92" s="580"/>
      <c r="KSH92" s="580"/>
      <c r="KSI92" s="580"/>
      <c r="KSJ92" s="580"/>
      <c r="KSK92" s="580"/>
      <c r="KSL92" s="580"/>
      <c r="KSM92" s="580"/>
      <c r="KSN92" s="580"/>
      <c r="KSO92" s="580"/>
      <c r="KSP92" s="580"/>
      <c r="KSQ92" s="580"/>
      <c r="KSR92" s="580"/>
      <c r="KSS92" s="580"/>
      <c r="KST92" s="580"/>
      <c r="KSU92" s="580"/>
      <c r="KSV92" s="580"/>
      <c r="KSW92" s="580"/>
      <c r="KSX92" s="580"/>
      <c r="KSY92" s="580"/>
      <c r="KSZ92" s="580"/>
      <c r="KTA92" s="580"/>
      <c r="KTB92" s="580"/>
      <c r="KTC92" s="580"/>
      <c r="KTD92" s="580"/>
      <c r="KTE92" s="580"/>
      <c r="KTF92" s="580"/>
      <c r="KTG92" s="580"/>
      <c r="KTH92" s="580"/>
      <c r="KTI92" s="580"/>
      <c r="KTJ92" s="580"/>
      <c r="KTK92" s="580"/>
      <c r="KTL92" s="580"/>
      <c r="KTM92" s="580"/>
      <c r="KTN92" s="580"/>
      <c r="KTO92" s="580"/>
      <c r="KTP92" s="580"/>
      <c r="KTQ92" s="580"/>
      <c r="KTR92" s="580"/>
      <c r="KTS92" s="580"/>
      <c r="KTT92" s="580"/>
      <c r="KTU92" s="580"/>
      <c r="KTV92" s="580"/>
      <c r="KTW92" s="580"/>
      <c r="KTX92" s="580"/>
      <c r="KTY92" s="580"/>
      <c r="KTZ92" s="580"/>
      <c r="KUA92" s="580"/>
      <c r="KUB92" s="580"/>
      <c r="KUC92" s="580"/>
      <c r="KUD92" s="580"/>
      <c r="KUE92" s="580"/>
      <c r="KUF92" s="580"/>
      <c r="KUG92" s="580"/>
      <c r="KUH92" s="580"/>
      <c r="KUI92" s="580"/>
      <c r="KUJ92" s="580"/>
      <c r="KUK92" s="580"/>
      <c r="KUL92" s="580"/>
      <c r="KUM92" s="580"/>
      <c r="KUN92" s="580"/>
      <c r="KUO92" s="580"/>
      <c r="KUP92" s="580"/>
      <c r="KUQ92" s="580"/>
      <c r="KUR92" s="580"/>
      <c r="KUS92" s="580"/>
      <c r="KUT92" s="580"/>
      <c r="KUU92" s="580"/>
      <c r="KUV92" s="580"/>
      <c r="KUW92" s="580"/>
      <c r="KUX92" s="580"/>
      <c r="KUY92" s="580"/>
      <c r="KUZ92" s="580"/>
      <c r="KVA92" s="580"/>
      <c r="KVB92" s="580"/>
      <c r="KVC92" s="580"/>
      <c r="KVD92" s="580"/>
      <c r="KVE92" s="580"/>
      <c r="KVF92" s="580"/>
      <c r="KVG92" s="580"/>
      <c r="KVH92" s="580"/>
      <c r="KVI92" s="580"/>
      <c r="KVJ92" s="580"/>
      <c r="KVK92" s="580"/>
      <c r="KVL92" s="580"/>
      <c r="KVM92" s="580"/>
      <c r="KVN92" s="580"/>
      <c r="KVO92" s="580"/>
      <c r="KVP92" s="580"/>
      <c r="KVQ92" s="580"/>
      <c r="KVR92" s="580"/>
      <c r="KVS92" s="580"/>
      <c r="KVT92" s="580"/>
      <c r="KVU92" s="580"/>
      <c r="KVV92" s="580"/>
      <c r="KVW92" s="580"/>
      <c r="KVX92" s="580"/>
      <c r="KVY92" s="580"/>
      <c r="KVZ92" s="580"/>
      <c r="KWA92" s="580"/>
      <c r="KWB92" s="580"/>
      <c r="KWC92" s="580"/>
      <c r="KWD92" s="580"/>
      <c r="KWE92" s="580"/>
      <c r="KWF92" s="580"/>
      <c r="KWG92" s="580"/>
      <c r="KWH92" s="580"/>
      <c r="KWI92" s="580"/>
      <c r="KWJ92" s="580"/>
      <c r="KWK92" s="580"/>
      <c r="KWL92" s="580"/>
      <c r="KWM92" s="580"/>
      <c r="KWN92" s="580"/>
      <c r="KWO92" s="580"/>
      <c r="KWP92" s="580"/>
      <c r="KWQ92" s="580"/>
      <c r="KWR92" s="580"/>
      <c r="KWS92" s="580"/>
      <c r="KWT92" s="580"/>
      <c r="KWU92" s="580"/>
      <c r="KWV92" s="580"/>
      <c r="KWW92" s="580"/>
      <c r="KWX92" s="580"/>
      <c r="KWY92" s="580"/>
      <c r="KWZ92" s="580"/>
      <c r="KXA92" s="580"/>
      <c r="KXB92" s="580"/>
      <c r="KXC92" s="580"/>
      <c r="KXD92" s="580"/>
      <c r="KXE92" s="580"/>
      <c r="KXF92" s="580"/>
      <c r="KXG92" s="580"/>
      <c r="KXH92" s="580"/>
      <c r="KXI92" s="580"/>
      <c r="KXJ92" s="580"/>
      <c r="KXK92" s="580"/>
      <c r="KXL92" s="580"/>
      <c r="KXM92" s="580"/>
      <c r="KXN92" s="580"/>
      <c r="KXO92" s="580"/>
      <c r="KXP92" s="580"/>
      <c r="KXQ92" s="580"/>
      <c r="KXR92" s="580"/>
      <c r="KXS92" s="580"/>
      <c r="KXT92" s="580"/>
      <c r="KXU92" s="580"/>
      <c r="KXV92" s="580"/>
      <c r="KXW92" s="580"/>
      <c r="KXX92" s="580"/>
      <c r="KXY92" s="580"/>
      <c r="KXZ92" s="580"/>
      <c r="KYA92" s="580"/>
      <c r="KYB92" s="580"/>
      <c r="KYC92" s="580"/>
      <c r="KYD92" s="580"/>
      <c r="KYE92" s="580"/>
      <c r="KYF92" s="580"/>
      <c r="KYG92" s="580"/>
      <c r="KYH92" s="580"/>
      <c r="KYI92" s="580"/>
      <c r="KYJ92" s="580"/>
      <c r="KYK92" s="580"/>
      <c r="KYL92" s="580"/>
      <c r="KYM92" s="580"/>
      <c r="KYN92" s="580"/>
      <c r="KYO92" s="580"/>
      <c r="KYP92" s="580"/>
      <c r="KYQ92" s="580"/>
      <c r="KYR92" s="580"/>
      <c r="KYS92" s="580"/>
      <c r="KYT92" s="580"/>
      <c r="KYU92" s="580"/>
      <c r="KYV92" s="580"/>
      <c r="KYW92" s="580"/>
      <c r="KYX92" s="580"/>
      <c r="KYY92" s="580"/>
      <c r="KYZ92" s="580"/>
      <c r="KZA92" s="580"/>
      <c r="KZB92" s="580"/>
      <c r="KZC92" s="580"/>
      <c r="KZD92" s="580"/>
      <c r="KZE92" s="580"/>
      <c r="KZF92" s="580"/>
      <c r="KZG92" s="580"/>
      <c r="KZH92" s="580"/>
      <c r="KZI92" s="580"/>
      <c r="KZJ92" s="580"/>
      <c r="KZK92" s="580"/>
      <c r="KZL92" s="580"/>
      <c r="KZM92" s="580"/>
      <c r="KZN92" s="580"/>
      <c r="KZO92" s="580"/>
      <c r="KZP92" s="580"/>
      <c r="KZQ92" s="580"/>
      <c r="KZR92" s="580"/>
      <c r="KZS92" s="580"/>
      <c r="KZT92" s="580"/>
      <c r="KZU92" s="580"/>
      <c r="KZV92" s="580"/>
      <c r="KZW92" s="580"/>
      <c r="KZX92" s="580"/>
      <c r="KZY92" s="580"/>
      <c r="KZZ92" s="580"/>
      <c r="LAA92" s="580"/>
      <c r="LAB92" s="580"/>
      <c r="LAC92" s="580"/>
      <c r="LAD92" s="580"/>
      <c r="LAE92" s="580"/>
      <c r="LAF92" s="580"/>
      <c r="LAG92" s="580"/>
      <c r="LAH92" s="580"/>
      <c r="LAI92" s="580"/>
      <c r="LAJ92" s="580"/>
      <c r="LAK92" s="580"/>
      <c r="LAL92" s="580"/>
      <c r="LAM92" s="580"/>
      <c r="LAN92" s="580"/>
      <c r="LAO92" s="580"/>
      <c r="LAP92" s="580"/>
      <c r="LAQ92" s="580"/>
      <c r="LAR92" s="580"/>
      <c r="LAS92" s="580"/>
      <c r="LAT92" s="580"/>
      <c r="LAU92" s="580"/>
      <c r="LAV92" s="580"/>
      <c r="LAW92" s="580"/>
      <c r="LAX92" s="580"/>
      <c r="LAY92" s="580"/>
      <c r="LAZ92" s="580"/>
      <c r="LBA92" s="580"/>
      <c r="LBB92" s="580"/>
      <c r="LBC92" s="580"/>
      <c r="LBD92" s="580"/>
      <c r="LBE92" s="580"/>
      <c r="LBF92" s="580"/>
      <c r="LBG92" s="580"/>
      <c r="LBH92" s="580"/>
      <c r="LBI92" s="580"/>
      <c r="LBJ92" s="580"/>
      <c r="LBK92" s="580"/>
      <c r="LBL92" s="580"/>
      <c r="LBM92" s="580"/>
      <c r="LBN92" s="580"/>
      <c r="LBO92" s="580"/>
      <c r="LBP92" s="580"/>
      <c r="LBQ92" s="580"/>
      <c r="LBR92" s="580"/>
      <c r="LBS92" s="580"/>
      <c r="LBT92" s="580"/>
      <c r="LBU92" s="580"/>
      <c r="LBV92" s="580"/>
      <c r="LBW92" s="580"/>
      <c r="LBX92" s="580"/>
      <c r="LBY92" s="580"/>
      <c r="LBZ92" s="580"/>
      <c r="LCA92" s="580"/>
      <c r="LCB92" s="580"/>
      <c r="LCC92" s="580"/>
      <c r="LCD92" s="580"/>
      <c r="LCE92" s="580"/>
      <c r="LCF92" s="580"/>
      <c r="LCG92" s="580"/>
      <c r="LCH92" s="580"/>
      <c r="LCI92" s="580"/>
      <c r="LCJ92" s="580"/>
      <c r="LCK92" s="580"/>
      <c r="LCL92" s="580"/>
      <c r="LCM92" s="580"/>
      <c r="LCN92" s="580"/>
      <c r="LCO92" s="580"/>
      <c r="LCP92" s="580"/>
      <c r="LCQ92" s="580"/>
      <c r="LCR92" s="580"/>
      <c r="LCS92" s="580"/>
      <c r="LCT92" s="580"/>
      <c r="LCU92" s="580"/>
      <c r="LCV92" s="580"/>
      <c r="LCW92" s="580"/>
      <c r="LCX92" s="580"/>
      <c r="LCY92" s="580"/>
      <c r="LCZ92" s="580"/>
      <c r="LDA92" s="580"/>
      <c r="LDB92" s="580"/>
      <c r="LDC92" s="580"/>
      <c r="LDD92" s="580"/>
      <c r="LDE92" s="580"/>
      <c r="LDF92" s="580"/>
      <c r="LDG92" s="580"/>
      <c r="LDH92" s="580"/>
      <c r="LDI92" s="580"/>
      <c r="LDJ92" s="580"/>
      <c r="LDK92" s="580"/>
      <c r="LDL92" s="580"/>
      <c r="LDM92" s="580"/>
      <c r="LDN92" s="580"/>
      <c r="LDO92" s="580"/>
      <c r="LDP92" s="580"/>
      <c r="LDQ92" s="580"/>
      <c r="LDR92" s="580"/>
      <c r="LDS92" s="580"/>
      <c r="LDT92" s="580"/>
      <c r="LDU92" s="580"/>
      <c r="LDV92" s="580"/>
      <c r="LDW92" s="580"/>
      <c r="LDX92" s="580"/>
      <c r="LDY92" s="580"/>
      <c r="LDZ92" s="580"/>
      <c r="LEA92" s="580"/>
      <c r="LEB92" s="580"/>
      <c r="LEC92" s="580"/>
      <c r="LED92" s="580"/>
      <c r="LEE92" s="580"/>
      <c r="LEF92" s="580"/>
      <c r="LEG92" s="580"/>
      <c r="LEH92" s="580"/>
      <c r="LEI92" s="580"/>
      <c r="LEJ92" s="580"/>
      <c r="LEK92" s="580"/>
      <c r="LEL92" s="580"/>
      <c r="LEM92" s="580"/>
      <c r="LEN92" s="580"/>
      <c r="LEO92" s="580"/>
      <c r="LEP92" s="580"/>
      <c r="LEQ92" s="580"/>
      <c r="LER92" s="580"/>
      <c r="LES92" s="580"/>
      <c r="LET92" s="580"/>
      <c r="LEU92" s="580"/>
      <c r="LEV92" s="580"/>
      <c r="LEW92" s="580"/>
      <c r="LEX92" s="580"/>
      <c r="LEY92" s="580"/>
      <c r="LEZ92" s="580"/>
      <c r="LFA92" s="580"/>
      <c r="LFB92" s="580"/>
      <c r="LFC92" s="580"/>
      <c r="LFD92" s="580"/>
      <c r="LFE92" s="580"/>
      <c r="LFF92" s="580"/>
      <c r="LFG92" s="580"/>
      <c r="LFH92" s="580"/>
      <c r="LFI92" s="580"/>
      <c r="LFJ92" s="580"/>
      <c r="LFK92" s="580"/>
      <c r="LFL92" s="580"/>
      <c r="LFM92" s="580"/>
      <c r="LFN92" s="580"/>
      <c r="LFO92" s="580"/>
      <c r="LFP92" s="580"/>
      <c r="LFQ92" s="580"/>
      <c r="LFR92" s="580"/>
      <c r="LFS92" s="580"/>
      <c r="LFT92" s="580"/>
      <c r="LFU92" s="580"/>
      <c r="LFV92" s="580"/>
      <c r="LFW92" s="580"/>
      <c r="LFX92" s="580"/>
      <c r="LFY92" s="580"/>
      <c r="LFZ92" s="580"/>
      <c r="LGA92" s="580"/>
      <c r="LGB92" s="580"/>
      <c r="LGC92" s="580"/>
      <c r="LGD92" s="580"/>
      <c r="LGE92" s="580"/>
      <c r="LGF92" s="580"/>
      <c r="LGG92" s="580"/>
      <c r="LGH92" s="580"/>
      <c r="LGI92" s="580"/>
      <c r="LGJ92" s="580"/>
      <c r="LGK92" s="580"/>
      <c r="LGL92" s="580"/>
      <c r="LGM92" s="580"/>
      <c r="LGN92" s="580"/>
      <c r="LGO92" s="580"/>
      <c r="LGP92" s="580"/>
      <c r="LGQ92" s="580"/>
      <c r="LGR92" s="580"/>
      <c r="LGS92" s="580"/>
      <c r="LGT92" s="580"/>
      <c r="LGU92" s="580"/>
      <c r="LGV92" s="580"/>
      <c r="LGW92" s="580"/>
      <c r="LGX92" s="580"/>
      <c r="LGY92" s="580"/>
      <c r="LGZ92" s="580"/>
      <c r="LHA92" s="580"/>
      <c r="LHB92" s="580"/>
      <c r="LHC92" s="580"/>
      <c r="LHD92" s="580"/>
      <c r="LHE92" s="580"/>
      <c r="LHF92" s="580"/>
      <c r="LHG92" s="580"/>
      <c r="LHH92" s="580"/>
      <c r="LHI92" s="580"/>
      <c r="LHJ92" s="580"/>
      <c r="LHK92" s="580"/>
      <c r="LHL92" s="580"/>
      <c r="LHM92" s="580"/>
      <c r="LHN92" s="580"/>
      <c r="LHO92" s="580"/>
      <c r="LHP92" s="580"/>
      <c r="LHQ92" s="580"/>
      <c r="LHR92" s="580"/>
      <c r="LHS92" s="580"/>
      <c r="LHT92" s="580"/>
      <c r="LHU92" s="580"/>
      <c r="LHV92" s="580"/>
      <c r="LHW92" s="580"/>
      <c r="LHX92" s="580"/>
      <c r="LHY92" s="580"/>
      <c r="LHZ92" s="580"/>
      <c r="LIA92" s="580"/>
      <c r="LIB92" s="580"/>
      <c r="LIC92" s="580"/>
      <c r="LID92" s="580"/>
      <c r="LIE92" s="580"/>
      <c r="LIF92" s="580"/>
      <c r="LIG92" s="580"/>
      <c r="LIH92" s="580"/>
      <c r="LII92" s="580"/>
      <c r="LIJ92" s="580"/>
      <c r="LIK92" s="580"/>
      <c r="LIL92" s="580"/>
      <c r="LIM92" s="580"/>
      <c r="LIN92" s="580"/>
      <c r="LIO92" s="580"/>
      <c r="LIP92" s="580"/>
      <c r="LIQ92" s="580"/>
      <c r="LIR92" s="580"/>
      <c r="LIS92" s="580"/>
      <c r="LIT92" s="580"/>
      <c r="LIU92" s="580"/>
      <c r="LIV92" s="580"/>
      <c r="LIW92" s="580"/>
      <c r="LIX92" s="580"/>
      <c r="LIY92" s="580"/>
      <c r="LIZ92" s="580"/>
      <c r="LJA92" s="580"/>
      <c r="LJB92" s="580"/>
      <c r="LJC92" s="580"/>
      <c r="LJD92" s="580"/>
      <c r="LJE92" s="580"/>
      <c r="LJF92" s="580"/>
      <c r="LJG92" s="580"/>
      <c r="LJH92" s="580"/>
      <c r="LJI92" s="580"/>
      <c r="LJJ92" s="580"/>
      <c r="LJK92" s="580"/>
      <c r="LJL92" s="580"/>
      <c r="LJM92" s="580"/>
      <c r="LJN92" s="580"/>
      <c r="LJO92" s="580"/>
      <c r="LJP92" s="580"/>
      <c r="LJQ92" s="580"/>
      <c r="LJR92" s="580"/>
      <c r="LJS92" s="580"/>
      <c r="LJT92" s="580"/>
      <c r="LJU92" s="580"/>
      <c r="LJV92" s="580"/>
      <c r="LJW92" s="580"/>
      <c r="LJX92" s="580"/>
      <c r="LJY92" s="580"/>
      <c r="LJZ92" s="580"/>
      <c r="LKA92" s="580"/>
      <c r="LKB92" s="580"/>
      <c r="LKC92" s="580"/>
      <c r="LKD92" s="580"/>
      <c r="LKE92" s="580"/>
      <c r="LKF92" s="580"/>
      <c r="LKG92" s="580"/>
      <c r="LKH92" s="580"/>
      <c r="LKI92" s="580"/>
      <c r="LKJ92" s="580"/>
      <c r="LKK92" s="580"/>
      <c r="LKL92" s="580"/>
      <c r="LKM92" s="580"/>
      <c r="LKN92" s="580"/>
      <c r="LKO92" s="580"/>
      <c r="LKP92" s="580"/>
      <c r="LKQ92" s="580"/>
      <c r="LKR92" s="580"/>
      <c r="LKS92" s="580"/>
      <c r="LKT92" s="580"/>
      <c r="LKU92" s="580"/>
      <c r="LKV92" s="580"/>
      <c r="LKW92" s="580"/>
      <c r="LKX92" s="580"/>
      <c r="LKY92" s="580"/>
      <c r="LKZ92" s="580"/>
      <c r="LLA92" s="580"/>
      <c r="LLB92" s="580"/>
      <c r="LLC92" s="580"/>
      <c r="LLD92" s="580"/>
      <c r="LLE92" s="580"/>
      <c r="LLF92" s="580"/>
      <c r="LLG92" s="580"/>
      <c r="LLH92" s="580"/>
      <c r="LLI92" s="580"/>
      <c r="LLJ92" s="580"/>
      <c r="LLK92" s="580"/>
      <c r="LLL92" s="580"/>
      <c r="LLM92" s="580"/>
      <c r="LLN92" s="580"/>
      <c r="LLO92" s="580"/>
      <c r="LLP92" s="580"/>
      <c r="LLQ92" s="580"/>
      <c r="LLR92" s="580"/>
      <c r="LLS92" s="580"/>
      <c r="LLT92" s="580"/>
      <c r="LLU92" s="580"/>
      <c r="LLV92" s="580"/>
      <c r="LLW92" s="580"/>
      <c r="LLX92" s="580"/>
      <c r="LLY92" s="580"/>
      <c r="LLZ92" s="580"/>
      <c r="LMA92" s="580"/>
      <c r="LMB92" s="580"/>
      <c r="LMC92" s="580"/>
      <c r="LMD92" s="580"/>
      <c r="LME92" s="580"/>
      <c r="LMF92" s="580"/>
      <c r="LMG92" s="580"/>
      <c r="LMH92" s="580"/>
      <c r="LMI92" s="580"/>
      <c r="LMJ92" s="580"/>
      <c r="LMK92" s="580"/>
      <c r="LML92" s="580"/>
      <c r="LMM92" s="580"/>
      <c r="LMN92" s="580"/>
      <c r="LMO92" s="580"/>
      <c r="LMP92" s="580"/>
      <c r="LMQ92" s="580"/>
      <c r="LMR92" s="580"/>
      <c r="LMS92" s="580"/>
      <c r="LMT92" s="580"/>
      <c r="LMU92" s="580"/>
      <c r="LMV92" s="580"/>
      <c r="LMW92" s="580"/>
      <c r="LMX92" s="580"/>
      <c r="LMY92" s="580"/>
      <c r="LMZ92" s="580"/>
      <c r="LNA92" s="580"/>
      <c r="LNB92" s="580"/>
      <c r="LNC92" s="580"/>
      <c r="LND92" s="580"/>
      <c r="LNE92" s="580"/>
      <c r="LNF92" s="580"/>
      <c r="LNG92" s="580"/>
      <c r="LNH92" s="580"/>
      <c r="LNI92" s="580"/>
      <c r="LNJ92" s="580"/>
      <c r="LNK92" s="580"/>
      <c r="LNL92" s="580"/>
      <c r="LNM92" s="580"/>
      <c r="LNN92" s="580"/>
      <c r="LNO92" s="580"/>
      <c r="LNP92" s="580"/>
      <c r="LNQ92" s="580"/>
      <c r="LNR92" s="580"/>
      <c r="LNS92" s="580"/>
      <c r="LNT92" s="580"/>
      <c r="LNU92" s="580"/>
      <c r="LNV92" s="580"/>
      <c r="LNW92" s="580"/>
      <c r="LNX92" s="580"/>
      <c r="LNY92" s="580"/>
      <c r="LNZ92" s="580"/>
      <c r="LOA92" s="580"/>
      <c r="LOB92" s="580"/>
      <c r="LOC92" s="580"/>
      <c r="LOD92" s="580"/>
      <c r="LOE92" s="580"/>
      <c r="LOF92" s="580"/>
      <c r="LOG92" s="580"/>
      <c r="LOH92" s="580"/>
      <c r="LOI92" s="580"/>
      <c r="LOJ92" s="580"/>
      <c r="LOK92" s="580"/>
      <c r="LOL92" s="580"/>
      <c r="LOM92" s="580"/>
      <c r="LON92" s="580"/>
      <c r="LOO92" s="580"/>
      <c r="LOP92" s="580"/>
      <c r="LOQ92" s="580"/>
      <c r="LOR92" s="580"/>
      <c r="LOS92" s="580"/>
      <c r="LOT92" s="580"/>
      <c r="LOU92" s="580"/>
      <c r="LOV92" s="580"/>
      <c r="LOW92" s="580"/>
      <c r="LOX92" s="580"/>
      <c r="LOY92" s="580"/>
      <c r="LOZ92" s="580"/>
      <c r="LPA92" s="580"/>
      <c r="LPB92" s="580"/>
      <c r="LPC92" s="580"/>
      <c r="LPD92" s="580"/>
      <c r="LPE92" s="580"/>
      <c r="LPF92" s="580"/>
      <c r="LPG92" s="580"/>
      <c r="LPH92" s="580"/>
      <c r="LPI92" s="580"/>
      <c r="LPJ92" s="580"/>
      <c r="LPK92" s="580"/>
      <c r="LPL92" s="580"/>
      <c r="LPM92" s="580"/>
      <c r="LPN92" s="580"/>
      <c r="LPO92" s="580"/>
      <c r="LPP92" s="580"/>
      <c r="LPQ92" s="580"/>
      <c r="LPR92" s="580"/>
      <c r="LPS92" s="580"/>
      <c r="LPT92" s="580"/>
      <c r="LPU92" s="580"/>
      <c r="LPV92" s="580"/>
      <c r="LPW92" s="580"/>
      <c r="LPX92" s="580"/>
      <c r="LPY92" s="580"/>
      <c r="LPZ92" s="580"/>
      <c r="LQA92" s="580"/>
      <c r="LQB92" s="580"/>
      <c r="LQC92" s="580"/>
      <c r="LQD92" s="580"/>
      <c r="LQE92" s="580"/>
      <c r="LQF92" s="580"/>
      <c r="LQG92" s="580"/>
      <c r="LQH92" s="580"/>
      <c r="LQI92" s="580"/>
      <c r="LQJ92" s="580"/>
      <c r="LQK92" s="580"/>
      <c r="LQL92" s="580"/>
      <c r="LQM92" s="580"/>
      <c r="LQN92" s="580"/>
      <c r="LQO92" s="580"/>
      <c r="LQP92" s="580"/>
      <c r="LQQ92" s="580"/>
      <c r="LQR92" s="580"/>
      <c r="LQS92" s="580"/>
      <c r="LQT92" s="580"/>
      <c r="LQU92" s="580"/>
      <c r="LQV92" s="580"/>
      <c r="LQW92" s="580"/>
      <c r="LQX92" s="580"/>
      <c r="LQY92" s="580"/>
      <c r="LQZ92" s="580"/>
      <c r="LRA92" s="580"/>
      <c r="LRB92" s="580"/>
      <c r="LRC92" s="580"/>
      <c r="LRD92" s="580"/>
      <c r="LRE92" s="580"/>
      <c r="LRF92" s="580"/>
      <c r="LRG92" s="580"/>
      <c r="LRH92" s="580"/>
      <c r="LRI92" s="580"/>
      <c r="LRJ92" s="580"/>
      <c r="LRK92" s="580"/>
      <c r="LRL92" s="580"/>
      <c r="LRM92" s="580"/>
      <c r="LRN92" s="580"/>
      <c r="LRO92" s="580"/>
      <c r="LRP92" s="580"/>
      <c r="LRQ92" s="580"/>
      <c r="LRR92" s="580"/>
      <c r="LRS92" s="580"/>
      <c r="LRT92" s="580"/>
      <c r="LRU92" s="580"/>
      <c r="LRV92" s="580"/>
      <c r="LRW92" s="580"/>
      <c r="LRX92" s="580"/>
      <c r="LRY92" s="580"/>
      <c r="LRZ92" s="580"/>
      <c r="LSA92" s="580"/>
      <c r="LSB92" s="580"/>
      <c r="LSC92" s="580"/>
      <c r="LSD92" s="580"/>
      <c r="LSE92" s="580"/>
      <c r="LSF92" s="580"/>
      <c r="LSG92" s="580"/>
      <c r="LSH92" s="580"/>
      <c r="LSI92" s="580"/>
      <c r="LSJ92" s="580"/>
      <c r="LSK92" s="580"/>
      <c r="LSL92" s="580"/>
      <c r="LSM92" s="580"/>
      <c r="LSN92" s="580"/>
      <c r="LSO92" s="580"/>
      <c r="LSP92" s="580"/>
      <c r="LSQ92" s="580"/>
      <c r="LSR92" s="580"/>
      <c r="LSS92" s="580"/>
      <c r="LST92" s="580"/>
      <c r="LSU92" s="580"/>
      <c r="LSV92" s="580"/>
      <c r="LSW92" s="580"/>
      <c r="LSX92" s="580"/>
      <c r="LSY92" s="580"/>
      <c r="LSZ92" s="580"/>
      <c r="LTA92" s="580"/>
      <c r="LTB92" s="580"/>
      <c r="LTC92" s="580"/>
      <c r="LTD92" s="580"/>
      <c r="LTE92" s="580"/>
      <c r="LTF92" s="580"/>
      <c r="LTG92" s="580"/>
      <c r="LTH92" s="580"/>
      <c r="LTI92" s="580"/>
      <c r="LTJ92" s="580"/>
      <c r="LTK92" s="580"/>
      <c r="LTL92" s="580"/>
      <c r="LTM92" s="580"/>
      <c r="LTN92" s="580"/>
      <c r="LTO92" s="580"/>
      <c r="LTP92" s="580"/>
      <c r="LTQ92" s="580"/>
      <c r="LTR92" s="580"/>
      <c r="LTS92" s="580"/>
      <c r="LTT92" s="580"/>
      <c r="LTU92" s="580"/>
      <c r="LTV92" s="580"/>
      <c r="LTW92" s="580"/>
      <c r="LTX92" s="580"/>
      <c r="LTY92" s="580"/>
      <c r="LTZ92" s="580"/>
      <c r="LUA92" s="580"/>
      <c r="LUB92" s="580"/>
      <c r="LUC92" s="580"/>
      <c r="LUD92" s="580"/>
      <c r="LUE92" s="580"/>
      <c r="LUF92" s="580"/>
      <c r="LUG92" s="580"/>
      <c r="LUH92" s="580"/>
      <c r="LUI92" s="580"/>
      <c r="LUJ92" s="580"/>
      <c r="LUK92" s="580"/>
      <c r="LUL92" s="580"/>
      <c r="LUM92" s="580"/>
      <c r="LUN92" s="580"/>
      <c r="LUO92" s="580"/>
      <c r="LUP92" s="580"/>
      <c r="LUQ92" s="580"/>
      <c r="LUR92" s="580"/>
      <c r="LUS92" s="580"/>
      <c r="LUT92" s="580"/>
      <c r="LUU92" s="580"/>
      <c r="LUV92" s="580"/>
      <c r="LUW92" s="580"/>
      <c r="LUX92" s="580"/>
      <c r="LUY92" s="580"/>
      <c r="LUZ92" s="580"/>
      <c r="LVA92" s="580"/>
      <c r="LVB92" s="580"/>
      <c r="LVC92" s="580"/>
      <c r="LVD92" s="580"/>
      <c r="LVE92" s="580"/>
      <c r="LVF92" s="580"/>
      <c r="LVG92" s="580"/>
      <c r="LVH92" s="580"/>
      <c r="LVI92" s="580"/>
      <c r="LVJ92" s="580"/>
      <c r="LVK92" s="580"/>
      <c r="LVL92" s="580"/>
      <c r="LVM92" s="580"/>
      <c r="LVN92" s="580"/>
      <c r="LVO92" s="580"/>
      <c r="LVP92" s="580"/>
      <c r="LVQ92" s="580"/>
      <c r="LVR92" s="580"/>
      <c r="LVS92" s="580"/>
      <c r="LVT92" s="580"/>
      <c r="LVU92" s="580"/>
      <c r="LVV92" s="580"/>
      <c r="LVW92" s="580"/>
      <c r="LVX92" s="580"/>
      <c r="LVY92" s="580"/>
      <c r="LVZ92" s="580"/>
      <c r="LWA92" s="580"/>
      <c r="LWB92" s="580"/>
      <c r="LWC92" s="580"/>
      <c r="LWD92" s="580"/>
      <c r="LWE92" s="580"/>
      <c r="LWF92" s="580"/>
      <c r="LWG92" s="580"/>
      <c r="LWH92" s="580"/>
      <c r="LWI92" s="580"/>
      <c r="LWJ92" s="580"/>
      <c r="LWK92" s="580"/>
      <c r="LWL92" s="580"/>
      <c r="LWM92" s="580"/>
      <c r="LWN92" s="580"/>
      <c r="LWO92" s="580"/>
      <c r="LWP92" s="580"/>
      <c r="LWQ92" s="580"/>
      <c r="LWR92" s="580"/>
      <c r="LWS92" s="580"/>
      <c r="LWT92" s="580"/>
      <c r="LWU92" s="580"/>
      <c r="LWV92" s="580"/>
      <c r="LWW92" s="580"/>
      <c r="LWX92" s="580"/>
      <c r="LWY92" s="580"/>
      <c r="LWZ92" s="580"/>
      <c r="LXA92" s="580"/>
      <c r="LXB92" s="580"/>
      <c r="LXC92" s="580"/>
      <c r="LXD92" s="580"/>
      <c r="LXE92" s="580"/>
      <c r="LXF92" s="580"/>
      <c r="LXG92" s="580"/>
      <c r="LXH92" s="580"/>
      <c r="LXI92" s="580"/>
      <c r="LXJ92" s="580"/>
      <c r="LXK92" s="580"/>
      <c r="LXL92" s="580"/>
      <c r="LXM92" s="580"/>
      <c r="LXN92" s="580"/>
      <c r="LXO92" s="580"/>
      <c r="LXP92" s="580"/>
      <c r="LXQ92" s="580"/>
      <c r="LXR92" s="580"/>
      <c r="LXS92" s="580"/>
      <c r="LXT92" s="580"/>
      <c r="LXU92" s="580"/>
      <c r="LXV92" s="580"/>
      <c r="LXW92" s="580"/>
      <c r="LXX92" s="580"/>
      <c r="LXY92" s="580"/>
      <c r="LXZ92" s="580"/>
      <c r="LYA92" s="580"/>
      <c r="LYB92" s="580"/>
      <c r="LYC92" s="580"/>
      <c r="LYD92" s="580"/>
      <c r="LYE92" s="580"/>
      <c r="LYF92" s="580"/>
      <c r="LYG92" s="580"/>
      <c r="LYH92" s="580"/>
      <c r="LYI92" s="580"/>
      <c r="LYJ92" s="580"/>
      <c r="LYK92" s="580"/>
      <c r="LYL92" s="580"/>
      <c r="LYM92" s="580"/>
      <c r="LYN92" s="580"/>
      <c r="LYO92" s="580"/>
      <c r="LYP92" s="580"/>
      <c r="LYQ92" s="580"/>
      <c r="LYR92" s="580"/>
      <c r="LYS92" s="580"/>
      <c r="LYT92" s="580"/>
      <c r="LYU92" s="580"/>
      <c r="LYV92" s="580"/>
      <c r="LYW92" s="580"/>
      <c r="LYX92" s="580"/>
      <c r="LYY92" s="580"/>
      <c r="LYZ92" s="580"/>
      <c r="LZA92" s="580"/>
      <c r="LZB92" s="580"/>
      <c r="LZC92" s="580"/>
      <c r="LZD92" s="580"/>
      <c r="LZE92" s="580"/>
      <c r="LZF92" s="580"/>
      <c r="LZG92" s="580"/>
      <c r="LZH92" s="580"/>
      <c r="LZI92" s="580"/>
      <c r="LZJ92" s="580"/>
      <c r="LZK92" s="580"/>
      <c r="LZL92" s="580"/>
      <c r="LZM92" s="580"/>
      <c r="LZN92" s="580"/>
      <c r="LZO92" s="580"/>
      <c r="LZP92" s="580"/>
      <c r="LZQ92" s="580"/>
      <c r="LZR92" s="580"/>
      <c r="LZS92" s="580"/>
      <c r="LZT92" s="580"/>
      <c r="LZU92" s="580"/>
      <c r="LZV92" s="580"/>
      <c r="LZW92" s="580"/>
      <c r="LZX92" s="580"/>
      <c r="LZY92" s="580"/>
      <c r="LZZ92" s="580"/>
      <c r="MAA92" s="580"/>
      <c r="MAB92" s="580"/>
      <c r="MAC92" s="580"/>
      <c r="MAD92" s="580"/>
      <c r="MAE92" s="580"/>
      <c r="MAF92" s="580"/>
      <c r="MAG92" s="580"/>
      <c r="MAH92" s="580"/>
      <c r="MAI92" s="580"/>
      <c r="MAJ92" s="580"/>
      <c r="MAK92" s="580"/>
      <c r="MAL92" s="580"/>
      <c r="MAM92" s="580"/>
      <c r="MAN92" s="580"/>
      <c r="MAO92" s="580"/>
      <c r="MAP92" s="580"/>
      <c r="MAQ92" s="580"/>
      <c r="MAR92" s="580"/>
      <c r="MAS92" s="580"/>
      <c r="MAT92" s="580"/>
      <c r="MAU92" s="580"/>
      <c r="MAV92" s="580"/>
      <c r="MAW92" s="580"/>
      <c r="MAX92" s="580"/>
      <c r="MAY92" s="580"/>
      <c r="MAZ92" s="580"/>
      <c r="MBA92" s="580"/>
      <c r="MBB92" s="580"/>
      <c r="MBC92" s="580"/>
      <c r="MBD92" s="580"/>
      <c r="MBE92" s="580"/>
      <c r="MBF92" s="580"/>
      <c r="MBG92" s="580"/>
      <c r="MBH92" s="580"/>
      <c r="MBI92" s="580"/>
      <c r="MBJ92" s="580"/>
      <c r="MBK92" s="580"/>
      <c r="MBL92" s="580"/>
      <c r="MBM92" s="580"/>
      <c r="MBN92" s="580"/>
      <c r="MBO92" s="580"/>
      <c r="MBP92" s="580"/>
      <c r="MBQ92" s="580"/>
      <c r="MBR92" s="580"/>
      <c r="MBS92" s="580"/>
      <c r="MBT92" s="580"/>
      <c r="MBU92" s="580"/>
      <c r="MBV92" s="580"/>
      <c r="MBW92" s="580"/>
      <c r="MBX92" s="580"/>
      <c r="MBY92" s="580"/>
      <c r="MBZ92" s="580"/>
      <c r="MCA92" s="580"/>
      <c r="MCB92" s="580"/>
      <c r="MCC92" s="580"/>
      <c r="MCD92" s="580"/>
      <c r="MCE92" s="580"/>
      <c r="MCF92" s="580"/>
      <c r="MCG92" s="580"/>
      <c r="MCH92" s="580"/>
      <c r="MCI92" s="580"/>
      <c r="MCJ92" s="580"/>
      <c r="MCK92" s="580"/>
      <c r="MCL92" s="580"/>
      <c r="MCM92" s="580"/>
      <c r="MCN92" s="580"/>
      <c r="MCO92" s="580"/>
      <c r="MCP92" s="580"/>
      <c r="MCQ92" s="580"/>
      <c r="MCR92" s="580"/>
      <c r="MCS92" s="580"/>
      <c r="MCT92" s="580"/>
      <c r="MCU92" s="580"/>
      <c r="MCV92" s="580"/>
      <c r="MCW92" s="580"/>
      <c r="MCX92" s="580"/>
      <c r="MCY92" s="580"/>
      <c r="MCZ92" s="580"/>
      <c r="MDA92" s="580"/>
      <c r="MDB92" s="580"/>
      <c r="MDC92" s="580"/>
      <c r="MDD92" s="580"/>
      <c r="MDE92" s="580"/>
      <c r="MDF92" s="580"/>
      <c r="MDG92" s="580"/>
      <c r="MDH92" s="580"/>
      <c r="MDI92" s="580"/>
      <c r="MDJ92" s="580"/>
      <c r="MDK92" s="580"/>
      <c r="MDL92" s="580"/>
      <c r="MDM92" s="580"/>
      <c r="MDN92" s="580"/>
      <c r="MDO92" s="580"/>
      <c r="MDP92" s="580"/>
      <c r="MDQ92" s="580"/>
      <c r="MDR92" s="580"/>
      <c r="MDS92" s="580"/>
      <c r="MDT92" s="580"/>
      <c r="MDU92" s="580"/>
      <c r="MDV92" s="580"/>
      <c r="MDW92" s="580"/>
      <c r="MDX92" s="580"/>
      <c r="MDY92" s="580"/>
      <c r="MDZ92" s="580"/>
      <c r="MEA92" s="580"/>
      <c r="MEB92" s="580"/>
      <c r="MEC92" s="580"/>
      <c r="MED92" s="580"/>
      <c r="MEE92" s="580"/>
      <c r="MEF92" s="580"/>
      <c r="MEG92" s="580"/>
      <c r="MEH92" s="580"/>
      <c r="MEI92" s="580"/>
      <c r="MEJ92" s="580"/>
      <c r="MEK92" s="580"/>
      <c r="MEL92" s="580"/>
      <c r="MEM92" s="580"/>
      <c r="MEN92" s="580"/>
      <c r="MEO92" s="580"/>
      <c r="MEP92" s="580"/>
      <c r="MEQ92" s="580"/>
      <c r="MER92" s="580"/>
      <c r="MES92" s="580"/>
      <c r="MET92" s="580"/>
      <c r="MEU92" s="580"/>
      <c r="MEV92" s="580"/>
      <c r="MEW92" s="580"/>
      <c r="MEX92" s="580"/>
      <c r="MEY92" s="580"/>
      <c r="MEZ92" s="580"/>
      <c r="MFA92" s="580"/>
      <c r="MFB92" s="580"/>
      <c r="MFC92" s="580"/>
      <c r="MFD92" s="580"/>
      <c r="MFE92" s="580"/>
      <c r="MFF92" s="580"/>
      <c r="MFG92" s="580"/>
      <c r="MFH92" s="580"/>
      <c r="MFI92" s="580"/>
      <c r="MFJ92" s="580"/>
      <c r="MFK92" s="580"/>
      <c r="MFL92" s="580"/>
      <c r="MFM92" s="580"/>
      <c r="MFN92" s="580"/>
      <c r="MFO92" s="580"/>
      <c r="MFP92" s="580"/>
      <c r="MFQ92" s="580"/>
      <c r="MFR92" s="580"/>
      <c r="MFS92" s="580"/>
      <c r="MFT92" s="580"/>
      <c r="MFU92" s="580"/>
      <c r="MFV92" s="580"/>
      <c r="MFW92" s="580"/>
      <c r="MFX92" s="580"/>
      <c r="MFY92" s="580"/>
      <c r="MFZ92" s="580"/>
      <c r="MGA92" s="580"/>
      <c r="MGB92" s="580"/>
      <c r="MGC92" s="580"/>
      <c r="MGD92" s="580"/>
      <c r="MGE92" s="580"/>
      <c r="MGF92" s="580"/>
      <c r="MGG92" s="580"/>
      <c r="MGH92" s="580"/>
      <c r="MGI92" s="580"/>
      <c r="MGJ92" s="580"/>
      <c r="MGK92" s="580"/>
      <c r="MGL92" s="580"/>
      <c r="MGM92" s="580"/>
      <c r="MGN92" s="580"/>
      <c r="MGO92" s="580"/>
      <c r="MGP92" s="580"/>
      <c r="MGQ92" s="580"/>
      <c r="MGR92" s="580"/>
      <c r="MGS92" s="580"/>
      <c r="MGT92" s="580"/>
      <c r="MGU92" s="580"/>
      <c r="MGV92" s="580"/>
      <c r="MGW92" s="580"/>
      <c r="MGX92" s="580"/>
      <c r="MGY92" s="580"/>
      <c r="MGZ92" s="580"/>
      <c r="MHA92" s="580"/>
      <c r="MHB92" s="580"/>
      <c r="MHC92" s="580"/>
      <c r="MHD92" s="580"/>
      <c r="MHE92" s="580"/>
      <c r="MHF92" s="580"/>
      <c r="MHG92" s="580"/>
      <c r="MHH92" s="580"/>
      <c r="MHI92" s="580"/>
      <c r="MHJ92" s="580"/>
      <c r="MHK92" s="580"/>
      <c r="MHL92" s="580"/>
      <c r="MHM92" s="580"/>
      <c r="MHN92" s="580"/>
      <c r="MHO92" s="580"/>
      <c r="MHP92" s="580"/>
      <c r="MHQ92" s="580"/>
      <c r="MHR92" s="580"/>
      <c r="MHS92" s="580"/>
      <c r="MHT92" s="580"/>
      <c r="MHU92" s="580"/>
      <c r="MHV92" s="580"/>
      <c r="MHW92" s="580"/>
      <c r="MHX92" s="580"/>
      <c r="MHY92" s="580"/>
      <c r="MHZ92" s="580"/>
      <c r="MIA92" s="580"/>
      <c r="MIB92" s="580"/>
      <c r="MIC92" s="580"/>
      <c r="MID92" s="580"/>
      <c r="MIE92" s="580"/>
      <c r="MIF92" s="580"/>
      <c r="MIG92" s="580"/>
      <c r="MIH92" s="580"/>
      <c r="MII92" s="580"/>
      <c r="MIJ92" s="580"/>
      <c r="MIK92" s="580"/>
      <c r="MIL92" s="580"/>
      <c r="MIM92" s="580"/>
      <c r="MIN92" s="580"/>
      <c r="MIO92" s="580"/>
      <c r="MIP92" s="580"/>
      <c r="MIQ92" s="580"/>
      <c r="MIR92" s="580"/>
      <c r="MIS92" s="580"/>
      <c r="MIT92" s="580"/>
      <c r="MIU92" s="580"/>
      <c r="MIV92" s="580"/>
      <c r="MIW92" s="580"/>
      <c r="MIX92" s="580"/>
      <c r="MIY92" s="580"/>
      <c r="MIZ92" s="580"/>
      <c r="MJA92" s="580"/>
      <c r="MJB92" s="580"/>
      <c r="MJC92" s="580"/>
      <c r="MJD92" s="580"/>
      <c r="MJE92" s="580"/>
      <c r="MJF92" s="580"/>
      <c r="MJG92" s="580"/>
      <c r="MJH92" s="580"/>
      <c r="MJI92" s="580"/>
      <c r="MJJ92" s="580"/>
      <c r="MJK92" s="580"/>
      <c r="MJL92" s="580"/>
      <c r="MJM92" s="580"/>
      <c r="MJN92" s="580"/>
      <c r="MJO92" s="580"/>
      <c r="MJP92" s="580"/>
      <c r="MJQ92" s="580"/>
      <c r="MJR92" s="580"/>
      <c r="MJS92" s="580"/>
      <c r="MJT92" s="580"/>
      <c r="MJU92" s="580"/>
      <c r="MJV92" s="580"/>
      <c r="MJW92" s="580"/>
      <c r="MJX92" s="580"/>
      <c r="MJY92" s="580"/>
      <c r="MJZ92" s="580"/>
      <c r="MKA92" s="580"/>
      <c r="MKB92" s="580"/>
      <c r="MKC92" s="580"/>
      <c r="MKD92" s="580"/>
      <c r="MKE92" s="580"/>
      <c r="MKF92" s="580"/>
      <c r="MKG92" s="580"/>
      <c r="MKH92" s="580"/>
      <c r="MKI92" s="580"/>
      <c r="MKJ92" s="580"/>
      <c r="MKK92" s="580"/>
      <c r="MKL92" s="580"/>
      <c r="MKM92" s="580"/>
      <c r="MKN92" s="580"/>
      <c r="MKO92" s="580"/>
      <c r="MKP92" s="580"/>
      <c r="MKQ92" s="580"/>
      <c r="MKR92" s="580"/>
      <c r="MKS92" s="580"/>
      <c r="MKT92" s="580"/>
      <c r="MKU92" s="580"/>
      <c r="MKV92" s="580"/>
      <c r="MKW92" s="580"/>
      <c r="MKX92" s="580"/>
      <c r="MKY92" s="580"/>
      <c r="MKZ92" s="580"/>
      <c r="MLA92" s="580"/>
      <c r="MLB92" s="580"/>
      <c r="MLC92" s="580"/>
      <c r="MLD92" s="580"/>
      <c r="MLE92" s="580"/>
      <c r="MLF92" s="580"/>
      <c r="MLG92" s="580"/>
      <c r="MLH92" s="580"/>
      <c r="MLI92" s="580"/>
      <c r="MLJ92" s="580"/>
      <c r="MLK92" s="580"/>
      <c r="MLL92" s="580"/>
      <c r="MLM92" s="580"/>
      <c r="MLN92" s="580"/>
      <c r="MLO92" s="580"/>
      <c r="MLP92" s="580"/>
      <c r="MLQ92" s="580"/>
      <c r="MLR92" s="580"/>
      <c r="MLS92" s="580"/>
      <c r="MLT92" s="580"/>
      <c r="MLU92" s="580"/>
      <c r="MLV92" s="580"/>
      <c r="MLW92" s="580"/>
      <c r="MLX92" s="580"/>
      <c r="MLY92" s="580"/>
      <c r="MLZ92" s="580"/>
      <c r="MMA92" s="580"/>
      <c r="MMB92" s="580"/>
      <c r="MMC92" s="580"/>
      <c r="MMD92" s="580"/>
      <c r="MME92" s="580"/>
      <c r="MMF92" s="580"/>
      <c r="MMG92" s="580"/>
      <c r="MMH92" s="580"/>
      <c r="MMI92" s="580"/>
      <c r="MMJ92" s="580"/>
      <c r="MMK92" s="580"/>
      <c r="MML92" s="580"/>
      <c r="MMM92" s="580"/>
      <c r="MMN92" s="580"/>
      <c r="MMO92" s="580"/>
      <c r="MMP92" s="580"/>
      <c r="MMQ92" s="580"/>
      <c r="MMR92" s="580"/>
      <c r="MMS92" s="580"/>
      <c r="MMT92" s="580"/>
      <c r="MMU92" s="580"/>
      <c r="MMV92" s="580"/>
      <c r="MMW92" s="580"/>
      <c r="MMX92" s="580"/>
      <c r="MMY92" s="580"/>
      <c r="MMZ92" s="580"/>
      <c r="MNA92" s="580"/>
      <c r="MNB92" s="580"/>
      <c r="MNC92" s="580"/>
      <c r="MND92" s="580"/>
      <c r="MNE92" s="580"/>
      <c r="MNF92" s="580"/>
      <c r="MNG92" s="580"/>
      <c r="MNH92" s="580"/>
      <c r="MNI92" s="580"/>
      <c r="MNJ92" s="580"/>
      <c r="MNK92" s="580"/>
      <c r="MNL92" s="580"/>
      <c r="MNM92" s="580"/>
      <c r="MNN92" s="580"/>
      <c r="MNO92" s="580"/>
      <c r="MNP92" s="580"/>
      <c r="MNQ92" s="580"/>
      <c r="MNR92" s="580"/>
      <c r="MNS92" s="580"/>
      <c r="MNT92" s="580"/>
      <c r="MNU92" s="580"/>
      <c r="MNV92" s="580"/>
      <c r="MNW92" s="580"/>
      <c r="MNX92" s="580"/>
      <c r="MNY92" s="580"/>
      <c r="MNZ92" s="580"/>
      <c r="MOA92" s="580"/>
      <c r="MOB92" s="580"/>
      <c r="MOC92" s="580"/>
      <c r="MOD92" s="580"/>
      <c r="MOE92" s="580"/>
      <c r="MOF92" s="580"/>
      <c r="MOG92" s="580"/>
      <c r="MOH92" s="580"/>
      <c r="MOI92" s="580"/>
      <c r="MOJ92" s="580"/>
      <c r="MOK92" s="580"/>
      <c r="MOL92" s="580"/>
      <c r="MOM92" s="580"/>
      <c r="MON92" s="580"/>
      <c r="MOO92" s="580"/>
      <c r="MOP92" s="580"/>
      <c r="MOQ92" s="580"/>
      <c r="MOR92" s="580"/>
      <c r="MOS92" s="580"/>
      <c r="MOT92" s="580"/>
      <c r="MOU92" s="580"/>
      <c r="MOV92" s="580"/>
      <c r="MOW92" s="580"/>
      <c r="MOX92" s="580"/>
      <c r="MOY92" s="580"/>
      <c r="MOZ92" s="580"/>
      <c r="MPA92" s="580"/>
      <c r="MPB92" s="580"/>
      <c r="MPC92" s="580"/>
      <c r="MPD92" s="580"/>
      <c r="MPE92" s="580"/>
      <c r="MPF92" s="580"/>
      <c r="MPG92" s="580"/>
      <c r="MPH92" s="580"/>
      <c r="MPI92" s="580"/>
      <c r="MPJ92" s="580"/>
      <c r="MPK92" s="580"/>
      <c r="MPL92" s="580"/>
      <c r="MPM92" s="580"/>
      <c r="MPN92" s="580"/>
      <c r="MPO92" s="580"/>
      <c r="MPP92" s="580"/>
      <c r="MPQ92" s="580"/>
      <c r="MPR92" s="580"/>
      <c r="MPS92" s="580"/>
      <c r="MPT92" s="580"/>
      <c r="MPU92" s="580"/>
      <c r="MPV92" s="580"/>
      <c r="MPW92" s="580"/>
      <c r="MPX92" s="580"/>
      <c r="MPY92" s="580"/>
      <c r="MPZ92" s="580"/>
      <c r="MQA92" s="580"/>
      <c r="MQB92" s="580"/>
      <c r="MQC92" s="580"/>
      <c r="MQD92" s="580"/>
      <c r="MQE92" s="580"/>
      <c r="MQF92" s="580"/>
      <c r="MQG92" s="580"/>
      <c r="MQH92" s="580"/>
      <c r="MQI92" s="580"/>
      <c r="MQJ92" s="580"/>
      <c r="MQK92" s="580"/>
      <c r="MQL92" s="580"/>
      <c r="MQM92" s="580"/>
      <c r="MQN92" s="580"/>
      <c r="MQO92" s="580"/>
      <c r="MQP92" s="580"/>
      <c r="MQQ92" s="580"/>
      <c r="MQR92" s="580"/>
      <c r="MQS92" s="580"/>
      <c r="MQT92" s="580"/>
      <c r="MQU92" s="580"/>
      <c r="MQV92" s="580"/>
      <c r="MQW92" s="580"/>
      <c r="MQX92" s="580"/>
      <c r="MQY92" s="580"/>
      <c r="MQZ92" s="580"/>
      <c r="MRA92" s="580"/>
      <c r="MRB92" s="580"/>
      <c r="MRC92" s="580"/>
      <c r="MRD92" s="580"/>
      <c r="MRE92" s="580"/>
      <c r="MRF92" s="580"/>
      <c r="MRG92" s="580"/>
      <c r="MRH92" s="580"/>
      <c r="MRI92" s="580"/>
      <c r="MRJ92" s="580"/>
      <c r="MRK92" s="580"/>
      <c r="MRL92" s="580"/>
      <c r="MRM92" s="580"/>
      <c r="MRN92" s="580"/>
      <c r="MRO92" s="580"/>
      <c r="MRP92" s="580"/>
      <c r="MRQ92" s="580"/>
      <c r="MRR92" s="580"/>
      <c r="MRS92" s="580"/>
      <c r="MRT92" s="580"/>
      <c r="MRU92" s="580"/>
      <c r="MRV92" s="580"/>
      <c r="MRW92" s="580"/>
      <c r="MRX92" s="580"/>
      <c r="MRY92" s="580"/>
      <c r="MRZ92" s="580"/>
      <c r="MSA92" s="580"/>
      <c r="MSB92" s="580"/>
      <c r="MSC92" s="580"/>
      <c r="MSD92" s="580"/>
      <c r="MSE92" s="580"/>
      <c r="MSF92" s="580"/>
      <c r="MSG92" s="580"/>
      <c r="MSH92" s="580"/>
      <c r="MSI92" s="580"/>
      <c r="MSJ92" s="580"/>
      <c r="MSK92" s="580"/>
      <c r="MSL92" s="580"/>
      <c r="MSM92" s="580"/>
      <c r="MSN92" s="580"/>
      <c r="MSO92" s="580"/>
      <c r="MSP92" s="580"/>
      <c r="MSQ92" s="580"/>
      <c r="MSR92" s="580"/>
      <c r="MSS92" s="580"/>
      <c r="MST92" s="580"/>
      <c r="MSU92" s="580"/>
      <c r="MSV92" s="580"/>
      <c r="MSW92" s="580"/>
      <c r="MSX92" s="580"/>
      <c r="MSY92" s="580"/>
      <c r="MSZ92" s="580"/>
      <c r="MTA92" s="580"/>
      <c r="MTB92" s="580"/>
      <c r="MTC92" s="580"/>
      <c r="MTD92" s="580"/>
      <c r="MTE92" s="580"/>
      <c r="MTF92" s="580"/>
      <c r="MTG92" s="580"/>
      <c r="MTH92" s="580"/>
      <c r="MTI92" s="580"/>
      <c r="MTJ92" s="580"/>
      <c r="MTK92" s="580"/>
      <c r="MTL92" s="580"/>
      <c r="MTM92" s="580"/>
      <c r="MTN92" s="580"/>
      <c r="MTO92" s="580"/>
      <c r="MTP92" s="580"/>
      <c r="MTQ92" s="580"/>
      <c r="MTR92" s="580"/>
      <c r="MTS92" s="580"/>
      <c r="MTT92" s="580"/>
      <c r="MTU92" s="580"/>
      <c r="MTV92" s="580"/>
      <c r="MTW92" s="580"/>
      <c r="MTX92" s="580"/>
      <c r="MTY92" s="580"/>
      <c r="MTZ92" s="580"/>
      <c r="MUA92" s="580"/>
      <c r="MUB92" s="580"/>
      <c r="MUC92" s="580"/>
      <c r="MUD92" s="580"/>
      <c r="MUE92" s="580"/>
      <c r="MUF92" s="580"/>
      <c r="MUG92" s="580"/>
      <c r="MUH92" s="580"/>
      <c r="MUI92" s="580"/>
      <c r="MUJ92" s="580"/>
      <c r="MUK92" s="580"/>
      <c r="MUL92" s="580"/>
      <c r="MUM92" s="580"/>
      <c r="MUN92" s="580"/>
      <c r="MUO92" s="580"/>
      <c r="MUP92" s="580"/>
      <c r="MUQ92" s="580"/>
      <c r="MUR92" s="580"/>
      <c r="MUS92" s="580"/>
      <c r="MUT92" s="580"/>
      <c r="MUU92" s="580"/>
      <c r="MUV92" s="580"/>
      <c r="MUW92" s="580"/>
      <c r="MUX92" s="580"/>
      <c r="MUY92" s="580"/>
      <c r="MUZ92" s="580"/>
      <c r="MVA92" s="580"/>
      <c r="MVB92" s="580"/>
      <c r="MVC92" s="580"/>
      <c r="MVD92" s="580"/>
      <c r="MVE92" s="580"/>
      <c r="MVF92" s="580"/>
      <c r="MVG92" s="580"/>
      <c r="MVH92" s="580"/>
      <c r="MVI92" s="580"/>
      <c r="MVJ92" s="580"/>
      <c r="MVK92" s="580"/>
      <c r="MVL92" s="580"/>
      <c r="MVM92" s="580"/>
      <c r="MVN92" s="580"/>
      <c r="MVO92" s="580"/>
      <c r="MVP92" s="580"/>
      <c r="MVQ92" s="580"/>
      <c r="MVR92" s="580"/>
      <c r="MVS92" s="580"/>
      <c r="MVT92" s="580"/>
      <c r="MVU92" s="580"/>
      <c r="MVV92" s="580"/>
      <c r="MVW92" s="580"/>
      <c r="MVX92" s="580"/>
      <c r="MVY92" s="580"/>
      <c r="MVZ92" s="580"/>
      <c r="MWA92" s="580"/>
      <c r="MWB92" s="580"/>
      <c r="MWC92" s="580"/>
      <c r="MWD92" s="580"/>
      <c r="MWE92" s="580"/>
      <c r="MWF92" s="580"/>
      <c r="MWG92" s="580"/>
      <c r="MWH92" s="580"/>
      <c r="MWI92" s="580"/>
      <c r="MWJ92" s="580"/>
      <c r="MWK92" s="580"/>
      <c r="MWL92" s="580"/>
      <c r="MWM92" s="580"/>
      <c r="MWN92" s="580"/>
      <c r="MWO92" s="580"/>
      <c r="MWP92" s="580"/>
      <c r="MWQ92" s="580"/>
      <c r="MWR92" s="580"/>
      <c r="MWS92" s="580"/>
      <c r="MWT92" s="580"/>
      <c r="MWU92" s="580"/>
      <c r="MWV92" s="580"/>
      <c r="MWW92" s="580"/>
      <c r="MWX92" s="580"/>
      <c r="MWY92" s="580"/>
      <c r="MWZ92" s="580"/>
      <c r="MXA92" s="580"/>
      <c r="MXB92" s="580"/>
      <c r="MXC92" s="580"/>
      <c r="MXD92" s="580"/>
      <c r="MXE92" s="580"/>
      <c r="MXF92" s="580"/>
      <c r="MXG92" s="580"/>
      <c r="MXH92" s="580"/>
      <c r="MXI92" s="580"/>
      <c r="MXJ92" s="580"/>
      <c r="MXK92" s="580"/>
      <c r="MXL92" s="580"/>
      <c r="MXM92" s="580"/>
      <c r="MXN92" s="580"/>
      <c r="MXO92" s="580"/>
      <c r="MXP92" s="580"/>
      <c r="MXQ92" s="580"/>
      <c r="MXR92" s="580"/>
      <c r="MXS92" s="580"/>
      <c r="MXT92" s="580"/>
      <c r="MXU92" s="580"/>
      <c r="MXV92" s="580"/>
      <c r="MXW92" s="580"/>
      <c r="MXX92" s="580"/>
      <c r="MXY92" s="580"/>
      <c r="MXZ92" s="580"/>
      <c r="MYA92" s="580"/>
      <c r="MYB92" s="580"/>
      <c r="MYC92" s="580"/>
      <c r="MYD92" s="580"/>
      <c r="MYE92" s="580"/>
      <c r="MYF92" s="580"/>
      <c r="MYG92" s="580"/>
      <c r="MYH92" s="580"/>
      <c r="MYI92" s="580"/>
      <c r="MYJ92" s="580"/>
      <c r="MYK92" s="580"/>
      <c r="MYL92" s="580"/>
      <c r="MYM92" s="580"/>
      <c r="MYN92" s="580"/>
      <c r="MYO92" s="580"/>
      <c r="MYP92" s="580"/>
      <c r="MYQ92" s="580"/>
      <c r="MYR92" s="580"/>
      <c r="MYS92" s="580"/>
      <c r="MYT92" s="580"/>
      <c r="MYU92" s="580"/>
      <c r="MYV92" s="580"/>
      <c r="MYW92" s="580"/>
      <c r="MYX92" s="580"/>
      <c r="MYY92" s="580"/>
      <c r="MYZ92" s="580"/>
      <c r="MZA92" s="580"/>
      <c r="MZB92" s="580"/>
      <c r="MZC92" s="580"/>
      <c r="MZD92" s="580"/>
      <c r="MZE92" s="580"/>
      <c r="MZF92" s="580"/>
      <c r="MZG92" s="580"/>
      <c r="MZH92" s="580"/>
      <c r="MZI92" s="580"/>
      <c r="MZJ92" s="580"/>
      <c r="MZK92" s="580"/>
      <c r="MZL92" s="580"/>
      <c r="MZM92" s="580"/>
      <c r="MZN92" s="580"/>
      <c r="MZO92" s="580"/>
      <c r="MZP92" s="580"/>
      <c r="MZQ92" s="580"/>
      <c r="MZR92" s="580"/>
      <c r="MZS92" s="580"/>
      <c r="MZT92" s="580"/>
      <c r="MZU92" s="580"/>
      <c r="MZV92" s="580"/>
      <c r="MZW92" s="580"/>
      <c r="MZX92" s="580"/>
      <c r="MZY92" s="580"/>
      <c r="MZZ92" s="580"/>
      <c r="NAA92" s="580"/>
      <c r="NAB92" s="580"/>
      <c r="NAC92" s="580"/>
      <c r="NAD92" s="580"/>
      <c r="NAE92" s="580"/>
      <c r="NAF92" s="580"/>
      <c r="NAG92" s="580"/>
      <c r="NAH92" s="580"/>
      <c r="NAI92" s="580"/>
      <c r="NAJ92" s="580"/>
      <c r="NAK92" s="580"/>
      <c r="NAL92" s="580"/>
      <c r="NAM92" s="580"/>
      <c r="NAN92" s="580"/>
      <c r="NAO92" s="580"/>
      <c r="NAP92" s="580"/>
      <c r="NAQ92" s="580"/>
      <c r="NAR92" s="580"/>
      <c r="NAS92" s="580"/>
      <c r="NAT92" s="580"/>
      <c r="NAU92" s="580"/>
      <c r="NAV92" s="580"/>
      <c r="NAW92" s="580"/>
      <c r="NAX92" s="580"/>
      <c r="NAY92" s="580"/>
      <c r="NAZ92" s="580"/>
      <c r="NBA92" s="580"/>
      <c r="NBB92" s="580"/>
      <c r="NBC92" s="580"/>
      <c r="NBD92" s="580"/>
      <c r="NBE92" s="580"/>
      <c r="NBF92" s="580"/>
      <c r="NBG92" s="580"/>
      <c r="NBH92" s="580"/>
      <c r="NBI92" s="580"/>
      <c r="NBJ92" s="580"/>
      <c r="NBK92" s="580"/>
      <c r="NBL92" s="580"/>
      <c r="NBM92" s="580"/>
      <c r="NBN92" s="580"/>
      <c r="NBO92" s="580"/>
      <c r="NBP92" s="580"/>
      <c r="NBQ92" s="580"/>
      <c r="NBR92" s="580"/>
      <c r="NBS92" s="580"/>
      <c r="NBT92" s="580"/>
      <c r="NBU92" s="580"/>
      <c r="NBV92" s="580"/>
      <c r="NBW92" s="580"/>
      <c r="NBX92" s="580"/>
      <c r="NBY92" s="580"/>
      <c r="NBZ92" s="580"/>
      <c r="NCA92" s="580"/>
      <c r="NCB92" s="580"/>
      <c r="NCC92" s="580"/>
      <c r="NCD92" s="580"/>
      <c r="NCE92" s="580"/>
      <c r="NCF92" s="580"/>
      <c r="NCG92" s="580"/>
      <c r="NCH92" s="580"/>
      <c r="NCI92" s="580"/>
      <c r="NCJ92" s="580"/>
      <c r="NCK92" s="580"/>
      <c r="NCL92" s="580"/>
      <c r="NCM92" s="580"/>
      <c r="NCN92" s="580"/>
      <c r="NCO92" s="580"/>
      <c r="NCP92" s="580"/>
      <c r="NCQ92" s="580"/>
      <c r="NCR92" s="580"/>
      <c r="NCS92" s="580"/>
      <c r="NCT92" s="580"/>
      <c r="NCU92" s="580"/>
      <c r="NCV92" s="580"/>
      <c r="NCW92" s="580"/>
      <c r="NCX92" s="580"/>
      <c r="NCY92" s="580"/>
      <c r="NCZ92" s="580"/>
      <c r="NDA92" s="580"/>
      <c r="NDB92" s="580"/>
      <c r="NDC92" s="580"/>
      <c r="NDD92" s="580"/>
      <c r="NDE92" s="580"/>
      <c r="NDF92" s="580"/>
      <c r="NDG92" s="580"/>
      <c r="NDH92" s="580"/>
      <c r="NDI92" s="580"/>
      <c r="NDJ92" s="580"/>
      <c r="NDK92" s="580"/>
      <c r="NDL92" s="580"/>
      <c r="NDM92" s="580"/>
      <c r="NDN92" s="580"/>
      <c r="NDO92" s="580"/>
      <c r="NDP92" s="580"/>
      <c r="NDQ92" s="580"/>
      <c r="NDR92" s="580"/>
      <c r="NDS92" s="580"/>
      <c r="NDT92" s="580"/>
      <c r="NDU92" s="580"/>
      <c r="NDV92" s="580"/>
      <c r="NDW92" s="580"/>
      <c r="NDX92" s="580"/>
      <c r="NDY92" s="580"/>
      <c r="NDZ92" s="580"/>
      <c r="NEA92" s="580"/>
      <c r="NEB92" s="580"/>
      <c r="NEC92" s="580"/>
      <c r="NED92" s="580"/>
      <c r="NEE92" s="580"/>
      <c r="NEF92" s="580"/>
      <c r="NEG92" s="580"/>
      <c r="NEH92" s="580"/>
      <c r="NEI92" s="580"/>
      <c r="NEJ92" s="580"/>
      <c r="NEK92" s="580"/>
      <c r="NEL92" s="580"/>
      <c r="NEM92" s="580"/>
      <c r="NEN92" s="580"/>
      <c r="NEO92" s="580"/>
      <c r="NEP92" s="580"/>
      <c r="NEQ92" s="580"/>
      <c r="NER92" s="580"/>
      <c r="NES92" s="580"/>
      <c r="NET92" s="580"/>
      <c r="NEU92" s="580"/>
      <c r="NEV92" s="580"/>
      <c r="NEW92" s="580"/>
      <c r="NEX92" s="580"/>
      <c r="NEY92" s="580"/>
      <c r="NEZ92" s="580"/>
      <c r="NFA92" s="580"/>
      <c r="NFB92" s="580"/>
      <c r="NFC92" s="580"/>
      <c r="NFD92" s="580"/>
      <c r="NFE92" s="580"/>
      <c r="NFF92" s="580"/>
      <c r="NFG92" s="580"/>
      <c r="NFH92" s="580"/>
      <c r="NFI92" s="580"/>
      <c r="NFJ92" s="580"/>
      <c r="NFK92" s="580"/>
      <c r="NFL92" s="580"/>
      <c r="NFM92" s="580"/>
      <c r="NFN92" s="580"/>
      <c r="NFO92" s="580"/>
      <c r="NFP92" s="580"/>
      <c r="NFQ92" s="580"/>
      <c r="NFR92" s="580"/>
      <c r="NFS92" s="580"/>
      <c r="NFT92" s="580"/>
      <c r="NFU92" s="580"/>
      <c r="NFV92" s="580"/>
      <c r="NFW92" s="580"/>
      <c r="NFX92" s="580"/>
      <c r="NFY92" s="580"/>
      <c r="NFZ92" s="580"/>
      <c r="NGA92" s="580"/>
      <c r="NGB92" s="580"/>
      <c r="NGC92" s="580"/>
      <c r="NGD92" s="580"/>
      <c r="NGE92" s="580"/>
      <c r="NGF92" s="580"/>
      <c r="NGG92" s="580"/>
      <c r="NGH92" s="580"/>
      <c r="NGI92" s="580"/>
      <c r="NGJ92" s="580"/>
      <c r="NGK92" s="580"/>
      <c r="NGL92" s="580"/>
      <c r="NGM92" s="580"/>
      <c r="NGN92" s="580"/>
      <c r="NGO92" s="580"/>
      <c r="NGP92" s="580"/>
      <c r="NGQ92" s="580"/>
      <c r="NGR92" s="580"/>
      <c r="NGS92" s="580"/>
      <c r="NGT92" s="580"/>
      <c r="NGU92" s="580"/>
      <c r="NGV92" s="580"/>
      <c r="NGW92" s="580"/>
      <c r="NGX92" s="580"/>
      <c r="NGY92" s="580"/>
      <c r="NGZ92" s="580"/>
      <c r="NHA92" s="580"/>
      <c r="NHB92" s="580"/>
      <c r="NHC92" s="580"/>
      <c r="NHD92" s="580"/>
      <c r="NHE92" s="580"/>
      <c r="NHF92" s="580"/>
      <c r="NHG92" s="580"/>
      <c r="NHH92" s="580"/>
      <c r="NHI92" s="580"/>
      <c r="NHJ92" s="580"/>
      <c r="NHK92" s="580"/>
      <c r="NHL92" s="580"/>
      <c r="NHM92" s="580"/>
      <c r="NHN92" s="580"/>
      <c r="NHO92" s="580"/>
      <c r="NHP92" s="580"/>
      <c r="NHQ92" s="580"/>
      <c r="NHR92" s="580"/>
      <c r="NHS92" s="580"/>
      <c r="NHT92" s="580"/>
      <c r="NHU92" s="580"/>
      <c r="NHV92" s="580"/>
      <c r="NHW92" s="580"/>
      <c r="NHX92" s="580"/>
      <c r="NHY92" s="580"/>
      <c r="NHZ92" s="580"/>
      <c r="NIA92" s="580"/>
      <c r="NIB92" s="580"/>
      <c r="NIC92" s="580"/>
      <c r="NID92" s="580"/>
      <c r="NIE92" s="580"/>
      <c r="NIF92" s="580"/>
      <c r="NIG92" s="580"/>
      <c r="NIH92" s="580"/>
      <c r="NII92" s="580"/>
      <c r="NIJ92" s="580"/>
      <c r="NIK92" s="580"/>
      <c r="NIL92" s="580"/>
      <c r="NIM92" s="580"/>
      <c r="NIN92" s="580"/>
      <c r="NIO92" s="580"/>
      <c r="NIP92" s="580"/>
      <c r="NIQ92" s="580"/>
      <c r="NIR92" s="580"/>
      <c r="NIS92" s="580"/>
      <c r="NIT92" s="580"/>
      <c r="NIU92" s="580"/>
      <c r="NIV92" s="580"/>
      <c r="NIW92" s="580"/>
      <c r="NIX92" s="580"/>
      <c r="NIY92" s="580"/>
      <c r="NIZ92" s="580"/>
      <c r="NJA92" s="580"/>
      <c r="NJB92" s="580"/>
      <c r="NJC92" s="580"/>
      <c r="NJD92" s="580"/>
      <c r="NJE92" s="580"/>
      <c r="NJF92" s="580"/>
      <c r="NJG92" s="580"/>
      <c r="NJH92" s="580"/>
      <c r="NJI92" s="580"/>
      <c r="NJJ92" s="580"/>
      <c r="NJK92" s="580"/>
      <c r="NJL92" s="580"/>
      <c r="NJM92" s="580"/>
      <c r="NJN92" s="580"/>
      <c r="NJO92" s="580"/>
      <c r="NJP92" s="580"/>
      <c r="NJQ92" s="580"/>
      <c r="NJR92" s="580"/>
      <c r="NJS92" s="580"/>
      <c r="NJT92" s="580"/>
      <c r="NJU92" s="580"/>
      <c r="NJV92" s="580"/>
      <c r="NJW92" s="580"/>
      <c r="NJX92" s="580"/>
      <c r="NJY92" s="580"/>
      <c r="NJZ92" s="580"/>
      <c r="NKA92" s="580"/>
      <c r="NKB92" s="580"/>
      <c r="NKC92" s="580"/>
      <c r="NKD92" s="580"/>
      <c r="NKE92" s="580"/>
      <c r="NKF92" s="580"/>
      <c r="NKG92" s="580"/>
      <c r="NKH92" s="580"/>
      <c r="NKI92" s="580"/>
      <c r="NKJ92" s="580"/>
      <c r="NKK92" s="580"/>
      <c r="NKL92" s="580"/>
      <c r="NKM92" s="580"/>
      <c r="NKN92" s="580"/>
      <c r="NKO92" s="580"/>
      <c r="NKP92" s="580"/>
      <c r="NKQ92" s="580"/>
      <c r="NKR92" s="580"/>
      <c r="NKS92" s="580"/>
      <c r="NKT92" s="580"/>
      <c r="NKU92" s="580"/>
      <c r="NKV92" s="580"/>
      <c r="NKW92" s="580"/>
      <c r="NKX92" s="580"/>
      <c r="NKY92" s="580"/>
      <c r="NKZ92" s="580"/>
      <c r="NLA92" s="580"/>
      <c r="NLB92" s="580"/>
      <c r="NLC92" s="580"/>
      <c r="NLD92" s="580"/>
      <c r="NLE92" s="580"/>
      <c r="NLF92" s="580"/>
      <c r="NLG92" s="580"/>
      <c r="NLH92" s="580"/>
      <c r="NLI92" s="580"/>
      <c r="NLJ92" s="580"/>
      <c r="NLK92" s="580"/>
      <c r="NLL92" s="580"/>
      <c r="NLM92" s="580"/>
      <c r="NLN92" s="580"/>
      <c r="NLO92" s="580"/>
      <c r="NLP92" s="580"/>
      <c r="NLQ92" s="580"/>
      <c r="NLR92" s="580"/>
      <c r="NLS92" s="580"/>
      <c r="NLT92" s="580"/>
      <c r="NLU92" s="580"/>
      <c r="NLV92" s="580"/>
      <c r="NLW92" s="580"/>
      <c r="NLX92" s="580"/>
      <c r="NLY92" s="580"/>
      <c r="NLZ92" s="580"/>
      <c r="NMA92" s="580"/>
      <c r="NMB92" s="580"/>
      <c r="NMC92" s="580"/>
      <c r="NMD92" s="580"/>
      <c r="NME92" s="580"/>
      <c r="NMF92" s="580"/>
      <c r="NMG92" s="580"/>
      <c r="NMH92" s="580"/>
      <c r="NMI92" s="580"/>
      <c r="NMJ92" s="580"/>
      <c r="NMK92" s="580"/>
      <c r="NML92" s="580"/>
      <c r="NMM92" s="580"/>
      <c r="NMN92" s="580"/>
      <c r="NMO92" s="580"/>
      <c r="NMP92" s="580"/>
      <c r="NMQ92" s="580"/>
      <c r="NMR92" s="580"/>
      <c r="NMS92" s="580"/>
      <c r="NMT92" s="580"/>
      <c r="NMU92" s="580"/>
      <c r="NMV92" s="580"/>
      <c r="NMW92" s="580"/>
      <c r="NMX92" s="580"/>
      <c r="NMY92" s="580"/>
      <c r="NMZ92" s="580"/>
      <c r="NNA92" s="580"/>
      <c r="NNB92" s="580"/>
      <c r="NNC92" s="580"/>
      <c r="NND92" s="580"/>
      <c r="NNE92" s="580"/>
      <c r="NNF92" s="580"/>
      <c r="NNG92" s="580"/>
      <c r="NNH92" s="580"/>
      <c r="NNI92" s="580"/>
      <c r="NNJ92" s="580"/>
      <c r="NNK92" s="580"/>
      <c r="NNL92" s="580"/>
      <c r="NNM92" s="580"/>
      <c r="NNN92" s="580"/>
      <c r="NNO92" s="580"/>
      <c r="NNP92" s="580"/>
      <c r="NNQ92" s="580"/>
      <c r="NNR92" s="580"/>
      <c r="NNS92" s="580"/>
      <c r="NNT92" s="580"/>
      <c r="NNU92" s="580"/>
      <c r="NNV92" s="580"/>
      <c r="NNW92" s="580"/>
      <c r="NNX92" s="580"/>
      <c r="NNY92" s="580"/>
      <c r="NNZ92" s="580"/>
      <c r="NOA92" s="580"/>
      <c r="NOB92" s="580"/>
      <c r="NOC92" s="580"/>
      <c r="NOD92" s="580"/>
      <c r="NOE92" s="580"/>
      <c r="NOF92" s="580"/>
      <c r="NOG92" s="580"/>
      <c r="NOH92" s="580"/>
      <c r="NOI92" s="580"/>
      <c r="NOJ92" s="580"/>
      <c r="NOK92" s="580"/>
      <c r="NOL92" s="580"/>
      <c r="NOM92" s="580"/>
      <c r="NON92" s="580"/>
      <c r="NOO92" s="580"/>
      <c r="NOP92" s="580"/>
      <c r="NOQ92" s="580"/>
      <c r="NOR92" s="580"/>
      <c r="NOS92" s="580"/>
      <c r="NOT92" s="580"/>
      <c r="NOU92" s="580"/>
      <c r="NOV92" s="580"/>
      <c r="NOW92" s="580"/>
      <c r="NOX92" s="580"/>
      <c r="NOY92" s="580"/>
      <c r="NOZ92" s="580"/>
      <c r="NPA92" s="580"/>
      <c r="NPB92" s="580"/>
      <c r="NPC92" s="580"/>
      <c r="NPD92" s="580"/>
      <c r="NPE92" s="580"/>
      <c r="NPF92" s="580"/>
      <c r="NPG92" s="580"/>
      <c r="NPH92" s="580"/>
      <c r="NPI92" s="580"/>
      <c r="NPJ92" s="580"/>
      <c r="NPK92" s="580"/>
      <c r="NPL92" s="580"/>
      <c r="NPM92" s="580"/>
      <c r="NPN92" s="580"/>
      <c r="NPO92" s="580"/>
      <c r="NPP92" s="580"/>
      <c r="NPQ92" s="580"/>
      <c r="NPR92" s="580"/>
      <c r="NPS92" s="580"/>
      <c r="NPT92" s="580"/>
      <c r="NPU92" s="580"/>
      <c r="NPV92" s="580"/>
      <c r="NPW92" s="580"/>
      <c r="NPX92" s="580"/>
      <c r="NPY92" s="580"/>
      <c r="NPZ92" s="580"/>
      <c r="NQA92" s="580"/>
      <c r="NQB92" s="580"/>
      <c r="NQC92" s="580"/>
      <c r="NQD92" s="580"/>
      <c r="NQE92" s="580"/>
      <c r="NQF92" s="580"/>
      <c r="NQG92" s="580"/>
      <c r="NQH92" s="580"/>
      <c r="NQI92" s="580"/>
      <c r="NQJ92" s="580"/>
      <c r="NQK92" s="580"/>
      <c r="NQL92" s="580"/>
      <c r="NQM92" s="580"/>
      <c r="NQN92" s="580"/>
      <c r="NQO92" s="580"/>
      <c r="NQP92" s="580"/>
      <c r="NQQ92" s="580"/>
      <c r="NQR92" s="580"/>
      <c r="NQS92" s="580"/>
      <c r="NQT92" s="580"/>
      <c r="NQU92" s="580"/>
      <c r="NQV92" s="580"/>
      <c r="NQW92" s="580"/>
      <c r="NQX92" s="580"/>
      <c r="NQY92" s="580"/>
      <c r="NQZ92" s="580"/>
      <c r="NRA92" s="580"/>
      <c r="NRB92" s="580"/>
      <c r="NRC92" s="580"/>
      <c r="NRD92" s="580"/>
      <c r="NRE92" s="580"/>
      <c r="NRF92" s="580"/>
      <c r="NRG92" s="580"/>
      <c r="NRH92" s="580"/>
      <c r="NRI92" s="580"/>
      <c r="NRJ92" s="580"/>
      <c r="NRK92" s="580"/>
      <c r="NRL92" s="580"/>
      <c r="NRM92" s="580"/>
      <c r="NRN92" s="580"/>
      <c r="NRO92" s="580"/>
      <c r="NRP92" s="580"/>
      <c r="NRQ92" s="580"/>
      <c r="NRR92" s="580"/>
      <c r="NRS92" s="580"/>
      <c r="NRT92" s="580"/>
      <c r="NRU92" s="580"/>
      <c r="NRV92" s="580"/>
      <c r="NRW92" s="580"/>
      <c r="NRX92" s="580"/>
      <c r="NRY92" s="580"/>
      <c r="NRZ92" s="580"/>
      <c r="NSA92" s="580"/>
      <c r="NSB92" s="580"/>
      <c r="NSC92" s="580"/>
      <c r="NSD92" s="580"/>
      <c r="NSE92" s="580"/>
      <c r="NSF92" s="580"/>
      <c r="NSG92" s="580"/>
      <c r="NSH92" s="580"/>
      <c r="NSI92" s="580"/>
      <c r="NSJ92" s="580"/>
      <c r="NSK92" s="580"/>
      <c r="NSL92" s="580"/>
      <c r="NSM92" s="580"/>
      <c r="NSN92" s="580"/>
      <c r="NSO92" s="580"/>
      <c r="NSP92" s="580"/>
      <c r="NSQ92" s="580"/>
      <c r="NSR92" s="580"/>
      <c r="NSS92" s="580"/>
      <c r="NST92" s="580"/>
      <c r="NSU92" s="580"/>
      <c r="NSV92" s="580"/>
      <c r="NSW92" s="580"/>
      <c r="NSX92" s="580"/>
      <c r="NSY92" s="580"/>
      <c r="NSZ92" s="580"/>
      <c r="NTA92" s="580"/>
      <c r="NTB92" s="580"/>
      <c r="NTC92" s="580"/>
      <c r="NTD92" s="580"/>
      <c r="NTE92" s="580"/>
      <c r="NTF92" s="580"/>
      <c r="NTG92" s="580"/>
      <c r="NTH92" s="580"/>
      <c r="NTI92" s="580"/>
      <c r="NTJ92" s="580"/>
      <c r="NTK92" s="580"/>
      <c r="NTL92" s="580"/>
      <c r="NTM92" s="580"/>
      <c r="NTN92" s="580"/>
      <c r="NTO92" s="580"/>
      <c r="NTP92" s="580"/>
      <c r="NTQ92" s="580"/>
      <c r="NTR92" s="580"/>
      <c r="NTS92" s="580"/>
      <c r="NTT92" s="580"/>
      <c r="NTU92" s="580"/>
      <c r="NTV92" s="580"/>
      <c r="NTW92" s="580"/>
      <c r="NTX92" s="580"/>
      <c r="NTY92" s="580"/>
      <c r="NTZ92" s="580"/>
      <c r="NUA92" s="580"/>
      <c r="NUB92" s="580"/>
      <c r="NUC92" s="580"/>
      <c r="NUD92" s="580"/>
      <c r="NUE92" s="580"/>
      <c r="NUF92" s="580"/>
      <c r="NUG92" s="580"/>
      <c r="NUH92" s="580"/>
      <c r="NUI92" s="580"/>
      <c r="NUJ92" s="580"/>
      <c r="NUK92" s="580"/>
      <c r="NUL92" s="580"/>
      <c r="NUM92" s="580"/>
      <c r="NUN92" s="580"/>
      <c r="NUO92" s="580"/>
      <c r="NUP92" s="580"/>
      <c r="NUQ92" s="580"/>
      <c r="NUR92" s="580"/>
      <c r="NUS92" s="580"/>
      <c r="NUT92" s="580"/>
      <c r="NUU92" s="580"/>
      <c r="NUV92" s="580"/>
      <c r="NUW92" s="580"/>
      <c r="NUX92" s="580"/>
      <c r="NUY92" s="580"/>
      <c r="NUZ92" s="580"/>
      <c r="NVA92" s="580"/>
      <c r="NVB92" s="580"/>
      <c r="NVC92" s="580"/>
      <c r="NVD92" s="580"/>
      <c r="NVE92" s="580"/>
      <c r="NVF92" s="580"/>
      <c r="NVG92" s="580"/>
      <c r="NVH92" s="580"/>
      <c r="NVI92" s="580"/>
      <c r="NVJ92" s="580"/>
      <c r="NVK92" s="580"/>
      <c r="NVL92" s="580"/>
      <c r="NVM92" s="580"/>
      <c r="NVN92" s="580"/>
      <c r="NVO92" s="580"/>
      <c r="NVP92" s="580"/>
      <c r="NVQ92" s="580"/>
      <c r="NVR92" s="580"/>
      <c r="NVS92" s="580"/>
      <c r="NVT92" s="580"/>
      <c r="NVU92" s="580"/>
      <c r="NVV92" s="580"/>
      <c r="NVW92" s="580"/>
      <c r="NVX92" s="580"/>
      <c r="NVY92" s="580"/>
      <c r="NVZ92" s="580"/>
      <c r="NWA92" s="580"/>
      <c r="NWB92" s="580"/>
      <c r="NWC92" s="580"/>
      <c r="NWD92" s="580"/>
      <c r="NWE92" s="580"/>
      <c r="NWF92" s="580"/>
      <c r="NWG92" s="580"/>
      <c r="NWH92" s="580"/>
      <c r="NWI92" s="580"/>
      <c r="NWJ92" s="580"/>
      <c r="NWK92" s="580"/>
      <c r="NWL92" s="580"/>
      <c r="NWM92" s="580"/>
      <c r="NWN92" s="580"/>
      <c r="NWO92" s="580"/>
      <c r="NWP92" s="580"/>
      <c r="NWQ92" s="580"/>
      <c r="NWR92" s="580"/>
      <c r="NWS92" s="580"/>
      <c r="NWT92" s="580"/>
      <c r="NWU92" s="580"/>
      <c r="NWV92" s="580"/>
      <c r="NWW92" s="580"/>
      <c r="NWX92" s="580"/>
      <c r="NWY92" s="580"/>
      <c r="NWZ92" s="580"/>
      <c r="NXA92" s="580"/>
      <c r="NXB92" s="580"/>
      <c r="NXC92" s="580"/>
      <c r="NXD92" s="580"/>
      <c r="NXE92" s="580"/>
      <c r="NXF92" s="580"/>
      <c r="NXG92" s="580"/>
      <c r="NXH92" s="580"/>
      <c r="NXI92" s="580"/>
      <c r="NXJ92" s="580"/>
      <c r="NXK92" s="580"/>
      <c r="NXL92" s="580"/>
      <c r="NXM92" s="580"/>
      <c r="NXN92" s="580"/>
      <c r="NXO92" s="580"/>
      <c r="NXP92" s="580"/>
      <c r="NXQ92" s="580"/>
      <c r="NXR92" s="580"/>
      <c r="NXS92" s="580"/>
      <c r="NXT92" s="580"/>
      <c r="NXU92" s="580"/>
      <c r="NXV92" s="580"/>
      <c r="NXW92" s="580"/>
      <c r="NXX92" s="580"/>
      <c r="NXY92" s="580"/>
      <c r="NXZ92" s="580"/>
      <c r="NYA92" s="580"/>
      <c r="NYB92" s="580"/>
      <c r="NYC92" s="580"/>
      <c r="NYD92" s="580"/>
      <c r="NYE92" s="580"/>
      <c r="NYF92" s="580"/>
      <c r="NYG92" s="580"/>
      <c r="NYH92" s="580"/>
      <c r="NYI92" s="580"/>
      <c r="NYJ92" s="580"/>
      <c r="NYK92" s="580"/>
      <c r="NYL92" s="580"/>
      <c r="NYM92" s="580"/>
      <c r="NYN92" s="580"/>
      <c r="NYO92" s="580"/>
      <c r="NYP92" s="580"/>
      <c r="NYQ92" s="580"/>
      <c r="NYR92" s="580"/>
      <c r="NYS92" s="580"/>
      <c r="NYT92" s="580"/>
      <c r="NYU92" s="580"/>
      <c r="NYV92" s="580"/>
      <c r="NYW92" s="580"/>
      <c r="NYX92" s="580"/>
      <c r="NYY92" s="580"/>
      <c r="NYZ92" s="580"/>
      <c r="NZA92" s="580"/>
      <c r="NZB92" s="580"/>
      <c r="NZC92" s="580"/>
      <c r="NZD92" s="580"/>
      <c r="NZE92" s="580"/>
      <c r="NZF92" s="580"/>
      <c r="NZG92" s="580"/>
      <c r="NZH92" s="580"/>
      <c r="NZI92" s="580"/>
      <c r="NZJ92" s="580"/>
      <c r="NZK92" s="580"/>
      <c r="NZL92" s="580"/>
      <c r="NZM92" s="580"/>
      <c r="NZN92" s="580"/>
      <c r="NZO92" s="580"/>
      <c r="NZP92" s="580"/>
      <c r="NZQ92" s="580"/>
      <c r="NZR92" s="580"/>
      <c r="NZS92" s="580"/>
      <c r="NZT92" s="580"/>
      <c r="NZU92" s="580"/>
      <c r="NZV92" s="580"/>
      <c r="NZW92" s="580"/>
      <c r="NZX92" s="580"/>
      <c r="NZY92" s="580"/>
      <c r="NZZ92" s="580"/>
      <c r="OAA92" s="580"/>
      <c r="OAB92" s="580"/>
      <c r="OAC92" s="580"/>
      <c r="OAD92" s="580"/>
      <c r="OAE92" s="580"/>
      <c r="OAF92" s="580"/>
      <c r="OAG92" s="580"/>
      <c r="OAH92" s="580"/>
      <c r="OAI92" s="580"/>
      <c r="OAJ92" s="580"/>
      <c r="OAK92" s="580"/>
      <c r="OAL92" s="580"/>
      <c r="OAM92" s="580"/>
      <c r="OAN92" s="580"/>
      <c r="OAO92" s="580"/>
      <c r="OAP92" s="580"/>
      <c r="OAQ92" s="580"/>
      <c r="OAR92" s="580"/>
      <c r="OAS92" s="580"/>
      <c r="OAT92" s="580"/>
      <c r="OAU92" s="580"/>
      <c r="OAV92" s="580"/>
      <c r="OAW92" s="580"/>
      <c r="OAX92" s="580"/>
      <c r="OAY92" s="580"/>
      <c r="OAZ92" s="580"/>
      <c r="OBA92" s="580"/>
      <c r="OBB92" s="580"/>
      <c r="OBC92" s="580"/>
      <c r="OBD92" s="580"/>
      <c r="OBE92" s="580"/>
      <c r="OBF92" s="580"/>
      <c r="OBG92" s="580"/>
      <c r="OBH92" s="580"/>
      <c r="OBI92" s="580"/>
      <c r="OBJ92" s="580"/>
      <c r="OBK92" s="580"/>
      <c r="OBL92" s="580"/>
      <c r="OBM92" s="580"/>
      <c r="OBN92" s="580"/>
      <c r="OBO92" s="580"/>
      <c r="OBP92" s="580"/>
      <c r="OBQ92" s="580"/>
      <c r="OBR92" s="580"/>
      <c r="OBS92" s="580"/>
      <c r="OBT92" s="580"/>
      <c r="OBU92" s="580"/>
      <c r="OBV92" s="580"/>
      <c r="OBW92" s="580"/>
      <c r="OBX92" s="580"/>
      <c r="OBY92" s="580"/>
      <c r="OBZ92" s="580"/>
      <c r="OCA92" s="580"/>
      <c r="OCB92" s="580"/>
      <c r="OCC92" s="580"/>
      <c r="OCD92" s="580"/>
      <c r="OCE92" s="580"/>
      <c r="OCF92" s="580"/>
      <c r="OCG92" s="580"/>
      <c r="OCH92" s="580"/>
      <c r="OCI92" s="580"/>
      <c r="OCJ92" s="580"/>
      <c r="OCK92" s="580"/>
      <c r="OCL92" s="580"/>
      <c r="OCM92" s="580"/>
      <c r="OCN92" s="580"/>
      <c r="OCO92" s="580"/>
      <c r="OCP92" s="580"/>
      <c r="OCQ92" s="580"/>
      <c r="OCR92" s="580"/>
      <c r="OCS92" s="580"/>
      <c r="OCT92" s="580"/>
      <c r="OCU92" s="580"/>
      <c r="OCV92" s="580"/>
      <c r="OCW92" s="580"/>
      <c r="OCX92" s="580"/>
      <c r="OCY92" s="580"/>
      <c r="OCZ92" s="580"/>
      <c r="ODA92" s="580"/>
      <c r="ODB92" s="580"/>
      <c r="ODC92" s="580"/>
      <c r="ODD92" s="580"/>
      <c r="ODE92" s="580"/>
      <c r="ODF92" s="580"/>
      <c r="ODG92" s="580"/>
      <c r="ODH92" s="580"/>
      <c r="ODI92" s="580"/>
      <c r="ODJ92" s="580"/>
      <c r="ODK92" s="580"/>
      <c r="ODL92" s="580"/>
      <c r="ODM92" s="580"/>
      <c r="ODN92" s="580"/>
      <c r="ODO92" s="580"/>
      <c r="ODP92" s="580"/>
      <c r="ODQ92" s="580"/>
      <c r="ODR92" s="580"/>
      <c r="ODS92" s="580"/>
      <c r="ODT92" s="580"/>
      <c r="ODU92" s="580"/>
      <c r="ODV92" s="580"/>
      <c r="ODW92" s="580"/>
      <c r="ODX92" s="580"/>
      <c r="ODY92" s="580"/>
      <c r="ODZ92" s="580"/>
      <c r="OEA92" s="580"/>
      <c r="OEB92" s="580"/>
      <c r="OEC92" s="580"/>
      <c r="OED92" s="580"/>
      <c r="OEE92" s="580"/>
      <c r="OEF92" s="580"/>
      <c r="OEG92" s="580"/>
      <c r="OEH92" s="580"/>
      <c r="OEI92" s="580"/>
      <c r="OEJ92" s="580"/>
      <c r="OEK92" s="580"/>
      <c r="OEL92" s="580"/>
      <c r="OEM92" s="580"/>
      <c r="OEN92" s="580"/>
      <c r="OEO92" s="580"/>
      <c r="OEP92" s="580"/>
      <c r="OEQ92" s="580"/>
      <c r="OER92" s="580"/>
      <c r="OES92" s="580"/>
      <c r="OET92" s="580"/>
      <c r="OEU92" s="580"/>
      <c r="OEV92" s="580"/>
      <c r="OEW92" s="580"/>
      <c r="OEX92" s="580"/>
      <c r="OEY92" s="580"/>
      <c r="OEZ92" s="580"/>
      <c r="OFA92" s="580"/>
      <c r="OFB92" s="580"/>
      <c r="OFC92" s="580"/>
      <c r="OFD92" s="580"/>
      <c r="OFE92" s="580"/>
      <c r="OFF92" s="580"/>
      <c r="OFG92" s="580"/>
      <c r="OFH92" s="580"/>
      <c r="OFI92" s="580"/>
      <c r="OFJ92" s="580"/>
      <c r="OFK92" s="580"/>
      <c r="OFL92" s="580"/>
      <c r="OFM92" s="580"/>
      <c r="OFN92" s="580"/>
      <c r="OFO92" s="580"/>
      <c r="OFP92" s="580"/>
      <c r="OFQ92" s="580"/>
      <c r="OFR92" s="580"/>
      <c r="OFS92" s="580"/>
      <c r="OFT92" s="580"/>
      <c r="OFU92" s="580"/>
      <c r="OFV92" s="580"/>
      <c r="OFW92" s="580"/>
      <c r="OFX92" s="580"/>
      <c r="OFY92" s="580"/>
      <c r="OFZ92" s="580"/>
      <c r="OGA92" s="580"/>
      <c r="OGB92" s="580"/>
      <c r="OGC92" s="580"/>
      <c r="OGD92" s="580"/>
      <c r="OGE92" s="580"/>
      <c r="OGF92" s="580"/>
      <c r="OGG92" s="580"/>
      <c r="OGH92" s="580"/>
      <c r="OGI92" s="580"/>
      <c r="OGJ92" s="580"/>
      <c r="OGK92" s="580"/>
      <c r="OGL92" s="580"/>
      <c r="OGM92" s="580"/>
      <c r="OGN92" s="580"/>
      <c r="OGO92" s="580"/>
      <c r="OGP92" s="580"/>
      <c r="OGQ92" s="580"/>
      <c r="OGR92" s="580"/>
      <c r="OGS92" s="580"/>
      <c r="OGT92" s="580"/>
      <c r="OGU92" s="580"/>
      <c r="OGV92" s="580"/>
      <c r="OGW92" s="580"/>
      <c r="OGX92" s="580"/>
      <c r="OGY92" s="580"/>
      <c r="OGZ92" s="580"/>
      <c r="OHA92" s="580"/>
      <c r="OHB92" s="580"/>
      <c r="OHC92" s="580"/>
      <c r="OHD92" s="580"/>
      <c r="OHE92" s="580"/>
      <c r="OHF92" s="580"/>
      <c r="OHG92" s="580"/>
      <c r="OHH92" s="580"/>
      <c r="OHI92" s="580"/>
      <c r="OHJ92" s="580"/>
      <c r="OHK92" s="580"/>
      <c r="OHL92" s="580"/>
      <c r="OHM92" s="580"/>
      <c r="OHN92" s="580"/>
      <c r="OHO92" s="580"/>
      <c r="OHP92" s="580"/>
      <c r="OHQ92" s="580"/>
      <c r="OHR92" s="580"/>
      <c r="OHS92" s="580"/>
      <c r="OHT92" s="580"/>
      <c r="OHU92" s="580"/>
      <c r="OHV92" s="580"/>
      <c r="OHW92" s="580"/>
      <c r="OHX92" s="580"/>
      <c r="OHY92" s="580"/>
      <c r="OHZ92" s="580"/>
      <c r="OIA92" s="580"/>
      <c r="OIB92" s="580"/>
      <c r="OIC92" s="580"/>
      <c r="OID92" s="580"/>
      <c r="OIE92" s="580"/>
      <c r="OIF92" s="580"/>
      <c r="OIG92" s="580"/>
      <c r="OIH92" s="580"/>
      <c r="OII92" s="580"/>
      <c r="OIJ92" s="580"/>
      <c r="OIK92" s="580"/>
      <c r="OIL92" s="580"/>
      <c r="OIM92" s="580"/>
      <c r="OIN92" s="580"/>
      <c r="OIO92" s="580"/>
      <c r="OIP92" s="580"/>
      <c r="OIQ92" s="580"/>
      <c r="OIR92" s="580"/>
      <c r="OIS92" s="580"/>
      <c r="OIT92" s="580"/>
      <c r="OIU92" s="580"/>
      <c r="OIV92" s="580"/>
      <c r="OIW92" s="580"/>
      <c r="OIX92" s="580"/>
      <c r="OIY92" s="580"/>
      <c r="OIZ92" s="580"/>
      <c r="OJA92" s="580"/>
      <c r="OJB92" s="580"/>
      <c r="OJC92" s="580"/>
      <c r="OJD92" s="580"/>
      <c r="OJE92" s="580"/>
      <c r="OJF92" s="580"/>
      <c r="OJG92" s="580"/>
      <c r="OJH92" s="580"/>
      <c r="OJI92" s="580"/>
      <c r="OJJ92" s="580"/>
      <c r="OJK92" s="580"/>
      <c r="OJL92" s="580"/>
      <c r="OJM92" s="580"/>
      <c r="OJN92" s="580"/>
      <c r="OJO92" s="580"/>
      <c r="OJP92" s="580"/>
      <c r="OJQ92" s="580"/>
      <c r="OJR92" s="580"/>
      <c r="OJS92" s="580"/>
      <c r="OJT92" s="580"/>
      <c r="OJU92" s="580"/>
      <c r="OJV92" s="580"/>
      <c r="OJW92" s="580"/>
      <c r="OJX92" s="580"/>
      <c r="OJY92" s="580"/>
      <c r="OJZ92" s="580"/>
      <c r="OKA92" s="580"/>
      <c r="OKB92" s="580"/>
      <c r="OKC92" s="580"/>
      <c r="OKD92" s="580"/>
      <c r="OKE92" s="580"/>
      <c r="OKF92" s="580"/>
      <c r="OKG92" s="580"/>
      <c r="OKH92" s="580"/>
      <c r="OKI92" s="580"/>
      <c r="OKJ92" s="580"/>
      <c r="OKK92" s="580"/>
      <c r="OKL92" s="580"/>
      <c r="OKM92" s="580"/>
      <c r="OKN92" s="580"/>
      <c r="OKO92" s="580"/>
      <c r="OKP92" s="580"/>
      <c r="OKQ92" s="580"/>
      <c r="OKR92" s="580"/>
      <c r="OKS92" s="580"/>
      <c r="OKT92" s="580"/>
      <c r="OKU92" s="580"/>
      <c r="OKV92" s="580"/>
      <c r="OKW92" s="580"/>
      <c r="OKX92" s="580"/>
      <c r="OKY92" s="580"/>
      <c r="OKZ92" s="580"/>
      <c r="OLA92" s="580"/>
      <c r="OLB92" s="580"/>
      <c r="OLC92" s="580"/>
      <c r="OLD92" s="580"/>
      <c r="OLE92" s="580"/>
      <c r="OLF92" s="580"/>
      <c r="OLG92" s="580"/>
      <c r="OLH92" s="580"/>
      <c r="OLI92" s="580"/>
      <c r="OLJ92" s="580"/>
      <c r="OLK92" s="580"/>
      <c r="OLL92" s="580"/>
      <c r="OLM92" s="580"/>
      <c r="OLN92" s="580"/>
      <c r="OLO92" s="580"/>
      <c r="OLP92" s="580"/>
      <c r="OLQ92" s="580"/>
      <c r="OLR92" s="580"/>
      <c r="OLS92" s="580"/>
      <c r="OLT92" s="580"/>
      <c r="OLU92" s="580"/>
      <c r="OLV92" s="580"/>
      <c r="OLW92" s="580"/>
      <c r="OLX92" s="580"/>
      <c r="OLY92" s="580"/>
      <c r="OLZ92" s="580"/>
      <c r="OMA92" s="580"/>
      <c r="OMB92" s="580"/>
      <c r="OMC92" s="580"/>
      <c r="OMD92" s="580"/>
      <c r="OME92" s="580"/>
      <c r="OMF92" s="580"/>
      <c r="OMG92" s="580"/>
      <c r="OMH92" s="580"/>
      <c r="OMI92" s="580"/>
      <c r="OMJ92" s="580"/>
      <c r="OMK92" s="580"/>
      <c r="OML92" s="580"/>
      <c r="OMM92" s="580"/>
      <c r="OMN92" s="580"/>
      <c r="OMO92" s="580"/>
      <c r="OMP92" s="580"/>
      <c r="OMQ92" s="580"/>
      <c r="OMR92" s="580"/>
      <c r="OMS92" s="580"/>
      <c r="OMT92" s="580"/>
      <c r="OMU92" s="580"/>
      <c r="OMV92" s="580"/>
      <c r="OMW92" s="580"/>
      <c r="OMX92" s="580"/>
      <c r="OMY92" s="580"/>
      <c r="OMZ92" s="580"/>
      <c r="ONA92" s="580"/>
      <c r="ONB92" s="580"/>
      <c r="ONC92" s="580"/>
      <c r="OND92" s="580"/>
      <c r="ONE92" s="580"/>
      <c r="ONF92" s="580"/>
      <c r="ONG92" s="580"/>
      <c r="ONH92" s="580"/>
      <c r="ONI92" s="580"/>
      <c r="ONJ92" s="580"/>
      <c r="ONK92" s="580"/>
      <c r="ONL92" s="580"/>
      <c r="ONM92" s="580"/>
      <c r="ONN92" s="580"/>
      <c r="ONO92" s="580"/>
      <c r="ONP92" s="580"/>
      <c r="ONQ92" s="580"/>
      <c r="ONR92" s="580"/>
      <c r="ONS92" s="580"/>
      <c r="ONT92" s="580"/>
      <c r="ONU92" s="580"/>
      <c r="ONV92" s="580"/>
      <c r="ONW92" s="580"/>
      <c r="ONX92" s="580"/>
      <c r="ONY92" s="580"/>
      <c r="ONZ92" s="580"/>
      <c r="OOA92" s="580"/>
      <c r="OOB92" s="580"/>
      <c r="OOC92" s="580"/>
      <c r="OOD92" s="580"/>
      <c r="OOE92" s="580"/>
      <c r="OOF92" s="580"/>
      <c r="OOG92" s="580"/>
      <c r="OOH92" s="580"/>
      <c r="OOI92" s="580"/>
      <c r="OOJ92" s="580"/>
      <c r="OOK92" s="580"/>
      <c r="OOL92" s="580"/>
      <c r="OOM92" s="580"/>
      <c r="OON92" s="580"/>
      <c r="OOO92" s="580"/>
      <c r="OOP92" s="580"/>
      <c r="OOQ92" s="580"/>
      <c r="OOR92" s="580"/>
      <c r="OOS92" s="580"/>
      <c r="OOT92" s="580"/>
      <c r="OOU92" s="580"/>
      <c r="OOV92" s="580"/>
      <c r="OOW92" s="580"/>
      <c r="OOX92" s="580"/>
      <c r="OOY92" s="580"/>
      <c r="OOZ92" s="580"/>
      <c r="OPA92" s="580"/>
      <c r="OPB92" s="580"/>
      <c r="OPC92" s="580"/>
      <c r="OPD92" s="580"/>
      <c r="OPE92" s="580"/>
      <c r="OPF92" s="580"/>
      <c r="OPG92" s="580"/>
      <c r="OPH92" s="580"/>
      <c r="OPI92" s="580"/>
      <c r="OPJ92" s="580"/>
      <c r="OPK92" s="580"/>
      <c r="OPL92" s="580"/>
      <c r="OPM92" s="580"/>
      <c r="OPN92" s="580"/>
      <c r="OPO92" s="580"/>
      <c r="OPP92" s="580"/>
      <c r="OPQ92" s="580"/>
      <c r="OPR92" s="580"/>
      <c r="OPS92" s="580"/>
      <c r="OPT92" s="580"/>
      <c r="OPU92" s="580"/>
      <c r="OPV92" s="580"/>
      <c r="OPW92" s="580"/>
      <c r="OPX92" s="580"/>
      <c r="OPY92" s="580"/>
      <c r="OPZ92" s="580"/>
      <c r="OQA92" s="580"/>
      <c r="OQB92" s="580"/>
      <c r="OQC92" s="580"/>
      <c r="OQD92" s="580"/>
      <c r="OQE92" s="580"/>
      <c r="OQF92" s="580"/>
      <c r="OQG92" s="580"/>
      <c r="OQH92" s="580"/>
      <c r="OQI92" s="580"/>
      <c r="OQJ92" s="580"/>
      <c r="OQK92" s="580"/>
      <c r="OQL92" s="580"/>
      <c r="OQM92" s="580"/>
      <c r="OQN92" s="580"/>
      <c r="OQO92" s="580"/>
      <c r="OQP92" s="580"/>
      <c r="OQQ92" s="580"/>
      <c r="OQR92" s="580"/>
      <c r="OQS92" s="580"/>
      <c r="OQT92" s="580"/>
      <c r="OQU92" s="580"/>
      <c r="OQV92" s="580"/>
      <c r="OQW92" s="580"/>
      <c r="OQX92" s="580"/>
      <c r="OQY92" s="580"/>
      <c r="OQZ92" s="580"/>
      <c r="ORA92" s="580"/>
      <c r="ORB92" s="580"/>
      <c r="ORC92" s="580"/>
      <c r="ORD92" s="580"/>
      <c r="ORE92" s="580"/>
      <c r="ORF92" s="580"/>
      <c r="ORG92" s="580"/>
      <c r="ORH92" s="580"/>
      <c r="ORI92" s="580"/>
      <c r="ORJ92" s="580"/>
      <c r="ORK92" s="580"/>
      <c r="ORL92" s="580"/>
      <c r="ORM92" s="580"/>
      <c r="ORN92" s="580"/>
      <c r="ORO92" s="580"/>
      <c r="ORP92" s="580"/>
      <c r="ORQ92" s="580"/>
      <c r="ORR92" s="580"/>
      <c r="ORS92" s="580"/>
      <c r="ORT92" s="580"/>
      <c r="ORU92" s="580"/>
      <c r="ORV92" s="580"/>
      <c r="ORW92" s="580"/>
      <c r="ORX92" s="580"/>
      <c r="ORY92" s="580"/>
      <c r="ORZ92" s="580"/>
      <c r="OSA92" s="580"/>
      <c r="OSB92" s="580"/>
      <c r="OSC92" s="580"/>
      <c r="OSD92" s="580"/>
      <c r="OSE92" s="580"/>
      <c r="OSF92" s="580"/>
      <c r="OSG92" s="580"/>
      <c r="OSH92" s="580"/>
      <c r="OSI92" s="580"/>
      <c r="OSJ92" s="580"/>
      <c r="OSK92" s="580"/>
      <c r="OSL92" s="580"/>
      <c r="OSM92" s="580"/>
      <c r="OSN92" s="580"/>
      <c r="OSO92" s="580"/>
      <c r="OSP92" s="580"/>
      <c r="OSQ92" s="580"/>
      <c r="OSR92" s="580"/>
      <c r="OSS92" s="580"/>
      <c r="OST92" s="580"/>
      <c r="OSU92" s="580"/>
      <c r="OSV92" s="580"/>
      <c r="OSW92" s="580"/>
      <c r="OSX92" s="580"/>
      <c r="OSY92" s="580"/>
      <c r="OSZ92" s="580"/>
      <c r="OTA92" s="580"/>
      <c r="OTB92" s="580"/>
      <c r="OTC92" s="580"/>
      <c r="OTD92" s="580"/>
      <c r="OTE92" s="580"/>
      <c r="OTF92" s="580"/>
      <c r="OTG92" s="580"/>
      <c r="OTH92" s="580"/>
      <c r="OTI92" s="580"/>
      <c r="OTJ92" s="580"/>
      <c r="OTK92" s="580"/>
      <c r="OTL92" s="580"/>
      <c r="OTM92" s="580"/>
      <c r="OTN92" s="580"/>
      <c r="OTO92" s="580"/>
      <c r="OTP92" s="580"/>
      <c r="OTQ92" s="580"/>
      <c r="OTR92" s="580"/>
      <c r="OTS92" s="580"/>
      <c r="OTT92" s="580"/>
      <c r="OTU92" s="580"/>
      <c r="OTV92" s="580"/>
      <c r="OTW92" s="580"/>
      <c r="OTX92" s="580"/>
      <c r="OTY92" s="580"/>
      <c r="OTZ92" s="580"/>
      <c r="OUA92" s="580"/>
      <c r="OUB92" s="580"/>
      <c r="OUC92" s="580"/>
      <c r="OUD92" s="580"/>
      <c r="OUE92" s="580"/>
      <c r="OUF92" s="580"/>
      <c r="OUG92" s="580"/>
      <c r="OUH92" s="580"/>
      <c r="OUI92" s="580"/>
      <c r="OUJ92" s="580"/>
      <c r="OUK92" s="580"/>
      <c r="OUL92" s="580"/>
      <c r="OUM92" s="580"/>
      <c r="OUN92" s="580"/>
      <c r="OUO92" s="580"/>
      <c r="OUP92" s="580"/>
      <c r="OUQ92" s="580"/>
      <c r="OUR92" s="580"/>
      <c r="OUS92" s="580"/>
      <c r="OUT92" s="580"/>
      <c r="OUU92" s="580"/>
      <c r="OUV92" s="580"/>
      <c r="OUW92" s="580"/>
      <c r="OUX92" s="580"/>
      <c r="OUY92" s="580"/>
      <c r="OUZ92" s="580"/>
      <c r="OVA92" s="580"/>
      <c r="OVB92" s="580"/>
      <c r="OVC92" s="580"/>
      <c r="OVD92" s="580"/>
      <c r="OVE92" s="580"/>
      <c r="OVF92" s="580"/>
      <c r="OVG92" s="580"/>
      <c r="OVH92" s="580"/>
      <c r="OVI92" s="580"/>
      <c r="OVJ92" s="580"/>
      <c r="OVK92" s="580"/>
      <c r="OVL92" s="580"/>
      <c r="OVM92" s="580"/>
      <c r="OVN92" s="580"/>
      <c r="OVO92" s="580"/>
      <c r="OVP92" s="580"/>
      <c r="OVQ92" s="580"/>
      <c r="OVR92" s="580"/>
      <c r="OVS92" s="580"/>
      <c r="OVT92" s="580"/>
      <c r="OVU92" s="580"/>
      <c r="OVV92" s="580"/>
      <c r="OVW92" s="580"/>
      <c r="OVX92" s="580"/>
      <c r="OVY92" s="580"/>
      <c r="OVZ92" s="580"/>
      <c r="OWA92" s="580"/>
      <c r="OWB92" s="580"/>
      <c r="OWC92" s="580"/>
      <c r="OWD92" s="580"/>
      <c r="OWE92" s="580"/>
      <c r="OWF92" s="580"/>
      <c r="OWG92" s="580"/>
      <c r="OWH92" s="580"/>
      <c r="OWI92" s="580"/>
      <c r="OWJ92" s="580"/>
      <c r="OWK92" s="580"/>
      <c r="OWL92" s="580"/>
      <c r="OWM92" s="580"/>
      <c r="OWN92" s="580"/>
      <c r="OWO92" s="580"/>
      <c r="OWP92" s="580"/>
      <c r="OWQ92" s="580"/>
      <c r="OWR92" s="580"/>
      <c r="OWS92" s="580"/>
      <c r="OWT92" s="580"/>
      <c r="OWU92" s="580"/>
      <c r="OWV92" s="580"/>
      <c r="OWW92" s="580"/>
      <c r="OWX92" s="580"/>
      <c r="OWY92" s="580"/>
      <c r="OWZ92" s="580"/>
      <c r="OXA92" s="580"/>
      <c r="OXB92" s="580"/>
      <c r="OXC92" s="580"/>
      <c r="OXD92" s="580"/>
      <c r="OXE92" s="580"/>
      <c r="OXF92" s="580"/>
      <c r="OXG92" s="580"/>
      <c r="OXH92" s="580"/>
      <c r="OXI92" s="580"/>
      <c r="OXJ92" s="580"/>
      <c r="OXK92" s="580"/>
      <c r="OXL92" s="580"/>
      <c r="OXM92" s="580"/>
      <c r="OXN92" s="580"/>
      <c r="OXO92" s="580"/>
      <c r="OXP92" s="580"/>
      <c r="OXQ92" s="580"/>
      <c r="OXR92" s="580"/>
      <c r="OXS92" s="580"/>
      <c r="OXT92" s="580"/>
      <c r="OXU92" s="580"/>
      <c r="OXV92" s="580"/>
      <c r="OXW92" s="580"/>
      <c r="OXX92" s="580"/>
      <c r="OXY92" s="580"/>
      <c r="OXZ92" s="580"/>
      <c r="OYA92" s="580"/>
      <c r="OYB92" s="580"/>
      <c r="OYC92" s="580"/>
      <c r="OYD92" s="580"/>
      <c r="OYE92" s="580"/>
      <c r="OYF92" s="580"/>
      <c r="OYG92" s="580"/>
      <c r="OYH92" s="580"/>
      <c r="OYI92" s="580"/>
      <c r="OYJ92" s="580"/>
      <c r="OYK92" s="580"/>
      <c r="OYL92" s="580"/>
      <c r="OYM92" s="580"/>
      <c r="OYN92" s="580"/>
      <c r="OYO92" s="580"/>
      <c r="OYP92" s="580"/>
      <c r="OYQ92" s="580"/>
      <c r="OYR92" s="580"/>
      <c r="OYS92" s="580"/>
      <c r="OYT92" s="580"/>
      <c r="OYU92" s="580"/>
      <c r="OYV92" s="580"/>
      <c r="OYW92" s="580"/>
      <c r="OYX92" s="580"/>
      <c r="OYY92" s="580"/>
      <c r="OYZ92" s="580"/>
      <c r="OZA92" s="580"/>
      <c r="OZB92" s="580"/>
      <c r="OZC92" s="580"/>
      <c r="OZD92" s="580"/>
      <c r="OZE92" s="580"/>
      <c r="OZF92" s="580"/>
      <c r="OZG92" s="580"/>
      <c r="OZH92" s="580"/>
      <c r="OZI92" s="580"/>
      <c r="OZJ92" s="580"/>
      <c r="OZK92" s="580"/>
      <c r="OZL92" s="580"/>
      <c r="OZM92" s="580"/>
      <c r="OZN92" s="580"/>
      <c r="OZO92" s="580"/>
      <c r="OZP92" s="580"/>
      <c r="OZQ92" s="580"/>
      <c r="OZR92" s="580"/>
      <c r="OZS92" s="580"/>
      <c r="OZT92" s="580"/>
      <c r="OZU92" s="580"/>
      <c r="OZV92" s="580"/>
      <c r="OZW92" s="580"/>
      <c r="OZX92" s="580"/>
      <c r="OZY92" s="580"/>
      <c r="OZZ92" s="580"/>
      <c r="PAA92" s="580"/>
      <c r="PAB92" s="580"/>
      <c r="PAC92" s="580"/>
      <c r="PAD92" s="580"/>
      <c r="PAE92" s="580"/>
      <c r="PAF92" s="580"/>
      <c r="PAG92" s="580"/>
      <c r="PAH92" s="580"/>
      <c r="PAI92" s="580"/>
      <c r="PAJ92" s="580"/>
      <c r="PAK92" s="580"/>
      <c r="PAL92" s="580"/>
      <c r="PAM92" s="580"/>
      <c r="PAN92" s="580"/>
      <c r="PAO92" s="580"/>
      <c r="PAP92" s="580"/>
      <c r="PAQ92" s="580"/>
      <c r="PAR92" s="580"/>
      <c r="PAS92" s="580"/>
      <c r="PAT92" s="580"/>
      <c r="PAU92" s="580"/>
      <c r="PAV92" s="580"/>
      <c r="PAW92" s="580"/>
      <c r="PAX92" s="580"/>
      <c r="PAY92" s="580"/>
      <c r="PAZ92" s="580"/>
      <c r="PBA92" s="580"/>
      <c r="PBB92" s="580"/>
      <c r="PBC92" s="580"/>
      <c r="PBD92" s="580"/>
      <c r="PBE92" s="580"/>
      <c r="PBF92" s="580"/>
      <c r="PBG92" s="580"/>
      <c r="PBH92" s="580"/>
      <c r="PBI92" s="580"/>
      <c r="PBJ92" s="580"/>
      <c r="PBK92" s="580"/>
      <c r="PBL92" s="580"/>
      <c r="PBM92" s="580"/>
      <c r="PBN92" s="580"/>
      <c r="PBO92" s="580"/>
      <c r="PBP92" s="580"/>
      <c r="PBQ92" s="580"/>
      <c r="PBR92" s="580"/>
      <c r="PBS92" s="580"/>
      <c r="PBT92" s="580"/>
      <c r="PBU92" s="580"/>
      <c r="PBV92" s="580"/>
      <c r="PBW92" s="580"/>
      <c r="PBX92" s="580"/>
      <c r="PBY92" s="580"/>
      <c r="PBZ92" s="580"/>
      <c r="PCA92" s="580"/>
      <c r="PCB92" s="580"/>
      <c r="PCC92" s="580"/>
      <c r="PCD92" s="580"/>
      <c r="PCE92" s="580"/>
      <c r="PCF92" s="580"/>
      <c r="PCG92" s="580"/>
      <c r="PCH92" s="580"/>
      <c r="PCI92" s="580"/>
      <c r="PCJ92" s="580"/>
      <c r="PCK92" s="580"/>
      <c r="PCL92" s="580"/>
      <c r="PCM92" s="580"/>
      <c r="PCN92" s="580"/>
      <c r="PCO92" s="580"/>
      <c r="PCP92" s="580"/>
      <c r="PCQ92" s="580"/>
      <c r="PCR92" s="580"/>
      <c r="PCS92" s="580"/>
      <c r="PCT92" s="580"/>
      <c r="PCU92" s="580"/>
      <c r="PCV92" s="580"/>
      <c r="PCW92" s="580"/>
      <c r="PCX92" s="580"/>
      <c r="PCY92" s="580"/>
      <c r="PCZ92" s="580"/>
      <c r="PDA92" s="580"/>
      <c r="PDB92" s="580"/>
      <c r="PDC92" s="580"/>
      <c r="PDD92" s="580"/>
      <c r="PDE92" s="580"/>
      <c r="PDF92" s="580"/>
      <c r="PDG92" s="580"/>
      <c r="PDH92" s="580"/>
      <c r="PDI92" s="580"/>
      <c r="PDJ92" s="580"/>
      <c r="PDK92" s="580"/>
      <c r="PDL92" s="580"/>
      <c r="PDM92" s="580"/>
      <c r="PDN92" s="580"/>
      <c r="PDO92" s="580"/>
      <c r="PDP92" s="580"/>
      <c r="PDQ92" s="580"/>
      <c r="PDR92" s="580"/>
      <c r="PDS92" s="580"/>
      <c r="PDT92" s="580"/>
      <c r="PDU92" s="580"/>
      <c r="PDV92" s="580"/>
      <c r="PDW92" s="580"/>
      <c r="PDX92" s="580"/>
      <c r="PDY92" s="580"/>
      <c r="PDZ92" s="580"/>
      <c r="PEA92" s="580"/>
      <c r="PEB92" s="580"/>
      <c r="PEC92" s="580"/>
      <c r="PED92" s="580"/>
      <c r="PEE92" s="580"/>
      <c r="PEF92" s="580"/>
      <c r="PEG92" s="580"/>
      <c r="PEH92" s="580"/>
      <c r="PEI92" s="580"/>
      <c r="PEJ92" s="580"/>
      <c r="PEK92" s="580"/>
      <c r="PEL92" s="580"/>
      <c r="PEM92" s="580"/>
      <c r="PEN92" s="580"/>
      <c r="PEO92" s="580"/>
      <c r="PEP92" s="580"/>
      <c r="PEQ92" s="580"/>
      <c r="PER92" s="580"/>
      <c r="PES92" s="580"/>
      <c r="PET92" s="580"/>
      <c r="PEU92" s="580"/>
      <c r="PEV92" s="580"/>
      <c r="PEW92" s="580"/>
      <c r="PEX92" s="580"/>
      <c r="PEY92" s="580"/>
      <c r="PEZ92" s="580"/>
      <c r="PFA92" s="580"/>
      <c r="PFB92" s="580"/>
      <c r="PFC92" s="580"/>
      <c r="PFD92" s="580"/>
      <c r="PFE92" s="580"/>
      <c r="PFF92" s="580"/>
      <c r="PFG92" s="580"/>
      <c r="PFH92" s="580"/>
      <c r="PFI92" s="580"/>
      <c r="PFJ92" s="580"/>
      <c r="PFK92" s="580"/>
      <c r="PFL92" s="580"/>
      <c r="PFM92" s="580"/>
      <c r="PFN92" s="580"/>
      <c r="PFO92" s="580"/>
      <c r="PFP92" s="580"/>
      <c r="PFQ92" s="580"/>
      <c r="PFR92" s="580"/>
      <c r="PFS92" s="580"/>
      <c r="PFT92" s="580"/>
      <c r="PFU92" s="580"/>
      <c r="PFV92" s="580"/>
      <c r="PFW92" s="580"/>
      <c r="PFX92" s="580"/>
      <c r="PFY92" s="580"/>
      <c r="PFZ92" s="580"/>
      <c r="PGA92" s="580"/>
      <c r="PGB92" s="580"/>
      <c r="PGC92" s="580"/>
      <c r="PGD92" s="580"/>
      <c r="PGE92" s="580"/>
      <c r="PGF92" s="580"/>
      <c r="PGG92" s="580"/>
      <c r="PGH92" s="580"/>
      <c r="PGI92" s="580"/>
      <c r="PGJ92" s="580"/>
      <c r="PGK92" s="580"/>
      <c r="PGL92" s="580"/>
      <c r="PGM92" s="580"/>
      <c r="PGN92" s="580"/>
      <c r="PGO92" s="580"/>
      <c r="PGP92" s="580"/>
      <c r="PGQ92" s="580"/>
      <c r="PGR92" s="580"/>
      <c r="PGS92" s="580"/>
      <c r="PGT92" s="580"/>
      <c r="PGU92" s="580"/>
      <c r="PGV92" s="580"/>
      <c r="PGW92" s="580"/>
      <c r="PGX92" s="580"/>
      <c r="PGY92" s="580"/>
      <c r="PGZ92" s="580"/>
      <c r="PHA92" s="580"/>
      <c r="PHB92" s="580"/>
      <c r="PHC92" s="580"/>
      <c r="PHD92" s="580"/>
      <c r="PHE92" s="580"/>
      <c r="PHF92" s="580"/>
      <c r="PHG92" s="580"/>
      <c r="PHH92" s="580"/>
      <c r="PHI92" s="580"/>
      <c r="PHJ92" s="580"/>
      <c r="PHK92" s="580"/>
      <c r="PHL92" s="580"/>
      <c r="PHM92" s="580"/>
      <c r="PHN92" s="580"/>
      <c r="PHO92" s="580"/>
      <c r="PHP92" s="580"/>
      <c r="PHQ92" s="580"/>
      <c r="PHR92" s="580"/>
      <c r="PHS92" s="580"/>
      <c r="PHT92" s="580"/>
      <c r="PHU92" s="580"/>
      <c r="PHV92" s="580"/>
      <c r="PHW92" s="580"/>
      <c r="PHX92" s="580"/>
      <c r="PHY92" s="580"/>
      <c r="PHZ92" s="580"/>
      <c r="PIA92" s="580"/>
      <c r="PIB92" s="580"/>
      <c r="PIC92" s="580"/>
      <c r="PID92" s="580"/>
      <c r="PIE92" s="580"/>
      <c r="PIF92" s="580"/>
      <c r="PIG92" s="580"/>
      <c r="PIH92" s="580"/>
      <c r="PII92" s="580"/>
      <c r="PIJ92" s="580"/>
      <c r="PIK92" s="580"/>
      <c r="PIL92" s="580"/>
      <c r="PIM92" s="580"/>
      <c r="PIN92" s="580"/>
      <c r="PIO92" s="580"/>
      <c r="PIP92" s="580"/>
      <c r="PIQ92" s="580"/>
      <c r="PIR92" s="580"/>
      <c r="PIS92" s="580"/>
      <c r="PIT92" s="580"/>
      <c r="PIU92" s="580"/>
      <c r="PIV92" s="580"/>
      <c r="PIW92" s="580"/>
      <c r="PIX92" s="580"/>
      <c r="PIY92" s="580"/>
      <c r="PIZ92" s="580"/>
      <c r="PJA92" s="580"/>
      <c r="PJB92" s="580"/>
      <c r="PJC92" s="580"/>
      <c r="PJD92" s="580"/>
      <c r="PJE92" s="580"/>
      <c r="PJF92" s="580"/>
      <c r="PJG92" s="580"/>
      <c r="PJH92" s="580"/>
      <c r="PJI92" s="580"/>
      <c r="PJJ92" s="580"/>
      <c r="PJK92" s="580"/>
      <c r="PJL92" s="580"/>
      <c r="PJM92" s="580"/>
      <c r="PJN92" s="580"/>
      <c r="PJO92" s="580"/>
      <c r="PJP92" s="580"/>
      <c r="PJQ92" s="580"/>
      <c r="PJR92" s="580"/>
      <c r="PJS92" s="580"/>
      <c r="PJT92" s="580"/>
      <c r="PJU92" s="580"/>
      <c r="PJV92" s="580"/>
      <c r="PJW92" s="580"/>
      <c r="PJX92" s="580"/>
      <c r="PJY92" s="580"/>
      <c r="PJZ92" s="580"/>
      <c r="PKA92" s="580"/>
      <c r="PKB92" s="580"/>
      <c r="PKC92" s="580"/>
      <c r="PKD92" s="580"/>
      <c r="PKE92" s="580"/>
      <c r="PKF92" s="580"/>
      <c r="PKG92" s="580"/>
      <c r="PKH92" s="580"/>
      <c r="PKI92" s="580"/>
      <c r="PKJ92" s="580"/>
      <c r="PKK92" s="580"/>
      <c r="PKL92" s="580"/>
      <c r="PKM92" s="580"/>
      <c r="PKN92" s="580"/>
      <c r="PKO92" s="580"/>
      <c r="PKP92" s="580"/>
      <c r="PKQ92" s="580"/>
      <c r="PKR92" s="580"/>
      <c r="PKS92" s="580"/>
      <c r="PKT92" s="580"/>
      <c r="PKU92" s="580"/>
      <c r="PKV92" s="580"/>
      <c r="PKW92" s="580"/>
      <c r="PKX92" s="580"/>
      <c r="PKY92" s="580"/>
      <c r="PKZ92" s="580"/>
      <c r="PLA92" s="580"/>
      <c r="PLB92" s="580"/>
      <c r="PLC92" s="580"/>
      <c r="PLD92" s="580"/>
      <c r="PLE92" s="580"/>
      <c r="PLF92" s="580"/>
      <c r="PLG92" s="580"/>
      <c r="PLH92" s="580"/>
      <c r="PLI92" s="580"/>
      <c r="PLJ92" s="580"/>
      <c r="PLK92" s="580"/>
      <c r="PLL92" s="580"/>
      <c r="PLM92" s="580"/>
      <c r="PLN92" s="580"/>
      <c r="PLO92" s="580"/>
      <c r="PLP92" s="580"/>
      <c r="PLQ92" s="580"/>
      <c r="PLR92" s="580"/>
      <c r="PLS92" s="580"/>
      <c r="PLT92" s="580"/>
      <c r="PLU92" s="580"/>
      <c r="PLV92" s="580"/>
      <c r="PLW92" s="580"/>
      <c r="PLX92" s="580"/>
      <c r="PLY92" s="580"/>
      <c r="PLZ92" s="580"/>
      <c r="PMA92" s="580"/>
      <c r="PMB92" s="580"/>
      <c r="PMC92" s="580"/>
      <c r="PMD92" s="580"/>
      <c r="PME92" s="580"/>
      <c r="PMF92" s="580"/>
      <c r="PMG92" s="580"/>
      <c r="PMH92" s="580"/>
      <c r="PMI92" s="580"/>
      <c r="PMJ92" s="580"/>
      <c r="PMK92" s="580"/>
      <c r="PML92" s="580"/>
      <c r="PMM92" s="580"/>
      <c r="PMN92" s="580"/>
      <c r="PMO92" s="580"/>
      <c r="PMP92" s="580"/>
      <c r="PMQ92" s="580"/>
      <c r="PMR92" s="580"/>
      <c r="PMS92" s="580"/>
      <c r="PMT92" s="580"/>
      <c r="PMU92" s="580"/>
      <c r="PMV92" s="580"/>
      <c r="PMW92" s="580"/>
      <c r="PMX92" s="580"/>
      <c r="PMY92" s="580"/>
      <c r="PMZ92" s="580"/>
      <c r="PNA92" s="580"/>
      <c r="PNB92" s="580"/>
      <c r="PNC92" s="580"/>
      <c r="PND92" s="580"/>
      <c r="PNE92" s="580"/>
      <c r="PNF92" s="580"/>
      <c r="PNG92" s="580"/>
      <c r="PNH92" s="580"/>
      <c r="PNI92" s="580"/>
      <c r="PNJ92" s="580"/>
      <c r="PNK92" s="580"/>
      <c r="PNL92" s="580"/>
      <c r="PNM92" s="580"/>
      <c r="PNN92" s="580"/>
      <c r="PNO92" s="580"/>
      <c r="PNP92" s="580"/>
      <c r="PNQ92" s="580"/>
      <c r="PNR92" s="580"/>
      <c r="PNS92" s="580"/>
      <c r="PNT92" s="580"/>
      <c r="PNU92" s="580"/>
      <c r="PNV92" s="580"/>
      <c r="PNW92" s="580"/>
      <c r="PNX92" s="580"/>
      <c r="PNY92" s="580"/>
      <c r="PNZ92" s="580"/>
      <c r="POA92" s="580"/>
      <c r="POB92" s="580"/>
      <c r="POC92" s="580"/>
      <c r="POD92" s="580"/>
      <c r="POE92" s="580"/>
      <c r="POF92" s="580"/>
      <c r="POG92" s="580"/>
      <c r="POH92" s="580"/>
      <c r="POI92" s="580"/>
      <c r="POJ92" s="580"/>
      <c r="POK92" s="580"/>
      <c r="POL92" s="580"/>
      <c r="POM92" s="580"/>
      <c r="PON92" s="580"/>
      <c r="POO92" s="580"/>
      <c r="POP92" s="580"/>
      <c r="POQ92" s="580"/>
      <c r="POR92" s="580"/>
      <c r="POS92" s="580"/>
      <c r="POT92" s="580"/>
      <c r="POU92" s="580"/>
      <c r="POV92" s="580"/>
      <c r="POW92" s="580"/>
      <c r="POX92" s="580"/>
      <c r="POY92" s="580"/>
      <c r="POZ92" s="580"/>
      <c r="PPA92" s="580"/>
      <c r="PPB92" s="580"/>
      <c r="PPC92" s="580"/>
      <c r="PPD92" s="580"/>
      <c r="PPE92" s="580"/>
      <c r="PPF92" s="580"/>
      <c r="PPG92" s="580"/>
      <c r="PPH92" s="580"/>
      <c r="PPI92" s="580"/>
      <c r="PPJ92" s="580"/>
      <c r="PPK92" s="580"/>
      <c r="PPL92" s="580"/>
      <c r="PPM92" s="580"/>
      <c r="PPN92" s="580"/>
      <c r="PPO92" s="580"/>
      <c r="PPP92" s="580"/>
      <c r="PPQ92" s="580"/>
      <c r="PPR92" s="580"/>
      <c r="PPS92" s="580"/>
      <c r="PPT92" s="580"/>
      <c r="PPU92" s="580"/>
      <c r="PPV92" s="580"/>
      <c r="PPW92" s="580"/>
      <c r="PPX92" s="580"/>
      <c r="PPY92" s="580"/>
      <c r="PPZ92" s="580"/>
      <c r="PQA92" s="580"/>
      <c r="PQB92" s="580"/>
      <c r="PQC92" s="580"/>
      <c r="PQD92" s="580"/>
      <c r="PQE92" s="580"/>
      <c r="PQF92" s="580"/>
      <c r="PQG92" s="580"/>
      <c r="PQH92" s="580"/>
      <c r="PQI92" s="580"/>
      <c r="PQJ92" s="580"/>
      <c r="PQK92" s="580"/>
      <c r="PQL92" s="580"/>
      <c r="PQM92" s="580"/>
      <c r="PQN92" s="580"/>
      <c r="PQO92" s="580"/>
      <c r="PQP92" s="580"/>
      <c r="PQQ92" s="580"/>
      <c r="PQR92" s="580"/>
      <c r="PQS92" s="580"/>
      <c r="PQT92" s="580"/>
      <c r="PQU92" s="580"/>
      <c r="PQV92" s="580"/>
      <c r="PQW92" s="580"/>
      <c r="PQX92" s="580"/>
      <c r="PQY92" s="580"/>
      <c r="PQZ92" s="580"/>
      <c r="PRA92" s="580"/>
      <c r="PRB92" s="580"/>
      <c r="PRC92" s="580"/>
      <c r="PRD92" s="580"/>
      <c r="PRE92" s="580"/>
      <c r="PRF92" s="580"/>
      <c r="PRG92" s="580"/>
      <c r="PRH92" s="580"/>
      <c r="PRI92" s="580"/>
      <c r="PRJ92" s="580"/>
      <c r="PRK92" s="580"/>
      <c r="PRL92" s="580"/>
      <c r="PRM92" s="580"/>
      <c r="PRN92" s="580"/>
      <c r="PRO92" s="580"/>
      <c r="PRP92" s="580"/>
      <c r="PRQ92" s="580"/>
      <c r="PRR92" s="580"/>
      <c r="PRS92" s="580"/>
      <c r="PRT92" s="580"/>
      <c r="PRU92" s="580"/>
      <c r="PRV92" s="580"/>
      <c r="PRW92" s="580"/>
      <c r="PRX92" s="580"/>
      <c r="PRY92" s="580"/>
      <c r="PRZ92" s="580"/>
      <c r="PSA92" s="580"/>
      <c r="PSB92" s="580"/>
      <c r="PSC92" s="580"/>
      <c r="PSD92" s="580"/>
      <c r="PSE92" s="580"/>
      <c r="PSF92" s="580"/>
      <c r="PSG92" s="580"/>
      <c r="PSH92" s="580"/>
      <c r="PSI92" s="580"/>
      <c r="PSJ92" s="580"/>
      <c r="PSK92" s="580"/>
      <c r="PSL92" s="580"/>
      <c r="PSM92" s="580"/>
      <c r="PSN92" s="580"/>
      <c r="PSO92" s="580"/>
      <c r="PSP92" s="580"/>
      <c r="PSQ92" s="580"/>
      <c r="PSR92" s="580"/>
      <c r="PSS92" s="580"/>
      <c r="PST92" s="580"/>
      <c r="PSU92" s="580"/>
      <c r="PSV92" s="580"/>
      <c r="PSW92" s="580"/>
      <c r="PSX92" s="580"/>
      <c r="PSY92" s="580"/>
      <c r="PSZ92" s="580"/>
      <c r="PTA92" s="580"/>
      <c r="PTB92" s="580"/>
      <c r="PTC92" s="580"/>
      <c r="PTD92" s="580"/>
      <c r="PTE92" s="580"/>
      <c r="PTF92" s="580"/>
      <c r="PTG92" s="580"/>
      <c r="PTH92" s="580"/>
      <c r="PTI92" s="580"/>
      <c r="PTJ92" s="580"/>
      <c r="PTK92" s="580"/>
      <c r="PTL92" s="580"/>
      <c r="PTM92" s="580"/>
      <c r="PTN92" s="580"/>
      <c r="PTO92" s="580"/>
      <c r="PTP92" s="580"/>
      <c r="PTQ92" s="580"/>
      <c r="PTR92" s="580"/>
      <c r="PTS92" s="580"/>
      <c r="PTT92" s="580"/>
      <c r="PTU92" s="580"/>
      <c r="PTV92" s="580"/>
      <c r="PTW92" s="580"/>
      <c r="PTX92" s="580"/>
      <c r="PTY92" s="580"/>
      <c r="PTZ92" s="580"/>
      <c r="PUA92" s="580"/>
      <c r="PUB92" s="580"/>
      <c r="PUC92" s="580"/>
      <c r="PUD92" s="580"/>
      <c r="PUE92" s="580"/>
      <c r="PUF92" s="580"/>
      <c r="PUG92" s="580"/>
      <c r="PUH92" s="580"/>
      <c r="PUI92" s="580"/>
      <c r="PUJ92" s="580"/>
      <c r="PUK92" s="580"/>
      <c r="PUL92" s="580"/>
      <c r="PUM92" s="580"/>
      <c r="PUN92" s="580"/>
      <c r="PUO92" s="580"/>
      <c r="PUP92" s="580"/>
      <c r="PUQ92" s="580"/>
      <c r="PUR92" s="580"/>
      <c r="PUS92" s="580"/>
      <c r="PUT92" s="580"/>
      <c r="PUU92" s="580"/>
      <c r="PUV92" s="580"/>
      <c r="PUW92" s="580"/>
      <c r="PUX92" s="580"/>
      <c r="PUY92" s="580"/>
      <c r="PUZ92" s="580"/>
      <c r="PVA92" s="580"/>
      <c r="PVB92" s="580"/>
      <c r="PVC92" s="580"/>
      <c r="PVD92" s="580"/>
      <c r="PVE92" s="580"/>
      <c r="PVF92" s="580"/>
      <c r="PVG92" s="580"/>
      <c r="PVH92" s="580"/>
      <c r="PVI92" s="580"/>
      <c r="PVJ92" s="580"/>
      <c r="PVK92" s="580"/>
      <c r="PVL92" s="580"/>
      <c r="PVM92" s="580"/>
      <c r="PVN92" s="580"/>
      <c r="PVO92" s="580"/>
      <c r="PVP92" s="580"/>
      <c r="PVQ92" s="580"/>
      <c r="PVR92" s="580"/>
      <c r="PVS92" s="580"/>
      <c r="PVT92" s="580"/>
      <c r="PVU92" s="580"/>
      <c r="PVV92" s="580"/>
      <c r="PVW92" s="580"/>
      <c r="PVX92" s="580"/>
      <c r="PVY92" s="580"/>
      <c r="PVZ92" s="580"/>
      <c r="PWA92" s="580"/>
      <c r="PWB92" s="580"/>
      <c r="PWC92" s="580"/>
      <c r="PWD92" s="580"/>
      <c r="PWE92" s="580"/>
      <c r="PWF92" s="580"/>
      <c r="PWG92" s="580"/>
      <c r="PWH92" s="580"/>
      <c r="PWI92" s="580"/>
      <c r="PWJ92" s="580"/>
      <c r="PWK92" s="580"/>
      <c r="PWL92" s="580"/>
      <c r="PWM92" s="580"/>
      <c r="PWN92" s="580"/>
      <c r="PWO92" s="580"/>
      <c r="PWP92" s="580"/>
      <c r="PWQ92" s="580"/>
      <c r="PWR92" s="580"/>
      <c r="PWS92" s="580"/>
      <c r="PWT92" s="580"/>
      <c r="PWU92" s="580"/>
      <c r="PWV92" s="580"/>
      <c r="PWW92" s="580"/>
      <c r="PWX92" s="580"/>
      <c r="PWY92" s="580"/>
      <c r="PWZ92" s="580"/>
      <c r="PXA92" s="580"/>
      <c r="PXB92" s="580"/>
      <c r="PXC92" s="580"/>
      <c r="PXD92" s="580"/>
      <c r="PXE92" s="580"/>
      <c r="PXF92" s="580"/>
      <c r="PXG92" s="580"/>
      <c r="PXH92" s="580"/>
      <c r="PXI92" s="580"/>
      <c r="PXJ92" s="580"/>
      <c r="PXK92" s="580"/>
      <c r="PXL92" s="580"/>
      <c r="PXM92" s="580"/>
      <c r="PXN92" s="580"/>
      <c r="PXO92" s="580"/>
      <c r="PXP92" s="580"/>
      <c r="PXQ92" s="580"/>
      <c r="PXR92" s="580"/>
      <c r="PXS92" s="580"/>
      <c r="PXT92" s="580"/>
      <c r="PXU92" s="580"/>
      <c r="PXV92" s="580"/>
      <c r="PXW92" s="580"/>
      <c r="PXX92" s="580"/>
      <c r="PXY92" s="580"/>
      <c r="PXZ92" s="580"/>
      <c r="PYA92" s="580"/>
      <c r="PYB92" s="580"/>
      <c r="PYC92" s="580"/>
      <c r="PYD92" s="580"/>
      <c r="PYE92" s="580"/>
      <c r="PYF92" s="580"/>
      <c r="PYG92" s="580"/>
      <c r="PYH92" s="580"/>
      <c r="PYI92" s="580"/>
      <c r="PYJ92" s="580"/>
      <c r="PYK92" s="580"/>
      <c r="PYL92" s="580"/>
      <c r="PYM92" s="580"/>
      <c r="PYN92" s="580"/>
      <c r="PYO92" s="580"/>
      <c r="PYP92" s="580"/>
      <c r="PYQ92" s="580"/>
      <c r="PYR92" s="580"/>
      <c r="PYS92" s="580"/>
      <c r="PYT92" s="580"/>
      <c r="PYU92" s="580"/>
      <c r="PYV92" s="580"/>
      <c r="PYW92" s="580"/>
      <c r="PYX92" s="580"/>
      <c r="PYY92" s="580"/>
      <c r="PYZ92" s="580"/>
      <c r="PZA92" s="580"/>
      <c r="PZB92" s="580"/>
      <c r="PZC92" s="580"/>
      <c r="PZD92" s="580"/>
      <c r="PZE92" s="580"/>
      <c r="PZF92" s="580"/>
      <c r="PZG92" s="580"/>
      <c r="PZH92" s="580"/>
      <c r="PZI92" s="580"/>
      <c r="PZJ92" s="580"/>
      <c r="PZK92" s="580"/>
      <c r="PZL92" s="580"/>
      <c r="PZM92" s="580"/>
      <c r="PZN92" s="580"/>
      <c r="PZO92" s="580"/>
      <c r="PZP92" s="580"/>
      <c r="PZQ92" s="580"/>
      <c r="PZR92" s="580"/>
      <c r="PZS92" s="580"/>
      <c r="PZT92" s="580"/>
      <c r="PZU92" s="580"/>
      <c r="PZV92" s="580"/>
      <c r="PZW92" s="580"/>
      <c r="PZX92" s="580"/>
      <c r="PZY92" s="580"/>
      <c r="PZZ92" s="580"/>
      <c r="QAA92" s="580"/>
      <c r="QAB92" s="580"/>
      <c r="QAC92" s="580"/>
      <c r="QAD92" s="580"/>
      <c r="QAE92" s="580"/>
      <c r="QAF92" s="580"/>
      <c r="QAG92" s="580"/>
      <c r="QAH92" s="580"/>
      <c r="QAI92" s="580"/>
      <c r="QAJ92" s="580"/>
      <c r="QAK92" s="580"/>
      <c r="QAL92" s="580"/>
      <c r="QAM92" s="580"/>
      <c r="QAN92" s="580"/>
      <c r="QAO92" s="580"/>
      <c r="QAP92" s="580"/>
      <c r="QAQ92" s="580"/>
      <c r="QAR92" s="580"/>
      <c r="QAS92" s="580"/>
      <c r="QAT92" s="580"/>
      <c r="QAU92" s="580"/>
      <c r="QAV92" s="580"/>
      <c r="QAW92" s="580"/>
      <c r="QAX92" s="580"/>
      <c r="QAY92" s="580"/>
      <c r="QAZ92" s="580"/>
      <c r="QBA92" s="580"/>
      <c r="QBB92" s="580"/>
      <c r="QBC92" s="580"/>
      <c r="QBD92" s="580"/>
      <c r="QBE92" s="580"/>
      <c r="QBF92" s="580"/>
      <c r="QBG92" s="580"/>
      <c r="QBH92" s="580"/>
      <c r="QBI92" s="580"/>
      <c r="QBJ92" s="580"/>
      <c r="QBK92" s="580"/>
      <c r="QBL92" s="580"/>
      <c r="QBM92" s="580"/>
      <c r="QBN92" s="580"/>
      <c r="QBO92" s="580"/>
      <c r="QBP92" s="580"/>
      <c r="QBQ92" s="580"/>
      <c r="QBR92" s="580"/>
      <c r="QBS92" s="580"/>
      <c r="QBT92" s="580"/>
      <c r="QBU92" s="580"/>
      <c r="QBV92" s="580"/>
      <c r="QBW92" s="580"/>
      <c r="QBX92" s="580"/>
      <c r="QBY92" s="580"/>
      <c r="QBZ92" s="580"/>
      <c r="QCA92" s="580"/>
      <c r="QCB92" s="580"/>
      <c r="QCC92" s="580"/>
      <c r="QCD92" s="580"/>
      <c r="QCE92" s="580"/>
      <c r="QCF92" s="580"/>
      <c r="QCG92" s="580"/>
      <c r="QCH92" s="580"/>
      <c r="QCI92" s="580"/>
      <c r="QCJ92" s="580"/>
      <c r="QCK92" s="580"/>
      <c r="QCL92" s="580"/>
      <c r="QCM92" s="580"/>
      <c r="QCN92" s="580"/>
      <c r="QCO92" s="580"/>
      <c r="QCP92" s="580"/>
      <c r="QCQ92" s="580"/>
      <c r="QCR92" s="580"/>
      <c r="QCS92" s="580"/>
      <c r="QCT92" s="580"/>
      <c r="QCU92" s="580"/>
      <c r="QCV92" s="580"/>
      <c r="QCW92" s="580"/>
      <c r="QCX92" s="580"/>
      <c r="QCY92" s="580"/>
      <c r="QCZ92" s="580"/>
      <c r="QDA92" s="580"/>
      <c r="QDB92" s="580"/>
      <c r="QDC92" s="580"/>
      <c r="QDD92" s="580"/>
      <c r="QDE92" s="580"/>
      <c r="QDF92" s="580"/>
      <c r="QDG92" s="580"/>
      <c r="QDH92" s="580"/>
      <c r="QDI92" s="580"/>
      <c r="QDJ92" s="580"/>
      <c r="QDK92" s="580"/>
      <c r="QDL92" s="580"/>
      <c r="QDM92" s="580"/>
      <c r="QDN92" s="580"/>
      <c r="QDO92" s="580"/>
      <c r="QDP92" s="580"/>
      <c r="QDQ92" s="580"/>
      <c r="QDR92" s="580"/>
      <c r="QDS92" s="580"/>
      <c r="QDT92" s="580"/>
      <c r="QDU92" s="580"/>
      <c r="QDV92" s="580"/>
      <c r="QDW92" s="580"/>
      <c r="QDX92" s="580"/>
      <c r="QDY92" s="580"/>
      <c r="QDZ92" s="580"/>
      <c r="QEA92" s="580"/>
      <c r="QEB92" s="580"/>
      <c r="QEC92" s="580"/>
      <c r="QED92" s="580"/>
      <c r="QEE92" s="580"/>
      <c r="QEF92" s="580"/>
      <c r="QEG92" s="580"/>
      <c r="QEH92" s="580"/>
      <c r="QEI92" s="580"/>
      <c r="QEJ92" s="580"/>
      <c r="QEK92" s="580"/>
      <c r="QEL92" s="580"/>
      <c r="QEM92" s="580"/>
      <c r="QEN92" s="580"/>
      <c r="QEO92" s="580"/>
      <c r="QEP92" s="580"/>
      <c r="QEQ92" s="580"/>
      <c r="QER92" s="580"/>
      <c r="QES92" s="580"/>
      <c r="QET92" s="580"/>
      <c r="QEU92" s="580"/>
      <c r="QEV92" s="580"/>
      <c r="QEW92" s="580"/>
      <c r="QEX92" s="580"/>
      <c r="QEY92" s="580"/>
      <c r="QEZ92" s="580"/>
      <c r="QFA92" s="580"/>
      <c r="QFB92" s="580"/>
      <c r="QFC92" s="580"/>
      <c r="QFD92" s="580"/>
      <c r="QFE92" s="580"/>
      <c r="QFF92" s="580"/>
      <c r="QFG92" s="580"/>
      <c r="QFH92" s="580"/>
      <c r="QFI92" s="580"/>
      <c r="QFJ92" s="580"/>
      <c r="QFK92" s="580"/>
      <c r="QFL92" s="580"/>
      <c r="QFM92" s="580"/>
      <c r="QFN92" s="580"/>
      <c r="QFO92" s="580"/>
      <c r="QFP92" s="580"/>
      <c r="QFQ92" s="580"/>
      <c r="QFR92" s="580"/>
      <c r="QFS92" s="580"/>
      <c r="QFT92" s="580"/>
      <c r="QFU92" s="580"/>
      <c r="QFV92" s="580"/>
      <c r="QFW92" s="580"/>
      <c r="QFX92" s="580"/>
      <c r="QFY92" s="580"/>
      <c r="QFZ92" s="580"/>
      <c r="QGA92" s="580"/>
      <c r="QGB92" s="580"/>
      <c r="QGC92" s="580"/>
      <c r="QGD92" s="580"/>
      <c r="QGE92" s="580"/>
      <c r="QGF92" s="580"/>
      <c r="QGG92" s="580"/>
      <c r="QGH92" s="580"/>
      <c r="QGI92" s="580"/>
      <c r="QGJ92" s="580"/>
      <c r="QGK92" s="580"/>
      <c r="QGL92" s="580"/>
      <c r="QGM92" s="580"/>
      <c r="QGN92" s="580"/>
      <c r="QGO92" s="580"/>
      <c r="QGP92" s="580"/>
      <c r="QGQ92" s="580"/>
      <c r="QGR92" s="580"/>
      <c r="QGS92" s="580"/>
      <c r="QGT92" s="580"/>
      <c r="QGU92" s="580"/>
      <c r="QGV92" s="580"/>
      <c r="QGW92" s="580"/>
      <c r="QGX92" s="580"/>
      <c r="QGY92" s="580"/>
      <c r="QGZ92" s="580"/>
      <c r="QHA92" s="580"/>
      <c r="QHB92" s="580"/>
      <c r="QHC92" s="580"/>
      <c r="QHD92" s="580"/>
      <c r="QHE92" s="580"/>
      <c r="QHF92" s="580"/>
      <c r="QHG92" s="580"/>
      <c r="QHH92" s="580"/>
      <c r="QHI92" s="580"/>
      <c r="QHJ92" s="580"/>
      <c r="QHK92" s="580"/>
      <c r="QHL92" s="580"/>
      <c r="QHM92" s="580"/>
      <c r="QHN92" s="580"/>
      <c r="QHO92" s="580"/>
      <c r="QHP92" s="580"/>
      <c r="QHQ92" s="580"/>
      <c r="QHR92" s="580"/>
      <c r="QHS92" s="580"/>
      <c r="QHT92" s="580"/>
      <c r="QHU92" s="580"/>
      <c r="QHV92" s="580"/>
      <c r="QHW92" s="580"/>
      <c r="QHX92" s="580"/>
      <c r="QHY92" s="580"/>
      <c r="QHZ92" s="580"/>
      <c r="QIA92" s="580"/>
      <c r="QIB92" s="580"/>
      <c r="QIC92" s="580"/>
      <c r="QID92" s="580"/>
      <c r="QIE92" s="580"/>
      <c r="QIF92" s="580"/>
      <c r="QIG92" s="580"/>
      <c r="QIH92" s="580"/>
      <c r="QII92" s="580"/>
      <c r="QIJ92" s="580"/>
      <c r="QIK92" s="580"/>
      <c r="QIL92" s="580"/>
      <c r="QIM92" s="580"/>
      <c r="QIN92" s="580"/>
      <c r="QIO92" s="580"/>
      <c r="QIP92" s="580"/>
      <c r="QIQ92" s="580"/>
      <c r="QIR92" s="580"/>
      <c r="QIS92" s="580"/>
      <c r="QIT92" s="580"/>
      <c r="QIU92" s="580"/>
      <c r="QIV92" s="580"/>
      <c r="QIW92" s="580"/>
      <c r="QIX92" s="580"/>
      <c r="QIY92" s="580"/>
      <c r="QIZ92" s="580"/>
      <c r="QJA92" s="580"/>
      <c r="QJB92" s="580"/>
      <c r="QJC92" s="580"/>
      <c r="QJD92" s="580"/>
      <c r="QJE92" s="580"/>
      <c r="QJF92" s="580"/>
      <c r="QJG92" s="580"/>
      <c r="QJH92" s="580"/>
      <c r="QJI92" s="580"/>
      <c r="QJJ92" s="580"/>
      <c r="QJK92" s="580"/>
      <c r="QJL92" s="580"/>
      <c r="QJM92" s="580"/>
      <c r="QJN92" s="580"/>
      <c r="QJO92" s="580"/>
      <c r="QJP92" s="580"/>
      <c r="QJQ92" s="580"/>
      <c r="QJR92" s="580"/>
      <c r="QJS92" s="580"/>
      <c r="QJT92" s="580"/>
      <c r="QJU92" s="580"/>
      <c r="QJV92" s="580"/>
      <c r="QJW92" s="580"/>
      <c r="QJX92" s="580"/>
      <c r="QJY92" s="580"/>
      <c r="QJZ92" s="580"/>
      <c r="QKA92" s="580"/>
      <c r="QKB92" s="580"/>
      <c r="QKC92" s="580"/>
      <c r="QKD92" s="580"/>
      <c r="QKE92" s="580"/>
      <c r="QKF92" s="580"/>
      <c r="QKG92" s="580"/>
      <c r="QKH92" s="580"/>
      <c r="QKI92" s="580"/>
      <c r="QKJ92" s="580"/>
      <c r="QKK92" s="580"/>
      <c r="QKL92" s="580"/>
      <c r="QKM92" s="580"/>
      <c r="QKN92" s="580"/>
      <c r="QKO92" s="580"/>
      <c r="QKP92" s="580"/>
      <c r="QKQ92" s="580"/>
      <c r="QKR92" s="580"/>
      <c r="QKS92" s="580"/>
      <c r="QKT92" s="580"/>
      <c r="QKU92" s="580"/>
      <c r="QKV92" s="580"/>
      <c r="QKW92" s="580"/>
      <c r="QKX92" s="580"/>
      <c r="QKY92" s="580"/>
      <c r="QKZ92" s="580"/>
      <c r="QLA92" s="580"/>
      <c r="QLB92" s="580"/>
      <c r="QLC92" s="580"/>
      <c r="QLD92" s="580"/>
      <c r="QLE92" s="580"/>
      <c r="QLF92" s="580"/>
      <c r="QLG92" s="580"/>
      <c r="QLH92" s="580"/>
      <c r="QLI92" s="580"/>
      <c r="QLJ92" s="580"/>
      <c r="QLK92" s="580"/>
      <c r="QLL92" s="580"/>
      <c r="QLM92" s="580"/>
      <c r="QLN92" s="580"/>
      <c r="QLO92" s="580"/>
      <c r="QLP92" s="580"/>
      <c r="QLQ92" s="580"/>
      <c r="QLR92" s="580"/>
      <c r="QLS92" s="580"/>
      <c r="QLT92" s="580"/>
      <c r="QLU92" s="580"/>
      <c r="QLV92" s="580"/>
      <c r="QLW92" s="580"/>
      <c r="QLX92" s="580"/>
      <c r="QLY92" s="580"/>
      <c r="QLZ92" s="580"/>
      <c r="QMA92" s="580"/>
      <c r="QMB92" s="580"/>
      <c r="QMC92" s="580"/>
      <c r="QMD92" s="580"/>
      <c r="QME92" s="580"/>
      <c r="QMF92" s="580"/>
      <c r="QMG92" s="580"/>
      <c r="QMH92" s="580"/>
      <c r="QMI92" s="580"/>
      <c r="QMJ92" s="580"/>
      <c r="QMK92" s="580"/>
      <c r="QML92" s="580"/>
      <c r="QMM92" s="580"/>
      <c r="QMN92" s="580"/>
      <c r="QMO92" s="580"/>
      <c r="QMP92" s="580"/>
      <c r="QMQ92" s="580"/>
      <c r="QMR92" s="580"/>
      <c r="QMS92" s="580"/>
      <c r="QMT92" s="580"/>
      <c r="QMU92" s="580"/>
      <c r="QMV92" s="580"/>
      <c r="QMW92" s="580"/>
      <c r="QMX92" s="580"/>
      <c r="QMY92" s="580"/>
      <c r="QMZ92" s="580"/>
      <c r="QNA92" s="580"/>
      <c r="QNB92" s="580"/>
      <c r="QNC92" s="580"/>
      <c r="QND92" s="580"/>
      <c r="QNE92" s="580"/>
      <c r="QNF92" s="580"/>
      <c r="QNG92" s="580"/>
      <c r="QNH92" s="580"/>
      <c r="QNI92" s="580"/>
      <c r="QNJ92" s="580"/>
      <c r="QNK92" s="580"/>
      <c r="QNL92" s="580"/>
      <c r="QNM92" s="580"/>
      <c r="QNN92" s="580"/>
      <c r="QNO92" s="580"/>
      <c r="QNP92" s="580"/>
      <c r="QNQ92" s="580"/>
      <c r="QNR92" s="580"/>
      <c r="QNS92" s="580"/>
      <c r="QNT92" s="580"/>
      <c r="QNU92" s="580"/>
      <c r="QNV92" s="580"/>
      <c r="QNW92" s="580"/>
      <c r="QNX92" s="580"/>
      <c r="QNY92" s="580"/>
      <c r="QNZ92" s="580"/>
      <c r="QOA92" s="580"/>
      <c r="QOB92" s="580"/>
      <c r="QOC92" s="580"/>
      <c r="QOD92" s="580"/>
      <c r="QOE92" s="580"/>
      <c r="QOF92" s="580"/>
      <c r="QOG92" s="580"/>
      <c r="QOH92" s="580"/>
      <c r="QOI92" s="580"/>
      <c r="QOJ92" s="580"/>
      <c r="QOK92" s="580"/>
      <c r="QOL92" s="580"/>
      <c r="QOM92" s="580"/>
      <c r="QON92" s="580"/>
      <c r="QOO92" s="580"/>
      <c r="QOP92" s="580"/>
      <c r="QOQ92" s="580"/>
      <c r="QOR92" s="580"/>
      <c r="QOS92" s="580"/>
      <c r="QOT92" s="580"/>
      <c r="QOU92" s="580"/>
      <c r="QOV92" s="580"/>
      <c r="QOW92" s="580"/>
      <c r="QOX92" s="580"/>
      <c r="QOY92" s="580"/>
      <c r="QOZ92" s="580"/>
      <c r="QPA92" s="580"/>
      <c r="QPB92" s="580"/>
      <c r="QPC92" s="580"/>
      <c r="QPD92" s="580"/>
      <c r="QPE92" s="580"/>
      <c r="QPF92" s="580"/>
      <c r="QPG92" s="580"/>
      <c r="QPH92" s="580"/>
      <c r="QPI92" s="580"/>
      <c r="QPJ92" s="580"/>
      <c r="QPK92" s="580"/>
      <c r="QPL92" s="580"/>
      <c r="QPM92" s="580"/>
      <c r="QPN92" s="580"/>
      <c r="QPO92" s="580"/>
      <c r="QPP92" s="580"/>
      <c r="QPQ92" s="580"/>
      <c r="QPR92" s="580"/>
      <c r="QPS92" s="580"/>
      <c r="QPT92" s="580"/>
      <c r="QPU92" s="580"/>
      <c r="QPV92" s="580"/>
      <c r="QPW92" s="580"/>
      <c r="QPX92" s="580"/>
      <c r="QPY92" s="580"/>
      <c r="QPZ92" s="580"/>
      <c r="QQA92" s="580"/>
      <c r="QQB92" s="580"/>
      <c r="QQC92" s="580"/>
      <c r="QQD92" s="580"/>
      <c r="QQE92" s="580"/>
      <c r="QQF92" s="580"/>
      <c r="QQG92" s="580"/>
      <c r="QQH92" s="580"/>
      <c r="QQI92" s="580"/>
      <c r="QQJ92" s="580"/>
      <c r="QQK92" s="580"/>
      <c r="QQL92" s="580"/>
      <c r="QQM92" s="580"/>
      <c r="QQN92" s="580"/>
      <c r="QQO92" s="580"/>
      <c r="QQP92" s="580"/>
      <c r="QQQ92" s="580"/>
      <c r="QQR92" s="580"/>
      <c r="QQS92" s="580"/>
      <c r="QQT92" s="580"/>
      <c r="QQU92" s="580"/>
      <c r="QQV92" s="580"/>
      <c r="QQW92" s="580"/>
      <c r="QQX92" s="580"/>
      <c r="QQY92" s="580"/>
      <c r="QQZ92" s="580"/>
      <c r="QRA92" s="580"/>
      <c r="QRB92" s="580"/>
      <c r="QRC92" s="580"/>
      <c r="QRD92" s="580"/>
      <c r="QRE92" s="580"/>
      <c r="QRF92" s="580"/>
      <c r="QRG92" s="580"/>
      <c r="QRH92" s="580"/>
      <c r="QRI92" s="580"/>
      <c r="QRJ92" s="580"/>
      <c r="QRK92" s="580"/>
      <c r="QRL92" s="580"/>
      <c r="QRM92" s="580"/>
      <c r="QRN92" s="580"/>
      <c r="QRO92" s="580"/>
      <c r="QRP92" s="580"/>
      <c r="QRQ92" s="580"/>
      <c r="QRR92" s="580"/>
      <c r="QRS92" s="580"/>
      <c r="QRT92" s="580"/>
      <c r="QRU92" s="580"/>
      <c r="QRV92" s="580"/>
      <c r="QRW92" s="580"/>
      <c r="QRX92" s="580"/>
      <c r="QRY92" s="580"/>
      <c r="QRZ92" s="580"/>
      <c r="QSA92" s="580"/>
      <c r="QSB92" s="580"/>
      <c r="QSC92" s="580"/>
      <c r="QSD92" s="580"/>
      <c r="QSE92" s="580"/>
      <c r="QSF92" s="580"/>
      <c r="QSG92" s="580"/>
      <c r="QSH92" s="580"/>
      <c r="QSI92" s="580"/>
      <c r="QSJ92" s="580"/>
      <c r="QSK92" s="580"/>
      <c r="QSL92" s="580"/>
      <c r="QSM92" s="580"/>
      <c r="QSN92" s="580"/>
      <c r="QSO92" s="580"/>
      <c r="QSP92" s="580"/>
      <c r="QSQ92" s="580"/>
      <c r="QSR92" s="580"/>
      <c r="QSS92" s="580"/>
      <c r="QST92" s="580"/>
      <c r="QSU92" s="580"/>
      <c r="QSV92" s="580"/>
      <c r="QSW92" s="580"/>
      <c r="QSX92" s="580"/>
      <c r="QSY92" s="580"/>
      <c r="QSZ92" s="580"/>
      <c r="QTA92" s="580"/>
      <c r="QTB92" s="580"/>
      <c r="QTC92" s="580"/>
      <c r="QTD92" s="580"/>
      <c r="QTE92" s="580"/>
      <c r="QTF92" s="580"/>
      <c r="QTG92" s="580"/>
      <c r="QTH92" s="580"/>
      <c r="QTI92" s="580"/>
      <c r="QTJ92" s="580"/>
      <c r="QTK92" s="580"/>
      <c r="QTL92" s="580"/>
      <c r="QTM92" s="580"/>
      <c r="QTN92" s="580"/>
      <c r="QTO92" s="580"/>
      <c r="QTP92" s="580"/>
      <c r="QTQ92" s="580"/>
      <c r="QTR92" s="580"/>
      <c r="QTS92" s="580"/>
      <c r="QTT92" s="580"/>
      <c r="QTU92" s="580"/>
      <c r="QTV92" s="580"/>
      <c r="QTW92" s="580"/>
      <c r="QTX92" s="580"/>
      <c r="QTY92" s="580"/>
      <c r="QTZ92" s="580"/>
      <c r="QUA92" s="580"/>
      <c r="QUB92" s="580"/>
      <c r="QUC92" s="580"/>
      <c r="QUD92" s="580"/>
      <c r="QUE92" s="580"/>
      <c r="QUF92" s="580"/>
      <c r="QUG92" s="580"/>
      <c r="QUH92" s="580"/>
      <c r="QUI92" s="580"/>
      <c r="QUJ92" s="580"/>
      <c r="QUK92" s="580"/>
      <c r="QUL92" s="580"/>
      <c r="QUM92" s="580"/>
      <c r="QUN92" s="580"/>
      <c r="QUO92" s="580"/>
      <c r="QUP92" s="580"/>
      <c r="QUQ92" s="580"/>
      <c r="QUR92" s="580"/>
      <c r="QUS92" s="580"/>
      <c r="QUT92" s="580"/>
      <c r="QUU92" s="580"/>
      <c r="QUV92" s="580"/>
      <c r="QUW92" s="580"/>
      <c r="QUX92" s="580"/>
      <c r="QUY92" s="580"/>
      <c r="QUZ92" s="580"/>
      <c r="QVA92" s="580"/>
      <c r="QVB92" s="580"/>
      <c r="QVC92" s="580"/>
      <c r="QVD92" s="580"/>
      <c r="QVE92" s="580"/>
      <c r="QVF92" s="580"/>
      <c r="QVG92" s="580"/>
      <c r="QVH92" s="580"/>
      <c r="QVI92" s="580"/>
      <c r="QVJ92" s="580"/>
      <c r="QVK92" s="580"/>
      <c r="QVL92" s="580"/>
      <c r="QVM92" s="580"/>
      <c r="QVN92" s="580"/>
      <c r="QVO92" s="580"/>
      <c r="QVP92" s="580"/>
      <c r="QVQ92" s="580"/>
      <c r="QVR92" s="580"/>
      <c r="QVS92" s="580"/>
      <c r="QVT92" s="580"/>
      <c r="QVU92" s="580"/>
      <c r="QVV92" s="580"/>
      <c r="QVW92" s="580"/>
      <c r="QVX92" s="580"/>
      <c r="QVY92" s="580"/>
      <c r="QVZ92" s="580"/>
      <c r="QWA92" s="580"/>
      <c r="QWB92" s="580"/>
      <c r="QWC92" s="580"/>
      <c r="QWD92" s="580"/>
      <c r="QWE92" s="580"/>
      <c r="QWF92" s="580"/>
      <c r="QWG92" s="580"/>
      <c r="QWH92" s="580"/>
      <c r="QWI92" s="580"/>
      <c r="QWJ92" s="580"/>
      <c r="QWK92" s="580"/>
      <c r="QWL92" s="580"/>
      <c r="QWM92" s="580"/>
      <c r="QWN92" s="580"/>
      <c r="QWO92" s="580"/>
      <c r="QWP92" s="580"/>
      <c r="QWQ92" s="580"/>
      <c r="QWR92" s="580"/>
      <c r="QWS92" s="580"/>
      <c r="QWT92" s="580"/>
      <c r="QWU92" s="580"/>
      <c r="QWV92" s="580"/>
      <c r="QWW92" s="580"/>
      <c r="QWX92" s="580"/>
      <c r="QWY92" s="580"/>
      <c r="QWZ92" s="580"/>
      <c r="QXA92" s="580"/>
      <c r="QXB92" s="580"/>
      <c r="QXC92" s="580"/>
      <c r="QXD92" s="580"/>
      <c r="QXE92" s="580"/>
      <c r="QXF92" s="580"/>
      <c r="QXG92" s="580"/>
      <c r="QXH92" s="580"/>
      <c r="QXI92" s="580"/>
      <c r="QXJ92" s="580"/>
      <c r="QXK92" s="580"/>
      <c r="QXL92" s="580"/>
      <c r="QXM92" s="580"/>
      <c r="QXN92" s="580"/>
      <c r="QXO92" s="580"/>
      <c r="QXP92" s="580"/>
      <c r="QXQ92" s="580"/>
      <c r="QXR92" s="580"/>
      <c r="QXS92" s="580"/>
      <c r="QXT92" s="580"/>
      <c r="QXU92" s="580"/>
      <c r="QXV92" s="580"/>
      <c r="QXW92" s="580"/>
      <c r="QXX92" s="580"/>
      <c r="QXY92" s="580"/>
      <c r="QXZ92" s="580"/>
      <c r="QYA92" s="580"/>
      <c r="QYB92" s="580"/>
      <c r="QYC92" s="580"/>
      <c r="QYD92" s="580"/>
      <c r="QYE92" s="580"/>
      <c r="QYF92" s="580"/>
      <c r="QYG92" s="580"/>
      <c r="QYH92" s="580"/>
      <c r="QYI92" s="580"/>
      <c r="QYJ92" s="580"/>
      <c r="QYK92" s="580"/>
      <c r="QYL92" s="580"/>
      <c r="QYM92" s="580"/>
      <c r="QYN92" s="580"/>
      <c r="QYO92" s="580"/>
      <c r="QYP92" s="580"/>
      <c r="QYQ92" s="580"/>
      <c r="QYR92" s="580"/>
      <c r="QYS92" s="580"/>
      <c r="QYT92" s="580"/>
      <c r="QYU92" s="580"/>
      <c r="QYV92" s="580"/>
      <c r="QYW92" s="580"/>
      <c r="QYX92" s="580"/>
      <c r="QYY92" s="580"/>
      <c r="QYZ92" s="580"/>
      <c r="QZA92" s="580"/>
      <c r="QZB92" s="580"/>
      <c r="QZC92" s="580"/>
      <c r="QZD92" s="580"/>
      <c r="QZE92" s="580"/>
      <c r="QZF92" s="580"/>
      <c r="QZG92" s="580"/>
      <c r="QZH92" s="580"/>
      <c r="QZI92" s="580"/>
      <c r="QZJ92" s="580"/>
      <c r="QZK92" s="580"/>
      <c r="QZL92" s="580"/>
      <c r="QZM92" s="580"/>
      <c r="QZN92" s="580"/>
      <c r="QZO92" s="580"/>
      <c r="QZP92" s="580"/>
      <c r="QZQ92" s="580"/>
      <c r="QZR92" s="580"/>
      <c r="QZS92" s="580"/>
      <c r="QZT92" s="580"/>
      <c r="QZU92" s="580"/>
      <c r="QZV92" s="580"/>
      <c r="QZW92" s="580"/>
      <c r="QZX92" s="580"/>
      <c r="QZY92" s="580"/>
      <c r="QZZ92" s="580"/>
      <c r="RAA92" s="580"/>
      <c r="RAB92" s="580"/>
      <c r="RAC92" s="580"/>
      <c r="RAD92" s="580"/>
      <c r="RAE92" s="580"/>
      <c r="RAF92" s="580"/>
      <c r="RAG92" s="580"/>
      <c r="RAH92" s="580"/>
      <c r="RAI92" s="580"/>
      <c r="RAJ92" s="580"/>
      <c r="RAK92" s="580"/>
      <c r="RAL92" s="580"/>
      <c r="RAM92" s="580"/>
      <c r="RAN92" s="580"/>
      <c r="RAO92" s="580"/>
      <c r="RAP92" s="580"/>
      <c r="RAQ92" s="580"/>
      <c r="RAR92" s="580"/>
      <c r="RAS92" s="580"/>
      <c r="RAT92" s="580"/>
      <c r="RAU92" s="580"/>
      <c r="RAV92" s="580"/>
      <c r="RAW92" s="580"/>
      <c r="RAX92" s="580"/>
      <c r="RAY92" s="580"/>
      <c r="RAZ92" s="580"/>
      <c r="RBA92" s="580"/>
      <c r="RBB92" s="580"/>
      <c r="RBC92" s="580"/>
      <c r="RBD92" s="580"/>
      <c r="RBE92" s="580"/>
      <c r="RBF92" s="580"/>
      <c r="RBG92" s="580"/>
      <c r="RBH92" s="580"/>
      <c r="RBI92" s="580"/>
      <c r="RBJ92" s="580"/>
      <c r="RBK92" s="580"/>
      <c r="RBL92" s="580"/>
      <c r="RBM92" s="580"/>
      <c r="RBN92" s="580"/>
      <c r="RBO92" s="580"/>
      <c r="RBP92" s="580"/>
      <c r="RBQ92" s="580"/>
      <c r="RBR92" s="580"/>
      <c r="RBS92" s="580"/>
      <c r="RBT92" s="580"/>
      <c r="RBU92" s="580"/>
      <c r="RBV92" s="580"/>
      <c r="RBW92" s="580"/>
      <c r="RBX92" s="580"/>
      <c r="RBY92" s="580"/>
      <c r="RBZ92" s="580"/>
      <c r="RCA92" s="580"/>
      <c r="RCB92" s="580"/>
      <c r="RCC92" s="580"/>
      <c r="RCD92" s="580"/>
      <c r="RCE92" s="580"/>
      <c r="RCF92" s="580"/>
      <c r="RCG92" s="580"/>
      <c r="RCH92" s="580"/>
      <c r="RCI92" s="580"/>
      <c r="RCJ92" s="580"/>
      <c r="RCK92" s="580"/>
      <c r="RCL92" s="580"/>
      <c r="RCM92" s="580"/>
      <c r="RCN92" s="580"/>
      <c r="RCO92" s="580"/>
      <c r="RCP92" s="580"/>
      <c r="RCQ92" s="580"/>
      <c r="RCR92" s="580"/>
      <c r="RCS92" s="580"/>
      <c r="RCT92" s="580"/>
      <c r="RCU92" s="580"/>
      <c r="RCV92" s="580"/>
      <c r="RCW92" s="580"/>
      <c r="RCX92" s="580"/>
      <c r="RCY92" s="580"/>
      <c r="RCZ92" s="580"/>
      <c r="RDA92" s="580"/>
      <c r="RDB92" s="580"/>
      <c r="RDC92" s="580"/>
      <c r="RDD92" s="580"/>
      <c r="RDE92" s="580"/>
      <c r="RDF92" s="580"/>
      <c r="RDG92" s="580"/>
      <c r="RDH92" s="580"/>
      <c r="RDI92" s="580"/>
      <c r="RDJ92" s="580"/>
      <c r="RDK92" s="580"/>
      <c r="RDL92" s="580"/>
      <c r="RDM92" s="580"/>
      <c r="RDN92" s="580"/>
      <c r="RDO92" s="580"/>
      <c r="RDP92" s="580"/>
      <c r="RDQ92" s="580"/>
      <c r="RDR92" s="580"/>
      <c r="RDS92" s="580"/>
      <c r="RDT92" s="580"/>
      <c r="RDU92" s="580"/>
      <c r="RDV92" s="580"/>
      <c r="RDW92" s="580"/>
      <c r="RDX92" s="580"/>
      <c r="RDY92" s="580"/>
      <c r="RDZ92" s="580"/>
      <c r="REA92" s="580"/>
      <c r="REB92" s="580"/>
      <c r="REC92" s="580"/>
      <c r="RED92" s="580"/>
      <c r="REE92" s="580"/>
      <c r="REF92" s="580"/>
      <c r="REG92" s="580"/>
      <c r="REH92" s="580"/>
      <c r="REI92" s="580"/>
      <c r="REJ92" s="580"/>
      <c r="REK92" s="580"/>
      <c r="REL92" s="580"/>
      <c r="REM92" s="580"/>
      <c r="REN92" s="580"/>
      <c r="REO92" s="580"/>
      <c r="REP92" s="580"/>
      <c r="REQ92" s="580"/>
      <c r="RER92" s="580"/>
      <c r="RES92" s="580"/>
      <c r="RET92" s="580"/>
      <c r="REU92" s="580"/>
      <c r="REV92" s="580"/>
      <c r="REW92" s="580"/>
      <c r="REX92" s="580"/>
      <c r="REY92" s="580"/>
      <c r="REZ92" s="580"/>
      <c r="RFA92" s="580"/>
      <c r="RFB92" s="580"/>
      <c r="RFC92" s="580"/>
      <c r="RFD92" s="580"/>
      <c r="RFE92" s="580"/>
      <c r="RFF92" s="580"/>
      <c r="RFG92" s="580"/>
      <c r="RFH92" s="580"/>
      <c r="RFI92" s="580"/>
      <c r="RFJ92" s="580"/>
      <c r="RFK92" s="580"/>
      <c r="RFL92" s="580"/>
      <c r="RFM92" s="580"/>
      <c r="RFN92" s="580"/>
      <c r="RFO92" s="580"/>
      <c r="RFP92" s="580"/>
      <c r="RFQ92" s="580"/>
      <c r="RFR92" s="580"/>
      <c r="RFS92" s="580"/>
      <c r="RFT92" s="580"/>
      <c r="RFU92" s="580"/>
      <c r="RFV92" s="580"/>
      <c r="RFW92" s="580"/>
      <c r="RFX92" s="580"/>
      <c r="RFY92" s="580"/>
      <c r="RFZ92" s="580"/>
      <c r="RGA92" s="580"/>
      <c r="RGB92" s="580"/>
      <c r="RGC92" s="580"/>
      <c r="RGD92" s="580"/>
      <c r="RGE92" s="580"/>
      <c r="RGF92" s="580"/>
      <c r="RGG92" s="580"/>
      <c r="RGH92" s="580"/>
      <c r="RGI92" s="580"/>
      <c r="RGJ92" s="580"/>
      <c r="RGK92" s="580"/>
      <c r="RGL92" s="580"/>
      <c r="RGM92" s="580"/>
      <c r="RGN92" s="580"/>
      <c r="RGO92" s="580"/>
      <c r="RGP92" s="580"/>
      <c r="RGQ92" s="580"/>
      <c r="RGR92" s="580"/>
      <c r="RGS92" s="580"/>
      <c r="RGT92" s="580"/>
      <c r="RGU92" s="580"/>
      <c r="RGV92" s="580"/>
      <c r="RGW92" s="580"/>
      <c r="RGX92" s="580"/>
      <c r="RGY92" s="580"/>
      <c r="RGZ92" s="580"/>
      <c r="RHA92" s="580"/>
      <c r="RHB92" s="580"/>
      <c r="RHC92" s="580"/>
      <c r="RHD92" s="580"/>
      <c r="RHE92" s="580"/>
      <c r="RHF92" s="580"/>
      <c r="RHG92" s="580"/>
      <c r="RHH92" s="580"/>
      <c r="RHI92" s="580"/>
      <c r="RHJ92" s="580"/>
      <c r="RHK92" s="580"/>
      <c r="RHL92" s="580"/>
      <c r="RHM92" s="580"/>
      <c r="RHN92" s="580"/>
      <c r="RHO92" s="580"/>
      <c r="RHP92" s="580"/>
      <c r="RHQ92" s="580"/>
      <c r="RHR92" s="580"/>
      <c r="RHS92" s="580"/>
      <c r="RHT92" s="580"/>
      <c r="RHU92" s="580"/>
      <c r="RHV92" s="580"/>
      <c r="RHW92" s="580"/>
      <c r="RHX92" s="580"/>
      <c r="RHY92" s="580"/>
      <c r="RHZ92" s="580"/>
      <c r="RIA92" s="580"/>
      <c r="RIB92" s="580"/>
      <c r="RIC92" s="580"/>
      <c r="RID92" s="580"/>
      <c r="RIE92" s="580"/>
      <c r="RIF92" s="580"/>
      <c r="RIG92" s="580"/>
      <c r="RIH92" s="580"/>
      <c r="RII92" s="580"/>
      <c r="RIJ92" s="580"/>
      <c r="RIK92" s="580"/>
      <c r="RIL92" s="580"/>
      <c r="RIM92" s="580"/>
      <c r="RIN92" s="580"/>
      <c r="RIO92" s="580"/>
      <c r="RIP92" s="580"/>
      <c r="RIQ92" s="580"/>
      <c r="RIR92" s="580"/>
      <c r="RIS92" s="580"/>
      <c r="RIT92" s="580"/>
      <c r="RIU92" s="580"/>
      <c r="RIV92" s="580"/>
      <c r="RIW92" s="580"/>
      <c r="RIX92" s="580"/>
      <c r="RIY92" s="580"/>
      <c r="RIZ92" s="580"/>
      <c r="RJA92" s="580"/>
      <c r="RJB92" s="580"/>
      <c r="RJC92" s="580"/>
      <c r="RJD92" s="580"/>
      <c r="RJE92" s="580"/>
      <c r="RJF92" s="580"/>
      <c r="RJG92" s="580"/>
      <c r="RJH92" s="580"/>
      <c r="RJI92" s="580"/>
      <c r="RJJ92" s="580"/>
      <c r="RJK92" s="580"/>
      <c r="RJL92" s="580"/>
      <c r="RJM92" s="580"/>
      <c r="RJN92" s="580"/>
      <c r="RJO92" s="580"/>
      <c r="RJP92" s="580"/>
      <c r="RJQ92" s="580"/>
      <c r="RJR92" s="580"/>
      <c r="RJS92" s="580"/>
      <c r="RJT92" s="580"/>
      <c r="RJU92" s="580"/>
      <c r="RJV92" s="580"/>
      <c r="RJW92" s="580"/>
      <c r="RJX92" s="580"/>
      <c r="RJY92" s="580"/>
      <c r="RJZ92" s="580"/>
      <c r="RKA92" s="580"/>
      <c r="RKB92" s="580"/>
      <c r="RKC92" s="580"/>
      <c r="RKD92" s="580"/>
      <c r="RKE92" s="580"/>
      <c r="RKF92" s="580"/>
      <c r="RKG92" s="580"/>
      <c r="RKH92" s="580"/>
      <c r="RKI92" s="580"/>
      <c r="RKJ92" s="580"/>
      <c r="RKK92" s="580"/>
      <c r="RKL92" s="580"/>
      <c r="RKM92" s="580"/>
      <c r="RKN92" s="580"/>
      <c r="RKO92" s="580"/>
      <c r="RKP92" s="580"/>
      <c r="RKQ92" s="580"/>
      <c r="RKR92" s="580"/>
      <c r="RKS92" s="580"/>
      <c r="RKT92" s="580"/>
      <c r="RKU92" s="580"/>
      <c r="RKV92" s="580"/>
      <c r="RKW92" s="580"/>
      <c r="RKX92" s="580"/>
      <c r="RKY92" s="580"/>
      <c r="RKZ92" s="580"/>
      <c r="RLA92" s="580"/>
      <c r="RLB92" s="580"/>
      <c r="RLC92" s="580"/>
      <c r="RLD92" s="580"/>
      <c r="RLE92" s="580"/>
      <c r="RLF92" s="580"/>
      <c r="RLG92" s="580"/>
      <c r="RLH92" s="580"/>
      <c r="RLI92" s="580"/>
      <c r="RLJ92" s="580"/>
      <c r="RLK92" s="580"/>
      <c r="RLL92" s="580"/>
      <c r="RLM92" s="580"/>
      <c r="RLN92" s="580"/>
      <c r="RLO92" s="580"/>
      <c r="RLP92" s="580"/>
      <c r="RLQ92" s="580"/>
      <c r="RLR92" s="580"/>
      <c r="RLS92" s="580"/>
      <c r="RLT92" s="580"/>
      <c r="RLU92" s="580"/>
      <c r="RLV92" s="580"/>
      <c r="RLW92" s="580"/>
      <c r="RLX92" s="580"/>
      <c r="RLY92" s="580"/>
      <c r="RLZ92" s="580"/>
      <c r="RMA92" s="580"/>
      <c r="RMB92" s="580"/>
      <c r="RMC92" s="580"/>
      <c r="RMD92" s="580"/>
      <c r="RME92" s="580"/>
      <c r="RMF92" s="580"/>
      <c r="RMG92" s="580"/>
      <c r="RMH92" s="580"/>
      <c r="RMI92" s="580"/>
      <c r="RMJ92" s="580"/>
      <c r="RMK92" s="580"/>
      <c r="RML92" s="580"/>
      <c r="RMM92" s="580"/>
      <c r="RMN92" s="580"/>
      <c r="RMO92" s="580"/>
      <c r="RMP92" s="580"/>
      <c r="RMQ92" s="580"/>
      <c r="RMR92" s="580"/>
      <c r="RMS92" s="580"/>
      <c r="RMT92" s="580"/>
      <c r="RMU92" s="580"/>
      <c r="RMV92" s="580"/>
      <c r="RMW92" s="580"/>
      <c r="RMX92" s="580"/>
      <c r="RMY92" s="580"/>
      <c r="RMZ92" s="580"/>
      <c r="RNA92" s="580"/>
      <c r="RNB92" s="580"/>
      <c r="RNC92" s="580"/>
      <c r="RND92" s="580"/>
      <c r="RNE92" s="580"/>
      <c r="RNF92" s="580"/>
      <c r="RNG92" s="580"/>
      <c r="RNH92" s="580"/>
      <c r="RNI92" s="580"/>
      <c r="RNJ92" s="580"/>
      <c r="RNK92" s="580"/>
      <c r="RNL92" s="580"/>
      <c r="RNM92" s="580"/>
      <c r="RNN92" s="580"/>
      <c r="RNO92" s="580"/>
      <c r="RNP92" s="580"/>
      <c r="RNQ92" s="580"/>
      <c r="RNR92" s="580"/>
      <c r="RNS92" s="580"/>
      <c r="RNT92" s="580"/>
      <c r="RNU92" s="580"/>
      <c r="RNV92" s="580"/>
      <c r="RNW92" s="580"/>
      <c r="RNX92" s="580"/>
      <c r="RNY92" s="580"/>
      <c r="RNZ92" s="580"/>
      <c r="ROA92" s="580"/>
      <c r="ROB92" s="580"/>
      <c r="ROC92" s="580"/>
      <c r="ROD92" s="580"/>
      <c r="ROE92" s="580"/>
      <c r="ROF92" s="580"/>
      <c r="ROG92" s="580"/>
      <c r="ROH92" s="580"/>
      <c r="ROI92" s="580"/>
      <c r="ROJ92" s="580"/>
      <c r="ROK92" s="580"/>
      <c r="ROL92" s="580"/>
      <c r="ROM92" s="580"/>
      <c r="RON92" s="580"/>
      <c r="ROO92" s="580"/>
      <c r="ROP92" s="580"/>
      <c r="ROQ92" s="580"/>
      <c r="ROR92" s="580"/>
      <c r="ROS92" s="580"/>
      <c r="ROT92" s="580"/>
      <c r="ROU92" s="580"/>
      <c r="ROV92" s="580"/>
      <c r="ROW92" s="580"/>
      <c r="ROX92" s="580"/>
      <c r="ROY92" s="580"/>
      <c r="ROZ92" s="580"/>
      <c r="RPA92" s="580"/>
      <c r="RPB92" s="580"/>
      <c r="RPC92" s="580"/>
      <c r="RPD92" s="580"/>
      <c r="RPE92" s="580"/>
      <c r="RPF92" s="580"/>
      <c r="RPG92" s="580"/>
      <c r="RPH92" s="580"/>
      <c r="RPI92" s="580"/>
      <c r="RPJ92" s="580"/>
      <c r="RPK92" s="580"/>
      <c r="RPL92" s="580"/>
      <c r="RPM92" s="580"/>
      <c r="RPN92" s="580"/>
      <c r="RPO92" s="580"/>
      <c r="RPP92" s="580"/>
      <c r="RPQ92" s="580"/>
      <c r="RPR92" s="580"/>
      <c r="RPS92" s="580"/>
      <c r="RPT92" s="580"/>
      <c r="RPU92" s="580"/>
      <c r="RPV92" s="580"/>
      <c r="RPW92" s="580"/>
      <c r="RPX92" s="580"/>
      <c r="RPY92" s="580"/>
      <c r="RPZ92" s="580"/>
      <c r="RQA92" s="580"/>
      <c r="RQB92" s="580"/>
      <c r="RQC92" s="580"/>
      <c r="RQD92" s="580"/>
      <c r="RQE92" s="580"/>
      <c r="RQF92" s="580"/>
      <c r="RQG92" s="580"/>
      <c r="RQH92" s="580"/>
      <c r="RQI92" s="580"/>
      <c r="RQJ92" s="580"/>
      <c r="RQK92" s="580"/>
      <c r="RQL92" s="580"/>
      <c r="RQM92" s="580"/>
      <c r="RQN92" s="580"/>
      <c r="RQO92" s="580"/>
      <c r="RQP92" s="580"/>
      <c r="RQQ92" s="580"/>
      <c r="RQR92" s="580"/>
      <c r="RQS92" s="580"/>
      <c r="RQT92" s="580"/>
      <c r="RQU92" s="580"/>
      <c r="RQV92" s="580"/>
      <c r="RQW92" s="580"/>
      <c r="RQX92" s="580"/>
      <c r="RQY92" s="580"/>
      <c r="RQZ92" s="580"/>
      <c r="RRA92" s="580"/>
      <c r="RRB92" s="580"/>
      <c r="RRC92" s="580"/>
      <c r="RRD92" s="580"/>
      <c r="RRE92" s="580"/>
      <c r="RRF92" s="580"/>
      <c r="RRG92" s="580"/>
      <c r="RRH92" s="580"/>
      <c r="RRI92" s="580"/>
      <c r="RRJ92" s="580"/>
      <c r="RRK92" s="580"/>
      <c r="RRL92" s="580"/>
      <c r="RRM92" s="580"/>
      <c r="RRN92" s="580"/>
      <c r="RRO92" s="580"/>
      <c r="RRP92" s="580"/>
      <c r="RRQ92" s="580"/>
      <c r="RRR92" s="580"/>
      <c r="RRS92" s="580"/>
      <c r="RRT92" s="580"/>
      <c r="RRU92" s="580"/>
      <c r="RRV92" s="580"/>
      <c r="RRW92" s="580"/>
      <c r="RRX92" s="580"/>
      <c r="RRY92" s="580"/>
      <c r="RRZ92" s="580"/>
      <c r="RSA92" s="580"/>
      <c r="RSB92" s="580"/>
      <c r="RSC92" s="580"/>
      <c r="RSD92" s="580"/>
      <c r="RSE92" s="580"/>
      <c r="RSF92" s="580"/>
      <c r="RSG92" s="580"/>
      <c r="RSH92" s="580"/>
      <c r="RSI92" s="580"/>
      <c r="RSJ92" s="580"/>
      <c r="RSK92" s="580"/>
      <c r="RSL92" s="580"/>
      <c r="RSM92" s="580"/>
      <c r="RSN92" s="580"/>
      <c r="RSO92" s="580"/>
      <c r="RSP92" s="580"/>
      <c r="RSQ92" s="580"/>
      <c r="RSR92" s="580"/>
      <c r="RSS92" s="580"/>
      <c r="RST92" s="580"/>
      <c r="RSU92" s="580"/>
      <c r="RSV92" s="580"/>
      <c r="RSW92" s="580"/>
      <c r="RSX92" s="580"/>
      <c r="RSY92" s="580"/>
      <c r="RSZ92" s="580"/>
      <c r="RTA92" s="580"/>
      <c r="RTB92" s="580"/>
      <c r="RTC92" s="580"/>
      <c r="RTD92" s="580"/>
      <c r="RTE92" s="580"/>
      <c r="RTF92" s="580"/>
      <c r="RTG92" s="580"/>
      <c r="RTH92" s="580"/>
      <c r="RTI92" s="580"/>
      <c r="RTJ92" s="580"/>
      <c r="RTK92" s="580"/>
      <c r="RTL92" s="580"/>
      <c r="RTM92" s="580"/>
      <c r="RTN92" s="580"/>
      <c r="RTO92" s="580"/>
      <c r="RTP92" s="580"/>
      <c r="RTQ92" s="580"/>
      <c r="RTR92" s="580"/>
      <c r="RTS92" s="580"/>
      <c r="RTT92" s="580"/>
      <c r="RTU92" s="580"/>
      <c r="RTV92" s="580"/>
      <c r="RTW92" s="580"/>
      <c r="RTX92" s="580"/>
      <c r="RTY92" s="580"/>
      <c r="RTZ92" s="580"/>
      <c r="RUA92" s="580"/>
      <c r="RUB92" s="580"/>
      <c r="RUC92" s="580"/>
      <c r="RUD92" s="580"/>
      <c r="RUE92" s="580"/>
      <c r="RUF92" s="580"/>
      <c r="RUG92" s="580"/>
      <c r="RUH92" s="580"/>
      <c r="RUI92" s="580"/>
      <c r="RUJ92" s="580"/>
      <c r="RUK92" s="580"/>
      <c r="RUL92" s="580"/>
      <c r="RUM92" s="580"/>
      <c r="RUN92" s="580"/>
      <c r="RUO92" s="580"/>
      <c r="RUP92" s="580"/>
      <c r="RUQ92" s="580"/>
      <c r="RUR92" s="580"/>
      <c r="RUS92" s="580"/>
      <c r="RUT92" s="580"/>
      <c r="RUU92" s="580"/>
      <c r="RUV92" s="580"/>
      <c r="RUW92" s="580"/>
      <c r="RUX92" s="580"/>
      <c r="RUY92" s="580"/>
      <c r="RUZ92" s="580"/>
      <c r="RVA92" s="580"/>
      <c r="RVB92" s="580"/>
      <c r="RVC92" s="580"/>
      <c r="RVD92" s="580"/>
      <c r="RVE92" s="580"/>
      <c r="RVF92" s="580"/>
      <c r="RVG92" s="580"/>
      <c r="RVH92" s="580"/>
      <c r="RVI92" s="580"/>
      <c r="RVJ92" s="580"/>
      <c r="RVK92" s="580"/>
      <c r="RVL92" s="580"/>
      <c r="RVM92" s="580"/>
      <c r="RVN92" s="580"/>
      <c r="RVO92" s="580"/>
      <c r="RVP92" s="580"/>
      <c r="RVQ92" s="580"/>
      <c r="RVR92" s="580"/>
      <c r="RVS92" s="580"/>
      <c r="RVT92" s="580"/>
      <c r="RVU92" s="580"/>
      <c r="RVV92" s="580"/>
      <c r="RVW92" s="580"/>
      <c r="RVX92" s="580"/>
      <c r="RVY92" s="580"/>
      <c r="RVZ92" s="580"/>
      <c r="RWA92" s="580"/>
      <c r="RWB92" s="580"/>
      <c r="RWC92" s="580"/>
      <c r="RWD92" s="580"/>
      <c r="RWE92" s="580"/>
      <c r="RWF92" s="580"/>
      <c r="RWG92" s="580"/>
      <c r="RWH92" s="580"/>
      <c r="RWI92" s="580"/>
      <c r="RWJ92" s="580"/>
      <c r="RWK92" s="580"/>
      <c r="RWL92" s="580"/>
      <c r="RWM92" s="580"/>
      <c r="RWN92" s="580"/>
      <c r="RWO92" s="580"/>
      <c r="RWP92" s="580"/>
      <c r="RWQ92" s="580"/>
      <c r="RWR92" s="580"/>
      <c r="RWS92" s="580"/>
      <c r="RWT92" s="580"/>
      <c r="RWU92" s="580"/>
      <c r="RWV92" s="580"/>
      <c r="RWW92" s="580"/>
      <c r="RWX92" s="580"/>
      <c r="RWY92" s="580"/>
      <c r="RWZ92" s="580"/>
      <c r="RXA92" s="580"/>
      <c r="RXB92" s="580"/>
      <c r="RXC92" s="580"/>
      <c r="RXD92" s="580"/>
      <c r="RXE92" s="580"/>
      <c r="RXF92" s="580"/>
      <c r="RXG92" s="580"/>
      <c r="RXH92" s="580"/>
      <c r="RXI92" s="580"/>
      <c r="RXJ92" s="580"/>
      <c r="RXK92" s="580"/>
      <c r="RXL92" s="580"/>
      <c r="RXM92" s="580"/>
      <c r="RXN92" s="580"/>
      <c r="RXO92" s="580"/>
      <c r="RXP92" s="580"/>
      <c r="RXQ92" s="580"/>
      <c r="RXR92" s="580"/>
      <c r="RXS92" s="580"/>
      <c r="RXT92" s="580"/>
      <c r="RXU92" s="580"/>
      <c r="RXV92" s="580"/>
      <c r="RXW92" s="580"/>
      <c r="RXX92" s="580"/>
      <c r="RXY92" s="580"/>
      <c r="RXZ92" s="580"/>
      <c r="RYA92" s="580"/>
      <c r="RYB92" s="580"/>
      <c r="RYC92" s="580"/>
      <c r="RYD92" s="580"/>
      <c r="RYE92" s="580"/>
      <c r="RYF92" s="580"/>
      <c r="RYG92" s="580"/>
      <c r="RYH92" s="580"/>
      <c r="RYI92" s="580"/>
      <c r="RYJ92" s="580"/>
      <c r="RYK92" s="580"/>
      <c r="RYL92" s="580"/>
      <c r="RYM92" s="580"/>
      <c r="RYN92" s="580"/>
      <c r="RYO92" s="580"/>
      <c r="RYP92" s="580"/>
      <c r="RYQ92" s="580"/>
      <c r="RYR92" s="580"/>
      <c r="RYS92" s="580"/>
      <c r="RYT92" s="580"/>
      <c r="RYU92" s="580"/>
      <c r="RYV92" s="580"/>
      <c r="RYW92" s="580"/>
      <c r="RYX92" s="580"/>
      <c r="RYY92" s="580"/>
      <c r="RYZ92" s="580"/>
      <c r="RZA92" s="580"/>
      <c r="RZB92" s="580"/>
      <c r="RZC92" s="580"/>
      <c r="RZD92" s="580"/>
      <c r="RZE92" s="580"/>
      <c r="RZF92" s="580"/>
      <c r="RZG92" s="580"/>
      <c r="RZH92" s="580"/>
      <c r="RZI92" s="580"/>
      <c r="RZJ92" s="580"/>
      <c r="RZK92" s="580"/>
      <c r="RZL92" s="580"/>
      <c r="RZM92" s="580"/>
      <c r="RZN92" s="580"/>
      <c r="RZO92" s="580"/>
      <c r="RZP92" s="580"/>
      <c r="RZQ92" s="580"/>
      <c r="RZR92" s="580"/>
      <c r="RZS92" s="580"/>
      <c r="RZT92" s="580"/>
      <c r="RZU92" s="580"/>
      <c r="RZV92" s="580"/>
      <c r="RZW92" s="580"/>
      <c r="RZX92" s="580"/>
      <c r="RZY92" s="580"/>
      <c r="RZZ92" s="580"/>
      <c r="SAA92" s="580"/>
      <c r="SAB92" s="580"/>
      <c r="SAC92" s="580"/>
      <c r="SAD92" s="580"/>
      <c r="SAE92" s="580"/>
      <c r="SAF92" s="580"/>
      <c r="SAG92" s="580"/>
      <c r="SAH92" s="580"/>
      <c r="SAI92" s="580"/>
      <c r="SAJ92" s="580"/>
      <c r="SAK92" s="580"/>
      <c r="SAL92" s="580"/>
      <c r="SAM92" s="580"/>
      <c r="SAN92" s="580"/>
      <c r="SAO92" s="580"/>
      <c r="SAP92" s="580"/>
      <c r="SAQ92" s="580"/>
      <c r="SAR92" s="580"/>
      <c r="SAS92" s="580"/>
      <c r="SAT92" s="580"/>
      <c r="SAU92" s="580"/>
      <c r="SAV92" s="580"/>
      <c r="SAW92" s="580"/>
      <c r="SAX92" s="580"/>
      <c r="SAY92" s="580"/>
      <c r="SAZ92" s="580"/>
      <c r="SBA92" s="580"/>
      <c r="SBB92" s="580"/>
      <c r="SBC92" s="580"/>
      <c r="SBD92" s="580"/>
      <c r="SBE92" s="580"/>
      <c r="SBF92" s="580"/>
      <c r="SBG92" s="580"/>
      <c r="SBH92" s="580"/>
      <c r="SBI92" s="580"/>
      <c r="SBJ92" s="580"/>
      <c r="SBK92" s="580"/>
      <c r="SBL92" s="580"/>
      <c r="SBM92" s="580"/>
      <c r="SBN92" s="580"/>
      <c r="SBO92" s="580"/>
      <c r="SBP92" s="580"/>
      <c r="SBQ92" s="580"/>
      <c r="SBR92" s="580"/>
      <c r="SBS92" s="580"/>
      <c r="SBT92" s="580"/>
      <c r="SBU92" s="580"/>
      <c r="SBV92" s="580"/>
      <c r="SBW92" s="580"/>
      <c r="SBX92" s="580"/>
      <c r="SBY92" s="580"/>
      <c r="SBZ92" s="580"/>
      <c r="SCA92" s="580"/>
      <c r="SCB92" s="580"/>
      <c r="SCC92" s="580"/>
      <c r="SCD92" s="580"/>
      <c r="SCE92" s="580"/>
      <c r="SCF92" s="580"/>
      <c r="SCG92" s="580"/>
      <c r="SCH92" s="580"/>
      <c r="SCI92" s="580"/>
      <c r="SCJ92" s="580"/>
      <c r="SCK92" s="580"/>
      <c r="SCL92" s="580"/>
      <c r="SCM92" s="580"/>
      <c r="SCN92" s="580"/>
      <c r="SCO92" s="580"/>
      <c r="SCP92" s="580"/>
      <c r="SCQ92" s="580"/>
      <c r="SCR92" s="580"/>
      <c r="SCS92" s="580"/>
      <c r="SCT92" s="580"/>
      <c r="SCU92" s="580"/>
      <c r="SCV92" s="580"/>
      <c r="SCW92" s="580"/>
      <c r="SCX92" s="580"/>
      <c r="SCY92" s="580"/>
      <c r="SCZ92" s="580"/>
      <c r="SDA92" s="580"/>
      <c r="SDB92" s="580"/>
      <c r="SDC92" s="580"/>
      <c r="SDD92" s="580"/>
      <c r="SDE92" s="580"/>
      <c r="SDF92" s="580"/>
      <c r="SDG92" s="580"/>
      <c r="SDH92" s="580"/>
      <c r="SDI92" s="580"/>
      <c r="SDJ92" s="580"/>
      <c r="SDK92" s="580"/>
      <c r="SDL92" s="580"/>
      <c r="SDM92" s="580"/>
      <c r="SDN92" s="580"/>
      <c r="SDO92" s="580"/>
      <c r="SDP92" s="580"/>
      <c r="SDQ92" s="580"/>
      <c r="SDR92" s="580"/>
      <c r="SDS92" s="580"/>
      <c r="SDT92" s="580"/>
      <c r="SDU92" s="580"/>
      <c r="SDV92" s="580"/>
      <c r="SDW92" s="580"/>
      <c r="SDX92" s="580"/>
      <c r="SDY92" s="580"/>
      <c r="SDZ92" s="580"/>
      <c r="SEA92" s="580"/>
      <c r="SEB92" s="580"/>
      <c r="SEC92" s="580"/>
      <c r="SED92" s="580"/>
      <c r="SEE92" s="580"/>
      <c r="SEF92" s="580"/>
      <c r="SEG92" s="580"/>
      <c r="SEH92" s="580"/>
      <c r="SEI92" s="580"/>
      <c r="SEJ92" s="580"/>
      <c r="SEK92" s="580"/>
      <c r="SEL92" s="580"/>
      <c r="SEM92" s="580"/>
      <c r="SEN92" s="580"/>
      <c r="SEO92" s="580"/>
      <c r="SEP92" s="580"/>
      <c r="SEQ92" s="580"/>
      <c r="SER92" s="580"/>
      <c r="SES92" s="580"/>
      <c r="SET92" s="580"/>
      <c r="SEU92" s="580"/>
      <c r="SEV92" s="580"/>
      <c r="SEW92" s="580"/>
      <c r="SEX92" s="580"/>
      <c r="SEY92" s="580"/>
      <c r="SEZ92" s="580"/>
      <c r="SFA92" s="580"/>
      <c r="SFB92" s="580"/>
      <c r="SFC92" s="580"/>
      <c r="SFD92" s="580"/>
      <c r="SFE92" s="580"/>
      <c r="SFF92" s="580"/>
      <c r="SFG92" s="580"/>
      <c r="SFH92" s="580"/>
      <c r="SFI92" s="580"/>
      <c r="SFJ92" s="580"/>
      <c r="SFK92" s="580"/>
      <c r="SFL92" s="580"/>
      <c r="SFM92" s="580"/>
      <c r="SFN92" s="580"/>
      <c r="SFO92" s="580"/>
      <c r="SFP92" s="580"/>
      <c r="SFQ92" s="580"/>
      <c r="SFR92" s="580"/>
      <c r="SFS92" s="580"/>
      <c r="SFT92" s="580"/>
      <c r="SFU92" s="580"/>
      <c r="SFV92" s="580"/>
      <c r="SFW92" s="580"/>
      <c r="SFX92" s="580"/>
      <c r="SFY92" s="580"/>
      <c r="SFZ92" s="580"/>
      <c r="SGA92" s="580"/>
      <c r="SGB92" s="580"/>
      <c r="SGC92" s="580"/>
      <c r="SGD92" s="580"/>
      <c r="SGE92" s="580"/>
      <c r="SGF92" s="580"/>
      <c r="SGG92" s="580"/>
      <c r="SGH92" s="580"/>
      <c r="SGI92" s="580"/>
      <c r="SGJ92" s="580"/>
      <c r="SGK92" s="580"/>
      <c r="SGL92" s="580"/>
      <c r="SGM92" s="580"/>
      <c r="SGN92" s="580"/>
      <c r="SGO92" s="580"/>
      <c r="SGP92" s="580"/>
      <c r="SGQ92" s="580"/>
      <c r="SGR92" s="580"/>
      <c r="SGS92" s="580"/>
      <c r="SGT92" s="580"/>
      <c r="SGU92" s="580"/>
      <c r="SGV92" s="580"/>
      <c r="SGW92" s="580"/>
      <c r="SGX92" s="580"/>
      <c r="SGY92" s="580"/>
      <c r="SGZ92" s="580"/>
      <c r="SHA92" s="580"/>
      <c r="SHB92" s="580"/>
      <c r="SHC92" s="580"/>
      <c r="SHD92" s="580"/>
      <c r="SHE92" s="580"/>
      <c r="SHF92" s="580"/>
      <c r="SHG92" s="580"/>
      <c r="SHH92" s="580"/>
      <c r="SHI92" s="580"/>
      <c r="SHJ92" s="580"/>
      <c r="SHK92" s="580"/>
      <c r="SHL92" s="580"/>
      <c r="SHM92" s="580"/>
      <c r="SHN92" s="580"/>
      <c r="SHO92" s="580"/>
      <c r="SHP92" s="580"/>
      <c r="SHQ92" s="580"/>
      <c r="SHR92" s="580"/>
      <c r="SHS92" s="580"/>
      <c r="SHT92" s="580"/>
      <c r="SHU92" s="580"/>
      <c r="SHV92" s="580"/>
      <c r="SHW92" s="580"/>
      <c r="SHX92" s="580"/>
      <c r="SHY92" s="580"/>
      <c r="SHZ92" s="580"/>
      <c r="SIA92" s="580"/>
      <c r="SIB92" s="580"/>
      <c r="SIC92" s="580"/>
      <c r="SID92" s="580"/>
      <c r="SIE92" s="580"/>
      <c r="SIF92" s="580"/>
      <c r="SIG92" s="580"/>
      <c r="SIH92" s="580"/>
      <c r="SII92" s="580"/>
      <c r="SIJ92" s="580"/>
      <c r="SIK92" s="580"/>
      <c r="SIL92" s="580"/>
      <c r="SIM92" s="580"/>
      <c r="SIN92" s="580"/>
      <c r="SIO92" s="580"/>
      <c r="SIP92" s="580"/>
      <c r="SIQ92" s="580"/>
      <c r="SIR92" s="580"/>
      <c r="SIS92" s="580"/>
      <c r="SIT92" s="580"/>
      <c r="SIU92" s="580"/>
      <c r="SIV92" s="580"/>
      <c r="SIW92" s="580"/>
      <c r="SIX92" s="580"/>
      <c r="SIY92" s="580"/>
      <c r="SIZ92" s="580"/>
      <c r="SJA92" s="580"/>
      <c r="SJB92" s="580"/>
      <c r="SJC92" s="580"/>
      <c r="SJD92" s="580"/>
      <c r="SJE92" s="580"/>
      <c r="SJF92" s="580"/>
      <c r="SJG92" s="580"/>
      <c r="SJH92" s="580"/>
      <c r="SJI92" s="580"/>
      <c r="SJJ92" s="580"/>
      <c r="SJK92" s="580"/>
      <c r="SJL92" s="580"/>
      <c r="SJM92" s="580"/>
      <c r="SJN92" s="580"/>
      <c r="SJO92" s="580"/>
      <c r="SJP92" s="580"/>
      <c r="SJQ92" s="580"/>
      <c r="SJR92" s="580"/>
      <c r="SJS92" s="580"/>
      <c r="SJT92" s="580"/>
      <c r="SJU92" s="580"/>
      <c r="SJV92" s="580"/>
      <c r="SJW92" s="580"/>
      <c r="SJX92" s="580"/>
      <c r="SJY92" s="580"/>
      <c r="SJZ92" s="580"/>
      <c r="SKA92" s="580"/>
      <c r="SKB92" s="580"/>
      <c r="SKC92" s="580"/>
      <c r="SKD92" s="580"/>
      <c r="SKE92" s="580"/>
      <c r="SKF92" s="580"/>
      <c r="SKG92" s="580"/>
      <c r="SKH92" s="580"/>
      <c r="SKI92" s="580"/>
      <c r="SKJ92" s="580"/>
      <c r="SKK92" s="580"/>
      <c r="SKL92" s="580"/>
      <c r="SKM92" s="580"/>
      <c r="SKN92" s="580"/>
      <c r="SKO92" s="580"/>
      <c r="SKP92" s="580"/>
      <c r="SKQ92" s="580"/>
      <c r="SKR92" s="580"/>
      <c r="SKS92" s="580"/>
      <c r="SKT92" s="580"/>
      <c r="SKU92" s="580"/>
      <c r="SKV92" s="580"/>
      <c r="SKW92" s="580"/>
      <c r="SKX92" s="580"/>
      <c r="SKY92" s="580"/>
      <c r="SKZ92" s="580"/>
      <c r="SLA92" s="580"/>
      <c r="SLB92" s="580"/>
      <c r="SLC92" s="580"/>
      <c r="SLD92" s="580"/>
      <c r="SLE92" s="580"/>
      <c r="SLF92" s="580"/>
      <c r="SLG92" s="580"/>
      <c r="SLH92" s="580"/>
      <c r="SLI92" s="580"/>
      <c r="SLJ92" s="580"/>
      <c r="SLK92" s="580"/>
      <c r="SLL92" s="580"/>
      <c r="SLM92" s="580"/>
      <c r="SLN92" s="580"/>
      <c r="SLO92" s="580"/>
      <c r="SLP92" s="580"/>
      <c r="SLQ92" s="580"/>
      <c r="SLR92" s="580"/>
      <c r="SLS92" s="580"/>
      <c r="SLT92" s="580"/>
      <c r="SLU92" s="580"/>
      <c r="SLV92" s="580"/>
      <c r="SLW92" s="580"/>
      <c r="SLX92" s="580"/>
      <c r="SLY92" s="580"/>
      <c r="SLZ92" s="580"/>
      <c r="SMA92" s="580"/>
      <c r="SMB92" s="580"/>
      <c r="SMC92" s="580"/>
      <c r="SMD92" s="580"/>
      <c r="SME92" s="580"/>
      <c r="SMF92" s="580"/>
      <c r="SMG92" s="580"/>
      <c r="SMH92" s="580"/>
      <c r="SMI92" s="580"/>
      <c r="SMJ92" s="580"/>
      <c r="SMK92" s="580"/>
      <c r="SML92" s="580"/>
      <c r="SMM92" s="580"/>
      <c r="SMN92" s="580"/>
      <c r="SMO92" s="580"/>
      <c r="SMP92" s="580"/>
      <c r="SMQ92" s="580"/>
      <c r="SMR92" s="580"/>
      <c r="SMS92" s="580"/>
      <c r="SMT92" s="580"/>
      <c r="SMU92" s="580"/>
      <c r="SMV92" s="580"/>
      <c r="SMW92" s="580"/>
      <c r="SMX92" s="580"/>
      <c r="SMY92" s="580"/>
      <c r="SMZ92" s="580"/>
      <c r="SNA92" s="580"/>
      <c r="SNB92" s="580"/>
      <c r="SNC92" s="580"/>
      <c r="SND92" s="580"/>
      <c r="SNE92" s="580"/>
      <c r="SNF92" s="580"/>
      <c r="SNG92" s="580"/>
      <c r="SNH92" s="580"/>
      <c r="SNI92" s="580"/>
      <c r="SNJ92" s="580"/>
      <c r="SNK92" s="580"/>
      <c r="SNL92" s="580"/>
      <c r="SNM92" s="580"/>
      <c r="SNN92" s="580"/>
      <c r="SNO92" s="580"/>
      <c r="SNP92" s="580"/>
      <c r="SNQ92" s="580"/>
      <c r="SNR92" s="580"/>
      <c r="SNS92" s="580"/>
      <c r="SNT92" s="580"/>
      <c r="SNU92" s="580"/>
      <c r="SNV92" s="580"/>
      <c r="SNW92" s="580"/>
      <c r="SNX92" s="580"/>
      <c r="SNY92" s="580"/>
      <c r="SNZ92" s="580"/>
      <c r="SOA92" s="580"/>
      <c r="SOB92" s="580"/>
      <c r="SOC92" s="580"/>
      <c r="SOD92" s="580"/>
      <c r="SOE92" s="580"/>
      <c r="SOF92" s="580"/>
      <c r="SOG92" s="580"/>
      <c r="SOH92" s="580"/>
      <c r="SOI92" s="580"/>
      <c r="SOJ92" s="580"/>
      <c r="SOK92" s="580"/>
      <c r="SOL92" s="580"/>
      <c r="SOM92" s="580"/>
      <c r="SON92" s="580"/>
      <c r="SOO92" s="580"/>
      <c r="SOP92" s="580"/>
      <c r="SOQ92" s="580"/>
      <c r="SOR92" s="580"/>
      <c r="SOS92" s="580"/>
      <c r="SOT92" s="580"/>
      <c r="SOU92" s="580"/>
      <c r="SOV92" s="580"/>
      <c r="SOW92" s="580"/>
      <c r="SOX92" s="580"/>
      <c r="SOY92" s="580"/>
      <c r="SOZ92" s="580"/>
      <c r="SPA92" s="580"/>
      <c r="SPB92" s="580"/>
      <c r="SPC92" s="580"/>
      <c r="SPD92" s="580"/>
      <c r="SPE92" s="580"/>
      <c r="SPF92" s="580"/>
      <c r="SPG92" s="580"/>
      <c r="SPH92" s="580"/>
      <c r="SPI92" s="580"/>
      <c r="SPJ92" s="580"/>
      <c r="SPK92" s="580"/>
      <c r="SPL92" s="580"/>
      <c r="SPM92" s="580"/>
      <c r="SPN92" s="580"/>
      <c r="SPO92" s="580"/>
      <c r="SPP92" s="580"/>
      <c r="SPQ92" s="580"/>
      <c r="SPR92" s="580"/>
      <c r="SPS92" s="580"/>
      <c r="SPT92" s="580"/>
      <c r="SPU92" s="580"/>
      <c r="SPV92" s="580"/>
      <c r="SPW92" s="580"/>
      <c r="SPX92" s="580"/>
      <c r="SPY92" s="580"/>
      <c r="SPZ92" s="580"/>
      <c r="SQA92" s="580"/>
      <c r="SQB92" s="580"/>
      <c r="SQC92" s="580"/>
      <c r="SQD92" s="580"/>
      <c r="SQE92" s="580"/>
      <c r="SQF92" s="580"/>
      <c r="SQG92" s="580"/>
      <c r="SQH92" s="580"/>
      <c r="SQI92" s="580"/>
      <c r="SQJ92" s="580"/>
      <c r="SQK92" s="580"/>
      <c r="SQL92" s="580"/>
      <c r="SQM92" s="580"/>
      <c r="SQN92" s="580"/>
      <c r="SQO92" s="580"/>
      <c r="SQP92" s="580"/>
      <c r="SQQ92" s="580"/>
      <c r="SQR92" s="580"/>
      <c r="SQS92" s="580"/>
      <c r="SQT92" s="580"/>
      <c r="SQU92" s="580"/>
      <c r="SQV92" s="580"/>
      <c r="SQW92" s="580"/>
      <c r="SQX92" s="580"/>
      <c r="SQY92" s="580"/>
      <c r="SQZ92" s="580"/>
      <c r="SRA92" s="580"/>
      <c r="SRB92" s="580"/>
      <c r="SRC92" s="580"/>
      <c r="SRD92" s="580"/>
      <c r="SRE92" s="580"/>
      <c r="SRF92" s="580"/>
      <c r="SRG92" s="580"/>
      <c r="SRH92" s="580"/>
      <c r="SRI92" s="580"/>
      <c r="SRJ92" s="580"/>
      <c r="SRK92" s="580"/>
      <c r="SRL92" s="580"/>
      <c r="SRM92" s="580"/>
      <c r="SRN92" s="580"/>
      <c r="SRO92" s="580"/>
      <c r="SRP92" s="580"/>
      <c r="SRQ92" s="580"/>
      <c r="SRR92" s="580"/>
      <c r="SRS92" s="580"/>
      <c r="SRT92" s="580"/>
      <c r="SRU92" s="580"/>
      <c r="SRV92" s="580"/>
      <c r="SRW92" s="580"/>
      <c r="SRX92" s="580"/>
      <c r="SRY92" s="580"/>
      <c r="SRZ92" s="580"/>
      <c r="SSA92" s="580"/>
      <c r="SSB92" s="580"/>
      <c r="SSC92" s="580"/>
      <c r="SSD92" s="580"/>
      <c r="SSE92" s="580"/>
      <c r="SSF92" s="580"/>
      <c r="SSG92" s="580"/>
      <c r="SSH92" s="580"/>
      <c r="SSI92" s="580"/>
      <c r="SSJ92" s="580"/>
      <c r="SSK92" s="580"/>
      <c r="SSL92" s="580"/>
      <c r="SSM92" s="580"/>
      <c r="SSN92" s="580"/>
      <c r="SSO92" s="580"/>
      <c r="SSP92" s="580"/>
      <c r="SSQ92" s="580"/>
      <c r="SSR92" s="580"/>
      <c r="SSS92" s="580"/>
      <c r="SST92" s="580"/>
      <c r="SSU92" s="580"/>
      <c r="SSV92" s="580"/>
      <c r="SSW92" s="580"/>
      <c r="SSX92" s="580"/>
      <c r="SSY92" s="580"/>
      <c r="SSZ92" s="580"/>
      <c r="STA92" s="580"/>
      <c r="STB92" s="580"/>
      <c r="STC92" s="580"/>
      <c r="STD92" s="580"/>
      <c r="STE92" s="580"/>
      <c r="STF92" s="580"/>
      <c r="STG92" s="580"/>
      <c r="STH92" s="580"/>
      <c r="STI92" s="580"/>
      <c r="STJ92" s="580"/>
      <c r="STK92" s="580"/>
      <c r="STL92" s="580"/>
      <c r="STM92" s="580"/>
      <c r="STN92" s="580"/>
      <c r="STO92" s="580"/>
      <c r="STP92" s="580"/>
      <c r="STQ92" s="580"/>
      <c r="STR92" s="580"/>
      <c r="STS92" s="580"/>
      <c r="STT92" s="580"/>
      <c r="STU92" s="580"/>
      <c r="STV92" s="580"/>
      <c r="STW92" s="580"/>
      <c r="STX92" s="580"/>
      <c r="STY92" s="580"/>
      <c r="STZ92" s="580"/>
      <c r="SUA92" s="580"/>
      <c r="SUB92" s="580"/>
      <c r="SUC92" s="580"/>
      <c r="SUD92" s="580"/>
      <c r="SUE92" s="580"/>
      <c r="SUF92" s="580"/>
      <c r="SUG92" s="580"/>
      <c r="SUH92" s="580"/>
      <c r="SUI92" s="580"/>
      <c r="SUJ92" s="580"/>
      <c r="SUK92" s="580"/>
      <c r="SUL92" s="580"/>
      <c r="SUM92" s="580"/>
      <c r="SUN92" s="580"/>
      <c r="SUO92" s="580"/>
      <c r="SUP92" s="580"/>
      <c r="SUQ92" s="580"/>
      <c r="SUR92" s="580"/>
      <c r="SUS92" s="580"/>
      <c r="SUT92" s="580"/>
      <c r="SUU92" s="580"/>
      <c r="SUV92" s="580"/>
      <c r="SUW92" s="580"/>
      <c r="SUX92" s="580"/>
      <c r="SUY92" s="580"/>
      <c r="SUZ92" s="580"/>
      <c r="SVA92" s="580"/>
      <c r="SVB92" s="580"/>
      <c r="SVC92" s="580"/>
      <c r="SVD92" s="580"/>
      <c r="SVE92" s="580"/>
      <c r="SVF92" s="580"/>
      <c r="SVG92" s="580"/>
      <c r="SVH92" s="580"/>
      <c r="SVI92" s="580"/>
      <c r="SVJ92" s="580"/>
      <c r="SVK92" s="580"/>
      <c r="SVL92" s="580"/>
      <c r="SVM92" s="580"/>
      <c r="SVN92" s="580"/>
      <c r="SVO92" s="580"/>
      <c r="SVP92" s="580"/>
      <c r="SVQ92" s="580"/>
      <c r="SVR92" s="580"/>
      <c r="SVS92" s="580"/>
      <c r="SVT92" s="580"/>
      <c r="SVU92" s="580"/>
      <c r="SVV92" s="580"/>
      <c r="SVW92" s="580"/>
      <c r="SVX92" s="580"/>
      <c r="SVY92" s="580"/>
      <c r="SVZ92" s="580"/>
      <c r="SWA92" s="580"/>
      <c r="SWB92" s="580"/>
      <c r="SWC92" s="580"/>
      <c r="SWD92" s="580"/>
      <c r="SWE92" s="580"/>
      <c r="SWF92" s="580"/>
      <c r="SWG92" s="580"/>
      <c r="SWH92" s="580"/>
      <c r="SWI92" s="580"/>
      <c r="SWJ92" s="580"/>
      <c r="SWK92" s="580"/>
      <c r="SWL92" s="580"/>
      <c r="SWM92" s="580"/>
      <c r="SWN92" s="580"/>
      <c r="SWO92" s="580"/>
      <c r="SWP92" s="580"/>
      <c r="SWQ92" s="580"/>
      <c r="SWR92" s="580"/>
      <c r="SWS92" s="580"/>
      <c r="SWT92" s="580"/>
      <c r="SWU92" s="580"/>
      <c r="SWV92" s="580"/>
      <c r="SWW92" s="580"/>
      <c r="SWX92" s="580"/>
      <c r="SWY92" s="580"/>
      <c r="SWZ92" s="580"/>
      <c r="SXA92" s="580"/>
      <c r="SXB92" s="580"/>
      <c r="SXC92" s="580"/>
      <c r="SXD92" s="580"/>
      <c r="SXE92" s="580"/>
      <c r="SXF92" s="580"/>
      <c r="SXG92" s="580"/>
      <c r="SXH92" s="580"/>
      <c r="SXI92" s="580"/>
      <c r="SXJ92" s="580"/>
      <c r="SXK92" s="580"/>
      <c r="SXL92" s="580"/>
      <c r="SXM92" s="580"/>
      <c r="SXN92" s="580"/>
      <c r="SXO92" s="580"/>
      <c r="SXP92" s="580"/>
      <c r="SXQ92" s="580"/>
      <c r="SXR92" s="580"/>
      <c r="SXS92" s="580"/>
      <c r="SXT92" s="580"/>
      <c r="SXU92" s="580"/>
      <c r="SXV92" s="580"/>
      <c r="SXW92" s="580"/>
      <c r="SXX92" s="580"/>
      <c r="SXY92" s="580"/>
      <c r="SXZ92" s="580"/>
      <c r="SYA92" s="580"/>
      <c r="SYB92" s="580"/>
      <c r="SYC92" s="580"/>
      <c r="SYD92" s="580"/>
      <c r="SYE92" s="580"/>
      <c r="SYF92" s="580"/>
      <c r="SYG92" s="580"/>
      <c r="SYH92" s="580"/>
      <c r="SYI92" s="580"/>
      <c r="SYJ92" s="580"/>
      <c r="SYK92" s="580"/>
      <c r="SYL92" s="580"/>
      <c r="SYM92" s="580"/>
      <c r="SYN92" s="580"/>
      <c r="SYO92" s="580"/>
      <c r="SYP92" s="580"/>
      <c r="SYQ92" s="580"/>
      <c r="SYR92" s="580"/>
      <c r="SYS92" s="580"/>
      <c r="SYT92" s="580"/>
      <c r="SYU92" s="580"/>
      <c r="SYV92" s="580"/>
      <c r="SYW92" s="580"/>
      <c r="SYX92" s="580"/>
      <c r="SYY92" s="580"/>
      <c r="SYZ92" s="580"/>
      <c r="SZA92" s="580"/>
      <c r="SZB92" s="580"/>
      <c r="SZC92" s="580"/>
      <c r="SZD92" s="580"/>
      <c r="SZE92" s="580"/>
      <c r="SZF92" s="580"/>
      <c r="SZG92" s="580"/>
      <c r="SZH92" s="580"/>
      <c r="SZI92" s="580"/>
      <c r="SZJ92" s="580"/>
      <c r="SZK92" s="580"/>
      <c r="SZL92" s="580"/>
      <c r="SZM92" s="580"/>
      <c r="SZN92" s="580"/>
      <c r="SZO92" s="580"/>
      <c r="SZP92" s="580"/>
      <c r="SZQ92" s="580"/>
      <c r="SZR92" s="580"/>
      <c r="SZS92" s="580"/>
      <c r="SZT92" s="580"/>
      <c r="SZU92" s="580"/>
      <c r="SZV92" s="580"/>
      <c r="SZW92" s="580"/>
      <c r="SZX92" s="580"/>
      <c r="SZY92" s="580"/>
      <c r="SZZ92" s="580"/>
      <c r="TAA92" s="580"/>
      <c r="TAB92" s="580"/>
      <c r="TAC92" s="580"/>
      <c r="TAD92" s="580"/>
      <c r="TAE92" s="580"/>
      <c r="TAF92" s="580"/>
      <c r="TAG92" s="580"/>
      <c r="TAH92" s="580"/>
      <c r="TAI92" s="580"/>
      <c r="TAJ92" s="580"/>
      <c r="TAK92" s="580"/>
      <c r="TAL92" s="580"/>
      <c r="TAM92" s="580"/>
      <c r="TAN92" s="580"/>
      <c r="TAO92" s="580"/>
      <c r="TAP92" s="580"/>
      <c r="TAQ92" s="580"/>
      <c r="TAR92" s="580"/>
      <c r="TAS92" s="580"/>
      <c r="TAT92" s="580"/>
      <c r="TAU92" s="580"/>
      <c r="TAV92" s="580"/>
      <c r="TAW92" s="580"/>
      <c r="TAX92" s="580"/>
      <c r="TAY92" s="580"/>
      <c r="TAZ92" s="580"/>
      <c r="TBA92" s="580"/>
      <c r="TBB92" s="580"/>
      <c r="TBC92" s="580"/>
      <c r="TBD92" s="580"/>
      <c r="TBE92" s="580"/>
      <c r="TBF92" s="580"/>
      <c r="TBG92" s="580"/>
      <c r="TBH92" s="580"/>
      <c r="TBI92" s="580"/>
      <c r="TBJ92" s="580"/>
      <c r="TBK92" s="580"/>
      <c r="TBL92" s="580"/>
      <c r="TBM92" s="580"/>
      <c r="TBN92" s="580"/>
      <c r="TBO92" s="580"/>
      <c r="TBP92" s="580"/>
      <c r="TBQ92" s="580"/>
      <c r="TBR92" s="580"/>
      <c r="TBS92" s="580"/>
      <c r="TBT92" s="580"/>
      <c r="TBU92" s="580"/>
      <c r="TBV92" s="580"/>
      <c r="TBW92" s="580"/>
      <c r="TBX92" s="580"/>
      <c r="TBY92" s="580"/>
      <c r="TBZ92" s="580"/>
      <c r="TCA92" s="580"/>
      <c r="TCB92" s="580"/>
      <c r="TCC92" s="580"/>
      <c r="TCD92" s="580"/>
      <c r="TCE92" s="580"/>
      <c r="TCF92" s="580"/>
      <c r="TCG92" s="580"/>
      <c r="TCH92" s="580"/>
      <c r="TCI92" s="580"/>
      <c r="TCJ92" s="580"/>
      <c r="TCK92" s="580"/>
      <c r="TCL92" s="580"/>
      <c r="TCM92" s="580"/>
      <c r="TCN92" s="580"/>
      <c r="TCO92" s="580"/>
      <c r="TCP92" s="580"/>
      <c r="TCQ92" s="580"/>
      <c r="TCR92" s="580"/>
      <c r="TCS92" s="580"/>
      <c r="TCT92" s="580"/>
      <c r="TCU92" s="580"/>
      <c r="TCV92" s="580"/>
      <c r="TCW92" s="580"/>
      <c r="TCX92" s="580"/>
      <c r="TCY92" s="580"/>
      <c r="TCZ92" s="580"/>
      <c r="TDA92" s="580"/>
      <c r="TDB92" s="580"/>
      <c r="TDC92" s="580"/>
      <c r="TDD92" s="580"/>
      <c r="TDE92" s="580"/>
      <c r="TDF92" s="580"/>
      <c r="TDG92" s="580"/>
      <c r="TDH92" s="580"/>
      <c r="TDI92" s="580"/>
      <c r="TDJ92" s="580"/>
      <c r="TDK92" s="580"/>
      <c r="TDL92" s="580"/>
      <c r="TDM92" s="580"/>
      <c r="TDN92" s="580"/>
      <c r="TDO92" s="580"/>
      <c r="TDP92" s="580"/>
      <c r="TDQ92" s="580"/>
      <c r="TDR92" s="580"/>
      <c r="TDS92" s="580"/>
      <c r="TDT92" s="580"/>
      <c r="TDU92" s="580"/>
      <c r="TDV92" s="580"/>
      <c r="TDW92" s="580"/>
      <c r="TDX92" s="580"/>
      <c r="TDY92" s="580"/>
      <c r="TDZ92" s="580"/>
      <c r="TEA92" s="580"/>
      <c r="TEB92" s="580"/>
      <c r="TEC92" s="580"/>
      <c r="TED92" s="580"/>
      <c r="TEE92" s="580"/>
      <c r="TEF92" s="580"/>
      <c r="TEG92" s="580"/>
      <c r="TEH92" s="580"/>
      <c r="TEI92" s="580"/>
      <c r="TEJ92" s="580"/>
      <c r="TEK92" s="580"/>
      <c r="TEL92" s="580"/>
      <c r="TEM92" s="580"/>
      <c r="TEN92" s="580"/>
      <c r="TEO92" s="580"/>
      <c r="TEP92" s="580"/>
      <c r="TEQ92" s="580"/>
      <c r="TER92" s="580"/>
      <c r="TES92" s="580"/>
      <c r="TET92" s="580"/>
      <c r="TEU92" s="580"/>
      <c r="TEV92" s="580"/>
      <c r="TEW92" s="580"/>
      <c r="TEX92" s="580"/>
      <c r="TEY92" s="580"/>
      <c r="TEZ92" s="580"/>
      <c r="TFA92" s="580"/>
      <c r="TFB92" s="580"/>
      <c r="TFC92" s="580"/>
      <c r="TFD92" s="580"/>
      <c r="TFE92" s="580"/>
      <c r="TFF92" s="580"/>
      <c r="TFG92" s="580"/>
      <c r="TFH92" s="580"/>
      <c r="TFI92" s="580"/>
      <c r="TFJ92" s="580"/>
      <c r="TFK92" s="580"/>
      <c r="TFL92" s="580"/>
      <c r="TFM92" s="580"/>
      <c r="TFN92" s="580"/>
      <c r="TFO92" s="580"/>
      <c r="TFP92" s="580"/>
      <c r="TFQ92" s="580"/>
      <c r="TFR92" s="580"/>
      <c r="TFS92" s="580"/>
      <c r="TFT92" s="580"/>
      <c r="TFU92" s="580"/>
      <c r="TFV92" s="580"/>
      <c r="TFW92" s="580"/>
      <c r="TFX92" s="580"/>
      <c r="TFY92" s="580"/>
      <c r="TFZ92" s="580"/>
      <c r="TGA92" s="580"/>
      <c r="TGB92" s="580"/>
      <c r="TGC92" s="580"/>
      <c r="TGD92" s="580"/>
      <c r="TGE92" s="580"/>
      <c r="TGF92" s="580"/>
      <c r="TGG92" s="580"/>
      <c r="TGH92" s="580"/>
      <c r="TGI92" s="580"/>
      <c r="TGJ92" s="580"/>
      <c r="TGK92" s="580"/>
      <c r="TGL92" s="580"/>
      <c r="TGM92" s="580"/>
      <c r="TGN92" s="580"/>
      <c r="TGO92" s="580"/>
      <c r="TGP92" s="580"/>
      <c r="TGQ92" s="580"/>
      <c r="TGR92" s="580"/>
      <c r="TGS92" s="580"/>
      <c r="TGT92" s="580"/>
      <c r="TGU92" s="580"/>
      <c r="TGV92" s="580"/>
      <c r="TGW92" s="580"/>
      <c r="TGX92" s="580"/>
      <c r="TGY92" s="580"/>
      <c r="TGZ92" s="580"/>
      <c r="THA92" s="580"/>
      <c r="THB92" s="580"/>
      <c r="THC92" s="580"/>
      <c r="THD92" s="580"/>
      <c r="THE92" s="580"/>
      <c r="THF92" s="580"/>
      <c r="THG92" s="580"/>
      <c r="THH92" s="580"/>
      <c r="THI92" s="580"/>
      <c r="THJ92" s="580"/>
      <c r="THK92" s="580"/>
      <c r="THL92" s="580"/>
      <c r="THM92" s="580"/>
      <c r="THN92" s="580"/>
      <c r="THO92" s="580"/>
      <c r="THP92" s="580"/>
      <c r="THQ92" s="580"/>
      <c r="THR92" s="580"/>
      <c r="THS92" s="580"/>
      <c r="THT92" s="580"/>
      <c r="THU92" s="580"/>
      <c r="THV92" s="580"/>
      <c r="THW92" s="580"/>
      <c r="THX92" s="580"/>
      <c r="THY92" s="580"/>
      <c r="THZ92" s="580"/>
      <c r="TIA92" s="580"/>
      <c r="TIB92" s="580"/>
      <c r="TIC92" s="580"/>
      <c r="TID92" s="580"/>
      <c r="TIE92" s="580"/>
      <c r="TIF92" s="580"/>
      <c r="TIG92" s="580"/>
      <c r="TIH92" s="580"/>
      <c r="TII92" s="580"/>
      <c r="TIJ92" s="580"/>
      <c r="TIK92" s="580"/>
      <c r="TIL92" s="580"/>
      <c r="TIM92" s="580"/>
      <c r="TIN92" s="580"/>
      <c r="TIO92" s="580"/>
      <c r="TIP92" s="580"/>
      <c r="TIQ92" s="580"/>
      <c r="TIR92" s="580"/>
      <c r="TIS92" s="580"/>
      <c r="TIT92" s="580"/>
      <c r="TIU92" s="580"/>
      <c r="TIV92" s="580"/>
      <c r="TIW92" s="580"/>
      <c r="TIX92" s="580"/>
      <c r="TIY92" s="580"/>
      <c r="TIZ92" s="580"/>
      <c r="TJA92" s="580"/>
      <c r="TJB92" s="580"/>
      <c r="TJC92" s="580"/>
      <c r="TJD92" s="580"/>
      <c r="TJE92" s="580"/>
      <c r="TJF92" s="580"/>
      <c r="TJG92" s="580"/>
      <c r="TJH92" s="580"/>
      <c r="TJI92" s="580"/>
      <c r="TJJ92" s="580"/>
      <c r="TJK92" s="580"/>
      <c r="TJL92" s="580"/>
      <c r="TJM92" s="580"/>
      <c r="TJN92" s="580"/>
      <c r="TJO92" s="580"/>
      <c r="TJP92" s="580"/>
      <c r="TJQ92" s="580"/>
      <c r="TJR92" s="580"/>
      <c r="TJS92" s="580"/>
      <c r="TJT92" s="580"/>
      <c r="TJU92" s="580"/>
      <c r="TJV92" s="580"/>
      <c r="TJW92" s="580"/>
      <c r="TJX92" s="580"/>
      <c r="TJY92" s="580"/>
      <c r="TJZ92" s="580"/>
      <c r="TKA92" s="580"/>
      <c r="TKB92" s="580"/>
      <c r="TKC92" s="580"/>
      <c r="TKD92" s="580"/>
      <c r="TKE92" s="580"/>
      <c r="TKF92" s="580"/>
      <c r="TKG92" s="580"/>
      <c r="TKH92" s="580"/>
      <c r="TKI92" s="580"/>
      <c r="TKJ92" s="580"/>
      <c r="TKK92" s="580"/>
      <c r="TKL92" s="580"/>
      <c r="TKM92" s="580"/>
      <c r="TKN92" s="580"/>
      <c r="TKO92" s="580"/>
      <c r="TKP92" s="580"/>
      <c r="TKQ92" s="580"/>
      <c r="TKR92" s="580"/>
      <c r="TKS92" s="580"/>
      <c r="TKT92" s="580"/>
      <c r="TKU92" s="580"/>
      <c r="TKV92" s="580"/>
      <c r="TKW92" s="580"/>
      <c r="TKX92" s="580"/>
      <c r="TKY92" s="580"/>
      <c r="TKZ92" s="580"/>
      <c r="TLA92" s="580"/>
      <c r="TLB92" s="580"/>
      <c r="TLC92" s="580"/>
      <c r="TLD92" s="580"/>
      <c r="TLE92" s="580"/>
      <c r="TLF92" s="580"/>
      <c r="TLG92" s="580"/>
      <c r="TLH92" s="580"/>
      <c r="TLI92" s="580"/>
      <c r="TLJ92" s="580"/>
      <c r="TLK92" s="580"/>
      <c r="TLL92" s="580"/>
      <c r="TLM92" s="580"/>
      <c r="TLN92" s="580"/>
      <c r="TLO92" s="580"/>
      <c r="TLP92" s="580"/>
      <c r="TLQ92" s="580"/>
      <c r="TLR92" s="580"/>
      <c r="TLS92" s="580"/>
      <c r="TLT92" s="580"/>
      <c r="TLU92" s="580"/>
      <c r="TLV92" s="580"/>
      <c r="TLW92" s="580"/>
      <c r="TLX92" s="580"/>
      <c r="TLY92" s="580"/>
      <c r="TLZ92" s="580"/>
      <c r="TMA92" s="580"/>
      <c r="TMB92" s="580"/>
      <c r="TMC92" s="580"/>
      <c r="TMD92" s="580"/>
      <c r="TME92" s="580"/>
      <c r="TMF92" s="580"/>
      <c r="TMG92" s="580"/>
      <c r="TMH92" s="580"/>
      <c r="TMI92" s="580"/>
      <c r="TMJ92" s="580"/>
      <c r="TMK92" s="580"/>
      <c r="TML92" s="580"/>
      <c r="TMM92" s="580"/>
      <c r="TMN92" s="580"/>
      <c r="TMO92" s="580"/>
      <c r="TMP92" s="580"/>
      <c r="TMQ92" s="580"/>
      <c r="TMR92" s="580"/>
      <c r="TMS92" s="580"/>
      <c r="TMT92" s="580"/>
      <c r="TMU92" s="580"/>
      <c r="TMV92" s="580"/>
      <c r="TMW92" s="580"/>
      <c r="TMX92" s="580"/>
      <c r="TMY92" s="580"/>
      <c r="TMZ92" s="580"/>
      <c r="TNA92" s="580"/>
      <c r="TNB92" s="580"/>
      <c r="TNC92" s="580"/>
      <c r="TND92" s="580"/>
      <c r="TNE92" s="580"/>
      <c r="TNF92" s="580"/>
      <c r="TNG92" s="580"/>
      <c r="TNH92" s="580"/>
      <c r="TNI92" s="580"/>
      <c r="TNJ92" s="580"/>
      <c r="TNK92" s="580"/>
      <c r="TNL92" s="580"/>
      <c r="TNM92" s="580"/>
      <c r="TNN92" s="580"/>
      <c r="TNO92" s="580"/>
      <c r="TNP92" s="580"/>
      <c r="TNQ92" s="580"/>
      <c r="TNR92" s="580"/>
      <c r="TNS92" s="580"/>
      <c r="TNT92" s="580"/>
      <c r="TNU92" s="580"/>
      <c r="TNV92" s="580"/>
      <c r="TNW92" s="580"/>
      <c r="TNX92" s="580"/>
      <c r="TNY92" s="580"/>
      <c r="TNZ92" s="580"/>
      <c r="TOA92" s="580"/>
      <c r="TOB92" s="580"/>
      <c r="TOC92" s="580"/>
      <c r="TOD92" s="580"/>
      <c r="TOE92" s="580"/>
      <c r="TOF92" s="580"/>
      <c r="TOG92" s="580"/>
      <c r="TOH92" s="580"/>
      <c r="TOI92" s="580"/>
      <c r="TOJ92" s="580"/>
      <c r="TOK92" s="580"/>
      <c r="TOL92" s="580"/>
      <c r="TOM92" s="580"/>
      <c r="TON92" s="580"/>
      <c r="TOO92" s="580"/>
      <c r="TOP92" s="580"/>
      <c r="TOQ92" s="580"/>
      <c r="TOR92" s="580"/>
      <c r="TOS92" s="580"/>
      <c r="TOT92" s="580"/>
      <c r="TOU92" s="580"/>
      <c r="TOV92" s="580"/>
      <c r="TOW92" s="580"/>
      <c r="TOX92" s="580"/>
      <c r="TOY92" s="580"/>
      <c r="TOZ92" s="580"/>
      <c r="TPA92" s="580"/>
      <c r="TPB92" s="580"/>
      <c r="TPC92" s="580"/>
      <c r="TPD92" s="580"/>
      <c r="TPE92" s="580"/>
      <c r="TPF92" s="580"/>
      <c r="TPG92" s="580"/>
      <c r="TPH92" s="580"/>
      <c r="TPI92" s="580"/>
      <c r="TPJ92" s="580"/>
      <c r="TPK92" s="580"/>
      <c r="TPL92" s="580"/>
      <c r="TPM92" s="580"/>
      <c r="TPN92" s="580"/>
      <c r="TPO92" s="580"/>
      <c r="TPP92" s="580"/>
      <c r="TPQ92" s="580"/>
      <c r="TPR92" s="580"/>
      <c r="TPS92" s="580"/>
      <c r="TPT92" s="580"/>
      <c r="TPU92" s="580"/>
      <c r="TPV92" s="580"/>
      <c r="TPW92" s="580"/>
      <c r="TPX92" s="580"/>
      <c r="TPY92" s="580"/>
      <c r="TPZ92" s="580"/>
      <c r="TQA92" s="580"/>
      <c r="TQB92" s="580"/>
      <c r="TQC92" s="580"/>
      <c r="TQD92" s="580"/>
      <c r="TQE92" s="580"/>
      <c r="TQF92" s="580"/>
      <c r="TQG92" s="580"/>
      <c r="TQH92" s="580"/>
      <c r="TQI92" s="580"/>
      <c r="TQJ92" s="580"/>
      <c r="TQK92" s="580"/>
      <c r="TQL92" s="580"/>
      <c r="TQM92" s="580"/>
      <c r="TQN92" s="580"/>
      <c r="TQO92" s="580"/>
      <c r="TQP92" s="580"/>
      <c r="TQQ92" s="580"/>
      <c r="TQR92" s="580"/>
      <c r="TQS92" s="580"/>
      <c r="TQT92" s="580"/>
      <c r="TQU92" s="580"/>
      <c r="TQV92" s="580"/>
      <c r="TQW92" s="580"/>
      <c r="TQX92" s="580"/>
      <c r="TQY92" s="580"/>
      <c r="TQZ92" s="580"/>
      <c r="TRA92" s="580"/>
      <c r="TRB92" s="580"/>
      <c r="TRC92" s="580"/>
      <c r="TRD92" s="580"/>
      <c r="TRE92" s="580"/>
      <c r="TRF92" s="580"/>
      <c r="TRG92" s="580"/>
      <c r="TRH92" s="580"/>
      <c r="TRI92" s="580"/>
      <c r="TRJ92" s="580"/>
      <c r="TRK92" s="580"/>
      <c r="TRL92" s="580"/>
      <c r="TRM92" s="580"/>
      <c r="TRN92" s="580"/>
      <c r="TRO92" s="580"/>
      <c r="TRP92" s="580"/>
      <c r="TRQ92" s="580"/>
      <c r="TRR92" s="580"/>
      <c r="TRS92" s="580"/>
      <c r="TRT92" s="580"/>
      <c r="TRU92" s="580"/>
      <c r="TRV92" s="580"/>
      <c r="TRW92" s="580"/>
      <c r="TRX92" s="580"/>
      <c r="TRY92" s="580"/>
      <c r="TRZ92" s="580"/>
      <c r="TSA92" s="580"/>
      <c r="TSB92" s="580"/>
      <c r="TSC92" s="580"/>
      <c r="TSD92" s="580"/>
      <c r="TSE92" s="580"/>
      <c r="TSF92" s="580"/>
      <c r="TSG92" s="580"/>
      <c r="TSH92" s="580"/>
      <c r="TSI92" s="580"/>
      <c r="TSJ92" s="580"/>
      <c r="TSK92" s="580"/>
      <c r="TSL92" s="580"/>
      <c r="TSM92" s="580"/>
      <c r="TSN92" s="580"/>
      <c r="TSO92" s="580"/>
      <c r="TSP92" s="580"/>
      <c r="TSQ92" s="580"/>
      <c r="TSR92" s="580"/>
      <c r="TSS92" s="580"/>
      <c r="TST92" s="580"/>
      <c r="TSU92" s="580"/>
      <c r="TSV92" s="580"/>
      <c r="TSW92" s="580"/>
      <c r="TSX92" s="580"/>
      <c r="TSY92" s="580"/>
      <c r="TSZ92" s="580"/>
      <c r="TTA92" s="580"/>
      <c r="TTB92" s="580"/>
      <c r="TTC92" s="580"/>
      <c r="TTD92" s="580"/>
      <c r="TTE92" s="580"/>
      <c r="TTF92" s="580"/>
      <c r="TTG92" s="580"/>
      <c r="TTH92" s="580"/>
      <c r="TTI92" s="580"/>
      <c r="TTJ92" s="580"/>
      <c r="TTK92" s="580"/>
      <c r="TTL92" s="580"/>
      <c r="TTM92" s="580"/>
      <c r="TTN92" s="580"/>
      <c r="TTO92" s="580"/>
      <c r="TTP92" s="580"/>
      <c r="TTQ92" s="580"/>
      <c r="TTR92" s="580"/>
      <c r="TTS92" s="580"/>
      <c r="TTT92" s="580"/>
      <c r="TTU92" s="580"/>
      <c r="TTV92" s="580"/>
      <c r="TTW92" s="580"/>
      <c r="TTX92" s="580"/>
      <c r="TTY92" s="580"/>
      <c r="TTZ92" s="580"/>
      <c r="TUA92" s="580"/>
      <c r="TUB92" s="580"/>
      <c r="TUC92" s="580"/>
      <c r="TUD92" s="580"/>
      <c r="TUE92" s="580"/>
      <c r="TUF92" s="580"/>
      <c r="TUG92" s="580"/>
      <c r="TUH92" s="580"/>
      <c r="TUI92" s="580"/>
      <c r="TUJ92" s="580"/>
      <c r="TUK92" s="580"/>
      <c r="TUL92" s="580"/>
      <c r="TUM92" s="580"/>
      <c r="TUN92" s="580"/>
      <c r="TUO92" s="580"/>
      <c r="TUP92" s="580"/>
      <c r="TUQ92" s="580"/>
      <c r="TUR92" s="580"/>
      <c r="TUS92" s="580"/>
      <c r="TUT92" s="580"/>
      <c r="TUU92" s="580"/>
      <c r="TUV92" s="580"/>
      <c r="TUW92" s="580"/>
      <c r="TUX92" s="580"/>
      <c r="TUY92" s="580"/>
      <c r="TUZ92" s="580"/>
      <c r="TVA92" s="580"/>
      <c r="TVB92" s="580"/>
      <c r="TVC92" s="580"/>
      <c r="TVD92" s="580"/>
      <c r="TVE92" s="580"/>
      <c r="TVF92" s="580"/>
      <c r="TVG92" s="580"/>
      <c r="TVH92" s="580"/>
      <c r="TVI92" s="580"/>
      <c r="TVJ92" s="580"/>
      <c r="TVK92" s="580"/>
      <c r="TVL92" s="580"/>
      <c r="TVM92" s="580"/>
      <c r="TVN92" s="580"/>
      <c r="TVO92" s="580"/>
      <c r="TVP92" s="580"/>
      <c r="TVQ92" s="580"/>
      <c r="TVR92" s="580"/>
      <c r="TVS92" s="580"/>
      <c r="TVT92" s="580"/>
      <c r="TVU92" s="580"/>
      <c r="TVV92" s="580"/>
      <c r="TVW92" s="580"/>
      <c r="TVX92" s="580"/>
      <c r="TVY92" s="580"/>
      <c r="TVZ92" s="580"/>
      <c r="TWA92" s="580"/>
      <c r="TWB92" s="580"/>
      <c r="TWC92" s="580"/>
      <c r="TWD92" s="580"/>
      <c r="TWE92" s="580"/>
      <c r="TWF92" s="580"/>
      <c r="TWG92" s="580"/>
      <c r="TWH92" s="580"/>
      <c r="TWI92" s="580"/>
      <c r="TWJ92" s="580"/>
      <c r="TWK92" s="580"/>
      <c r="TWL92" s="580"/>
      <c r="TWM92" s="580"/>
      <c r="TWN92" s="580"/>
      <c r="TWO92" s="580"/>
      <c r="TWP92" s="580"/>
      <c r="TWQ92" s="580"/>
      <c r="TWR92" s="580"/>
      <c r="TWS92" s="580"/>
      <c r="TWT92" s="580"/>
      <c r="TWU92" s="580"/>
      <c r="TWV92" s="580"/>
      <c r="TWW92" s="580"/>
      <c r="TWX92" s="580"/>
      <c r="TWY92" s="580"/>
      <c r="TWZ92" s="580"/>
      <c r="TXA92" s="580"/>
      <c r="TXB92" s="580"/>
      <c r="TXC92" s="580"/>
      <c r="TXD92" s="580"/>
      <c r="TXE92" s="580"/>
      <c r="TXF92" s="580"/>
      <c r="TXG92" s="580"/>
      <c r="TXH92" s="580"/>
      <c r="TXI92" s="580"/>
      <c r="TXJ92" s="580"/>
      <c r="TXK92" s="580"/>
      <c r="TXL92" s="580"/>
      <c r="TXM92" s="580"/>
      <c r="TXN92" s="580"/>
      <c r="TXO92" s="580"/>
      <c r="TXP92" s="580"/>
      <c r="TXQ92" s="580"/>
      <c r="TXR92" s="580"/>
      <c r="TXS92" s="580"/>
      <c r="TXT92" s="580"/>
      <c r="TXU92" s="580"/>
      <c r="TXV92" s="580"/>
      <c r="TXW92" s="580"/>
      <c r="TXX92" s="580"/>
      <c r="TXY92" s="580"/>
      <c r="TXZ92" s="580"/>
      <c r="TYA92" s="580"/>
      <c r="TYB92" s="580"/>
      <c r="TYC92" s="580"/>
      <c r="TYD92" s="580"/>
      <c r="TYE92" s="580"/>
      <c r="TYF92" s="580"/>
      <c r="TYG92" s="580"/>
      <c r="TYH92" s="580"/>
      <c r="TYI92" s="580"/>
      <c r="TYJ92" s="580"/>
      <c r="TYK92" s="580"/>
      <c r="TYL92" s="580"/>
      <c r="TYM92" s="580"/>
      <c r="TYN92" s="580"/>
      <c r="TYO92" s="580"/>
      <c r="TYP92" s="580"/>
      <c r="TYQ92" s="580"/>
      <c r="TYR92" s="580"/>
      <c r="TYS92" s="580"/>
      <c r="TYT92" s="580"/>
      <c r="TYU92" s="580"/>
      <c r="TYV92" s="580"/>
      <c r="TYW92" s="580"/>
      <c r="TYX92" s="580"/>
      <c r="TYY92" s="580"/>
      <c r="TYZ92" s="580"/>
      <c r="TZA92" s="580"/>
      <c r="TZB92" s="580"/>
      <c r="TZC92" s="580"/>
      <c r="TZD92" s="580"/>
      <c r="TZE92" s="580"/>
      <c r="TZF92" s="580"/>
      <c r="TZG92" s="580"/>
      <c r="TZH92" s="580"/>
      <c r="TZI92" s="580"/>
      <c r="TZJ92" s="580"/>
      <c r="TZK92" s="580"/>
      <c r="TZL92" s="580"/>
      <c r="TZM92" s="580"/>
      <c r="TZN92" s="580"/>
      <c r="TZO92" s="580"/>
      <c r="TZP92" s="580"/>
      <c r="TZQ92" s="580"/>
      <c r="TZR92" s="580"/>
      <c r="TZS92" s="580"/>
      <c r="TZT92" s="580"/>
      <c r="TZU92" s="580"/>
      <c r="TZV92" s="580"/>
      <c r="TZW92" s="580"/>
      <c r="TZX92" s="580"/>
      <c r="TZY92" s="580"/>
      <c r="TZZ92" s="580"/>
      <c r="UAA92" s="580"/>
      <c r="UAB92" s="580"/>
      <c r="UAC92" s="580"/>
      <c r="UAD92" s="580"/>
      <c r="UAE92" s="580"/>
      <c r="UAF92" s="580"/>
      <c r="UAG92" s="580"/>
      <c r="UAH92" s="580"/>
      <c r="UAI92" s="580"/>
      <c r="UAJ92" s="580"/>
      <c r="UAK92" s="580"/>
      <c r="UAL92" s="580"/>
      <c r="UAM92" s="580"/>
      <c r="UAN92" s="580"/>
      <c r="UAO92" s="580"/>
      <c r="UAP92" s="580"/>
      <c r="UAQ92" s="580"/>
      <c r="UAR92" s="580"/>
      <c r="UAS92" s="580"/>
      <c r="UAT92" s="580"/>
      <c r="UAU92" s="580"/>
      <c r="UAV92" s="580"/>
      <c r="UAW92" s="580"/>
      <c r="UAX92" s="580"/>
      <c r="UAY92" s="580"/>
      <c r="UAZ92" s="580"/>
      <c r="UBA92" s="580"/>
      <c r="UBB92" s="580"/>
      <c r="UBC92" s="580"/>
      <c r="UBD92" s="580"/>
      <c r="UBE92" s="580"/>
      <c r="UBF92" s="580"/>
      <c r="UBG92" s="580"/>
      <c r="UBH92" s="580"/>
      <c r="UBI92" s="580"/>
      <c r="UBJ92" s="580"/>
      <c r="UBK92" s="580"/>
      <c r="UBL92" s="580"/>
      <c r="UBM92" s="580"/>
      <c r="UBN92" s="580"/>
      <c r="UBO92" s="580"/>
      <c r="UBP92" s="580"/>
      <c r="UBQ92" s="580"/>
      <c r="UBR92" s="580"/>
      <c r="UBS92" s="580"/>
      <c r="UBT92" s="580"/>
      <c r="UBU92" s="580"/>
      <c r="UBV92" s="580"/>
      <c r="UBW92" s="580"/>
      <c r="UBX92" s="580"/>
      <c r="UBY92" s="580"/>
      <c r="UBZ92" s="580"/>
      <c r="UCA92" s="580"/>
      <c r="UCB92" s="580"/>
      <c r="UCC92" s="580"/>
      <c r="UCD92" s="580"/>
      <c r="UCE92" s="580"/>
      <c r="UCF92" s="580"/>
      <c r="UCG92" s="580"/>
      <c r="UCH92" s="580"/>
      <c r="UCI92" s="580"/>
      <c r="UCJ92" s="580"/>
      <c r="UCK92" s="580"/>
      <c r="UCL92" s="580"/>
      <c r="UCM92" s="580"/>
      <c r="UCN92" s="580"/>
      <c r="UCO92" s="580"/>
      <c r="UCP92" s="580"/>
      <c r="UCQ92" s="580"/>
      <c r="UCR92" s="580"/>
      <c r="UCS92" s="580"/>
      <c r="UCT92" s="580"/>
      <c r="UCU92" s="580"/>
      <c r="UCV92" s="580"/>
      <c r="UCW92" s="580"/>
      <c r="UCX92" s="580"/>
      <c r="UCY92" s="580"/>
      <c r="UCZ92" s="580"/>
      <c r="UDA92" s="580"/>
      <c r="UDB92" s="580"/>
      <c r="UDC92" s="580"/>
      <c r="UDD92" s="580"/>
      <c r="UDE92" s="580"/>
      <c r="UDF92" s="580"/>
      <c r="UDG92" s="580"/>
      <c r="UDH92" s="580"/>
      <c r="UDI92" s="580"/>
      <c r="UDJ92" s="580"/>
      <c r="UDK92" s="580"/>
      <c r="UDL92" s="580"/>
      <c r="UDM92" s="580"/>
      <c r="UDN92" s="580"/>
      <c r="UDO92" s="580"/>
      <c r="UDP92" s="580"/>
      <c r="UDQ92" s="580"/>
      <c r="UDR92" s="580"/>
      <c r="UDS92" s="580"/>
      <c r="UDT92" s="580"/>
      <c r="UDU92" s="580"/>
      <c r="UDV92" s="580"/>
      <c r="UDW92" s="580"/>
      <c r="UDX92" s="580"/>
      <c r="UDY92" s="580"/>
      <c r="UDZ92" s="580"/>
      <c r="UEA92" s="580"/>
      <c r="UEB92" s="580"/>
      <c r="UEC92" s="580"/>
      <c r="UED92" s="580"/>
      <c r="UEE92" s="580"/>
      <c r="UEF92" s="580"/>
      <c r="UEG92" s="580"/>
      <c r="UEH92" s="580"/>
      <c r="UEI92" s="580"/>
      <c r="UEJ92" s="580"/>
      <c r="UEK92" s="580"/>
      <c r="UEL92" s="580"/>
      <c r="UEM92" s="580"/>
      <c r="UEN92" s="580"/>
      <c r="UEO92" s="580"/>
      <c r="UEP92" s="580"/>
      <c r="UEQ92" s="580"/>
      <c r="UER92" s="580"/>
      <c r="UES92" s="580"/>
      <c r="UET92" s="580"/>
      <c r="UEU92" s="580"/>
      <c r="UEV92" s="580"/>
      <c r="UEW92" s="580"/>
      <c r="UEX92" s="580"/>
      <c r="UEY92" s="580"/>
      <c r="UEZ92" s="580"/>
      <c r="UFA92" s="580"/>
      <c r="UFB92" s="580"/>
      <c r="UFC92" s="580"/>
      <c r="UFD92" s="580"/>
      <c r="UFE92" s="580"/>
      <c r="UFF92" s="580"/>
      <c r="UFG92" s="580"/>
      <c r="UFH92" s="580"/>
      <c r="UFI92" s="580"/>
      <c r="UFJ92" s="580"/>
      <c r="UFK92" s="580"/>
      <c r="UFL92" s="580"/>
      <c r="UFM92" s="580"/>
      <c r="UFN92" s="580"/>
      <c r="UFO92" s="580"/>
      <c r="UFP92" s="580"/>
      <c r="UFQ92" s="580"/>
      <c r="UFR92" s="580"/>
      <c r="UFS92" s="580"/>
      <c r="UFT92" s="580"/>
      <c r="UFU92" s="580"/>
      <c r="UFV92" s="580"/>
      <c r="UFW92" s="580"/>
      <c r="UFX92" s="580"/>
      <c r="UFY92" s="580"/>
      <c r="UFZ92" s="580"/>
      <c r="UGA92" s="580"/>
      <c r="UGB92" s="580"/>
      <c r="UGC92" s="580"/>
      <c r="UGD92" s="580"/>
      <c r="UGE92" s="580"/>
      <c r="UGF92" s="580"/>
      <c r="UGG92" s="580"/>
      <c r="UGH92" s="580"/>
      <c r="UGI92" s="580"/>
      <c r="UGJ92" s="580"/>
      <c r="UGK92" s="580"/>
      <c r="UGL92" s="580"/>
      <c r="UGM92" s="580"/>
      <c r="UGN92" s="580"/>
      <c r="UGO92" s="580"/>
      <c r="UGP92" s="580"/>
      <c r="UGQ92" s="580"/>
      <c r="UGR92" s="580"/>
      <c r="UGS92" s="580"/>
      <c r="UGT92" s="580"/>
      <c r="UGU92" s="580"/>
      <c r="UGV92" s="580"/>
      <c r="UGW92" s="580"/>
      <c r="UGX92" s="580"/>
      <c r="UGY92" s="580"/>
      <c r="UGZ92" s="580"/>
      <c r="UHA92" s="580"/>
      <c r="UHB92" s="580"/>
      <c r="UHC92" s="580"/>
      <c r="UHD92" s="580"/>
      <c r="UHE92" s="580"/>
      <c r="UHF92" s="580"/>
      <c r="UHG92" s="580"/>
      <c r="UHH92" s="580"/>
      <c r="UHI92" s="580"/>
      <c r="UHJ92" s="580"/>
      <c r="UHK92" s="580"/>
      <c r="UHL92" s="580"/>
      <c r="UHM92" s="580"/>
      <c r="UHN92" s="580"/>
      <c r="UHO92" s="580"/>
      <c r="UHP92" s="580"/>
      <c r="UHQ92" s="580"/>
      <c r="UHR92" s="580"/>
      <c r="UHS92" s="580"/>
      <c r="UHT92" s="580"/>
      <c r="UHU92" s="580"/>
      <c r="UHV92" s="580"/>
      <c r="UHW92" s="580"/>
      <c r="UHX92" s="580"/>
      <c r="UHY92" s="580"/>
      <c r="UHZ92" s="580"/>
      <c r="UIA92" s="580"/>
      <c r="UIB92" s="580"/>
      <c r="UIC92" s="580"/>
      <c r="UID92" s="580"/>
      <c r="UIE92" s="580"/>
      <c r="UIF92" s="580"/>
      <c r="UIG92" s="580"/>
      <c r="UIH92" s="580"/>
      <c r="UII92" s="580"/>
      <c r="UIJ92" s="580"/>
      <c r="UIK92" s="580"/>
      <c r="UIL92" s="580"/>
      <c r="UIM92" s="580"/>
      <c r="UIN92" s="580"/>
      <c r="UIO92" s="580"/>
      <c r="UIP92" s="580"/>
      <c r="UIQ92" s="580"/>
      <c r="UIR92" s="580"/>
      <c r="UIS92" s="580"/>
      <c r="UIT92" s="580"/>
      <c r="UIU92" s="580"/>
      <c r="UIV92" s="580"/>
      <c r="UIW92" s="580"/>
      <c r="UIX92" s="580"/>
      <c r="UIY92" s="580"/>
      <c r="UIZ92" s="580"/>
      <c r="UJA92" s="580"/>
      <c r="UJB92" s="580"/>
      <c r="UJC92" s="580"/>
      <c r="UJD92" s="580"/>
      <c r="UJE92" s="580"/>
      <c r="UJF92" s="580"/>
      <c r="UJG92" s="580"/>
      <c r="UJH92" s="580"/>
      <c r="UJI92" s="580"/>
      <c r="UJJ92" s="580"/>
      <c r="UJK92" s="580"/>
      <c r="UJL92" s="580"/>
      <c r="UJM92" s="580"/>
      <c r="UJN92" s="580"/>
      <c r="UJO92" s="580"/>
      <c r="UJP92" s="580"/>
      <c r="UJQ92" s="580"/>
      <c r="UJR92" s="580"/>
      <c r="UJS92" s="580"/>
      <c r="UJT92" s="580"/>
      <c r="UJU92" s="580"/>
      <c r="UJV92" s="580"/>
      <c r="UJW92" s="580"/>
      <c r="UJX92" s="580"/>
      <c r="UJY92" s="580"/>
      <c r="UJZ92" s="580"/>
      <c r="UKA92" s="580"/>
      <c r="UKB92" s="580"/>
      <c r="UKC92" s="580"/>
      <c r="UKD92" s="580"/>
      <c r="UKE92" s="580"/>
      <c r="UKF92" s="580"/>
      <c r="UKG92" s="580"/>
      <c r="UKH92" s="580"/>
      <c r="UKI92" s="580"/>
      <c r="UKJ92" s="580"/>
      <c r="UKK92" s="580"/>
      <c r="UKL92" s="580"/>
      <c r="UKM92" s="580"/>
      <c r="UKN92" s="580"/>
      <c r="UKO92" s="580"/>
      <c r="UKP92" s="580"/>
      <c r="UKQ92" s="580"/>
      <c r="UKR92" s="580"/>
      <c r="UKS92" s="580"/>
      <c r="UKT92" s="580"/>
      <c r="UKU92" s="580"/>
      <c r="UKV92" s="580"/>
      <c r="UKW92" s="580"/>
      <c r="UKX92" s="580"/>
      <c r="UKY92" s="580"/>
      <c r="UKZ92" s="580"/>
      <c r="ULA92" s="580"/>
      <c r="ULB92" s="580"/>
      <c r="ULC92" s="580"/>
      <c r="ULD92" s="580"/>
      <c r="ULE92" s="580"/>
      <c r="ULF92" s="580"/>
      <c r="ULG92" s="580"/>
      <c r="ULH92" s="580"/>
      <c r="ULI92" s="580"/>
      <c r="ULJ92" s="580"/>
      <c r="ULK92" s="580"/>
      <c r="ULL92" s="580"/>
      <c r="ULM92" s="580"/>
      <c r="ULN92" s="580"/>
      <c r="ULO92" s="580"/>
      <c r="ULP92" s="580"/>
      <c r="ULQ92" s="580"/>
      <c r="ULR92" s="580"/>
      <c r="ULS92" s="580"/>
      <c r="ULT92" s="580"/>
      <c r="ULU92" s="580"/>
      <c r="ULV92" s="580"/>
      <c r="ULW92" s="580"/>
      <c r="ULX92" s="580"/>
      <c r="ULY92" s="580"/>
      <c r="ULZ92" s="580"/>
      <c r="UMA92" s="580"/>
      <c r="UMB92" s="580"/>
      <c r="UMC92" s="580"/>
      <c r="UMD92" s="580"/>
      <c r="UME92" s="580"/>
      <c r="UMF92" s="580"/>
      <c r="UMG92" s="580"/>
      <c r="UMH92" s="580"/>
      <c r="UMI92" s="580"/>
      <c r="UMJ92" s="580"/>
      <c r="UMK92" s="580"/>
      <c r="UML92" s="580"/>
      <c r="UMM92" s="580"/>
      <c r="UMN92" s="580"/>
      <c r="UMO92" s="580"/>
      <c r="UMP92" s="580"/>
      <c r="UMQ92" s="580"/>
      <c r="UMR92" s="580"/>
      <c r="UMS92" s="580"/>
      <c r="UMT92" s="580"/>
      <c r="UMU92" s="580"/>
      <c r="UMV92" s="580"/>
      <c r="UMW92" s="580"/>
      <c r="UMX92" s="580"/>
      <c r="UMY92" s="580"/>
      <c r="UMZ92" s="580"/>
      <c r="UNA92" s="580"/>
      <c r="UNB92" s="580"/>
      <c r="UNC92" s="580"/>
      <c r="UND92" s="580"/>
      <c r="UNE92" s="580"/>
      <c r="UNF92" s="580"/>
      <c r="UNG92" s="580"/>
      <c r="UNH92" s="580"/>
      <c r="UNI92" s="580"/>
      <c r="UNJ92" s="580"/>
      <c r="UNK92" s="580"/>
      <c r="UNL92" s="580"/>
      <c r="UNM92" s="580"/>
      <c r="UNN92" s="580"/>
      <c r="UNO92" s="580"/>
      <c r="UNP92" s="580"/>
      <c r="UNQ92" s="580"/>
      <c r="UNR92" s="580"/>
      <c r="UNS92" s="580"/>
      <c r="UNT92" s="580"/>
      <c r="UNU92" s="580"/>
      <c r="UNV92" s="580"/>
      <c r="UNW92" s="580"/>
      <c r="UNX92" s="580"/>
      <c r="UNY92" s="580"/>
      <c r="UNZ92" s="580"/>
      <c r="UOA92" s="580"/>
      <c r="UOB92" s="580"/>
      <c r="UOC92" s="580"/>
      <c r="UOD92" s="580"/>
      <c r="UOE92" s="580"/>
      <c r="UOF92" s="580"/>
      <c r="UOG92" s="580"/>
      <c r="UOH92" s="580"/>
      <c r="UOI92" s="580"/>
      <c r="UOJ92" s="580"/>
      <c r="UOK92" s="580"/>
      <c r="UOL92" s="580"/>
      <c r="UOM92" s="580"/>
      <c r="UON92" s="580"/>
      <c r="UOO92" s="580"/>
      <c r="UOP92" s="580"/>
      <c r="UOQ92" s="580"/>
      <c r="UOR92" s="580"/>
      <c r="UOS92" s="580"/>
      <c r="UOT92" s="580"/>
      <c r="UOU92" s="580"/>
      <c r="UOV92" s="580"/>
      <c r="UOW92" s="580"/>
      <c r="UOX92" s="580"/>
      <c r="UOY92" s="580"/>
      <c r="UOZ92" s="580"/>
      <c r="UPA92" s="580"/>
      <c r="UPB92" s="580"/>
      <c r="UPC92" s="580"/>
      <c r="UPD92" s="580"/>
      <c r="UPE92" s="580"/>
      <c r="UPF92" s="580"/>
      <c r="UPG92" s="580"/>
      <c r="UPH92" s="580"/>
      <c r="UPI92" s="580"/>
      <c r="UPJ92" s="580"/>
      <c r="UPK92" s="580"/>
      <c r="UPL92" s="580"/>
      <c r="UPM92" s="580"/>
      <c r="UPN92" s="580"/>
      <c r="UPO92" s="580"/>
      <c r="UPP92" s="580"/>
      <c r="UPQ92" s="580"/>
      <c r="UPR92" s="580"/>
      <c r="UPS92" s="580"/>
      <c r="UPT92" s="580"/>
      <c r="UPU92" s="580"/>
      <c r="UPV92" s="580"/>
      <c r="UPW92" s="580"/>
      <c r="UPX92" s="580"/>
      <c r="UPY92" s="580"/>
      <c r="UPZ92" s="580"/>
      <c r="UQA92" s="580"/>
      <c r="UQB92" s="580"/>
      <c r="UQC92" s="580"/>
      <c r="UQD92" s="580"/>
      <c r="UQE92" s="580"/>
      <c r="UQF92" s="580"/>
      <c r="UQG92" s="580"/>
      <c r="UQH92" s="580"/>
      <c r="UQI92" s="580"/>
      <c r="UQJ92" s="580"/>
      <c r="UQK92" s="580"/>
      <c r="UQL92" s="580"/>
      <c r="UQM92" s="580"/>
      <c r="UQN92" s="580"/>
      <c r="UQO92" s="580"/>
      <c r="UQP92" s="580"/>
      <c r="UQQ92" s="580"/>
      <c r="UQR92" s="580"/>
      <c r="UQS92" s="580"/>
      <c r="UQT92" s="580"/>
      <c r="UQU92" s="580"/>
      <c r="UQV92" s="580"/>
      <c r="UQW92" s="580"/>
      <c r="UQX92" s="580"/>
      <c r="UQY92" s="580"/>
      <c r="UQZ92" s="580"/>
      <c r="URA92" s="580"/>
      <c r="URB92" s="580"/>
      <c r="URC92" s="580"/>
      <c r="URD92" s="580"/>
      <c r="URE92" s="580"/>
      <c r="URF92" s="580"/>
      <c r="URG92" s="580"/>
      <c r="URH92" s="580"/>
      <c r="URI92" s="580"/>
      <c r="URJ92" s="580"/>
      <c r="URK92" s="580"/>
      <c r="URL92" s="580"/>
      <c r="URM92" s="580"/>
      <c r="URN92" s="580"/>
      <c r="URO92" s="580"/>
      <c r="URP92" s="580"/>
      <c r="URQ92" s="580"/>
      <c r="URR92" s="580"/>
      <c r="URS92" s="580"/>
      <c r="URT92" s="580"/>
      <c r="URU92" s="580"/>
      <c r="URV92" s="580"/>
      <c r="URW92" s="580"/>
      <c r="URX92" s="580"/>
      <c r="URY92" s="580"/>
      <c r="URZ92" s="580"/>
      <c r="USA92" s="580"/>
      <c r="USB92" s="580"/>
      <c r="USC92" s="580"/>
      <c r="USD92" s="580"/>
      <c r="USE92" s="580"/>
      <c r="USF92" s="580"/>
      <c r="USG92" s="580"/>
      <c r="USH92" s="580"/>
      <c r="USI92" s="580"/>
      <c r="USJ92" s="580"/>
      <c r="USK92" s="580"/>
      <c r="USL92" s="580"/>
      <c r="USM92" s="580"/>
      <c r="USN92" s="580"/>
      <c r="USO92" s="580"/>
      <c r="USP92" s="580"/>
      <c r="USQ92" s="580"/>
      <c r="USR92" s="580"/>
      <c r="USS92" s="580"/>
      <c r="UST92" s="580"/>
      <c r="USU92" s="580"/>
      <c r="USV92" s="580"/>
      <c r="USW92" s="580"/>
      <c r="USX92" s="580"/>
      <c r="USY92" s="580"/>
      <c r="USZ92" s="580"/>
      <c r="UTA92" s="580"/>
      <c r="UTB92" s="580"/>
      <c r="UTC92" s="580"/>
      <c r="UTD92" s="580"/>
      <c r="UTE92" s="580"/>
      <c r="UTF92" s="580"/>
      <c r="UTG92" s="580"/>
      <c r="UTH92" s="580"/>
      <c r="UTI92" s="580"/>
      <c r="UTJ92" s="580"/>
      <c r="UTK92" s="580"/>
      <c r="UTL92" s="580"/>
      <c r="UTM92" s="580"/>
      <c r="UTN92" s="580"/>
      <c r="UTO92" s="580"/>
      <c r="UTP92" s="580"/>
      <c r="UTQ92" s="580"/>
      <c r="UTR92" s="580"/>
      <c r="UTS92" s="580"/>
      <c r="UTT92" s="580"/>
      <c r="UTU92" s="580"/>
      <c r="UTV92" s="580"/>
      <c r="UTW92" s="580"/>
      <c r="UTX92" s="580"/>
      <c r="UTY92" s="580"/>
      <c r="UTZ92" s="580"/>
      <c r="UUA92" s="580"/>
      <c r="UUB92" s="580"/>
      <c r="UUC92" s="580"/>
      <c r="UUD92" s="580"/>
      <c r="UUE92" s="580"/>
      <c r="UUF92" s="580"/>
      <c r="UUG92" s="580"/>
      <c r="UUH92" s="580"/>
      <c r="UUI92" s="580"/>
      <c r="UUJ92" s="580"/>
      <c r="UUK92" s="580"/>
      <c r="UUL92" s="580"/>
      <c r="UUM92" s="580"/>
      <c r="UUN92" s="580"/>
      <c r="UUO92" s="580"/>
      <c r="UUP92" s="580"/>
      <c r="UUQ92" s="580"/>
      <c r="UUR92" s="580"/>
      <c r="UUS92" s="580"/>
      <c r="UUT92" s="580"/>
      <c r="UUU92" s="580"/>
      <c r="UUV92" s="580"/>
      <c r="UUW92" s="580"/>
      <c r="UUX92" s="580"/>
      <c r="UUY92" s="580"/>
      <c r="UUZ92" s="580"/>
      <c r="UVA92" s="580"/>
      <c r="UVB92" s="580"/>
      <c r="UVC92" s="580"/>
      <c r="UVD92" s="580"/>
      <c r="UVE92" s="580"/>
      <c r="UVF92" s="580"/>
      <c r="UVG92" s="580"/>
      <c r="UVH92" s="580"/>
      <c r="UVI92" s="580"/>
      <c r="UVJ92" s="580"/>
      <c r="UVK92" s="580"/>
      <c r="UVL92" s="580"/>
      <c r="UVM92" s="580"/>
      <c r="UVN92" s="580"/>
      <c r="UVO92" s="580"/>
      <c r="UVP92" s="580"/>
      <c r="UVQ92" s="580"/>
      <c r="UVR92" s="580"/>
      <c r="UVS92" s="580"/>
      <c r="UVT92" s="580"/>
      <c r="UVU92" s="580"/>
      <c r="UVV92" s="580"/>
      <c r="UVW92" s="580"/>
      <c r="UVX92" s="580"/>
      <c r="UVY92" s="580"/>
      <c r="UVZ92" s="580"/>
      <c r="UWA92" s="580"/>
      <c r="UWB92" s="580"/>
      <c r="UWC92" s="580"/>
      <c r="UWD92" s="580"/>
      <c r="UWE92" s="580"/>
      <c r="UWF92" s="580"/>
      <c r="UWG92" s="580"/>
      <c r="UWH92" s="580"/>
      <c r="UWI92" s="580"/>
      <c r="UWJ92" s="580"/>
      <c r="UWK92" s="580"/>
      <c r="UWL92" s="580"/>
      <c r="UWM92" s="580"/>
      <c r="UWN92" s="580"/>
      <c r="UWO92" s="580"/>
      <c r="UWP92" s="580"/>
      <c r="UWQ92" s="580"/>
      <c r="UWR92" s="580"/>
      <c r="UWS92" s="580"/>
      <c r="UWT92" s="580"/>
      <c r="UWU92" s="580"/>
      <c r="UWV92" s="580"/>
      <c r="UWW92" s="580"/>
      <c r="UWX92" s="580"/>
      <c r="UWY92" s="580"/>
      <c r="UWZ92" s="580"/>
      <c r="UXA92" s="580"/>
      <c r="UXB92" s="580"/>
      <c r="UXC92" s="580"/>
      <c r="UXD92" s="580"/>
      <c r="UXE92" s="580"/>
      <c r="UXF92" s="580"/>
      <c r="UXG92" s="580"/>
      <c r="UXH92" s="580"/>
      <c r="UXI92" s="580"/>
      <c r="UXJ92" s="580"/>
      <c r="UXK92" s="580"/>
      <c r="UXL92" s="580"/>
      <c r="UXM92" s="580"/>
      <c r="UXN92" s="580"/>
      <c r="UXO92" s="580"/>
      <c r="UXP92" s="580"/>
      <c r="UXQ92" s="580"/>
      <c r="UXR92" s="580"/>
      <c r="UXS92" s="580"/>
      <c r="UXT92" s="580"/>
      <c r="UXU92" s="580"/>
      <c r="UXV92" s="580"/>
      <c r="UXW92" s="580"/>
      <c r="UXX92" s="580"/>
      <c r="UXY92" s="580"/>
      <c r="UXZ92" s="580"/>
      <c r="UYA92" s="580"/>
      <c r="UYB92" s="580"/>
      <c r="UYC92" s="580"/>
      <c r="UYD92" s="580"/>
      <c r="UYE92" s="580"/>
      <c r="UYF92" s="580"/>
      <c r="UYG92" s="580"/>
      <c r="UYH92" s="580"/>
      <c r="UYI92" s="580"/>
      <c r="UYJ92" s="580"/>
      <c r="UYK92" s="580"/>
      <c r="UYL92" s="580"/>
      <c r="UYM92" s="580"/>
      <c r="UYN92" s="580"/>
      <c r="UYO92" s="580"/>
      <c r="UYP92" s="580"/>
      <c r="UYQ92" s="580"/>
      <c r="UYR92" s="580"/>
      <c r="UYS92" s="580"/>
      <c r="UYT92" s="580"/>
      <c r="UYU92" s="580"/>
      <c r="UYV92" s="580"/>
      <c r="UYW92" s="580"/>
      <c r="UYX92" s="580"/>
      <c r="UYY92" s="580"/>
      <c r="UYZ92" s="580"/>
      <c r="UZA92" s="580"/>
      <c r="UZB92" s="580"/>
      <c r="UZC92" s="580"/>
      <c r="UZD92" s="580"/>
      <c r="UZE92" s="580"/>
      <c r="UZF92" s="580"/>
      <c r="UZG92" s="580"/>
      <c r="UZH92" s="580"/>
      <c r="UZI92" s="580"/>
      <c r="UZJ92" s="580"/>
      <c r="UZK92" s="580"/>
      <c r="UZL92" s="580"/>
      <c r="UZM92" s="580"/>
      <c r="UZN92" s="580"/>
      <c r="UZO92" s="580"/>
      <c r="UZP92" s="580"/>
      <c r="UZQ92" s="580"/>
      <c r="UZR92" s="580"/>
      <c r="UZS92" s="580"/>
      <c r="UZT92" s="580"/>
      <c r="UZU92" s="580"/>
      <c r="UZV92" s="580"/>
      <c r="UZW92" s="580"/>
      <c r="UZX92" s="580"/>
      <c r="UZY92" s="580"/>
      <c r="UZZ92" s="580"/>
      <c r="VAA92" s="580"/>
      <c r="VAB92" s="580"/>
      <c r="VAC92" s="580"/>
      <c r="VAD92" s="580"/>
      <c r="VAE92" s="580"/>
      <c r="VAF92" s="580"/>
      <c r="VAG92" s="580"/>
      <c r="VAH92" s="580"/>
      <c r="VAI92" s="580"/>
      <c r="VAJ92" s="580"/>
      <c r="VAK92" s="580"/>
      <c r="VAL92" s="580"/>
      <c r="VAM92" s="580"/>
      <c r="VAN92" s="580"/>
      <c r="VAO92" s="580"/>
      <c r="VAP92" s="580"/>
      <c r="VAQ92" s="580"/>
      <c r="VAR92" s="580"/>
      <c r="VAS92" s="580"/>
      <c r="VAT92" s="580"/>
      <c r="VAU92" s="580"/>
      <c r="VAV92" s="580"/>
      <c r="VAW92" s="580"/>
      <c r="VAX92" s="580"/>
      <c r="VAY92" s="580"/>
      <c r="VAZ92" s="580"/>
      <c r="VBA92" s="580"/>
      <c r="VBB92" s="580"/>
      <c r="VBC92" s="580"/>
      <c r="VBD92" s="580"/>
      <c r="VBE92" s="580"/>
      <c r="VBF92" s="580"/>
      <c r="VBG92" s="580"/>
      <c r="VBH92" s="580"/>
      <c r="VBI92" s="580"/>
      <c r="VBJ92" s="580"/>
      <c r="VBK92" s="580"/>
      <c r="VBL92" s="580"/>
      <c r="VBM92" s="580"/>
      <c r="VBN92" s="580"/>
      <c r="VBO92" s="580"/>
      <c r="VBP92" s="580"/>
      <c r="VBQ92" s="580"/>
      <c r="VBR92" s="580"/>
      <c r="VBS92" s="580"/>
      <c r="VBT92" s="580"/>
      <c r="VBU92" s="580"/>
      <c r="VBV92" s="580"/>
      <c r="VBW92" s="580"/>
      <c r="VBX92" s="580"/>
      <c r="VBY92" s="580"/>
      <c r="VBZ92" s="580"/>
      <c r="VCA92" s="580"/>
      <c r="VCB92" s="580"/>
      <c r="VCC92" s="580"/>
      <c r="VCD92" s="580"/>
      <c r="VCE92" s="580"/>
      <c r="VCF92" s="580"/>
      <c r="VCG92" s="580"/>
      <c r="VCH92" s="580"/>
      <c r="VCI92" s="580"/>
      <c r="VCJ92" s="580"/>
      <c r="VCK92" s="580"/>
      <c r="VCL92" s="580"/>
      <c r="VCM92" s="580"/>
      <c r="VCN92" s="580"/>
      <c r="VCO92" s="580"/>
      <c r="VCP92" s="580"/>
      <c r="VCQ92" s="580"/>
      <c r="VCR92" s="580"/>
      <c r="VCS92" s="580"/>
      <c r="VCT92" s="580"/>
      <c r="VCU92" s="580"/>
      <c r="VCV92" s="580"/>
      <c r="VCW92" s="580"/>
      <c r="VCX92" s="580"/>
      <c r="VCY92" s="580"/>
      <c r="VCZ92" s="580"/>
      <c r="VDA92" s="580"/>
      <c r="VDB92" s="580"/>
      <c r="VDC92" s="580"/>
      <c r="VDD92" s="580"/>
      <c r="VDE92" s="580"/>
      <c r="VDF92" s="580"/>
      <c r="VDG92" s="580"/>
      <c r="VDH92" s="580"/>
      <c r="VDI92" s="580"/>
      <c r="VDJ92" s="580"/>
      <c r="VDK92" s="580"/>
      <c r="VDL92" s="580"/>
      <c r="VDM92" s="580"/>
      <c r="VDN92" s="580"/>
      <c r="VDO92" s="580"/>
      <c r="VDP92" s="580"/>
      <c r="VDQ92" s="580"/>
      <c r="VDR92" s="580"/>
      <c r="VDS92" s="580"/>
      <c r="VDT92" s="580"/>
      <c r="VDU92" s="580"/>
      <c r="VDV92" s="580"/>
      <c r="VDW92" s="580"/>
      <c r="VDX92" s="580"/>
      <c r="VDY92" s="580"/>
      <c r="VDZ92" s="580"/>
      <c r="VEA92" s="580"/>
      <c r="VEB92" s="580"/>
      <c r="VEC92" s="580"/>
      <c r="VED92" s="580"/>
      <c r="VEE92" s="580"/>
      <c r="VEF92" s="580"/>
      <c r="VEG92" s="580"/>
      <c r="VEH92" s="580"/>
      <c r="VEI92" s="580"/>
      <c r="VEJ92" s="580"/>
      <c r="VEK92" s="580"/>
      <c r="VEL92" s="580"/>
      <c r="VEM92" s="580"/>
      <c r="VEN92" s="580"/>
      <c r="VEO92" s="580"/>
      <c r="VEP92" s="580"/>
      <c r="VEQ92" s="580"/>
      <c r="VER92" s="580"/>
      <c r="VES92" s="580"/>
      <c r="VET92" s="580"/>
      <c r="VEU92" s="580"/>
      <c r="VEV92" s="580"/>
      <c r="VEW92" s="580"/>
      <c r="VEX92" s="580"/>
      <c r="VEY92" s="580"/>
      <c r="VEZ92" s="580"/>
      <c r="VFA92" s="580"/>
      <c r="VFB92" s="580"/>
      <c r="VFC92" s="580"/>
      <c r="VFD92" s="580"/>
      <c r="VFE92" s="580"/>
      <c r="VFF92" s="580"/>
      <c r="VFG92" s="580"/>
      <c r="VFH92" s="580"/>
      <c r="VFI92" s="580"/>
      <c r="VFJ92" s="580"/>
      <c r="VFK92" s="580"/>
      <c r="VFL92" s="580"/>
      <c r="VFM92" s="580"/>
      <c r="VFN92" s="580"/>
      <c r="VFO92" s="580"/>
      <c r="VFP92" s="580"/>
      <c r="VFQ92" s="580"/>
      <c r="VFR92" s="580"/>
      <c r="VFS92" s="580"/>
      <c r="VFT92" s="580"/>
      <c r="VFU92" s="580"/>
      <c r="VFV92" s="580"/>
      <c r="VFW92" s="580"/>
      <c r="VFX92" s="580"/>
      <c r="VFY92" s="580"/>
      <c r="VFZ92" s="580"/>
      <c r="VGA92" s="580"/>
      <c r="VGB92" s="580"/>
      <c r="VGC92" s="580"/>
      <c r="VGD92" s="580"/>
      <c r="VGE92" s="580"/>
      <c r="VGF92" s="580"/>
      <c r="VGG92" s="580"/>
      <c r="VGH92" s="580"/>
      <c r="VGI92" s="580"/>
      <c r="VGJ92" s="580"/>
      <c r="VGK92" s="580"/>
      <c r="VGL92" s="580"/>
      <c r="VGM92" s="580"/>
      <c r="VGN92" s="580"/>
      <c r="VGO92" s="580"/>
      <c r="VGP92" s="580"/>
      <c r="VGQ92" s="580"/>
      <c r="VGR92" s="580"/>
      <c r="VGS92" s="580"/>
      <c r="VGT92" s="580"/>
      <c r="VGU92" s="580"/>
      <c r="VGV92" s="580"/>
      <c r="VGW92" s="580"/>
      <c r="VGX92" s="580"/>
      <c r="VGY92" s="580"/>
      <c r="VGZ92" s="580"/>
      <c r="VHA92" s="580"/>
      <c r="VHB92" s="580"/>
      <c r="VHC92" s="580"/>
      <c r="VHD92" s="580"/>
      <c r="VHE92" s="580"/>
      <c r="VHF92" s="580"/>
      <c r="VHG92" s="580"/>
      <c r="VHH92" s="580"/>
      <c r="VHI92" s="580"/>
      <c r="VHJ92" s="580"/>
      <c r="VHK92" s="580"/>
      <c r="VHL92" s="580"/>
      <c r="VHM92" s="580"/>
      <c r="VHN92" s="580"/>
      <c r="VHO92" s="580"/>
      <c r="VHP92" s="580"/>
      <c r="VHQ92" s="580"/>
      <c r="VHR92" s="580"/>
      <c r="VHS92" s="580"/>
      <c r="VHT92" s="580"/>
      <c r="VHU92" s="580"/>
      <c r="VHV92" s="580"/>
      <c r="VHW92" s="580"/>
      <c r="VHX92" s="580"/>
      <c r="VHY92" s="580"/>
      <c r="VHZ92" s="580"/>
      <c r="VIA92" s="580"/>
      <c r="VIB92" s="580"/>
      <c r="VIC92" s="580"/>
      <c r="VID92" s="580"/>
      <c r="VIE92" s="580"/>
      <c r="VIF92" s="580"/>
      <c r="VIG92" s="580"/>
      <c r="VIH92" s="580"/>
      <c r="VII92" s="580"/>
      <c r="VIJ92" s="580"/>
      <c r="VIK92" s="580"/>
      <c r="VIL92" s="580"/>
      <c r="VIM92" s="580"/>
      <c r="VIN92" s="580"/>
      <c r="VIO92" s="580"/>
      <c r="VIP92" s="580"/>
      <c r="VIQ92" s="580"/>
      <c r="VIR92" s="580"/>
      <c r="VIS92" s="580"/>
      <c r="VIT92" s="580"/>
      <c r="VIU92" s="580"/>
      <c r="VIV92" s="580"/>
      <c r="VIW92" s="580"/>
      <c r="VIX92" s="580"/>
      <c r="VIY92" s="580"/>
      <c r="VIZ92" s="580"/>
      <c r="VJA92" s="580"/>
      <c r="VJB92" s="580"/>
      <c r="VJC92" s="580"/>
      <c r="VJD92" s="580"/>
      <c r="VJE92" s="580"/>
      <c r="VJF92" s="580"/>
      <c r="VJG92" s="580"/>
      <c r="VJH92" s="580"/>
      <c r="VJI92" s="580"/>
      <c r="VJJ92" s="580"/>
      <c r="VJK92" s="580"/>
      <c r="VJL92" s="580"/>
      <c r="VJM92" s="580"/>
      <c r="VJN92" s="580"/>
      <c r="VJO92" s="580"/>
      <c r="VJP92" s="580"/>
      <c r="VJQ92" s="580"/>
      <c r="VJR92" s="580"/>
      <c r="VJS92" s="580"/>
      <c r="VJT92" s="580"/>
      <c r="VJU92" s="580"/>
      <c r="VJV92" s="580"/>
      <c r="VJW92" s="580"/>
      <c r="VJX92" s="580"/>
      <c r="VJY92" s="580"/>
      <c r="VJZ92" s="580"/>
      <c r="VKA92" s="580"/>
      <c r="VKB92" s="580"/>
      <c r="VKC92" s="580"/>
      <c r="VKD92" s="580"/>
      <c r="VKE92" s="580"/>
      <c r="VKF92" s="580"/>
      <c r="VKG92" s="580"/>
      <c r="VKH92" s="580"/>
      <c r="VKI92" s="580"/>
      <c r="VKJ92" s="580"/>
      <c r="VKK92" s="580"/>
      <c r="VKL92" s="580"/>
      <c r="VKM92" s="580"/>
      <c r="VKN92" s="580"/>
      <c r="VKO92" s="580"/>
      <c r="VKP92" s="580"/>
      <c r="VKQ92" s="580"/>
      <c r="VKR92" s="580"/>
      <c r="VKS92" s="580"/>
      <c r="VKT92" s="580"/>
      <c r="VKU92" s="580"/>
      <c r="VKV92" s="580"/>
      <c r="VKW92" s="580"/>
      <c r="VKX92" s="580"/>
      <c r="VKY92" s="580"/>
      <c r="VKZ92" s="580"/>
      <c r="VLA92" s="580"/>
      <c r="VLB92" s="580"/>
      <c r="VLC92" s="580"/>
      <c r="VLD92" s="580"/>
      <c r="VLE92" s="580"/>
      <c r="VLF92" s="580"/>
      <c r="VLG92" s="580"/>
      <c r="VLH92" s="580"/>
      <c r="VLI92" s="580"/>
      <c r="VLJ92" s="580"/>
      <c r="VLK92" s="580"/>
      <c r="VLL92" s="580"/>
      <c r="VLM92" s="580"/>
      <c r="VLN92" s="580"/>
      <c r="VLO92" s="580"/>
      <c r="VLP92" s="580"/>
      <c r="VLQ92" s="580"/>
      <c r="VLR92" s="580"/>
      <c r="VLS92" s="580"/>
      <c r="VLT92" s="580"/>
      <c r="VLU92" s="580"/>
      <c r="VLV92" s="580"/>
      <c r="VLW92" s="580"/>
      <c r="VLX92" s="580"/>
      <c r="VLY92" s="580"/>
      <c r="VLZ92" s="580"/>
      <c r="VMA92" s="580"/>
      <c r="VMB92" s="580"/>
      <c r="VMC92" s="580"/>
      <c r="VMD92" s="580"/>
      <c r="VME92" s="580"/>
      <c r="VMF92" s="580"/>
      <c r="VMG92" s="580"/>
      <c r="VMH92" s="580"/>
      <c r="VMI92" s="580"/>
      <c r="VMJ92" s="580"/>
      <c r="VMK92" s="580"/>
      <c r="VML92" s="580"/>
      <c r="VMM92" s="580"/>
      <c r="VMN92" s="580"/>
      <c r="VMO92" s="580"/>
      <c r="VMP92" s="580"/>
      <c r="VMQ92" s="580"/>
      <c r="VMR92" s="580"/>
      <c r="VMS92" s="580"/>
      <c r="VMT92" s="580"/>
      <c r="VMU92" s="580"/>
      <c r="VMV92" s="580"/>
      <c r="VMW92" s="580"/>
      <c r="VMX92" s="580"/>
      <c r="VMY92" s="580"/>
      <c r="VMZ92" s="580"/>
      <c r="VNA92" s="580"/>
      <c r="VNB92" s="580"/>
      <c r="VNC92" s="580"/>
      <c r="VND92" s="580"/>
      <c r="VNE92" s="580"/>
      <c r="VNF92" s="580"/>
      <c r="VNG92" s="580"/>
      <c r="VNH92" s="580"/>
      <c r="VNI92" s="580"/>
      <c r="VNJ92" s="580"/>
      <c r="VNK92" s="580"/>
      <c r="VNL92" s="580"/>
      <c r="VNM92" s="580"/>
      <c r="VNN92" s="580"/>
      <c r="VNO92" s="580"/>
      <c r="VNP92" s="580"/>
      <c r="VNQ92" s="580"/>
      <c r="VNR92" s="580"/>
      <c r="VNS92" s="580"/>
      <c r="VNT92" s="580"/>
      <c r="VNU92" s="580"/>
      <c r="VNV92" s="580"/>
      <c r="VNW92" s="580"/>
      <c r="VNX92" s="580"/>
      <c r="VNY92" s="580"/>
      <c r="VNZ92" s="580"/>
      <c r="VOA92" s="580"/>
      <c r="VOB92" s="580"/>
      <c r="VOC92" s="580"/>
      <c r="VOD92" s="580"/>
      <c r="VOE92" s="580"/>
      <c r="VOF92" s="580"/>
      <c r="VOG92" s="580"/>
      <c r="VOH92" s="580"/>
      <c r="VOI92" s="580"/>
      <c r="VOJ92" s="580"/>
      <c r="VOK92" s="580"/>
      <c r="VOL92" s="580"/>
      <c r="VOM92" s="580"/>
      <c r="VON92" s="580"/>
      <c r="VOO92" s="580"/>
      <c r="VOP92" s="580"/>
      <c r="VOQ92" s="580"/>
      <c r="VOR92" s="580"/>
      <c r="VOS92" s="580"/>
      <c r="VOT92" s="580"/>
      <c r="VOU92" s="580"/>
      <c r="VOV92" s="580"/>
      <c r="VOW92" s="580"/>
      <c r="VOX92" s="580"/>
      <c r="VOY92" s="580"/>
      <c r="VOZ92" s="580"/>
      <c r="VPA92" s="580"/>
      <c r="VPB92" s="580"/>
      <c r="VPC92" s="580"/>
      <c r="VPD92" s="580"/>
      <c r="VPE92" s="580"/>
      <c r="VPF92" s="580"/>
      <c r="VPG92" s="580"/>
      <c r="VPH92" s="580"/>
      <c r="VPI92" s="580"/>
      <c r="VPJ92" s="580"/>
      <c r="VPK92" s="580"/>
      <c r="VPL92" s="580"/>
      <c r="VPM92" s="580"/>
      <c r="VPN92" s="580"/>
      <c r="VPO92" s="580"/>
      <c r="VPP92" s="580"/>
      <c r="VPQ92" s="580"/>
      <c r="VPR92" s="580"/>
      <c r="VPS92" s="580"/>
      <c r="VPT92" s="580"/>
      <c r="VPU92" s="580"/>
      <c r="VPV92" s="580"/>
      <c r="VPW92" s="580"/>
      <c r="VPX92" s="580"/>
      <c r="VPY92" s="580"/>
      <c r="VPZ92" s="580"/>
      <c r="VQA92" s="580"/>
      <c r="VQB92" s="580"/>
      <c r="VQC92" s="580"/>
      <c r="VQD92" s="580"/>
      <c r="VQE92" s="580"/>
      <c r="VQF92" s="580"/>
      <c r="VQG92" s="580"/>
      <c r="VQH92" s="580"/>
      <c r="VQI92" s="580"/>
      <c r="VQJ92" s="580"/>
      <c r="VQK92" s="580"/>
      <c r="VQL92" s="580"/>
      <c r="VQM92" s="580"/>
      <c r="VQN92" s="580"/>
      <c r="VQO92" s="580"/>
      <c r="VQP92" s="580"/>
      <c r="VQQ92" s="580"/>
      <c r="VQR92" s="580"/>
      <c r="VQS92" s="580"/>
      <c r="VQT92" s="580"/>
      <c r="VQU92" s="580"/>
      <c r="VQV92" s="580"/>
      <c r="VQW92" s="580"/>
      <c r="VQX92" s="580"/>
      <c r="VQY92" s="580"/>
      <c r="VQZ92" s="580"/>
      <c r="VRA92" s="580"/>
      <c r="VRB92" s="580"/>
      <c r="VRC92" s="580"/>
      <c r="VRD92" s="580"/>
      <c r="VRE92" s="580"/>
      <c r="VRF92" s="580"/>
      <c r="VRG92" s="580"/>
      <c r="VRH92" s="580"/>
      <c r="VRI92" s="580"/>
      <c r="VRJ92" s="580"/>
      <c r="VRK92" s="580"/>
      <c r="VRL92" s="580"/>
      <c r="VRM92" s="580"/>
      <c r="VRN92" s="580"/>
      <c r="VRO92" s="580"/>
      <c r="VRP92" s="580"/>
      <c r="VRQ92" s="580"/>
      <c r="VRR92" s="580"/>
      <c r="VRS92" s="580"/>
      <c r="VRT92" s="580"/>
      <c r="VRU92" s="580"/>
      <c r="VRV92" s="580"/>
      <c r="VRW92" s="580"/>
      <c r="VRX92" s="580"/>
      <c r="VRY92" s="580"/>
      <c r="VRZ92" s="580"/>
      <c r="VSA92" s="580"/>
      <c r="VSB92" s="580"/>
      <c r="VSC92" s="580"/>
      <c r="VSD92" s="580"/>
      <c r="VSE92" s="580"/>
      <c r="VSF92" s="580"/>
      <c r="VSG92" s="580"/>
      <c r="VSH92" s="580"/>
      <c r="VSI92" s="580"/>
      <c r="VSJ92" s="580"/>
      <c r="VSK92" s="580"/>
      <c r="VSL92" s="580"/>
      <c r="VSM92" s="580"/>
      <c r="VSN92" s="580"/>
      <c r="VSO92" s="580"/>
      <c r="VSP92" s="580"/>
      <c r="VSQ92" s="580"/>
      <c r="VSR92" s="580"/>
      <c r="VSS92" s="580"/>
      <c r="VST92" s="580"/>
      <c r="VSU92" s="580"/>
      <c r="VSV92" s="580"/>
      <c r="VSW92" s="580"/>
      <c r="VSX92" s="580"/>
      <c r="VSY92" s="580"/>
      <c r="VSZ92" s="580"/>
      <c r="VTA92" s="580"/>
      <c r="VTB92" s="580"/>
      <c r="VTC92" s="580"/>
      <c r="VTD92" s="580"/>
      <c r="VTE92" s="580"/>
      <c r="VTF92" s="580"/>
      <c r="VTG92" s="580"/>
      <c r="VTH92" s="580"/>
      <c r="VTI92" s="580"/>
      <c r="VTJ92" s="580"/>
      <c r="VTK92" s="580"/>
      <c r="VTL92" s="580"/>
      <c r="VTM92" s="580"/>
      <c r="VTN92" s="580"/>
      <c r="VTO92" s="580"/>
      <c r="VTP92" s="580"/>
      <c r="VTQ92" s="580"/>
      <c r="VTR92" s="580"/>
      <c r="VTS92" s="580"/>
      <c r="VTT92" s="580"/>
      <c r="VTU92" s="580"/>
      <c r="VTV92" s="580"/>
      <c r="VTW92" s="580"/>
      <c r="VTX92" s="580"/>
      <c r="VTY92" s="580"/>
      <c r="VTZ92" s="580"/>
      <c r="VUA92" s="580"/>
      <c r="VUB92" s="580"/>
      <c r="VUC92" s="580"/>
      <c r="VUD92" s="580"/>
      <c r="VUE92" s="580"/>
      <c r="VUF92" s="580"/>
      <c r="VUG92" s="580"/>
      <c r="VUH92" s="580"/>
      <c r="VUI92" s="580"/>
      <c r="VUJ92" s="580"/>
      <c r="VUK92" s="580"/>
      <c r="VUL92" s="580"/>
      <c r="VUM92" s="580"/>
      <c r="VUN92" s="580"/>
      <c r="VUO92" s="580"/>
      <c r="VUP92" s="580"/>
      <c r="VUQ92" s="580"/>
      <c r="VUR92" s="580"/>
      <c r="VUS92" s="580"/>
      <c r="VUT92" s="580"/>
      <c r="VUU92" s="580"/>
      <c r="VUV92" s="580"/>
      <c r="VUW92" s="580"/>
      <c r="VUX92" s="580"/>
      <c r="VUY92" s="580"/>
      <c r="VUZ92" s="580"/>
      <c r="VVA92" s="580"/>
      <c r="VVB92" s="580"/>
      <c r="VVC92" s="580"/>
      <c r="VVD92" s="580"/>
      <c r="VVE92" s="580"/>
      <c r="VVF92" s="580"/>
      <c r="VVG92" s="580"/>
      <c r="VVH92" s="580"/>
      <c r="VVI92" s="580"/>
      <c r="VVJ92" s="580"/>
      <c r="VVK92" s="580"/>
      <c r="VVL92" s="580"/>
      <c r="VVM92" s="580"/>
      <c r="VVN92" s="580"/>
      <c r="VVO92" s="580"/>
      <c r="VVP92" s="580"/>
      <c r="VVQ92" s="580"/>
      <c r="VVR92" s="580"/>
      <c r="VVS92" s="580"/>
      <c r="VVT92" s="580"/>
      <c r="VVU92" s="580"/>
      <c r="VVV92" s="580"/>
      <c r="VVW92" s="580"/>
      <c r="VVX92" s="580"/>
      <c r="VVY92" s="580"/>
      <c r="VVZ92" s="580"/>
      <c r="VWA92" s="580"/>
      <c r="VWB92" s="580"/>
      <c r="VWC92" s="580"/>
      <c r="VWD92" s="580"/>
      <c r="VWE92" s="580"/>
      <c r="VWF92" s="580"/>
      <c r="VWG92" s="580"/>
      <c r="VWH92" s="580"/>
      <c r="VWI92" s="580"/>
      <c r="VWJ92" s="580"/>
      <c r="VWK92" s="580"/>
      <c r="VWL92" s="580"/>
      <c r="VWM92" s="580"/>
      <c r="VWN92" s="580"/>
      <c r="VWO92" s="580"/>
      <c r="VWP92" s="580"/>
      <c r="VWQ92" s="580"/>
      <c r="VWR92" s="580"/>
      <c r="VWS92" s="580"/>
      <c r="VWT92" s="580"/>
      <c r="VWU92" s="580"/>
      <c r="VWV92" s="580"/>
      <c r="VWW92" s="580"/>
      <c r="VWX92" s="580"/>
      <c r="VWY92" s="580"/>
      <c r="VWZ92" s="580"/>
      <c r="VXA92" s="580"/>
      <c r="VXB92" s="580"/>
      <c r="VXC92" s="580"/>
      <c r="VXD92" s="580"/>
      <c r="VXE92" s="580"/>
      <c r="VXF92" s="580"/>
      <c r="VXG92" s="580"/>
      <c r="VXH92" s="580"/>
      <c r="VXI92" s="580"/>
      <c r="VXJ92" s="580"/>
      <c r="VXK92" s="580"/>
      <c r="VXL92" s="580"/>
      <c r="VXM92" s="580"/>
      <c r="VXN92" s="580"/>
      <c r="VXO92" s="580"/>
      <c r="VXP92" s="580"/>
      <c r="VXQ92" s="580"/>
      <c r="VXR92" s="580"/>
      <c r="VXS92" s="580"/>
      <c r="VXT92" s="580"/>
      <c r="VXU92" s="580"/>
      <c r="VXV92" s="580"/>
      <c r="VXW92" s="580"/>
      <c r="VXX92" s="580"/>
      <c r="VXY92" s="580"/>
      <c r="VXZ92" s="580"/>
      <c r="VYA92" s="580"/>
      <c r="VYB92" s="580"/>
      <c r="VYC92" s="580"/>
      <c r="VYD92" s="580"/>
      <c r="VYE92" s="580"/>
      <c r="VYF92" s="580"/>
      <c r="VYG92" s="580"/>
      <c r="VYH92" s="580"/>
      <c r="VYI92" s="580"/>
      <c r="VYJ92" s="580"/>
      <c r="VYK92" s="580"/>
      <c r="VYL92" s="580"/>
      <c r="VYM92" s="580"/>
      <c r="VYN92" s="580"/>
      <c r="VYO92" s="580"/>
      <c r="VYP92" s="580"/>
      <c r="VYQ92" s="580"/>
      <c r="VYR92" s="580"/>
      <c r="VYS92" s="580"/>
      <c r="VYT92" s="580"/>
      <c r="VYU92" s="580"/>
      <c r="VYV92" s="580"/>
      <c r="VYW92" s="580"/>
      <c r="VYX92" s="580"/>
      <c r="VYY92" s="580"/>
      <c r="VYZ92" s="580"/>
      <c r="VZA92" s="580"/>
      <c r="VZB92" s="580"/>
      <c r="VZC92" s="580"/>
      <c r="VZD92" s="580"/>
      <c r="VZE92" s="580"/>
      <c r="VZF92" s="580"/>
      <c r="VZG92" s="580"/>
      <c r="VZH92" s="580"/>
      <c r="VZI92" s="580"/>
      <c r="VZJ92" s="580"/>
      <c r="VZK92" s="580"/>
      <c r="VZL92" s="580"/>
      <c r="VZM92" s="580"/>
      <c r="VZN92" s="580"/>
      <c r="VZO92" s="580"/>
      <c r="VZP92" s="580"/>
      <c r="VZQ92" s="580"/>
      <c r="VZR92" s="580"/>
      <c r="VZS92" s="580"/>
      <c r="VZT92" s="580"/>
      <c r="VZU92" s="580"/>
      <c r="VZV92" s="580"/>
      <c r="VZW92" s="580"/>
      <c r="VZX92" s="580"/>
      <c r="VZY92" s="580"/>
      <c r="VZZ92" s="580"/>
      <c r="WAA92" s="580"/>
      <c r="WAB92" s="580"/>
      <c r="WAC92" s="580"/>
      <c r="WAD92" s="580"/>
      <c r="WAE92" s="580"/>
      <c r="WAF92" s="580"/>
      <c r="WAG92" s="580"/>
      <c r="WAH92" s="580"/>
      <c r="WAI92" s="580"/>
      <c r="WAJ92" s="580"/>
      <c r="WAK92" s="580"/>
      <c r="WAL92" s="580"/>
      <c r="WAM92" s="580"/>
      <c r="WAN92" s="580"/>
      <c r="WAO92" s="580"/>
      <c r="WAP92" s="580"/>
      <c r="WAQ92" s="580"/>
      <c r="WAR92" s="580"/>
      <c r="WAS92" s="580"/>
      <c r="WAT92" s="580"/>
      <c r="WAU92" s="580"/>
      <c r="WAV92" s="580"/>
      <c r="WAW92" s="580"/>
      <c r="WAX92" s="580"/>
      <c r="WAY92" s="580"/>
      <c r="WAZ92" s="580"/>
      <c r="WBA92" s="580"/>
      <c r="WBB92" s="580"/>
      <c r="WBC92" s="580"/>
      <c r="WBD92" s="580"/>
      <c r="WBE92" s="580"/>
      <c r="WBF92" s="580"/>
      <c r="WBG92" s="580"/>
      <c r="WBH92" s="580"/>
      <c r="WBI92" s="580"/>
      <c r="WBJ92" s="580"/>
      <c r="WBK92" s="580"/>
      <c r="WBL92" s="580"/>
      <c r="WBM92" s="580"/>
      <c r="WBN92" s="580"/>
      <c r="WBO92" s="580"/>
      <c r="WBP92" s="580"/>
      <c r="WBQ92" s="580"/>
      <c r="WBR92" s="580"/>
      <c r="WBS92" s="580"/>
      <c r="WBT92" s="580"/>
      <c r="WBU92" s="580"/>
      <c r="WBV92" s="580"/>
      <c r="WBW92" s="580"/>
      <c r="WBX92" s="580"/>
      <c r="WBY92" s="580"/>
      <c r="WBZ92" s="580"/>
      <c r="WCA92" s="580"/>
      <c r="WCB92" s="580"/>
      <c r="WCC92" s="580"/>
      <c r="WCD92" s="580"/>
      <c r="WCE92" s="580"/>
      <c r="WCF92" s="580"/>
      <c r="WCG92" s="580"/>
      <c r="WCH92" s="580"/>
      <c r="WCI92" s="580"/>
      <c r="WCJ92" s="580"/>
      <c r="WCK92" s="580"/>
      <c r="WCL92" s="580"/>
      <c r="WCM92" s="580"/>
      <c r="WCN92" s="580"/>
      <c r="WCO92" s="580"/>
      <c r="WCP92" s="580"/>
      <c r="WCQ92" s="580"/>
      <c r="WCR92" s="580"/>
      <c r="WCS92" s="580"/>
      <c r="WCT92" s="580"/>
      <c r="WCU92" s="580"/>
      <c r="WCV92" s="580"/>
      <c r="WCW92" s="580"/>
      <c r="WCX92" s="580"/>
      <c r="WCY92" s="580"/>
      <c r="WCZ92" s="580"/>
      <c r="WDA92" s="580"/>
      <c r="WDB92" s="580"/>
      <c r="WDC92" s="580"/>
      <c r="WDD92" s="580"/>
      <c r="WDE92" s="580"/>
      <c r="WDF92" s="580"/>
      <c r="WDG92" s="580"/>
      <c r="WDH92" s="580"/>
      <c r="WDI92" s="580"/>
      <c r="WDJ92" s="580"/>
      <c r="WDK92" s="580"/>
      <c r="WDL92" s="580"/>
      <c r="WDM92" s="580"/>
      <c r="WDN92" s="580"/>
      <c r="WDO92" s="580"/>
      <c r="WDP92" s="580"/>
      <c r="WDQ92" s="580"/>
      <c r="WDR92" s="580"/>
      <c r="WDS92" s="580"/>
      <c r="WDT92" s="580"/>
      <c r="WDU92" s="580"/>
      <c r="WDV92" s="580"/>
      <c r="WDW92" s="580"/>
      <c r="WDX92" s="580"/>
      <c r="WDY92" s="580"/>
      <c r="WDZ92" s="580"/>
      <c r="WEA92" s="580"/>
      <c r="WEB92" s="580"/>
      <c r="WEC92" s="580"/>
      <c r="WED92" s="580"/>
      <c r="WEE92" s="580"/>
      <c r="WEF92" s="580"/>
      <c r="WEG92" s="580"/>
      <c r="WEH92" s="580"/>
      <c r="WEI92" s="580"/>
      <c r="WEJ92" s="580"/>
      <c r="WEK92" s="580"/>
      <c r="WEL92" s="580"/>
      <c r="WEM92" s="580"/>
      <c r="WEN92" s="580"/>
      <c r="WEO92" s="580"/>
      <c r="WEP92" s="580"/>
      <c r="WEQ92" s="580"/>
      <c r="WER92" s="580"/>
      <c r="WES92" s="580"/>
      <c r="WET92" s="580"/>
      <c r="WEU92" s="580"/>
      <c r="WEV92" s="580"/>
      <c r="WEW92" s="580"/>
      <c r="WEX92" s="580"/>
      <c r="WEY92" s="580"/>
      <c r="WEZ92" s="580"/>
      <c r="WFA92" s="580"/>
      <c r="WFB92" s="580"/>
      <c r="WFC92" s="580"/>
      <c r="WFD92" s="580"/>
      <c r="WFE92" s="580"/>
      <c r="WFF92" s="580"/>
      <c r="WFG92" s="580"/>
      <c r="WFH92" s="580"/>
      <c r="WFI92" s="580"/>
      <c r="WFJ92" s="580"/>
      <c r="WFK92" s="580"/>
      <c r="WFL92" s="580"/>
      <c r="WFM92" s="580"/>
      <c r="WFN92" s="580"/>
      <c r="WFO92" s="580"/>
      <c r="WFP92" s="580"/>
      <c r="WFQ92" s="580"/>
      <c r="WFR92" s="580"/>
      <c r="WFS92" s="580"/>
      <c r="WFT92" s="580"/>
      <c r="WFU92" s="580"/>
      <c r="WFV92" s="580"/>
      <c r="WFW92" s="580"/>
      <c r="WFX92" s="580"/>
      <c r="WFY92" s="580"/>
      <c r="WFZ92" s="580"/>
      <c r="WGA92" s="580"/>
      <c r="WGB92" s="580"/>
      <c r="WGC92" s="580"/>
      <c r="WGD92" s="580"/>
      <c r="WGE92" s="580"/>
      <c r="WGF92" s="580"/>
      <c r="WGG92" s="580"/>
      <c r="WGH92" s="580"/>
      <c r="WGI92" s="580"/>
      <c r="WGJ92" s="580"/>
      <c r="WGK92" s="580"/>
      <c r="WGL92" s="580"/>
      <c r="WGM92" s="580"/>
      <c r="WGN92" s="580"/>
      <c r="WGO92" s="580"/>
      <c r="WGP92" s="580"/>
      <c r="WGQ92" s="580"/>
      <c r="WGR92" s="580"/>
      <c r="WGS92" s="580"/>
      <c r="WGT92" s="580"/>
      <c r="WGU92" s="580"/>
      <c r="WGV92" s="580"/>
      <c r="WGW92" s="580"/>
      <c r="WGX92" s="580"/>
      <c r="WGY92" s="580"/>
      <c r="WGZ92" s="580"/>
      <c r="WHA92" s="580"/>
      <c r="WHB92" s="580"/>
      <c r="WHC92" s="580"/>
      <c r="WHD92" s="580"/>
      <c r="WHE92" s="580"/>
      <c r="WHF92" s="580"/>
      <c r="WHG92" s="580"/>
      <c r="WHH92" s="580"/>
      <c r="WHI92" s="580"/>
      <c r="WHJ92" s="580"/>
      <c r="WHK92" s="580"/>
      <c r="WHL92" s="580"/>
      <c r="WHM92" s="580"/>
      <c r="WHN92" s="580"/>
      <c r="WHO92" s="580"/>
      <c r="WHP92" s="580"/>
      <c r="WHQ92" s="580"/>
      <c r="WHR92" s="580"/>
      <c r="WHS92" s="580"/>
      <c r="WHT92" s="580"/>
      <c r="WHU92" s="580"/>
      <c r="WHV92" s="580"/>
      <c r="WHW92" s="580"/>
      <c r="WHX92" s="580"/>
      <c r="WHY92" s="580"/>
      <c r="WHZ92" s="580"/>
      <c r="WIA92" s="580"/>
      <c r="WIB92" s="580"/>
      <c r="WIC92" s="580"/>
      <c r="WID92" s="580"/>
      <c r="WIE92" s="580"/>
      <c r="WIF92" s="580"/>
      <c r="WIG92" s="580"/>
      <c r="WIH92" s="580"/>
      <c r="WII92" s="580"/>
      <c r="WIJ92" s="580"/>
      <c r="WIK92" s="580"/>
      <c r="WIL92" s="580"/>
      <c r="WIM92" s="580"/>
      <c r="WIN92" s="580"/>
      <c r="WIO92" s="580"/>
      <c r="WIP92" s="580"/>
      <c r="WIQ92" s="580"/>
      <c r="WIR92" s="580"/>
      <c r="WIS92" s="580"/>
      <c r="WIT92" s="580"/>
      <c r="WIU92" s="580"/>
      <c r="WIV92" s="580"/>
      <c r="WIW92" s="580"/>
      <c r="WIX92" s="580"/>
      <c r="WIY92" s="580"/>
      <c r="WIZ92" s="580"/>
      <c r="WJA92" s="580"/>
      <c r="WJB92" s="580"/>
      <c r="WJC92" s="580"/>
      <c r="WJD92" s="580"/>
      <c r="WJE92" s="580"/>
      <c r="WJF92" s="580"/>
      <c r="WJG92" s="580"/>
      <c r="WJH92" s="580"/>
      <c r="WJI92" s="580"/>
      <c r="WJJ92" s="580"/>
      <c r="WJK92" s="580"/>
      <c r="WJL92" s="580"/>
      <c r="WJM92" s="580"/>
      <c r="WJN92" s="580"/>
      <c r="WJO92" s="580"/>
      <c r="WJP92" s="580"/>
      <c r="WJQ92" s="580"/>
      <c r="WJR92" s="580"/>
      <c r="WJS92" s="580"/>
      <c r="WJT92" s="580"/>
      <c r="WJU92" s="580"/>
      <c r="WJV92" s="580"/>
      <c r="WJW92" s="580"/>
      <c r="WJX92" s="580"/>
      <c r="WJY92" s="580"/>
      <c r="WJZ92" s="580"/>
      <c r="WKA92" s="580"/>
      <c r="WKB92" s="580"/>
      <c r="WKC92" s="580"/>
      <c r="WKD92" s="580"/>
      <c r="WKE92" s="580"/>
      <c r="WKF92" s="580"/>
      <c r="WKG92" s="580"/>
      <c r="WKH92" s="580"/>
      <c r="WKI92" s="580"/>
      <c r="WKJ92" s="580"/>
      <c r="WKK92" s="580"/>
      <c r="WKL92" s="580"/>
      <c r="WKM92" s="580"/>
      <c r="WKN92" s="580"/>
      <c r="WKO92" s="580"/>
      <c r="WKP92" s="580"/>
      <c r="WKQ92" s="580"/>
      <c r="WKR92" s="580"/>
      <c r="WKS92" s="580"/>
      <c r="WKT92" s="580"/>
      <c r="WKU92" s="580"/>
      <c r="WKV92" s="580"/>
      <c r="WKW92" s="580"/>
      <c r="WKX92" s="580"/>
      <c r="WKY92" s="580"/>
      <c r="WKZ92" s="580"/>
      <c r="WLA92" s="580"/>
      <c r="WLB92" s="580"/>
      <c r="WLC92" s="580"/>
      <c r="WLD92" s="580"/>
      <c r="WLE92" s="580"/>
      <c r="WLF92" s="580"/>
      <c r="WLG92" s="580"/>
      <c r="WLH92" s="580"/>
      <c r="WLI92" s="580"/>
      <c r="WLJ92" s="580"/>
      <c r="WLK92" s="580"/>
      <c r="WLL92" s="580"/>
      <c r="WLM92" s="580"/>
      <c r="WLN92" s="580"/>
      <c r="WLO92" s="580"/>
      <c r="WLP92" s="580"/>
      <c r="WLQ92" s="580"/>
      <c r="WLR92" s="580"/>
      <c r="WLS92" s="580"/>
      <c r="WLT92" s="580"/>
      <c r="WLU92" s="580"/>
      <c r="WLV92" s="580"/>
      <c r="WLW92" s="580"/>
      <c r="WLX92" s="580"/>
      <c r="WLY92" s="580"/>
      <c r="WLZ92" s="580"/>
      <c r="WMA92" s="580"/>
      <c r="WMB92" s="580"/>
      <c r="WMC92" s="580"/>
      <c r="WMD92" s="580"/>
      <c r="WME92" s="580"/>
      <c r="WMF92" s="580"/>
      <c r="WMG92" s="580"/>
      <c r="WMH92" s="580"/>
      <c r="WMI92" s="580"/>
      <c r="WMJ92" s="580"/>
      <c r="WMK92" s="580"/>
      <c r="WML92" s="580"/>
      <c r="WMM92" s="580"/>
      <c r="WMN92" s="580"/>
      <c r="WMO92" s="580"/>
      <c r="WMP92" s="580"/>
      <c r="WMQ92" s="580"/>
      <c r="WMR92" s="580"/>
      <c r="WMS92" s="580"/>
      <c r="WMT92" s="580"/>
      <c r="WMU92" s="580"/>
      <c r="WMV92" s="580"/>
      <c r="WMW92" s="580"/>
      <c r="WMX92" s="580"/>
      <c r="WMY92" s="580"/>
      <c r="WMZ92" s="580"/>
      <c r="WNA92" s="580"/>
      <c r="WNB92" s="580"/>
      <c r="WNC92" s="580"/>
      <c r="WND92" s="580"/>
      <c r="WNE92" s="580"/>
      <c r="WNF92" s="580"/>
      <c r="WNG92" s="580"/>
      <c r="WNH92" s="580"/>
      <c r="WNI92" s="580"/>
      <c r="WNJ92" s="580"/>
      <c r="WNK92" s="580"/>
      <c r="WNL92" s="580"/>
      <c r="WNM92" s="580"/>
      <c r="WNN92" s="580"/>
      <c r="WNO92" s="580"/>
      <c r="WNP92" s="580"/>
      <c r="WNQ92" s="580"/>
      <c r="WNR92" s="580"/>
      <c r="WNS92" s="580"/>
      <c r="WNT92" s="580"/>
      <c r="WNU92" s="580"/>
      <c r="WNV92" s="580"/>
      <c r="WNW92" s="580"/>
      <c r="WNX92" s="580"/>
      <c r="WNY92" s="580"/>
      <c r="WNZ92" s="580"/>
      <c r="WOA92" s="580"/>
      <c r="WOB92" s="580"/>
      <c r="WOC92" s="580"/>
      <c r="WOD92" s="580"/>
      <c r="WOE92" s="580"/>
      <c r="WOF92" s="580"/>
      <c r="WOG92" s="580"/>
      <c r="WOH92" s="580"/>
      <c r="WOI92" s="580"/>
      <c r="WOJ92" s="580"/>
      <c r="WOK92" s="580"/>
      <c r="WOL92" s="580"/>
      <c r="WOM92" s="580"/>
      <c r="WON92" s="580"/>
      <c r="WOO92" s="580"/>
      <c r="WOP92" s="580"/>
      <c r="WOQ92" s="580"/>
      <c r="WOR92" s="580"/>
      <c r="WOS92" s="580"/>
      <c r="WOT92" s="580"/>
      <c r="WOU92" s="580"/>
      <c r="WOV92" s="580"/>
      <c r="WOW92" s="580"/>
      <c r="WOX92" s="580"/>
      <c r="WOY92" s="580"/>
      <c r="WOZ92" s="580"/>
      <c r="WPA92" s="580"/>
      <c r="WPB92" s="580"/>
      <c r="WPC92" s="580"/>
      <c r="WPD92" s="580"/>
      <c r="WPE92" s="580"/>
      <c r="WPF92" s="580"/>
      <c r="WPG92" s="580"/>
      <c r="WPH92" s="580"/>
      <c r="WPI92" s="580"/>
      <c r="WPJ92" s="580"/>
      <c r="WPK92" s="580"/>
      <c r="WPL92" s="580"/>
      <c r="WPM92" s="580"/>
      <c r="WPN92" s="580"/>
      <c r="WPO92" s="580"/>
      <c r="WPP92" s="580"/>
      <c r="WPQ92" s="580"/>
      <c r="WPR92" s="580"/>
      <c r="WPS92" s="580"/>
      <c r="WPT92" s="580"/>
      <c r="WPU92" s="580"/>
      <c r="WPV92" s="580"/>
      <c r="WPW92" s="580"/>
      <c r="WPX92" s="580"/>
      <c r="WPY92" s="580"/>
      <c r="WPZ92" s="580"/>
      <c r="WQA92" s="580"/>
      <c r="WQB92" s="580"/>
      <c r="WQC92" s="580"/>
      <c r="WQD92" s="580"/>
      <c r="WQE92" s="580"/>
      <c r="WQF92" s="580"/>
      <c r="WQG92" s="580"/>
      <c r="WQH92" s="580"/>
      <c r="WQI92" s="580"/>
      <c r="WQJ92" s="580"/>
      <c r="WQK92" s="580"/>
      <c r="WQL92" s="580"/>
      <c r="WQM92" s="580"/>
      <c r="WQN92" s="580"/>
      <c r="WQO92" s="580"/>
      <c r="WQP92" s="580"/>
      <c r="WQQ92" s="580"/>
      <c r="WQR92" s="580"/>
      <c r="WQS92" s="580"/>
      <c r="WQT92" s="580"/>
      <c r="WQU92" s="580"/>
      <c r="WQV92" s="580"/>
      <c r="WQW92" s="580"/>
      <c r="WQX92" s="580"/>
      <c r="WQY92" s="580"/>
      <c r="WQZ92" s="580"/>
      <c r="WRA92" s="580"/>
      <c r="WRB92" s="580"/>
      <c r="WRC92" s="580"/>
      <c r="WRD92" s="580"/>
      <c r="WRE92" s="580"/>
      <c r="WRF92" s="580"/>
      <c r="WRG92" s="580"/>
      <c r="WRH92" s="580"/>
      <c r="WRI92" s="580"/>
      <c r="WRJ92" s="580"/>
      <c r="WRK92" s="580"/>
      <c r="WRL92" s="580"/>
      <c r="WRM92" s="580"/>
      <c r="WRN92" s="580"/>
      <c r="WRO92" s="580"/>
      <c r="WRP92" s="580"/>
      <c r="WRQ92" s="580"/>
      <c r="WRR92" s="580"/>
      <c r="WRS92" s="580"/>
      <c r="WRT92" s="580"/>
      <c r="WRU92" s="580"/>
      <c r="WRV92" s="580"/>
      <c r="WRW92" s="580"/>
      <c r="WRX92" s="580"/>
      <c r="WRY92" s="580"/>
      <c r="WRZ92" s="580"/>
      <c r="WSA92" s="580"/>
      <c r="WSB92" s="580"/>
      <c r="WSC92" s="580"/>
      <c r="WSD92" s="580"/>
      <c r="WSE92" s="580"/>
      <c r="WSF92" s="580"/>
      <c r="WSG92" s="580"/>
      <c r="WSH92" s="580"/>
      <c r="WSI92" s="580"/>
      <c r="WSJ92" s="580"/>
      <c r="WSK92" s="580"/>
      <c r="WSL92" s="580"/>
      <c r="WSM92" s="580"/>
      <c r="WSN92" s="580"/>
      <c r="WSO92" s="580"/>
      <c r="WSP92" s="580"/>
      <c r="WSQ92" s="580"/>
      <c r="WSR92" s="580"/>
      <c r="WSS92" s="580"/>
      <c r="WST92" s="580"/>
      <c r="WSU92" s="580"/>
      <c r="WSV92" s="580"/>
      <c r="WSW92" s="580"/>
      <c r="WSX92" s="580"/>
      <c r="WSY92" s="580"/>
      <c r="WSZ92" s="580"/>
      <c r="WTA92" s="580"/>
      <c r="WTB92" s="580"/>
      <c r="WTC92" s="580"/>
      <c r="WTD92" s="580"/>
      <c r="WTE92" s="580"/>
      <c r="WTF92" s="580"/>
      <c r="WTG92" s="580"/>
      <c r="WTH92" s="580"/>
      <c r="WTI92" s="580"/>
      <c r="WTJ92" s="580"/>
      <c r="WTK92" s="580"/>
      <c r="WTL92" s="580"/>
      <c r="WTM92" s="580"/>
      <c r="WTN92" s="580"/>
      <c r="WTO92" s="580"/>
      <c r="WTP92" s="580"/>
      <c r="WTQ92" s="580"/>
      <c r="WTR92" s="580"/>
      <c r="WTS92" s="580"/>
      <c r="WTT92" s="580"/>
      <c r="WTU92" s="580"/>
      <c r="WTV92" s="580"/>
      <c r="WTW92" s="580"/>
      <c r="WTX92" s="580"/>
      <c r="WTY92" s="580"/>
      <c r="WTZ92" s="580"/>
      <c r="WUA92" s="580"/>
      <c r="WUB92" s="580"/>
      <c r="WUC92" s="580"/>
      <c r="WUD92" s="580"/>
      <c r="WUE92" s="580"/>
      <c r="WUF92" s="580"/>
      <c r="WUG92" s="580"/>
      <c r="WUH92" s="580"/>
      <c r="WUI92" s="580"/>
      <c r="WUJ92" s="580"/>
      <c r="WUK92" s="580"/>
      <c r="WUL92" s="580"/>
      <c r="WUM92" s="580"/>
      <c r="WUN92" s="580"/>
      <c r="WUO92" s="580"/>
      <c r="WUP92" s="580"/>
      <c r="WUQ92" s="580"/>
      <c r="WUR92" s="580"/>
      <c r="WUS92" s="580"/>
      <c r="WUT92" s="580"/>
      <c r="WUU92" s="580"/>
      <c r="WUV92" s="580"/>
      <c r="WUW92" s="580"/>
      <c r="WUX92" s="580"/>
      <c r="WUY92" s="580"/>
      <c r="WUZ92" s="580"/>
      <c r="WVA92" s="580"/>
      <c r="WVB92" s="580"/>
      <c r="WVC92" s="580"/>
      <c r="WVD92" s="580"/>
      <c r="WVE92" s="580"/>
      <c r="WVF92" s="580"/>
      <c r="WVG92" s="580"/>
      <c r="WVH92" s="580"/>
      <c r="WVI92" s="580"/>
      <c r="WVJ92" s="580"/>
      <c r="WVK92" s="580"/>
      <c r="WVL92" s="580"/>
      <c r="WVM92" s="580"/>
      <c r="WVN92" s="580"/>
      <c r="WVO92" s="580"/>
      <c r="WVP92" s="580"/>
      <c r="WVQ92" s="580"/>
      <c r="WVR92" s="580"/>
      <c r="WVS92" s="580"/>
      <c r="WVT92" s="580"/>
      <c r="WVU92" s="580"/>
      <c r="WVV92" s="580"/>
      <c r="WVW92" s="580"/>
      <c r="WVX92" s="580"/>
      <c r="WVY92" s="580"/>
      <c r="WVZ92" s="580"/>
      <c r="WWA92" s="580"/>
      <c r="WWB92" s="580"/>
      <c r="WWC92" s="580"/>
      <c r="WWD92" s="580"/>
      <c r="WWE92" s="580"/>
      <c r="WWF92" s="580"/>
      <c r="WWG92" s="580"/>
      <c r="WWH92" s="580"/>
      <c r="WWI92" s="580"/>
      <c r="WWJ92" s="580"/>
      <c r="WWK92" s="580"/>
      <c r="WWL92" s="580"/>
      <c r="WWM92" s="580"/>
      <c r="WWN92" s="580"/>
      <c r="WWO92" s="580"/>
      <c r="WWP92" s="580"/>
      <c r="WWQ92" s="580"/>
      <c r="WWR92" s="580"/>
      <c r="WWS92" s="580"/>
      <c r="WWT92" s="580"/>
      <c r="WWU92" s="580"/>
      <c r="WWV92" s="580"/>
      <c r="WWW92" s="580"/>
      <c r="WWX92" s="580"/>
      <c r="WWY92" s="580"/>
      <c r="WWZ92" s="580"/>
      <c r="WXA92" s="580"/>
      <c r="WXB92" s="580"/>
      <c r="WXC92" s="580"/>
      <c r="WXD92" s="580"/>
      <c r="WXE92" s="580"/>
      <c r="WXF92" s="580"/>
      <c r="WXG92" s="580"/>
      <c r="WXH92" s="580"/>
      <c r="WXI92" s="580"/>
      <c r="WXJ92" s="580"/>
      <c r="WXK92" s="580"/>
      <c r="WXL92" s="580"/>
      <c r="WXM92" s="580"/>
      <c r="WXN92" s="580"/>
      <c r="WXO92" s="580"/>
      <c r="WXP92" s="580"/>
      <c r="WXQ92" s="580"/>
      <c r="WXR92" s="580"/>
      <c r="WXS92" s="580"/>
      <c r="WXT92" s="580"/>
      <c r="WXU92" s="580"/>
      <c r="WXV92" s="580"/>
      <c r="WXW92" s="580"/>
      <c r="WXX92" s="580"/>
      <c r="WXY92" s="580"/>
      <c r="WXZ92" s="580"/>
      <c r="WYA92" s="580"/>
      <c r="WYB92" s="580"/>
      <c r="WYC92" s="580"/>
      <c r="WYD92" s="580"/>
      <c r="WYE92" s="580"/>
      <c r="WYF92" s="580"/>
      <c r="WYG92" s="580"/>
      <c r="WYH92" s="580"/>
      <c r="WYI92" s="580"/>
      <c r="WYJ92" s="580"/>
      <c r="WYK92" s="580"/>
      <c r="WYL92" s="580"/>
      <c r="WYM92" s="580"/>
      <c r="WYN92" s="580"/>
      <c r="WYO92" s="580"/>
      <c r="WYP92" s="580"/>
      <c r="WYQ92" s="580"/>
      <c r="WYR92" s="580"/>
      <c r="WYS92" s="580"/>
      <c r="WYT92" s="580"/>
      <c r="WYU92" s="580"/>
      <c r="WYV92" s="580"/>
      <c r="WYW92" s="580"/>
      <c r="WYX92" s="580"/>
      <c r="WYY92" s="580"/>
      <c r="WYZ92" s="580"/>
      <c r="WZA92" s="580"/>
      <c r="WZB92" s="580"/>
      <c r="WZC92" s="580"/>
      <c r="WZD92" s="580"/>
      <c r="WZE92" s="580"/>
      <c r="WZF92" s="580"/>
      <c r="WZG92" s="580"/>
      <c r="WZH92" s="580"/>
      <c r="WZI92" s="580"/>
      <c r="WZJ92" s="580"/>
      <c r="WZK92" s="580"/>
      <c r="WZL92" s="580"/>
      <c r="WZM92" s="580"/>
      <c r="WZN92" s="580"/>
      <c r="WZO92" s="580"/>
      <c r="WZP92" s="580"/>
      <c r="WZQ92" s="580"/>
      <c r="WZR92" s="580"/>
      <c r="WZS92" s="580"/>
      <c r="WZT92" s="580"/>
      <c r="WZU92" s="580"/>
      <c r="WZV92" s="580"/>
      <c r="WZW92" s="580"/>
      <c r="WZX92" s="580"/>
      <c r="WZY92" s="580"/>
      <c r="WZZ92" s="580"/>
      <c r="XAA92" s="580"/>
      <c r="XAB92" s="580"/>
      <c r="XAC92" s="580"/>
      <c r="XAD92" s="580"/>
      <c r="XAE92" s="580"/>
      <c r="XAF92" s="580"/>
      <c r="XAG92" s="580"/>
      <c r="XAH92" s="580"/>
      <c r="XAI92" s="580"/>
      <c r="XAJ92" s="580"/>
      <c r="XAK92" s="580"/>
      <c r="XAL92" s="580"/>
      <c r="XAM92" s="580"/>
      <c r="XAN92" s="580"/>
      <c r="XAO92" s="580"/>
      <c r="XAP92" s="580"/>
      <c r="XAQ92" s="580"/>
      <c r="XAR92" s="580"/>
      <c r="XAS92" s="580"/>
      <c r="XAT92" s="580"/>
      <c r="XAU92" s="580"/>
      <c r="XAV92" s="580"/>
      <c r="XAW92" s="580"/>
      <c r="XAX92" s="580"/>
      <c r="XAY92" s="580"/>
      <c r="XAZ92" s="580"/>
      <c r="XBA92" s="580"/>
      <c r="XBB92" s="580"/>
      <c r="XBC92" s="580"/>
      <c r="XBD92" s="580"/>
      <c r="XBE92" s="580"/>
      <c r="XBF92" s="580"/>
      <c r="XBG92" s="580"/>
      <c r="XBH92" s="580"/>
      <c r="XBI92" s="580"/>
      <c r="XBJ92" s="580"/>
      <c r="XBK92" s="580"/>
      <c r="XBL92" s="580"/>
      <c r="XBM92" s="580"/>
      <c r="XBN92" s="580"/>
      <c r="XBO92" s="580"/>
      <c r="XBP92" s="580"/>
      <c r="XBQ92" s="580"/>
      <c r="XBR92" s="580"/>
      <c r="XBS92" s="580"/>
      <c r="XBT92" s="580"/>
      <c r="XBU92" s="580"/>
      <c r="XBV92" s="580"/>
      <c r="XBW92" s="580"/>
      <c r="XBX92" s="580"/>
      <c r="XBY92" s="580"/>
      <c r="XBZ92" s="580"/>
      <c r="XCA92" s="580"/>
      <c r="XCB92" s="580"/>
      <c r="XCC92" s="580"/>
      <c r="XCD92" s="580"/>
      <c r="XCE92" s="580"/>
      <c r="XCF92" s="580"/>
      <c r="XCG92" s="580"/>
      <c r="XCH92" s="580"/>
      <c r="XCI92" s="580"/>
      <c r="XCJ92" s="580"/>
      <c r="XCK92" s="580"/>
      <c r="XCL92" s="580"/>
      <c r="XCM92" s="580"/>
      <c r="XCN92" s="580"/>
      <c r="XCO92" s="580"/>
      <c r="XCP92" s="580"/>
      <c r="XCQ92" s="580"/>
      <c r="XCR92" s="580"/>
      <c r="XCS92" s="580"/>
      <c r="XCT92" s="580"/>
      <c r="XCU92" s="580"/>
      <c r="XCV92" s="580"/>
      <c r="XCW92" s="580"/>
      <c r="XCX92" s="580"/>
      <c r="XCY92" s="580"/>
      <c r="XCZ92" s="580"/>
      <c r="XDA92" s="580"/>
      <c r="XDB92" s="580"/>
      <c r="XDC92" s="580"/>
      <c r="XDD92" s="580"/>
      <c r="XDE92" s="580"/>
      <c r="XDF92" s="580"/>
      <c r="XDG92" s="580"/>
      <c r="XDH92" s="580"/>
      <c r="XDI92" s="580"/>
      <c r="XDJ92" s="580"/>
      <c r="XDK92" s="580"/>
      <c r="XDL92" s="580"/>
      <c r="XDM92" s="580"/>
      <c r="XDN92" s="580"/>
      <c r="XDO92" s="580"/>
      <c r="XDP92" s="580"/>
      <c r="XDQ92" s="580"/>
      <c r="XDR92" s="580"/>
      <c r="XDS92" s="580"/>
      <c r="XDT92" s="580"/>
      <c r="XDU92" s="580"/>
      <c r="XDV92" s="580"/>
      <c r="XDW92" s="580"/>
      <c r="XDX92" s="580"/>
      <c r="XDY92" s="580"/>
      <c r="XDZ92" s="580"/>
      <c r="XEA92" s="580"/>
      <c r="XEB92" s="580"/>
      <c r="XEC92" s="580"/>
      <c r="XED92" s="580"/>
      <c r="XEE92" s="580"/>
      <c r="XEF92" s="580"/>
      <c r="XEG92" s="580"/>
      <c r="XEH92" s="580"/>
      <c r="XEI92" s="580"/>
      <c r="XEJ92" s="580"/>
      <c r="XEK92" s="580"/>
      <c r="XEL92" s="580"/>
      <c r="XEM92" s="580"/>
      <c r="XEN92" s="580"/>
      <c r="XEO92" s="580"/>
      <c r="XEP92" s="580"/>
      <c r="XEQ92" s="580"/>
      <c r="XER92" s="580"/>
      <c r="XES92" s="580"/>
      <c r="XET92" s="580"/>
      <c r="XEU92" s="580"/>
      <c r="XEV92" s="580"/>
      <c r="XEW92" s="580"/>
      <c r="XEX92" s="580"/>
      <c r="XEY92" s="580"/>
      <c r="XEZ92" s="580"/>
      <c r="XFA92" s="580"/>
      <c r="XFB92" s="580"/>
      <c r="XFC92" s="580"/>
      <c r="XFD92" s="580"/>
    </row>
    <row r="93" spans="1:16384">
      <c r="E93" s="73">
        <f>SUM(E79:E92)</f>
        <v>164</v>
      </c>
      <c r="F93" s="74"/>
      <c r="G93" s="72" t="str">
        <f t="shared" si="150"/>
        <v/>
      </c>
      <c r="H93" s="46"/>
      <c r="I93" t="s">
        <v>128</v>
      </c>
      <c r="J93" t="s">
        <v>148</v>
      </c>
      <c r="K93" s="75" t="s">
        <v>149</v>
      </c>
      <c r="L93" s="96">
        <v>935</v>
      </c>
      <c r="M93" s="68">
        <f t="shared" si="206"/>
        <v>0</v>
      </c>
      <c r="N93" s="68">
        <f t="shared" si="206"/>
        <v>0</v>
      </c>
      <c r="O93" s="68">
        <f t="shared" si="206"/>
        <v>0</v>
      </c>
      <c r="P93" s="68">
        <f t="shared" si="206"/>
        <v>0</v>
      </c>
      <c r="Q93" s="68">
        <f t="shared" si="206"/>
        <v>103</v>
      </c>
      <c r="R93" s="565">
        <f t="shared" si="234"/>
        <v>0</v>
      </c>
      <c r="S93" s="603">
        <v>0</v>
      </c>
      <c r="T93" s="603">
        <v>0</v>
      </c>
      <c r="U93" s="603">
        <v>0</v>
      </c>
      <c r="V93" s="603">
        <v>0</v>
      </c>
      <c r="W93" s="603">
        <v>6.89</v>
      </c>
      <c r="Y93" s="69">
        <f>IF(AND(M93&lt;&gt;0,S93=0),#VALUE!,M93*S93)</f>
        <v>0</v>
      </c>
      <c r="Z93" s="69">
        <f t="shared" si="58"/>
        <v>0</v>
      </c>
      <c r="AA93" s="69">
        <f t="shared" si="59"/>
        <v>0</v>
      </c>
      <c r="AB93" s="69">
        <f t="shared" si="60"/>
        <v>0</v>
      </c>
      <c r="AC93" s="69">
        <f t="shared" si="61"/>
        <v>709.67</v>
      </c>
      <c r="AE93" s="68">
        <f t="shared" si="62"/>
        <v>0</v>
      </c>
      <c r="AF93" s="68">
        <f t="shared" si="125"/>
        <v>0</v>
      </c>
      <c r="AG93" s="68">
        <f t="shared" si="126"/>
        <v>0</v>
      </c>
      <c r="AH93" s="68">
        <f t="shared" si="127"/>
        <v>0</v>
      </c>
      <c r="AI93" s="68">
        <f t="shared" si="128"/>
        <v>103</v>
      </c>
      <c r="AK93" s="570">
        <f t="shared" ref="AK93:AK135" si="235">ROUND(S93*(1+AK$1),2)</f>
        <v>0</v>
      </c>
      <c r="AL93" s="570">
        <f t="shared" si="233"/>
        <v>0</v>
      </c>
      <c r="AM93" s="570">
        <f t="shared" si="157"/>
        <v>0</v>
      </c>
      <c r="AN93" s="570">
        <f t="shared" si="158"/>
        <v>0</v>
      </c>
      <c r="AO93" s="570">
        <f t="shared" si="159"/>
        <v>7.12</v>
      </c>
      <c r="AQ93" s="69">
        <f t="shared" si="160"/>
        <v>0</v>
      </c>
      <c r="AR93" s="69">
        <f t="shared" si="152"/>
        <v>0</v>
      </c>
      <c r="AS93" s="69">
        <f t="shared" si="161"/>
        <v>0</v>
      </c>
      <c r="AT93" s="69">
        <f t="shared" si="162"/>
        <v>0</v>
      </c>
      <c r="AU93" s="69">
        <f t="shared" si="163"/>
        <v>733.36</v>
      </c>
      <c r="AV93" s="69">
        <f t="shared" si="209"/>
        <v>0</v>
      </c>
      <c r="AW93" s="443" t="e">
        <f t="shared" si="204"/>
        <v>#DIV/0!</v>
      </c>
      <c r="AX93" s="434">
        <v>62</v>
      </c>
      <c r="AY93" s="567"/>
      <c r="AZ93" s="567"/>
      <c r="BA93" s="567"/>
      <c r="BB93" s="567"/>
      <c r="BC93" s="567">
        <v>7.12</v>
      </c>
      <c r="BD93" s="139"/>
      <c r="BE93" s="573">
        <f t="shared" si="164"/>
        <v>0.13</v>
      </c>
      <c r="BF93" s="53"/>
      <c r="BG93" s="53"/>
      <c r="BH93" s="53"/>
      <c r="BI93" s="53"/>
      <c r="BJ93" s="53">
        <f>ROUND((W93*$BF$2)+$BE93-BC93,2)</f>
        <v>0</v>
      </c>
      <c r="BM93" s="278">
        <f t="shared" si="165"/>
        <v>0</v>
      </c>
      <c r="BN93" s="278">
        <f t="shared" si="166"/>
        <v>0</v>
      </c>
      <c r="BO93" s="278">
        <f t="shared" si="76"/>
        <v>0</v>
      </c>
      <c r="BP93" s="278">
        <f t="shared" si="77"/>
        <v>0</v>
      </c>
      <c r="BQ93" s="278">
        <f t="shared" si="78"/>
        <v>7.227511999999999</v>
      </c>
      <c r="BS93" s="53">
        <f t="shared" si="70"/>
        <v>0</v>
      </c>
      <c r="BT93" s="53">
        <f t="shared" si="71"/>
        <v>0</v>
      </c>
      <c r="BU93" s="53">
        <f t="shared" si="72"/>
        <v>0</v>
      </c>
      <c r="BV93" s="53">
        <f t="shared" si="73"/>
        <v>0</v>
      </c>
      <c r="BW93" s="53">
        <f t="shared" si="74"/>
        <v>0.10751199999999894</v>
      </c>
      <c r="DC93" s="664"/>
      <c r="DD93" s="664"/>
      <c r="DE93" s="664"/>
      <c r="DF93" s="664"/>
      <c r="DG93" s="664"/>
      <c r="FY93" s="580"/>
      <c r="FZ93" s="580"/>
      <c r="GA93" s="580"/>
      <c r="GB93" s="580"/>
      <c r="GC93" s="580"/>
      <c r="GD93" s="580"/>
      <c r="GE93" s="580"/>
      <c r="GF93" s="580"/>
      <c r="GG93" s="580"/>
      <c r="GH93" s="580"/>
      <c r="GI93" s="580"/>
      <c r="GJ93" s="580"/>
      <c r="GK93" s="580"/>
      <c r="GL93" s="580"/>
      <c r="GM93" s="580"/>
      <c r="GN93" s="580"/>
      <c r="GO93" s="580"/>
      <c r="GP93" s="580"/>
      <c r="GQ93" s="580"/>
      <c r="GR93" s="580"/>
      <c r="GS93" s="580"/>
      <c r="GT93" s="580"/>
      <c r="GU93" s="580"/>
      <c r="GV93" s="580"/>
      <c r="GW93" s="580"/>
      <c r="GX93" s="580"/>
      <c r="GY93" s="580"/>
      <c r="GZ93" s="580"/>
      <c r="HA93" s="580"/>
      <c r="HB93" s="580"/>
      <c r="HC93" s="580"/>
      <c r="HD93" s="580"/>
      <c r="HE93" s="580"/>
      <c r="HF93" s="580"/>
      <c r="HG93" s="580"/>
      <c r="HH93" s="580"/>
      <c r="HI93" s="580"/>
      <c r="HJ93" s="580"/>
      <c r="HK93" s="580"/>
      <c r="HL93" s="580"/>
      <c r="HM93" s="580"/>
      <c r="HN93" s="580"/>
      <c r="HO93" s="580"/>
      <c r="HP93" s="580"/>
      <c r="HQ93" s="580"/>
      <c r="HR93" s="580"/>
      <c r="HS93" s="580"/>
      <c r="HT93" s="580"/>
      <c r="HU93" s="580"/>
      <c r="HV93" s="580"/>
      <c r="HW93" s="580"/>
      <c r="HX93" s="580"/>
      <c r="HY93" s="580"/>
      <c r="HZ93" s="580"/>
      <c r="IA93" s="580"/>
      <c r="IB93" s="580"/>
      <c r="IC93" s="580"/>
      <c r="ID93" s="580"/>
      <c r="IE93" s="580"/>
      <c r="IF93" s="580"/>
      <c r="IG93" s="580"/>
      <c r="IH93" s="580"/>
      <c r="II93" s="580"/>
      <c r="IJ93" s="580"/>
      <c r="IK93" s="580"/>
      <c r="IL93" s="580"/>
      <c r="IM93" s="580"/>
      <c r="IN93" s="580"/>
      <c r="IO93" s="580"/>
      <c r="IP93" s="580"/>
      <c r="IQ93" s="580"/>
      <c r="IR93" s="580"/>
      <c r="IS93" s="580"/>
      <c r="IT93" s="580"/>
      <c r="IU93" s="580"/>
      <c r="IV93" s="580"/>
      <c r="IW93" s="580"/>
      <c r="IX93" s="580"/>
      <c r="IY93" s="580"/>
      <c r="IZ93" s="580"/>
      <c r="JA93" s="580"/>
      <c r="JB93" s="580"/>
      <c r="JC93" s="580"/>
      <c r="JD93" s="580"/>
      <c r="JE93" s="580"/>
      <c r="JF93" s="580"/>
      <c r="JG93" s="580"/>
      <c r="JH93" s="580"/>
      <c r="JI93" s="580"/>
      <c r="JJ93" s="580"/>
      <c r="JK93" s="580"/>
      <c r="JL93" s="580"/>
      <c r="JM93" s="580"/>
      <c r="JN93" s="580"/>
      <c r="JO93" s="580"/>
      <c r="JP93" s="580"/>
      <c r="JQ93" s="580"/>
      <c r="JR93" s="580"/>
      <c r="JS93" s="580"/>
      <c r="JT93" s="580"/>
      <c r="JU93" s="580"/>
      <c r="JV93" s="580"/>
      <c r="JW93" s="580"/>
      <c r="JX93" s="580"/>
      <c r="JY93" s="580"/>
      <c r="JZ93" s="580"/>
      <c r="KA93" s="580"/>
      <c r="KB93" s="580"/>
      <c r="KC93" s="580"/>
      <c r="KD93" s="580"/>
      <c r="KE93" s="580"/>
      <c r="KF93" s="580"/>
      <c r="KG93" s="580"/>
      <c r="KH93" s="580"/>
      <c r="KI93" s="580"/>
      <c r="KJ93" s="580"/>
      <c r="KK93" s="580"/>
      <c r="KL93" s="580"/>
      <c r="KM93" s="580"/>
      <c r="KN93" s="580"/>
      <c r="KO93" s="580"/>
      <c r="KP93" s="580"/>
      <c r="KQ93" s="580"/>
      <c r="KR93" s="580"/>
      <c r="KS93" s="580"/>
      <c r="KT93" s="580"/>
      <c r="KU93" s="580"/>
      <c r="KV93" s="580"/>
      <c r="KW93" s="580"/>
      <c r="KX93" s="580"/>
      <c r="KY93" s="580"/>
      <c r="KZ93" s="580"/>
      <c r="LA93" s="580"/>
      <c r="LB93" s="580"/>
      <c r="LC93" s="580"/>
      <c r="LD93" s="580"/>
      <c r="LE93" s="580"/>
      <c r="LF93" s="580"/>
      <c r="LG93" s="580"/>
      <c r="LH93" s="580"/>
      <c r="LI93" s="580"/>
      <c r="LJ93" s="580"/>
      <c r="LK93" s="580"/>
      <c r="LL93" s="580"/>
      <c r="LM93" s="580"/>
      <c r="LN93" s="580"/>
      <c r="LO93" s="580"/>
      <c r="LP93" s="580"/>
      <c r="LQ93" s="580"/>
      <c r="LR93" s="580"/>
      <c r="LS93" s="580"/>
      <c r="LT93" s="580"/>
      <c r="LU93" s="580"/>
      <c r="LV93" s="580"/>
      <c r="LW93" s="580"/>
      <c r="LX93" s="580"/>
      <c r="LY93" s="580"/>
      <c r="LZ93" s="580"/>
      <c r="MA93" s="580"/>
      <c r="MB93" s="580"/>
      <c r="MC93" s="580"/>
      <c r="MD93" s="580"/>
      <c r="ME93" s="580"/>
      <c r="MF93" s="580"/>
      <c r="MG93" s="580"/>
      <c r="MH93" s="580"/>
      <c r="MI93" s="580"/>
      <c r="MJ93" s="580"/>
      <c r="MK93" s="580"/>
      <c r="ML93" s="580"/>
      <c r="MM93" s="580"/>
      <c r="MN93" s="580"/>
      <c r="MO93" s="580"/>
      <c r="MP93" s="580"/>
      <c r="MQ93" s="580"/>
      <c r="MR93" s="580"/>
      <c r="MS93" s="580"/>
      <c r="MT93" s="580"/>
      <c r="MU93" s="580"/>
      <c r="MV93" s="580"/>
      <c r="MW93" s="580"/>
      <c r="MX93" s="580"/>
      <c r="MY93" s="580"/>
      <c r="MZ93" s="580"/>
      <c r="NA93" s="580"/>
      <c r="NB93" s="580"/>
      <c r="NC93" s="580"/>
      <c r="ND93" s="580"/>
      <c r="NE93" s="580"/>
      <c r="NF93" s="580"/>
      <c r="NG93" s="580"/>
      <c r="NH93" s="580"/>
      <c r="NI93" s="580"/>
      <c r="NJ93" s="580"/>
      <c r="NK93" s="580"/>
      <c r="NL93" s="580"/>
      <c r="NM93" s="580"/>
      <c r="NN93" s="580"/>
      <c r="NO93" s="580"/>
      <c r="NP93" s="580"/>
      <c r="NQ93" s="580"/>
      <c r="NR93" s="580"/>
      <c r="NS93" s="580"/>
      <c r="NT93" s="580"/>
      <c r="NU93" s="580"/>
      <c r="NV93" s="580"/>
      <c r="NW93" s="580"/>
      <c r="NX93" s="580"/>
      <c r="NY93" s="580"/>
      <c r="NZ93" s="580"/>
      <c r="OA93" s="580"/>
      <c r="OB93" s="580"/>
      <c r="OC93" s="580"/>
      <c r="OD93" s="580"/>
      <c r="OE93" s="580"/>
      <c r="OF93" s="580"/>
      <c r="OG93" s="580"/>
      <c r="OH93" s="580"/>
      <c r="OI93" s="580"/>
      <c r="OJ93" s="580"/>
      <c r="OK93" s="580"/>
      <c r="OL93" s="580"/>
      <c r="OM93" s="580"/>
      <c r="ON93" s="580"/>
      <c r="OO93" s="580"/>
      <c r="OP93" s="580"/>
      <c r="OQ93" s="580"/>
      <c r="OR93" s="580"/>
      <c r="OS93" s="580"/>
      <c r="OT93" s="580"/>
      <c r="OU93" s="580"/>
      <c r="OV93" s="580"/>
      <c r="OW93" s="580"/>
      <c r="OX93" s="580"/>
      <c r="OY93" s="580"/>
      <c r="OZ93" s="580"/>
      <c r="PA93" s="580"/>
      <c r="PB93" s="580"/>
      <c r="PC93" s="580"/>
      <c r="PD93" s="580"/>
      <c r="PE93" s="580"/>
      <c r="PF93" s="580"/>
      <c r="PG93" s="580"/>
      <c r="PH93" s="580"/>
      <c r="PI93" s="580"/>
      <c r="PJ93" s="580"/>
      <c r="PK93" s="580"/>
      <c r="PL93" s="580"/>
      <c r="PM93" s="580"/>
      <c r="PN93" s="580"/>
      <c r="PO93" s="580"/>
      <c r="PP93" s="580"/>
      <c r="PQ93" s="580"/>
      <c r="PR93" s="580"/>
      <c r="PS93" s="580"/>
      <c r="PT93" s="580"/>
      <c r="PU93" s="580"/>
      <c r="PV93" s="580"/>
      <c r="PW93" s="580"/>
      <c r="PX93" s="580"/>
      <c r="PY93" s="580"/>
      <c r="PZ93" s="580"/>
      <c r="QA93" s="580"/>
      <c r="QB93" s="580"/>
      <c r="QC93" s="580"/>
      <c r="QD93" s="580"/>
      <c r="QE93" s="580"/>
      <c r="QF93" s="580"/>
      <c r="QG93" s="580"/>
      <c r="QH93" s="580"/>
      <c r="QI93" s="580"/>
      <c r="QJ93" s="580"/>
      <c r="QK93" s="580"/>
      <c r="QL93" s="580"/>
      <c r="QM93" s="580"/>
      <c r="QN93" s="580"/>
      <c r="QO93" s="580"/>
      <c r="QP93" s="580"/>
      <c r="QQ93" s="580"/>
      <c r="QR93" s="580"/>
      <c r="QS93" s="580"/>
      <c r="QT93" s="580"/>
      <c r="QU93" s="580"/>
      <c r="QV93" s="580"/>
      <c r="QW93" s="580"/>
      <c r="QX93" s="580"/>
      <c r="QY93" s="580"/>
      <c r="QZ93" s="580"/>
      <c r="RA93" s="580"/>
      <c r="RB93" s="580"/>
      <c r="RC93" s="580"/>
      <c r="RD93" s="580"/>
      <c r="RE93" s="580"/>
      <c r="RF93" s="580"/>
      <c r="RG93" s="580"/>
      <c r="RH93" s="580"/>
      <c r="RI93" s="580"/>
      <c r="RJ93" s="580"/>
      <c r="RK93" s="580"/>
      <c r="RL93" s="580"/>
      <c r="RM93" s="580"/>
      <c r="RN93" s="580"/>
      <c r="RO93" s="580"/>
      <c r="RP93" s="580"/>
      <c r="RQ93" s="580"/>
      <c r="RR93" s="580"/>
      <c r="RS93" s="580"/>
      <c r="RT93" s="580"/>
      <c r="RU93" s="580"/>
      <c r="RV93" s="580"/>
      <c r="RW93" s="580"/>
      <c r="RX93" s="580"/>
      <c r="RY93" s="580"/>
      <c r="RZ93" s="580"/>
      <c r="SA93" s="580"/>
      <c r="SB93" s="580"/>
      <c r="SC93" s="580"/>
      <c r="SD93" s="580"/>
      <c r="SE93" s="580"/>
      <c r="SF93" s="580"/>
      <c r="SG93" s="580"/>
      <c r="SH93" s="580"/>
      <c r="SI93" s="580"/>
      <c r="SJ93" s="580"/>
      <c r="SK93" s="580"/>
      <c r="SL93" s="580"/>
      <c r="SM93" s="580"/>
      <c r="SN93" s="580"/>
      <c r="SO93" s="580"/>
      <c r="SP93" s="580"/>
      <c r="SQ93" s="580"/>
      <c r="SR93" s="580"/>
      <c r="SS93" s="580"/>
      <c r="ST93" s="580"/>
      <c r="SU93" s="580"/>
      <c r="SV93" s="580"/>
      <c r="SW93" s="580"/>
      <c r="SX93" s="580"/>
      <c r="SY93" s="580"/>
      <c r="SZ93" s="580"/>
      <c r="TA93" s="580"/>
      <c r="TB93" s="580"/>
      <c r="TC93" s="580"/>
      <c r="TD93" s="580"/>
      <c r="TE93" s="580"/>
      <c r="TF93" s="580"/>
      <c r="TG93" s="580"/>
      <c r="TH93" s="580"/>
      <c r="TI93" s="580"/>
      <c r="TJ93" s="580"/>
      <c r="TK93" s="580"/>
      <c r="TL93" s="580"/>
      <c r="TM93" s="580"/>
      <c r="TN93" s="580"/>
      <c r="TO93" s="580"/>
      <c r="TP93" s="580"/>
      <c r="TQ93" s="580"/>
      <c r="TR93" s="580"/>
      <c r="TS93" s="580"/>
      <c r="TT93" s="580"/>
      <c r="TU93" s="580"/>
      <c r="TV93" s="580"/>
      <c r="TW93" s="580"/>
      <c r="TX93" s="580"/>
      <c r="TY93" s="580"/>
      <c r="TZ93" s="580"/>
      <c r="UA93" s="580"/>
      <c r="UB93" s="580"/>
      <c r="UC93" s="580"/>
      <c r="UD93" s="580"/>
      <c r="UE93" s="580"/>
      <c r="UF93" s="580"/>
      <c r="UG93" s="580"/>
      <c r="UH93" s="580"/>
      <c r="UI93" s="580"/>
      <c r="UJ93" s="580"/>
      <c r="UK93" s="580"/>
      <c r="UL93" s="580"/>
      <c r="UM93" s="580"/>
      <c r="UN93" s="580"/>
      <c r="UO93" s="580"/>
      <c r="UP93" s="580"/>
      <c r="UQ93" s="580"/>
      <c r="UR93" s="580"/>
      <c r="US93" s="580"/>
      <c r="UT93" s="580"/>
      <c r="UU93" s="580"/>
      <c r="UV93" s="580"/>
      <c r="UW93" s="580"/>
      <c r="UX93" s="580"/>
      <c r="UY93" s="580"/>
      <c r="UZ93" s="580"/>
      <c r="VA93" s="580"/>
      <c r="VB93" s="580"/>
      <c r="VC93" s="580"/>
      <c r="VD93" s="580"/>
      <c r="VE93" s="580"/>
      <c r="VF93" s="580"/>
      <c r="VG93" s="580"/>
      <c r="VH93" s="580"/>
      <c r="VI93" s="580"/>
      <c r="VJ93" s="580"/>
      <c r="VK93" s="580"/>
      <c r="VL93" s="580"/>
      <c r="VM93" s="580"/>
      <c r="VN93" s="580"/>
      <c r="VO93" s="580"/>
      <c r="VP93" s="580"/>
      <c r="VQ93" s="580"/>
      <c r="VR93" s="580"/>
      <c r="VS93" s="580"/>
      <c r="VT93" s="580"/>
      <c r="VU93" s="580"/>
      <c r="VV93" s="580"/>
      <c r="VW93" s="580"/>
      <c r="VX93" s="580"/>
      <c r="VY93" s="580"/>
      <c r="VZ93" s="580"/>
      <c r="WA93" s="580"/>
      <c r="WB93" s="580"/>
      <c r="WC93" s="580"/>
      <c r="WD93" s="580"/>
      <c r="WE93" s="580"/>
      <c r="WF93" s="580"/>
      <c r="WG93" s="580"/>
      <c r="WH93" s="580"/>
      <c r="WI93" s="580"/>
      <c r="WJ93" s="580"/>
      <c r="WK93" s="580"/>
      <c r="WL93" s="580"/>
      <c r="WM93" s="580"/>
      <c r="WN93" s="580"/>
      <c r="WO93" s="580"/>
      <c r="WP93" s="580"/>
      <c r="WQ93" s="580"/>
      <c r="WR93" s="580"/>
      <c r="WS93" s="580"/>
      <c r="WT93" s="580"/>
      <c r="WU93" s="580"/>
      <c r="WV93" s="580"/>
      <c r="WW93" s="580"/>
      <c r="WX93" s="580"/>
      <c r="WY93" s="580"/>
      <c r="WZ93" s="580"/>
      <c r="XA93" s="580"/>
      <c r="XB93" s="580"/>
      <c r="XC93" s="580"/>
      <c r="XD93" s="580"/>
      <c r="XE93" s="580"/>
      <c r="XF93" s="580"/>
      <c r="XG93" s="580"/>
      <c r="XH93" s="580"/>
      <c r="XI93" s="580"/>
      <c r="XJ93" s="580"/>
      <c r="XK93" s="580"/>
      <c r="XL93" s="580"/>
      <c r="XM93" s="580"/>
      <c r="XN93" s="580"/>
      <c r="XO93" s="580"/>
      <c r="XP93" s="580"/>
      <c r="XQ93" s="580"/>
      <c r="XR93" s="580"/>
      <c r="XS93" s="580"/>
      <c r="XT93" s="580"/>
      <c r="XU93" s="580"/>
      <c r="XV93" s="580"/>
      <c r="XW93" s="580"/>
      <c r="XX93" s="580"/>
      <c r="XY93" s="580"/>
      <c r="XZ93" s="580"/>
      <c r="YA93" s="580"/>
      <c r="YB93" s="580"/>
      <c r="YC93" s="580"/>
      <c r="YD93" s="580"/>
      <c r="YE93" s="580"/>
      <c r="YF93" s="580"/>
      <c r="YG93" s="580"/>
      <c r="YH93" s="580"/>
      <c r="YI93" s="580"/>
      <c r="YJ93" s="580"/>
      <c r="YK93" s="580"/>
      <c r="YL93" s="580"/>
      <c r="YM93" s="580"/>
      <c r="YN93" s="580"/>
      <c r="YO93" s="580"/>
      <c r="YP93" s="580"/>
      <c r="YQ93" s="580"/>
      <c r="YR93" s="580"/>
      <c r="YS93" s="580"/>
      <c r="YT93" s="580"/>
      <c r="YU93" s="580"/>
      <c r="YV93" s="580"/>
      <c r="YW93" s="580"/>
      <c r="YX93" s="580"/>
      <c r="YY93" s="580"/>
      <c r="YZ93" s="580"/>
      <c r="ZA93" s="580"/>
      <c r="ZB93" s="580"/>
      <c r="ZC93" s="580"/>
      <c r="ZD93" s="580"/>
      <c r="ZE93" s="580"/>
      <c r="ZF93" s="580"/>
      <c r="ZG93" s="580"/>
      <c r="ZH93" s="580"/>
      <c r="ZI93" s="580"/>
      <c r="ZJ93" s="580"/>
      <c r="ZK93" s="580"/>
      <c r="ZL93" s="580"/>
      <c r="ZM93" s="580"/>
      <c r="ZN93" s="580"/>
      <c r="ZO93" s="580"/>
      <c r="ZP93" s="580"/>
      <c r="ZQ93" s="580"/>
      <c r="ZR93" s="580"/>
      <c r="ZS93" s="580"/>
      <c r="ZT93" s="580"/>
      <c r="ZU93" s="580"/>
      <c r="ZV93" s="580"/>
      <c r="ZW93" s="580"/>
      <c r="ZX93" s="580"/>
      <c r="ZY93" s="580"/>
      <c r="ZZ93" s="580"/>
      <c r="AAA93" s="580"/>
      <c r="AAB93" s="580"/>
      <c r="AAC93" s="580"/>
      <c r="AAD93" s="580"/>
      <c r="AAE93" s="580"/>
      <c r="AAF93" s="580"/>
      <c r="AAG93" s="580"/>
      <c r="AAH93" s="580"/>
      <c r="AAI93" s="580"/>
      <c r="AAJ93" s="580"/>
      <c r="AAK93" s="580"/>
      <c r="AAL93" s="580"/>
      <c r="AAM93" s="580"/>
      <c r="AAN93" s="580"/>
      <c r="AAO93" s="580"/>
      <c r="AAP93" s="580"/>
      <c r="AAQ93" s="580"/>
      <c r="AAR93" s="580"/>
      <c r="AAS93" s="580"/>
      <c r="AAT93" s="580"/>
      <c r="AAU93" s="580"/>
      <c r="AAV93" s="580"/>
      <c r="AAW93" s="580"/>
      <c r="AAX93" s="580"/>
      <c r="AAY93" s="580"/>
      <c r="AAZ93" s="580"/>
      <c r="ABA93" s="580"/>
      <c r="ABB93" s="580"/>
      <c r="ABC93" s="580"/>
      <c r="ABD93" s="580"/>
      <c r="ABE93" s="580"/>
      <c r="ABF93" s="580"/>
      <c r="ABG93" s="580"/>
      <c r="ABH93" s="580"/>
      <c r="ABI93" s="580"/>
      <c r="ABJ93" s="580"/>
      <c r="ABK93" s="580"/>
      <c r="ABL93" s="580"/>
      <c r="ABM93" s="580"/>
      <c r="ABN93" s="580"/>
      <c r="ABO93" s="580"/>
      <c r="ABP93" s="580"/>
      <c r="ABQ93" s="580"/>
      <c r="ABR93" s="580"/>
      <c r="ABS93" s="580"/>
      <c r="ABT93" s="580"/>
      <c r="ABU93" s="580"/>
      <c r="ABV93" s="580"/>
      <c r="ABW93" s="580"/>
      <c r="ABX93" s="580"/>
      <c r="ABY93" s="580"/>
      <c r="ABZ93" s="580"/>
      <c r="ACA93" s="580"/>
      <c r="ACB93" s="580"/>
      <c r="ACC93" s="580"/>
      <c r="ACD93" s="580"/>
      <c r="ACE93" s="580"/>
      <c r="ACF93" s="580"/>
      <c r="ACG93" s="580"/>
      <c r="ACH93" s="580"/>
      <c r="ACI93" s="580"/>
      <c r="ACJ93" s="580"/>
      <c r="ACK93" s="580"/>
      <c r="ACL93" s="580"/>
      <c r="ACM93" s="580"/>
      <c r="ACN93" s="580"/>
      <c r="ACO93" s="580"/>
      <c r="ACP93" s="580"/>
      <c r="ACQ93" s="580"/>
      <c r="ACR93" s="580"/>
      <c r="ACS93" s="580"/>
      <c r="ACT93" s="580"/>
      <c r="ACU93" s="580"/>
      <c r="ACV93" s="580"/>
      <c r="ACW93" s="580"/>
      <c r="ACX93" s="580"/>
      <c r="ACY93" s="580"/>
      <c r="ACZ93" s="580"/>
      <c r="ADA93" s="580"/>
      <c r="ADB93" s="580"/>
      <c r="ADC93" s="580"/>
      <c r="ADD93" s="580"/>
      <c r="ADE93" s="580"/>
      <c r="ADF93" s="580"/>
      <c r="ADG93" s="580"/>
      <c r="ADH93" s="580"/>
      <c r="ADI93" s="580"/>
      <c r="ADJ93" s="580"/>
      <c r="ADK93" s="580"/>
      <c r="ADL93" s="580"/>
      <c r="ADM93" s="580"/>
      <c r="ADN93" s="580"/>
      <c r="ADO93" s="580"/>
      <c r="ADP93" s="580"/>
      <c r="ADQ93" s="580"/>
      <c r="ADR93" s="580"/>
      <c r="ADS93" s="580"/>
      <c r="ADT93" s="580"/>
      <c r="ADU93" s="580"/>
      <c r="ADV93" s="580"/>
      <c r="ADW93" s="580"/>
      <c r="ADX93" s="580"/>
      <c r="ADY93" s="580"/>
      <c r="ADZ93" s="580"/>
      <c r="AEA93" s="580"/>
      <c r="AEB93" s="580"/>
      <c r="AEC93" s="580"/>
      <c r="AED93" s="580"/>
      <c r="AEE93" s="580"/>
      <c r="AEF93" s="580"/>
      <c r="AEG93" s="580"/>
      <c r="AEH93" s="580"/>
      <c r="AEI93" s="580"/>
      <c r="AEJ93" s="580"/>
      <c r="AEK93" s="580"/>
      <c r="AEL93" s="580"/>
      <c r="AEM93" s="580"/>
      <c r="AEN93" s="580"/>
      <c r="AEO93" s="580"/>
      <c r="AEP93" s="580"/>
      <c r="AEQ93" s="580"/>
      <c r="AER93" s="580"/>
      <c r="AES93" s="580"/>
      <c r="AET93" s="580"/>
      <c r="AEU93" s="580"/>
      <c r="AEV93" s="580"/>
      <c r="AEW93" s="580"/>
      <c r="AEX93" s="580"/>
      <c r="AEY93" s="580"/>
      <c r="AEZ93" s="580"/>
      <c r="AFA93" s="580"/>
      <c r="AFB93" s="580"/>
      <c r="AFC93" s="580"/>
      <c r="AFD93" s="580"/>
      <c r="AFE93" s="580"/>
      <c r="AFF93" s="580"/>
      <c r="AFG93" s="580"/>
      <c r="AFH93" s="580"/>
      <c r="AFI93" s="580"/>
      <c r="AFJ93" s="580"/>
      <c r="AFK93" s="580"/>
      <c r="AFL93" s="580"/>
      <c r="AFM93" s="580"/>
      <c r="AFN93" s="580"/>
      <c r="AFO93" s="580"/>
      <c r="AFP93" s="580"/>
      <c r="AFQ93" s="580"/>
      <c r="AFR93" s="580"/>
      <c r="AFS93" s="580"/>
      <c r="AFT93" s="580"/>
      <c r="AFU93" s="580"/>
      <c r="AFV93" s="580"/>
      <c r="AFW93" s="580"/>
      <c r="AFX93" s="580"/>
      <c r="AFY93" s="580"/>
      <c r="AFZ93" s="580"/>
      <c r="AGA93" s="580"/>
      <c r="AGB93" s="580"/>
      <c r="AGC93" s="580"/>
      <c r="AGD93" s="580"/>
      <c r="AGE93" s="580"/>
      <c r="AGF93" s="580"/>
      <c r="AGG93" s="580"/>
      <c r="AGH93" s="580"/>
      <c r="AGI93" s="580"/>
      <c r="AGJ93" s="580"/>
      <c r="AGK93" s="580"/>
      <c r="AGL93" s="580"/>
      <c r="AGM93" s="580"/>
      <c r="AGN93" s="580"/>
      <c r="AGO93" s="580"/>
      <c r="AGP93" s="580"/>
      <c r="AGQ93" s="580"/>
      <c r="AGR93" s="580"/>
      <c r="AGS93" s="580"/>
      <c r="AGT93" s="580"/>
      <c r="AGU93" s="580"/>
      <c r="AGV93" s="580"/>
      <c r="AGW93" s="580"/>
      <c r="AGX93" s="580"/>
      <c r="AGY93" s="580"/>
      <c r="AGZ93" s="580"/>
      <c r="AHA93" s="580"/>
      <c r="AHB93" s="580"/>
      <c r="AHC93" s="580"/>
      <c r="AHD93" s="580"/>
      <c r="AHE93" s="580"/>
      <c r="AHF93" s="580"/>
      <c r="AHG93" s="580"/>
      <c r="AHH93" s="580"/>
      <c r="AHI93" s="580"/>
      <c r="AHJ93" s="580"/>
      <c r="AHK93" s="580"/>
      <c r="AHL93" s="580"/>
      <c r="AHM93" s="580"/>
      <c r="AHN93" s="580"/>
      <c r="AHO93" s="580"/>
      <c r="AHP93" s="580"/>
      <c r="AHQ93" s="580"/>
      <c r="AHR93" s="580"/>
      <c r="AHS93" s="580"/>
      <c r="AHT93" s="580"/>
      <c r="AHU93" s="580"/>
      <c r="AHV93" s="580"/>
      <c r="AHW93" s="580"/>
      <c r="AHX93" s="580"/>
      <c r="AHY93" s="580"/>
      <c r="AHZ93" s="580"/>
      <c r="AIA93" s="580"/>
      <c r="AIB93" s="580"/>
      <c r="AIC93" s="580"/>
      <c r="AID93" s="580"/>
      <c r="AIE93" s="580"/>
      <c r="AIF93" s="580"/>
      <c r="AIG93" s="580"/>
      <c r="AIH93" s="580"/>
      <c r="AII93" s="580"/>
      <c r="AIJ93" s="580"/>
      <c r="AIK93" s="580"/>
      <c r="AIL93" s="580"/>
      <c r="AIM93" s="580"/>
      <c r="AIN93" s="580"/>
      <c r="AIO93" s="580"/>
      <c r="AIP93" s="580"/>
      <c r="AIQ93" s="580"/>
      <c r="AIR93" s="580"/>
      <c r="AIS93" s="580"/>
      <c r="AIT93" s="580"/>
      <c r="AIU93" s="580"/>
      <c r="AIV93" s="580"/>
      <c r="AIW93" s="580"/>
      <c r="AIX93" s="580"/>
      <c r="AIY93" s="580"/>
      <c r="AIZ93" s="580"/>
      <c r="AJA93" s="580"/>
      <c r="AJB93" s="580"/>
      <c r="AJC93" s="580"/>
      <c r="AJD93" s="580"/>
      <c r="AJE93" s="580"/>
      <c r="AJF93" s="580"/>
      <c r="AJG93" s="580"/>
      <c r="AJH93" s="580"/>
      <c r="AJI93" s="580"/>
      <c r="AJJ93" s="580"/>
      <c r="AJK93" s="580"/>
      <c r="AJL93" s="580"/>
      <c r="AJM93" s="580"/>
      <c r="AJN93" s="580"/>
      <c r="AJO93" s="580"/>
      <c r="AJP93" s="580"/>
      <c r="AJQ93" s="580"/>
      <c r="AJR93" s="580"/>
      <c r="AJS93" s="580"/>
      <c r="AJT93" s="580"/>
      <c r="AJU93" s="580"/>
      <c r="AJV93" s="580"/>
      <c r="AJW93" s="580"/>
      <c r="AJX93" s="580"/>
      <c r="AJY93" s="580"/>
      <c r="AJZ93" s="580"/>
      <c r="AKA93" s="580"/>
      <c r="AKB93" s="580"/>
      <c r="AKC93" s="580"/>
      <c r="AKD93" s="580"/>
      <c r="AKE93" s="580"/>
      <c r="AKF93" s="580"/>
      <c r="AKG93" s="580"/>
      <c r="AKH93" s="580"/>
      <c r="AKI93" s="580"/>
      <c r="AKJ93" s="580"/>
      <c r="AKK93" s="580"/>
      <c r="AKL93" s="580"/>
      <c r="AKM93" s="580"/>
      <c r="AKN93" s="580"/>
      <c r="AKO93" s="580"/>
      <c r="AKP93" s="580"/>
      <c r="AKQ93" s="580"/>
      <c r="AKR93" s="580"/>
      <c r="AKS93" s="580"/>
      <c r="AKT93" s="580"/>
      <c r="AKU93" s="580"/>
      <c r="AKV93" s="580"/>
      <c r="AKW93" s="580"/>
      <c r="AKX93" s="580"/>
      <c r="AKY93" s="580"/>
      <c r="AKZ93" s="580"/>
      <c r="ALA93" s="580"/>
      <c r="ALB93" s="580"/>
      <c r="ALC93" s="580"/>
      <c r="ALD93" s="580"/>
      <c r="ALE93" s="580"/>
      <c r="ALF93" s="580"/>
      <c r="ALG93" s="580"/>
      <c r="ALH93" s="580"/>
      <c r="ALI93" s="580"/>
      <c r="ALJ93" s="580"/>
      <c r="ALK93" s="580"/>
      <c r="ALL93" s="580"/>
      <c r="ALM93" s="580"/>
      <c r="ALN93" s="580"/>
      <c r="ALO93" s="580"/>
      <c r="ALP93" s="580"/>
      <c r="ALQ93" s="580"/>
      <c r="ALR93" s="580"/>
      <c r="ALS93" s="580"/>
      <c r="ALT93" s="580"/>
      <c r="ALU93" s="580"/>
      <c r="ALV93" s="580"/>
      <c r="ALW93" s="580"/>
      <c r="ALX93" s="580"/>
      <c r="ALY93" s="580"/>
      <c r="ALZ93" s="580"/>
      <c r="AMA93" s="580"/>
      <c r="AMB93" s="580"/>
      <c r="AMC93" s="580"/>
      <c r="AMD93" s="580"/>
      <c r="AME93" s="580"/>
      <c r="AMF93" s="580"/>
      <c r="AMG93" s="580"/>
      <c r="AMH93" s="580"/>
      <c r="AMI93" s="580"/>
      <c r="AMJ93" s="580"/>
      <c r="AMK93" s="580"/>
      <c r="AML93" s="580"/>
      <c r="AMM93" s="580"/>
      <c r="AMN93" s="580"/>
      <c r="AMO93" s="580"/>
      <c r="AMP93" s="580"/>
      <c r="AMQ93" s="580"/>
      <c r="AMR93" s="580"/>
      <c r="AMS93" s="580"/>
      <c r="AMT93" s="580"/>
      <c r="AMU93" s="580"/>
      <c r="AMV93" s="580"/>
      <c r="AMW93" s="580"/>
      <c r="AMX93" s="580"/>
      <c r="AMY93" s="580"/>
      <c r="AMZ93" s="580"/>
      <c r="ANA93" s="580"/>
      <c r="ANB93" s="580"/>
      <c r="ANC93" s="580"/>
      <c r="AND93" s="580"/>
      <c r="ANE93" s="580"/>
      <c r="ANF93" s="580"/>
      <c r="ANG93" s="580"/>
      <c r="ANH93" s="580"/>
      <c r="ANI93" s="580"/>
      <c r="ANJ93" s="580"/>
      <c r="ANK93" s="580"/>
      <c r="ANL93" s="580"/>
      <c r="ANM93" s="580"/>
      <c r="ANN93" s="580"/>
      <c r="ANO93" s="580"/>
      <c r="ANP93" s="580"/>
      <c r="ANQ93" s="580"/>
      <c r="ANR93" s="580"/>
      <c r="ANS93" s="580"/>
      <c r="ANT93" s="580"/>
      <c r="ANU93" s="580"/>
      <c r="ANV93" s="580"/>
      <c r="ANW93" s="580"/>
      <c r="ANX93" s="580"/>
      <c r="ANY93" s="580"/>
      <c r="ANZ93" s="580"/>
      <c r="AOA93" s="580"/>
      <c r="AOB93" s="580"/>
      <c r="AOC93" s="580"/>
      <c r="AOD93" s="580"/>
      <c r="AOE93" s="580"/>
      <c r="AOF93" s="580"/>
      <c r="AOG93" s="580"/>
      <c r="AOH93" s="580"/>
      <c r="AOI93" s="580"/>
      <c r="AOJ93" s="580"/>
      <c r="AOK93" s="580"/>
      <c r="AOL93" s="580"/>
      <c r="AOM93" s="580"/>
      <c r="AON93" s="580"/>
      <c r="AOO93" s="580"/>
      <c r="AOP93" s="580"/>
      <c r="AOQ93" s="580"/>
      <c r="AOR93" s="580"/>
      <c r="AOS93" s="580"/>
      <c r="AOT93" s="580"/>
      <c r="AOU93" s="580"/>
      <c r="AOV93" s="580"/>
      <c r="AOW93" s="580"/>
      <c r="AOX93" s="580"/>
      <c r="AOY93" s="580"/>
      <c r="AOZ93" s="580"/>
      <c r="APA93" s="580"/>
      <c r="APB93" s="580"/>
      <c r="APC93" s="580"/>
      <c r="APD93" s="580"/>
      <c r="APE93" s="580"/>
      <c r="APF93" s="580"/>
      <c r="APG93" s="580"/>
      <c r="APH93" s="580"/>
      <c r="API93" s="580"/>
      <c r="APJ93" s="580"/>
      <c r="APK93" s="580"/>
      <c r="APL93" s="580"/>
      <c r="APM93" s="580"/>
      <c r="APN93" s="580"/>
      <c r="APO93" s="580"/>
      <c r="APP93" s="580"/>
      <c r="APQ93" s="580"/>
      <c r="APR93" s="580"/>
      <c r="APS93" s="580"/>
      <c r="APT93" s="580"/>
      <c r="APU93" s="580"/>
      <c r="APV93" s="580"/>
      <c r="APW93" s="580"/>
      <c r="APX93" s="580"/>
      <c r="APY93" s="580"/>
      <c r="APZ93" s="580"/>
      <c r="AQA93" s="580"/>
      <c r="AQB93" s="580"/>
      <c r="AQC93" s="580"/>
      <c r="AQD93" s="580"/>
      <c r="AQE93" s="580"/>
      <c r="AQF93" s="580"/>
      <c r="AQG93" s="580"/>
      <c r="AQH93" s="580"/>
      <c r="AQI93" s="580"/>
      <c r="AQJ93" s="580"/>
      <c r="AQK93" s="580"/>
      <c r="AQL93" s="580"/>
      <c r="AQM93" s="580"/>
      <c r="AQN93" s="580"/>
      <c r="AQO93" s="580"/>
      <c r="AQP93" s="580"/>
      <c r="AQQ93" s="580"/>
      <c r="AQR93" s="580"/>
      <c r="AQS93" s="580"/>
      <c r="AQT93" s="580"/>
      <c r="AQU93" s="580"/>
      <c r="AQV93" s="580"/>
      <c r="AQW93" s="580"/>
      <c r="AQX93" s="580"/>
      <c r="AQY93" s="580"/>
      <c r="AQZ93" s="580"/>
      <c r="ARA93" s="580"/>
      <c r="ARB93" s="580"/>
      <c r="ARC93" s="580"/>
      <c r="ARD93" s="580"/>
      <c r="ARE93" s="580"/>
      <c r="ARF93" s="580"/>
      <c r="ARG93" s="580"/>
      <c r="ARH93" s="580"/>
      <c r="ARI93" s="580"/>
      <c r="ARJ93" s="580"/>
      <c r="ARK93" s="580"/>
      <c r="ARL93" s="580"/>
      <c r="ARM93" s="580"/>
      <c r="ARN93" s="580"/>
      <c r="ARO93" s="580"/>
      <c r="ARP93" s="580"/>
      <c r="ARQ93" s="580"/>
      <c r="ARR93" s="580"/>
      <c r="ARS93" s="580"/>
      <c r="ART93" s="580"/>
      <c r="ARU93" s="580"/>
      <c r="ARV93" s="580"/>
      <c r="ARW93" s="580"/>
      <c r="ARX93" s="580"/>
      <c r="ARY93" s="580"/>
      <c r="ARZ93" s="580"/>
      <c r="ASA93" s="580"/>
      <c r="ASB93" s="580"/>
      <c r="ASC93" s="580"/>
      <c r="ASD93" s="580"/>
      <c r="ASE93" s="580"/>
      <c r="ASF93" s="580"/>
      <c r="ASG93" s="580"/>
      <c r="ASH93" s="580"/>
      <c r="ASI93" s="580"/>
      <c r="ASJ93" s="580"/>
      <c r="ASK93" s="580"/>
      <c r="ASL93" s="580"/>
      <c r="ASM93" s="580"/>
      <c r="ASN93" s="580"/>
      <c r="ASO93" s="580"/>
      <c r="ASP93" s="580"/>
      <c r="ASQ93" s="580"/>
      <c r="ASR93" s="580"/>
      <c r="ASS93" s="580"/>
      <c r="AST93" s="580"/>
      <c r="ASU93" s="580"/>
      <c r="ASV93" s="580"/>
      <c r="ASW93" s="580"/>
      <c r="ASX93" s="580"/>
      <c r="ASY93" s="580"/>
      <c r="ASZ93" s="580"/>
      <c r="ATA93" s="580"/>
      <c r="ATB93" s="580"/>
      <c r="ATC93" s="580"/>
      <c r="ATD93" s="580"/>
      <c r="ATE93" s="580"/>
      <c r="ATF93" s="580"/>
      <c r="ATG93" s="580"/>
      <c r="ATH93" s="580"/>
      <c r="ATI93" s="580"/>
      <c r="ATJ93" s="580"/>
      <c r="ATK93" s="580"/>
      <c r="ATL93" s="580"/>
      <c r="ATM93" s="580"/>
      <c r="ATN93" s="580"/>
      <c r="ATO93" s="580"/>
      <c r="ATP93" s="580"/>
      <c r="ATQ93" s="580"/>
      <c r="ATR93" s="580"/>
      <c r="ATS93" s="580"/>
      <c r="ATT93" s="580"/>
      <c r="ATU93" s="580"/>
      <c r="ATV93" s="580"/>
      <c r="ATW93" s="580"/>
      <c r="ATX93" s="580"/>
      <c r="ATY93" s="580"/>
      <c r="ATZ93" s="580"/>
      <c r="AUA93" s="580"/>
      <c r="AUB93" s="580"/>
      <c r="AUC93" s="580"/>
      <c r="AUD93" s="580"/>
      <c r="AUE93" s="580"/>
      <c r="AUF93" s="580"/>
      <c r="AUG93" s="580"/>
      <c r="AUH93" s="580"/>
      <c r="AUI93" s="580"/>
      <c r="AUJ93" s="580"/>
      <c r="AUK93" s="580"/>
      <c r="AUL93" s="580"/>
      <c r="AUM93" s="580"/>
      <c r="AUN93" s="580"/>
      <c r="AUO93" s="580"/>
      <c r="AUP93" s="580"/>
      <c r="AUQ93" s="580"/>
      <c r="AUR93" s="580"/>
      <c r="AUS93" s="580"/>
      <c r="AUT93" s="580"/>
      <c r="AUU93" s="580"/>
      <c r="AUV93" s="580"/>
      <c r="AUW93" s="580"/>
      <c r="AUX93" s="580"/>
      <c r="AUY93" s="580"/>
      <c r="AUZ93" s="580"/>
      <c r="AVA93" s="580"/>
      <c r="AVB93" s="580"/>
      <c r="AVC93" s="580"/>
      <c r="AVD93" s="580"/>
      <c r="AVE93" s="580"/>
      <c r="AVF93" s="580"/>
      <c r="AVG93" s="580"/>
      <c r="AVH93" s="580"/>
      <c r="AVI93" s="580"/>
      <c r="AVJ93" s="580"/>
      <c r="AVK93" s="580"/>
      <c r="AVL93" s="580"/>
      <c r="AVM93" s="580"/>
      <c r="AVN93" s="580"/>
      <c r="AVO93" s="580"/>
      <c r="AVP93" s="580"/>
      <c r="AVQ93" s="580"/>
      <c r="AVR93" s="580"/>
      <c r="AVS93" s="580"/>
      <c r="AVT93" s="580"/>
      <c r="AVU93" s="580"/>
      <c r="AVV93" s="580"/>
      <c r="AVW93" s="580"/>
      <c r="AVX93" s="580"/>
      <c r="AVY93" s="580"/>
      <c r="AVZ93" s="580"/>
      <c r="AWA93" s="580"/>
      <c r="AWB93" s="580"/>
      <c r="AWC93" s="580"/>
      <c r="AWD93" s="580"/>
      <c r="AWE93" s="580"/>
      <c r="AWF93" s="580"/>
      <c r="AWG93" s="580"/>
      <c r="AWH93" s="580"/>
      <c r="AWI93" s="580"/>
      <c r="AWJ93" s="580"/>
      <c r="AWK93" s="580"/>
      <c r="AWL93" s="580"/>
      <c r="AWM93" s="580"/>
      <c r="AWN93" s="580"/>
      <c r="AWO93" s="580"/>
      <c r="AWP93" s="580"/>
      <c r="AWQ93" s="580"/>
      <c r="AWR93" s="580"/>
      <c r="AWS93" s="580"/>
      <c r="AWT93" s="580"/>
      <c r="AWU93" s="580"/>
      <c r="AWV93" s="580"/>
      <c r="AWW93" s="580"/>
      <c r="AWX93" s="580"/>
      <c r="AWY93" s="580"/>
      <c r="AWZ93" s="580"/>
      <c r="AXA93" s="580"/>
      <c r="AXB93" s="580"/>
      <c r="AXC93" s="580"/>
      <c r="AXD93" s="580"/>
      <c r="AXE93" s="580"/>
      <c r="AXF93" s="580"/>
      <c r="AXG93" s="580"/>
      <c r="AXH93" s="580"/>
      <c r="AXI93" s="580"/>
      <c r="AXJ93" s="580"/>
      <c r="AXK93" s="580"/>
      <c r="AXL93" s="580"/>
      <c r="AXM93" s="580"/>
      <c r="AXN93" s="580"/>
      <c r="AXO93" s="580"/>
      <c r="AXP93" s="580"/>
      <c r="AXQ93" s="580"/>
      <c r="AXR93" s="580"/>
      <c r="AXS93" s="580"/>
      <c r="AXT93" s="580"/>
      <c r="AXU93" s="580"/>
      <c r="AXV93" s="580"/>
      <c r="AXW93" s="580"/>
      <c r="AXX93" s="580"/>
      <c r="AXY93" s="580"/>
      <c r="AXZ93" s="580"/>
      <c r="AYA93" s="580"/>
      <c r="AYB93" s="580"/>
      <c r="AYC93" s="580"/>
      <c r="AYD93" s="580"/>
      <c r="AYE93" s="580"/>
      <c r="AYF93" s="580"/>
      <c r="AYG93" s="580"/>
      <c r="AYH93" s="580"/>
      <c r="AYI93" s="580"/>
      <c r="AYJ93" s="580"/>
      <c r="AYK93" s="580"/>
      <c r="AYL93" s="580"/>
      <c r="AYM93" s="580"/>
      <c r="AYN93" s="580"/>
      <c r="AYO93" s="580"/>
      <c r="AYP93" s="580"/>
      <c r="AYQ93" s="580"/>
      <c r="AYR93" s="580"/>
      <c r="AYS93" s="580"/>
      <c r="AYT93" s="580"/>
      <c r="AYU93" s="580"/>
      <c r="AYV93" s="580"/>
      <c r="AYW93" s="580"/>
      <c r="AYX93" s="580"/>
      <c r="AYY93" s="580"/>
      <c r="AYZ93" s="580"/>
      <c r="AZA93" s="580"/>
      <c r="AZB93" s="580"/>
      <c r="AZC93" s="580"/>
      <c r="AZD93" s="580"/>
      <c r="AZE93" s="580"/>
      <c r="AZF93" s="580"/>
      <c r="AZG93" s="580"/>
      <c r="AZH93" s="580"/>
      <c r="AZI93" s="580"/>
      <c r="AZJ93" s="580"/>
      <c r="AZK93" s="580"/>
      <c r="AZL93" s="580"/>
      <c r="AZM93" s="580"/>
      <c r="AZN93" s="580"/>
      <c r="AZO93" s="580"/>
      <c r="AZP93" s="580"/>
      <c r="AZQ93" s="580"/>
      <c r="AZR93" s="580"/>
      <c r="AZS93" s="580"/>
      <c r="AZT93" s="580"/>
      <c r="AZU93" s="580"/>
      <c r="AZV93" s="580"/>
      <c r="AZW93" s="580"/>
      <c r="AZX93" s="580"/>
      <c r="AZY93" s="580"/>
      <c r="AZZ93" s="580"/>
      <c r="BAA93" s="580"/>
      <c r="BAB93" s="580"/>
      <c r="BAC93" s="580"/>
      <c r="BAD93" s="580"/>
      <c r="BAE93" s="580"/>
      <c r="BAF93" s="580"/>
      <c r="BAG93" s="580"/>
      <c r="BAH93" s="580"/>
      <c r="BAI93" s="580"/>
      <c r="BAJ93" s="580"/>
      <c r="BAK93" s="580"/>
      <c r="BAL93" s="580"/>
      <c r="BAM93" s="580"/>
      <c r="BAN93" s="580"/>
      <c r="BAO93" s="580"/>
      <c r="BAP93" s="580"/>
      <c r="BAQ93" s="580"/>
      <c r="BAR93" s="580"/>
      <c r="BAS93" s="580"/>
      <c r="BAT93" s="580"/>
      <c r="BAU93" s="580"/>
      <c r="BAV93" s="580"/>
      <c r="BAW93" s="580"/>
      <c r="BAX93" s="580"/>
      <c r="BAY93" s="580"/>
      <c r="BAZ93" s="580"/>
      <c r="BBA93" s="580"/>
      <c r="BBB93" s="580"/>
      <c r="BBC93" s="580"/>
      <c r="BBD93" s="580"/>
      <c r="BBE93" s="580"/>
      <c r="BBF93" s="580"/>
      <c r="BBG93" s="580"/>
      <c r="BBH93" s="580"/>
      <c r="BBI93" s="580"/>
      <c r="BBJ93" s="580"/>
      <c r="BBK93" s="580"/>
      <c r="BBL93" s="580"/>
      <c r="BBM93" s="580"/>
      <c r="BBN93" s="580"/>
      <c r="BBO93" s="580"/>
      <c r="BBP93" s="580"/>
      <c r="BBQ93" s="580"/>
      <c r="BBR93" s="580"/>
      <c r="BBS93" s="580"/>
      <c r="BBT93" s="580"/>
      <c r="BBU93" s="580"/>
      <c r="BBV93" s="580"/>
      <c r="BBW93" s="580"/>
      <c r="BBX93" s="580"/>
      <c r="BBY93" s="580"/>
      <c r="BBZ93" s="580"/>
      <c r="BCA93" s="580"/>
      <c r="BCB93" s="580"/>
      <c r="BCC93" s="580"/>
      <c r="BCD93" s="580"/>
      <c r="BCE93" s="580"/>
      <c r="BCF93" s="580"/>
      <c r="BCG93" s="580"/>
      <c r="BCH93" s="580"/>
      <c r="BCI93" s="580"/>
      <c r="BCJ93" s="580"/>
      <c r="BCK93" s="580"/>
      <c r="BCL93" s="580"/>
      <c r="BCM93" s="580"/>
      <c r="BCN93" s="580"/>
      <c r="BCO93" s="580"/>
      <c r="BCP93" s="580"/>
      <c r="BCQ93" s="580"/>
      <c r="BCR93" s="580"/>
      <c r="BCS93" s="580"/>
      <c r="BCT93" s="580"/>
      <c r="BCU93" s="580"/>
      <c r="BCV93" s="580"/>
      <c r="BCW93" s="580"/>
      <c r="BCX93" s="580"/>
      <c r="BCY93" s="580"/>
      <c r="BCZ93" s="580"/>
      <c r="BDA93" s="580"/>
      <c r="BDB93" s="580"/>
      <c r="BDC93" s="580"/>
      <c r="BDD93" s="580"/>
      <c r="BDE93" s="580"/>
      <c r="BDF93" s="580"/>
      <c r="BDG93" s="580"/>
      <c r="BDH93" s="580"/>
      <c r="BDI93" s="580"/>
      <c r="BDJ93" s="580"/>
      <c r="BDK93" s="580"/>
      <c r="BDL93" s="580"/>
      <c r="BDM93" s="580"/>
      <c r="BDN93" s="580"/>
      <c r="BDO93" s="580"/>
      <c r="BDP93" s="580"/>
      <c r="BDQ93" s="580"/>
      <c r="BDR93" s="580"/>
      <c r="BDS93" s="580"/>
      <c r="BDT93" s="580"/>
      <c r="BDU93" s="580"/>
      <c r="BDV93" s="580"/>
      <c r="BDW93" s="580"/>
      <c r="BDX93" s="580"/>
      <c r="BDY93" s="580"/>
      <c r="BDZ93" s="580"/>
      <c r="BEA93" s="580"/>
      <c r="BEB93" s="580"/>
      <c r="BEC93" s="580"/>
      <c r="BED93" s="580"/>
      <c r="BEE93" s="580"/>
      <c r="BEF93" s="580"/>
      <c r="BEG93" s="580"/>
      <c r="BEH93" s="580"/>
      <c r="BEI93" s="580"/>
      <c r="BEJ93" s="580"/>
      <c r="BEK93" s="580"/>
      <c r="BEL93" s="580"/>
      <c r="BEM93" s="580"/>
      <c r="BEN93" s="580"/>
      <c r="BEO93" s="580"/>
      <c r="BEP93" s="580"/>
      <c r="BEQ93" s="580"/>
      <c r="BER93" s="580"/>
      <c r="BES93" s="580"/>
      <c r="BET93" s="580"/>
      <c r="BEU93" s="580"/>
      <c r="BEV93" s="580"/>
      <c r="BEW93" s="580"/>
      <c r="BEX93" s="580"/>
      <c r="BEY93" s="580"/>
      <c r="BEZ93" s="580"/>
      <c r="BFA93" s="580"/>
      <c r="BFB93" s="580"/>
      <c r="BFC93" s="580"/>
      <c r="BFD93" s="580"/>
      <c r="BFE93" s="580"/>
      <c r="BFF93" s="580"/>
      <c r="BFG93" s="580"/>
      <c r="BFH93" s="580"/>
      <c r="BFI93" s="580"/>
      <c r="BFJ93" s="580"/>
      <c r="BFK93" s="580"/>
      <c r="BFL93" s="580"/>
      <c r="BFM93" s="580"/>
      <c r="BFN93" s="580"/>
      <c r="BFO93" s="580"/>
      <c r="BFP93" s="580"/>
      <c r="BFQ93" s="580"/>
      <c r="BFR93" s="580"/>
      <c r="BFS93" s="580"/>
      <c r="BFT93" s="580"/>
      <c r="BFU93" s="580"/>
      <c r="BFV93" s="580"/>
      <c r="BFW93" s="580"/>
      <c r="BFX93" s="580"/>
      <c r="BFY93" s="580"/>
      <c r="BFZ93" s="580"/>
      <c r="BGA93" s="580"/>
      <c r="BGB93" s="580"/>
      <c r="BGC93" s="580"/>
      <c r="BGD93" s="580"/>
      <c r="BGE93" s="580"/>
      <c r="BGF93" s="580"/>
      <c r="BGG93" s="580"/>
      <c r="BGH93" s="580"/>
      <c r="BGI93" s="580"/>
      <c r="BGJ93" s="580"/>
      <c r="BGK93" s="580"/>
      <c r="BGL93" s="580"/>
      <c r="BGM93" s="580"/>
      <c r="BGN93" s="580"/>
      <c r="BGO93" s="580"/>
      <c r="BGP93" s="580"/>
      <c r="BGQ93" s="580"/>
      <c r="BGR93" s="580"/>
      <c r="BGS93" s="580"/>
      <c r="BGT93" s="580"/>
      <c r="BGU93" s="580"/>
      <c r="BGV93" s="580"/>
      <c r="BGW93" s="580"/>
      <c r="BGX93" s="580"/>
      <c r="BGY93" s="580"/>
      <c r="BGZ93" s="580"/>
      <c r="BHA93" s="580"/>
      <c r="BHB93" s="580"/>
      <c r="BHC93" s="580"/>
      <c r="BHD93" s="580"/>
      <c r="BHE93" s="580"/>
      <c r="BHF93" s="580"/>
      <c r="BHG93" s="580"/>
      <c r="BHH93" s="580"/>
      <c r="BHI93" s="580"/>
      <c r="BHJ93" s="580"/>
      <c r="BHK93" s="580"/>
      <c r="BHL93" s="580"/>
      <c r="BHM93" s="580"/>
      <c r="BHN93" s="580"/>
      <c r="BHO93" s="580"/>
      <c r="BHP93" s="580"/>
      <c r="BHQ93" s="580"/>
      <c r="BHR93" s="580"/>
      <c r="BHS93" s="580"/>
      <c r="BHT93" s="580"/>
      <c r="BHU93" s="580"/>
      <c r="BHV93" s="580"/>
      <c r="BHW93" s="580"/>
      <c r="BHX93" s="580"/>
      <c r="BHY93" s="580"/>
      <c r="BHZ93" s="580"/>
      <c r="BIA93" s="580"/>
      <c r="BIB93" s="580"/>
      <c r="BIC93" s="580"/>
      <c r="BID93" s="580"/>
      <c r="BIE93" s="580"/>
      <c r="BIF93" s="580"/>
      <c r="BIG93" s="580"/>
      <c r="BIH93" s="580"/>
      <c r="BII93" s="580"/>
      <c r="BIJ93" s="580"/>
      <c r="BIK93" s="580"/>
      <c r="BIL93" s="580"/>
      <c r="BIM93" s="580"/>
      <c r="BIN93" s="580"/>
      <c r="BIO93" s="580"/>
      <c r="BIP93" s="580"/>
      <c r="BIQ93" s="580"/>
      <c r="BIR93" s="580"/>
      <c r="BIS93" s="580"/>
      <c r="BIT93" s="580"/>
      <c r="BIU93" s="580"/>
      <c r="BIV93" s="580"/>
      <c r="BIW93" s="580"/>
      <c r="BIX93" s="580"/>
      <c r="BIY93" s="580"/>
      <c r="BIZ93" s="580"/>
      <c r="BJA93" s="580"/>
      <c r="BJB93" s="580"/>
      <c r="BJC93" s="580"/>
      <c r="BJD93" s="580"/>
      <c r="BJE93" s="580"/>
      <c r="BJF93" s="580"/>
      <c r="BJG93" s="580"/>
      <c r="BJH93" s="580"/>
      <c r="BJI93" s="580"/>
      <c r="BJJ93" s="580"/>
      <c r="BJK93" s="580"/>
      <c r="BJL93" s="580"/>
      <c r="BJM93" s="580"/>
      <c r="BJN93" s="580"/>
      <c r="BJO93" s="580"/>
      <c r="BJP93" s="580"/>
      <c r="BJQ93" s="580"/>
      <c r="BJR93" s="580"/>
      <c r="BJS93" s="580"/>
      <c r="BJT93" s="580"/>
      <c r="BJU93" s="580"/>
      <c r="BJV93" s="580"/>
      <c r="BJW93" s="580"/>
      <c r="BJX93" s="580"/>
      <c r="BJY93" s="580"/>
      <c r="BJZ93" s="580"/>
      <c r="BKA93" s="580"/>
      <c r="BKB93" s="580"/>
      <c r="BKC93" s="580"/>
      <c r="BKD93" s="580"/>
      <c r="BKE93" s="580"/>
      <c r="BKF93" s="580"/>
      <c r="BKG93" s="580"/>
      <c r="BKH93" s="580"/>
      <c r="BKI93" s="580"/>
      <c r="BKJ93" s="580"/>
      <c r="BKK93" s="580"/>
      <c r="BKL93" s="580"/>
      <c r="BKM93" s="580"/>
      <c r="BKN93" s="580"/>
      <c r="BKO93" s="580"/>
      <c r="BKP93" s="580"/>
      <c r="BKQ93" s="580"/>
      <c r="BKR93" s="580"/>
      <c r="BKS93" s="580"/>
      <c r="BKT93" s="580"/>
      <c r="BKU93" s="580"/>
      <c r="BKV93" s="580"/>
      <c r="BKW93" s="580"/>
      <c r="BKX93" s="580"/>
      <c r="BKY93" s="580"/>
      <c r="BKZ93" s="580"/>
      <c r="BLA93" s="580"/>
      <c r="BLB93" s="580"/>
      <c r="BLC93" s="580"/>
      <c r="BLD93" s="580"/>
      <c r="BLE93" s="580"/>
      <c r="BLF93" s="580"/>
      <c r="BLG93" s="580"/>
      <c r="BLH93" s="580"/>
      <c r="BLI93" s="580"/>
      <c r="BLJ93" s="580"/>
      <c r="BLK93" s="580"/>
      <c r="BLL93" s="580"/>
      <c r="BLM93" s="580"/>
      <c r="BLN93" s="580"/>
      <c r="BLO93" s="580"/>
      <c r="BLP93" s="580"/>
      <c r="BLQ93" s="580"/>
      <c r="BLR93" s="580"/>
      <c r="BLS93" s="580"/>
      <c r="BLT93" s="580"/>
      <c r="BLU93" s="580"/>
      <c r="BLV93" s="580"/>
      <c r="BLW93" s="580"/>
      <c r="BLX93" s="580"/>
      <c r="BLY93" s="580"/>
      <c r="BLZ93" s="580"/>
      <c r="BMA93" s="580"/>
      <c r="BMB93" s="580"/>
      <c r="BMC93" s="580"/>
      <c r="BMD93" s="580"/>
      <c r="BME93" s="580"/>
      <c r="BMF93" s="580"/>
      <c r="BMG93" s="580"/>
      <c r="BMH93" s="580"/>
      <c r="BMI93" s="580"/>
      <c r="BMJ93" s="580"/>
      <c r="BMK93" s="580"/>
      <c r="BML93" s="580"/>
      <c r="BMM93" s="580"/>
      <c r="BMN93" s="580"/>
      <c r="BMO93" s="580"/>
      <c r="BMP93" s="580"/>
      <c r="BMQ93" s="580"/>
      <c r="BMR93" s="580"/>
      <c r="BMS93" s="580"/>
      <c r="BMT93" s="580"/>
      <c r="BMU93" s="580"/>
      <c r="BMV93" s="580"/>
      <c r="BMW93" s="580"/>
      <c r="BMX93" s="580"/>
      <c r="BMY93" s="580"/>
      <c r="BMZ93" s="580"/>
      <c r="BNA93" s="580"/>
      <c r="BNB93" s="580"/>
      <c r="BNC93" s="580"/>
      <c r="BND93" s="580"/>
      <c r="BNE93" s="580"/>
      <c r="BNF93" s="580"/>
      <c r="BNG93" s="580"/>
      <c r="BNH93" s="580"/>
      <c r="BNI93" s="580"/>
      <c r="BNJ93" s="580"/>
      <c r="BNK93" s="580"/>
      <c r="BNL93" s="580"/>
      <c r="BNM93" s="580"/>
      <c r="BNN93" s="580"/>
      <c r="BNO93" s="580"/>
      <c r="BNP93" s="580"/>
      <c r="BNQ93" s="580"/>
      <c r="BNR93" s="580"/>
      <c r="BNS93" s="580"/>
      <c r="BNT93" s="580"/>
      <c r="BNU93" s="580"/>
      <c r="BNV93" s="580"/>
      <c r="BNW93" s="580"/>
      <c r="BNX93" s="580"/>
      <c r="BNY93" s="580"/>
      <c r="BNZ93" s="580"/>
      <c r="BOA93" s="580"/>
      <c r="BOB93" s="580"/>
      <c r="BOC93" s="580"/>
      <c r="BOD93" s="580"/>
      <c r="BOE93" s="580"/>
      <c r="BOF93" s="580"/>
      <c r="BOG93" s="580"/>
      <c r="BOH93" s="580"/>
      <c r="BOI93" s="580"/>
      <c r="BOJ93" s="580"/>
      <c r="BOK93" s="580"/>
      <c r="BOL93" s="580"/>
      <c r="BOM93" s="580"/>
      <c r="BON93" s="580"/>
      <c r="BOO93" s="580"/>
      <c r="BOP93" s="580"/>
      <c r="BOQ93" s="580"/>
      <c r="BOR93" s="580"/>
      <c r="BOS93" s="580"/>
      <c r="BOT93" s="580"/>
      <c r="BOU93" s="580"/>
      <c r="BOV93" s="580"/>
      <c r="BOW93" s="580"/>
      <c r="BOX93" s="580"/>
      <c r="BOY93" s="580"/>
      <c r="BOZ93" s="580"/>
      <c r="BPA93" s="580"/>
      <c r="BPB93" s="580"/>
      <c r="BPC93" s="580"/>
      <c r="BPD93" s="580"/>
      <c r="BPE93" s="580"/>
      <c r="BPF93" s="580"/>
      <c r="BPG93" s="580"/>
      <c r="BPH93" s="580"/>
      <c r="BPI93" s="580"/>
      <c r="BPJ93" s="580"/>
      <c r="BPK93" s="580"/>
      <c r="BPL93" s="580"/>
      <c r="BPM93" s="580"/>
      <c r="BPN93" s="580"/>
      <c r="BPO93" s="580"/>
      <c r="BPP93" s="580"/>
      <c r="BPQ93" s="580"/>
      <c r="BPR93" s="580"/>
      <c r="BPS93" s="580"/>
      <c r="BPT93" s="580"/>
      <c r="BPU93" s="580"/>
      <c r="BPV93" s="580"/>
      <c r="BPW93" s="580"/>
      <c r="BPX93" s="580"/>
      <c r="BPY93" s="580"/>
      <c r="BPZ93" s="580"/>
      <c r="BQA93" s="580"/>
      <c r="BQB93" s="580"/>
      <c r="BQC93" s="580"/>
      <c r="BQD93" s="580"/>
      <c r="BQE93" s="580"/>
      <c r="BQF93" s="580"/>
      <c r="BQG93" s="580"/>
      <c r="BQH93" s="580"/>
      <c r="BQI93" s="580"/>
      <c r="BQJ93" s="580"/>
      <c r="BQK93" s="580"/>
      <c r="BQL93" s="580"/>
      <c r="BQM93" s="580"/>
      <c r="BQN93" s="580"/>
      <c r="BQO93" s="580"/>
      <c r="BQP93" s="580"/>
      <c r="BQQ93" s="580"/>
      <c r="BQR93" s="580"/>
      <c r="BQS93" s="580"/>
      <c r="BQT93" s="580"/>
      <c r="BQU93" s="580"/>
      <c r="BQV93" s="580"/>
      <c r="BQW93" s="580"/>
      <c r="BQX93" s="580"/>
      <c r="BQY93" s="580"/>
      <c r="BQZ93" s="580"/>
      <c r="BRA93" s="580"/>
      <c r="BRB93" s="580"/>
      <c r="BRC93" s="580"/>
      <c r="BRD93" s="580"/>
      <c r="BRE93" s="580"/>
      <c r="BRF93" s="580"/>
      <c r="BRG93" s="580"/>
      <c r="BRH93" s="580"/>
      <c r="BRI93" s="580"/>
      <c r="BRJ93" s="580"/>
      <c r="BRK93" s="580"/>
      <c r="BRL93" s="580"/>
      <c r="BRM93" s="580"/>
      <c r="BRN93" s="580"/>
      <c r="BRO93" s="580"/>
      <c r="BRP93" s="580"/>
      <c r="BRQ93" s="580"/>
      <c r="BRR93" s="580"/>
      <c r="BRS93" s="580"/>
      <c r="BRT93" s="580"/>
      <c r="BRU93" s="580"/>
      <c r="BRV93" s="580"/>
      <c r="BRW93" s="580"/>
      <c r="BRX93" s="580"/>
      <c r="BRY93" s="580"/>
      <c r="BRZ93" s="580"/>
      <c r="BSA93" s="580"/>
      <c r="BSB93" s="580"/>
      <c r="BSC93" s="580"/>
      <c r="BSD93" s="580"/>
      <c r="BSE93" s="580"/>
      <c r="BSF93" s="580"/>
      <c r="BSG93" s="580"/>
      <c r="BSH93" s="580"/>
      <c r="BSI93" s="580"/>
      <c r="BSJ93" s="580"/>
      <c r="BSK93" s="580"/>
      <c r="BSL93" s="580"/>
      <c r="BSM93" s="580"/>
      <c r="BSN93" s="580"/>
      <c r="BSO93" s="580"/>
      <c r="BSP93" s="580"/>
      <c r="BSQ93" s="580"/>
      <c r="BSR93" s="580"/>
      <c r="BSS93" s="580"/>
      <c r="BST93" s="580"/>
      <c r="BSU93" s="580"/>
      <c r="BSV93" s="580"/>
      <c r="BSW93" s="580"/>
      <c r="BSX93" s="580"/>
      <c r="BSY93" s="580"/>
      <c r="BSZ93" s="580"/>
      <c r="BTA93" s="580"/>
      <c r="BTB93" s="580"/>
      <c r="BTC93" s="580"/>
      <c r="BTD93" s="580"/>
      <c r="BTE93" s="580"/>
      <c r="BTF93" s="580"/>
      <c r="BTG93" s="580"/>
      <c r="BTH93" s="580"/>
      <c r="BTI93" s="580"/>
      <c r="BTJ93" s="580"/>
      <c r="BTK93" s="580"/>
      <c r="BTL93" s="580"/>
      <c r="BTM93" s="580"/>
      <c r="BTN93" s="580"/>
      <c r="BTO93" s="580"/>
      <c r="BTP93" s="580"/>
      <c r="BTQ93" s="580"/>
      <c r="BTR93" s="580"/>
      <c r="BTS93" s="580"/>
      <c r="BTT93" s="580"/>
      <c r="BTU93" s="580"/>
      <c r="BTV93" s="580"/>
      <c r="BTW93" s="580"/>
      <c r="BTX93" s="580"/>
      <c r="BTY93" s="580"/>
      <c r="BTZ93" s="580"/>
      <c r="BUA93" s="580"/>
      <c r="BUB93" s="580"/>
      <c r="BUC93" s="580"/>
      <c r="BUD93" s="580"/>
      <c r="BUE93" s="580"/>
      <c r="BUF93" s="580"/>
      <c r="BUG93" s="580"/>
      <c r="BUH93" s="580"/>
      <c r="BUI93" s="580"/>
      <c r="BUJ93" s="580"/>
      <c r="BUK93" s="580"/>
      <c r="BUL93" s="580"/>
      <c r="BUM93" s="580"/>
      <c r="BUN93" s="580"/>
      <c r="BUO93" s="580"/>
      <c r="BUP93" s="580"/>
      <c r="BUQ93" s="580"/>
      <c r="BUR93" s="580"/>
      <c r="BUS93" s="580"/>
      <c r="BUT93" s="580"/>
      <c r="BUU93" s="580"/>
      <c r="BUV93" s="580"/>
      <c r="BUW93" s="580"/>
      <c r="BUX93" s="580"/>
      <c r="BUY93" s="580"/>
      <c r="BUZ93" s="580"/>
      <c r="BVA93" s="580"/>
      <c r="BVB93" s="580"/>
      <c r="BVC93" s="580"/>
      <c r="BVD93" s="580"/>
      <c r="BVE93" s="580"/>
      <c r="BVF93" s="580"/>
      <c r="BVG93" s="580"/>
      <c r="BVH93" s="580"/>
      <c r="BVI93" s="580"/>
      <c r="BVJ93" s="580"/>
      <c r="BVK93" s="580"/>
      <c r="BVL93" s="580"/>
      <c r="BVM93" s="580"/>
      <c r="BVN93" s="580"/>
      <c r="BVO93" s="580"/>
      <c r="BVP93" s="580"/>
      <c r="BVQ93" s="580"/>
      <c r="BVR93" s="580"/>
      <c r="BVS93" s="580"/>
      <c r="BVT93" s="580"/>
      <c r="BVU93" s="580"/>
      <c r="BVV93" s="580"/>
      <c r="BVW93" s="580"/>
      <c r="BVX93" s="580"/>
      <c r="BVY93" s="580"/>
      <c r="BVZ93" s="580"/>
      <c r="BWA93" s="580"/>
      <c r="BWB93" s="580"/>
      <c r="BWC93" s="580"/>
      <c r="BWD93" s="580"/>
      <c r="BWE93" s="580"/>
      <c r="BWF93" s="580"/>
      <c r="BWG93" s="580"/>
      <c r="BWH93" s="580"/>
      <c r="BWI93" s="580"/>
      <c r="BWJ93" s="580"/>
      <c r="BWK93" s="580"/>
      <c r="BWL93" s="580"/>
      <c r="BWM93" s="580"/>
      <c r="BWN93" s="580"/>
      <c r="BWO93" s="580"/>
      <c r="BWP93" s="580"/>
      <c r="BWQ93" s="580"/>
      <c r="BWR93" s="580"/>
      <c r="BWS93" s="580"/>
      <c r="BWT93" s="580"/>
      <c r="BWU93" s="580"/>
      <c r="BWV93" s="580"/>
      <c r="BWW93" s="580"/>
      <c r="BWX93" s="580"/>
      <c r="BWY93" s="580"/>
      <c r="BWZ93" s="580"/>
      <c r="BXA93" s="580"/>
      <c r="BXB93" s="580"/>
      <c r="BXC93" s="580"/>
      <c r="BXD93" s="580"/>
      <c r="BXE93" s="580"/>
      <c r="BXF93" s="580"/>
      <c r="BXG93" s="580"/>
      <c r="BXH93" s="580"/>
      <c r="BXI93" s="580"/>
      <c r="BXJ93" s="580"/>
      <c r="BXK93" s="580"/>
      <c r="BXL93" s="580"/>
      <c r="BXM93" s="580"/>
      <c r="BXN93" s="580"/>
      <c r="BXO93" s="580"/>
      <c r="BXP93" s="580"/>
      <c r="BXQ93" s="580"/>
      <c r="BXR93" s="580"/>
      <c r="BXS93" s="580"/>
      <c r="BXT93" s="580"/>
      <c r="BXU93" s="580"/>
      <c r="BXV93" s="580"/>
      <c r="BXW93" s="580"/>
      <c r="BXX93" s="580"/>
      <c r="BXY93" s="580"/>
      <c r="BXZ93" s="580"/>
      <c r="BYA93" s="580"/>
      <c r="BYB93" s="580"/>
      <c r="BYC93" s="580"/>
      <c r="BYD93" s="580"/>
      <c r="BYE93" s="580"/>
      <c r="BYF93" s="580"/>
      <c r="BYG93" s="580"/>
      <c r="BYH93" s="580"/>
      <c r="BYI93" s="580"/>
      <c r="BYJ93" s="580"/>
      <c r="BYK93" s="580"/>
      <c r="BYL93" s="580"/>
      <c r="BYM93" s="580"/>
      <c r="BYN93" s="580"/>
      <c r="BYO93" s="580"/>
      <c r="BYP93" s="580"/>
      <c r="BYQ93" s="580"/>
      <c r="BYR93" s="580"/>
      <c r="BYS93" s="580"/>
      <c r="BYT93" s="580"/>
      <c r="BYU93" s="580"/>
      <c r="BYV93" s="580"/>
      <c r="BYW93" s="580"/>
      <c r="BYX93" s="580"/>
      <c r="BYY93" s="580"/>
      <c r="BYZ93" s="580"/>
      <c r="BZA93" s="580"/>
      <c r="BZB93" s="580"/>
      <c r="BZC93" s="580"/>
      <c r="BZD93" s="580"/>
      <c r="BZE93" s="580"/>
      <c r="BZF93" s="580"/>
      <c r="BZG93" s="580"/>
      <c r="BZH93" s="580"/>
      <c r="BZI93" s="580"/>
      <c r="BZJ93" s="580"/>
      <c r="BZK93" s="580"/>
      <c r="BZL93" s="580"/>
      <c r="BZM93" s="580"/>
      <c r="BZN93" s="580"/>
      <c r="BZO93" s="580"/>
      <c r="BZP93" s="580"/>
      <c r="BZQ93" s="580"/>
      <c r="BZR93" s="580"/>
      <c r="BZS93" s="580"/>
      <c r="BZT93" s="580"/>
      <c r="BZU93" s="580"/>
      <c r="BZV93" s="580"/>
      <c r="BZW93" s="580"/>
      <c r="BZX93" s="580"/>
      <c r="BZY93" s="580"/>
      <c r="BZZ93" s="580"/>
      <c r="CAA93" s="580"/>
      <c r="CAB93" s="580"/>
      <c r="CAC93" s="580"/>
      <c r="CAD93" s="580"/>
      <c r="CAE93" s="580"/>
      <c r="CAF93" s="580"/>
      <c r="CAG93" s="580"/>
      <c r="CAH93" s="580"/>
      <c r="CAI93" s="580"/>
      <c r="CAJ93" s="580"/>
      <c r="CAK93" s="580"/>
      <c r="CAL93" s="580"/>
      <c r="CAM93" s="580"/>
      <c r="CAN93" s="580"/>
      <c r="CAO93" s="580"/>
      <c r="CAP93" s="580"/>
      <c r="CAQ93" s="580"/>
      <c r="CAR93" s="580"/>
      <c r="CAS93" s="580"/>
      <c r="CAT93" s="580"/>
      <c r="CAU93" s="580"/>
      <c r="CAV93" s="580"/>
      <c r="CAW93" s="580"/>
      <c r="CAX93" s="580"/>
      <c r="CAY93" s="580"/>
      <c r="CAZ93" s="580"/>
      <c r="CBA93" s="580"/>
      <c r="CBB93" s="580"/>
      <c r="CBC93" s="580"/>
      <c r="CBD93" s="580"/>
      <c r="CBE93" s="580"/>
      <c r="CBF93" s="580"/>
      <c r="CBG93" s="580"/>
      <c r="CBH93" s="580"/>
      <c r="CBI93" s="580"/>
      <c r="CBJ93" s="580"/>
      <c r="CBK93" s="580"/>
      <c r="CBL93" s="580"/>
      <c r="CBM93" s="580"/>
      <c r="CBN93" s="580"/>
      <c r="CBO93" s="580"/>
      <c r="CBP93" s="580"/>
      <c r="CBQ93" s="580"/>
      <c r="CBR93" s="580"/>
      <c r="CBS93" s="580"/>
      <c r="CBT93" s="580"/>
      <c r="CBU93" s="580"/>
      <c r="CBV93" s="580"/>
      <c r="CBW93" s="580"/>
      <c r="CBX93" s="580"/>
      <c r="CBY93" s="580"/>
      <c r="CBZ93" s="580"/>
      <c r="CCA93" s="580"/>
      <c r="CCB93" s="580"/>
      <c r="CCC93" s="580"/>
      <c r="CCD93" s="580"/>
      <c r="CCE93" s="580"/>
      <c r="CCF93" s="580"/>
      <c r="CCG93" s="580"/>
      <c r="CCH93" s="580"/>
      <c r="CCI93" s="580"/>
      <c r="CCJ93" s="580"/>
      <c r="CCK93" s="580"/>
      <c r="CCL93" s="580"/>
      <c r="CCM93" s="580"/>
      <c r="CCN93" s="580"/>
      <c r="CCO93" s="580"/>
      <c r="CCP93" s="580"/>
      <c r="CCQ93" s="580"/>
      <c r="CCR93" s="580"/>
      <c r="CCS93" s="580"/>
      <c r="CCT93" s="580"/>
      <c r="CCU93" s="580"/>
      <c r="CCV93" s="580"/>
      <c r="CCW93" s="580"/>
      <c r="CCX93" s="580"/>
      <c r="CCY93" s="580"/>
      <c r="CCZ93" s="580"/>
      <c r="CDA93" s="580"/>
      <c r="CDB93" s="580"/>
      <c r="CDC93" s="580"/>
      <c r="CDD93" s="580"/>
      <c r="CDE93" s="580"/>
      <c r="CDF93" s="580"/>
      <c r="CDG93" s="580"/>
      <c r="CDH93" s="580"/>
      <c r="CDI93" s="580"/>
      <c r="CDJ93" s="580"/>
      <c r="CDK93" s="580"/>
      <c r="CDL93" s="580"/>
      <c r="CDM93" s="580"/>
      <c r="CDN93" s="580"/>
      <c r="CDO93" s="580"/>
      <c r="CDP93" s="580"/>
      <c r="CDQ93" s="580"/>
      <c r="CDR93" s="580"/>
      <c r="CDS93" s="580"/>
      <c r="CDT93" s="580"/>
      <c r="CDU93" s="580"/>
      <c r="CDV93" s="580"/>
      <c r="CDW93" s="580"/>
      <c r="CDX93" s="580"/>
      <c r="CDY93" s="580"/>
      <c r="CDZ93" s="580"/>
      <c r="CEA93" s="580"/>
      <c r="CEB93" s="580"/>
      <c r="CEC93" s="580"/>
      <c r="CED93" s="580"/>
      <c r="CEE93" s="580"/>
      <c r="CEF93" s="580"/>
      <c r="CEG93" s="580"/>
      <c r="CEH93" s="580"/>
      <c r="CEI93" s="580"/>
      <c r="CEJ93" s="580"/>
      <c r="CEK93" s="580"/>
      <c r="CEL93" s="580"/>
      <c r="CEM93" s="580"/>
      <c r="CEN93" s="580"/>
      <c r="CEO93" s="580"/>
      <c r="CEP93" s="580"/>
      <c r="CEQ93" s="580"/>
      <c r="CER93" s="580"/>
      <c r="CES93" s="580"/>
      <c r="CET93" s="580"/>
      <c r="CEU93" s="580"/>
      <c r="CEV93" s="580"/>
      <c r="CEW93" s="580"/>
      <c r="CEX93" s="580"/>
      <c r="CEY93" s="580"/>
      <c r="CEZ93" s="580"/>
      <c r="CFA93" s="580"/>
      <c r="CFB93" s="580"/>
      <c r="CFC93" s="580"/>
      <c r="CFD93" s="580"/>
      <c r="CFE93" s="580"/>
      <c r="CFF93" s="580"/>
      <c r="CFG93" s="580"/>
      <c r="CFH93" s="580"/>
      <c r="CFI93" s="580"/>
      <c r="CFJ93" s="580"/>
      <c r="CFK93" s="580"/>
      <c r="CFL93" s="580"/>
      <c r="CFM93" s="580"/>
      <c r="CFN93" s="580"/>
      <c r="CFO93" s="580"/>
      <c r="CFP93" s="580"/>
      <c r="CFQ93" s="580"/>
      <c r="CFR93" s="580"/>
      <c r="CFS93" s="580"/>
      <c r="CFT93" s="580"/>
      <c r="CFU93" s="580"/>
      <c r="CFV93" s="580"/>
      <c r="CFW93" s="580"/>
      <c r="CFX93" s="580"/>
      <c r="CFY93" s="580"/>
      <c r="CFZ93" s="580"/>
      <c r="CGA93" s="580"/>
      <c r="CGB93" s="580"/>
      <c r="CGC93" s="580"/>
      <c r="CGD93" s="580"/>
      <c r="CGE93" s="580"/>
      <c r="CGF93" s="580"/>
      <c r="CGG93" s="580"/>
      <c r="CGH93" s="580"/>
      <c r="CGI93" s="580"/>
      <c r="CGJ93" s="580"/>
      <c r="CGK93" s="580"/>
      <c r="CGL93" s="580"/>
      <c r="CGM93" s="580"/>
      <c r="CGN93" s="580"/>
      <c r="CGO93" s="580"/>
      <c r="CGP93" s="580"/>
      <c r="CGQ93" s="580"/>
      <c r="CGR93" s="580"/>
      <c r="CGS93" s="580"/>
      <c r="CGT93" s="580"/>
      <c r="CGU93" s="580"/>
      <c r="CGV93" s="580"/>
      <c r="CGW93" s="580"/>
      <c r="CGX93" s="580"/>
      <c r="CGY93" s="580"/>
      <c r="CGZ93" s="580"/>
      <c r="CHA93" s="580"/>
      <c r="CHB93" s="580"/>
      <c r="CHC93" s="580"/>
      <c r="CHD93" s="580"/>
      <c r="CHE93" s="580"/>
      <c r="CHF93" s="580"/>
      <c r="CHG93" s="580"/>
      <c r="CHH93" s="580"/>
      <c r="CHI93" s="580"/>
      <c r="CHJ93" s="580"/>
      <c r="CHK93" s="580"/>
      <c r="CHL93" s="580"/>
      <c r="CHM93" s="580"/>
      <c r="CHN93" s="580"/>
      <c r="CHO93" s="580"/>
      <c r="CHP93" s="580"/>
      <c r="CHQ93" s="580"/>
      <c r="CHR93" s="580"/>
      <c r="CHS93" s="580"/>
      <c r="CHT93" s="580"/>
      <c r="CHU93" s="580"/>
      <c r="CHV93" s="580"/>
      <c r="CHW93" s="580"/>
      <c r="CHX93" s="580"/>
      <c r="CHY93" s="580"/>
      <c r="CHZ93" s="580"/>
      <c r="CIA93" s="580"/>
      <c r="CIB93" s="580"/>
      <c r="CIC93" s="580"/>
      <c r="CID93" s="580"/>
      <c r="CIE93" s="580"/>
      <c r="CIF93" s="580"/>
      <c r="CIG93" s="580"/>
      <c r="CIH93" s="580"/>
      <c r="CII93" s="580"/>
      <c r="CIJ93" s="580"/>
      <c r="CIK93" s="580"/>
      <c r="CIL93" s="580"/>
      <c r="CIM93" s="580"/>
      <c r="CIN93" s="580"/>
      <c r="CIO93" s="580"/>
      <c r="CIP93" s="580"/>
      <c r="CIQ93" s="580"/>
      <c r="CIR93" s="580"/>
      <c r="CIS93" s="580"/>
      <c r="CIT93" s="580"/>
      <c r="CIU93" s="580"/>
      <c r="CIV93" s="580"/>
      <c r="CIW93" s="580"/>
      <c r="CIX93" s="580"/>
      <c r="CIY93" s="580"/>
      <c r="CIZ93" s="580"/>
      <c r="CJA93" s="580"/>
      <c r="CJB93" s="580"/>
      <c r="CJC93" s="580"/>
      <c r="CJD93" s="580"/>
      <c r="CJE93" s="580"/>
      <c r="CJF93" s="580"/>
      <c r="CJG93" s="580"/>
      <c r="CJH93" s="580"/>
      <c r="CJI93" s="580"/>
      <c r="CJJ93" s="580"/>
      <c r="CJK93" s="580"/>
      <c r="CJL93" s="580"/>
      <c r="CJM93" s="580"/>
      <c r="CJN93" s="580"/>
      <c r="CJO93" s="580"/>
      <c r="CJP93" s="580"/>
      <c r="CJQ93" s="580"/>
      <c r="CJR93" s="580"/>
      <c r="CJS93" s="580"/>
      <c r="CJT93" s="580"/>
      <c r="CJU93" s="580"/>
      <c r="CJV93" s="580"/>
      <c r="CJW93" s="580"/>
      <c r="CJX93" s="580"/>
      <c r="CJY93" s="580"/>
      <c r="CJZ93" s="580"/>
      <c r="CKA93" s="580"/>
      <c r="CKB93" s="580"/>
      <c r="CKC93" s="580"/>
      <c r="CKD93" s="580"/>
      <c r="CKE93" s="580"/>
      <c r="CKF93" s="580"/>
      <c r="CKG93" s="580"/>
      <c r="CKH93" s="580"/>
      <c r="CKI93" s="580"/>
      <c r="CKJ93" s="580"/>
      <c r="CKK93" s="580"/>
      <c r="CKL93" s="580"/>
      <c r="CKM93" s="580"/>
      <c r="CKN93" s="580"/>
      <c r="CKO93" s="580"/>
      <c r="CKP93" s="580"/>
      <c r="CKQ93" s="580"/>
      <c r="CKR93" s="580"/>
      <c r="CKS93" s="580"/>
      <c r="CKT93" s="580"/>
      <c r="CKU93" s="580"/>
      <c r="CKV93" s="580"/>
      <c r="CKW93" s="580"/>
      <c r="CKX93" s="580"/>
      <c r="CKY93" s="580"/>
      <c r="CKZ93" s="580"/>
      <c r="CLA93" s="580"/>
      <c r="CLB93" s="580"/>
      <c r="CLC93" s="580"/>
      <c r="CLD93" s="580"/>
      <c r="CLE93" s="580"/>
      <c r="CLF93" s="580"/>
      <c r="CLG93" s="580"/>
      <c r="CLH93" s="580"/>
      <c r="CLI93" s="580"/>
      <c r="CLJ93" s="580"/>
      <c r="CLK93" s="580"/>
      <c r="CLL93" s="580"/>
      <c r="CLM93" s="580"/>
      <c r="CLN93" s="580"/>
      <c r="CLO93" s="580"/>
      <c r="CLP93" s="580"/>
      <c r="CLQ93" s="580"/>
      <c r="CLR93" s="580"/>
      <c r="CLS93" s="580"/>
      <c r="CLT93" s="580"/>
      <c r="CLU93" s="580"/>
      <c r="CLV93" s="580"/>
      <c r="CLW93" s="580"/>
      <c r="CLX93" s="580"/>
      <c r="CLY93" s="580"/>
      <c r="CLZ93" s="580"/>
      <c r="CMA93" s="580"/>
      <c r="CMB93" s="580"/>
      <c r="CMC93" s="580"/>
      <c r="CMD93" s="580"/>
      <c r="CME93" s="580"/>
      <c r="CMF93" s="580"/>
      <c r="CMG93" s="580"/>
      <c r="CMH93" s="580"/>
      <c r="CMI93" s="580"/>
      <c r="CMJ93" s="580"/>
      <c r="CMK93" s="580"/>
      <c r="CML93" s="580"/>
      <c r="CMM93" s="580"/>
      <c r="CMN93" s="580"/>
      <c r="CMO93" s="580"/>
      <c r="CMP93" s="580"/>
      <c r="CMQ93" s="580"/>
      <c r="CMR93" s="580"/>
      <c r="CMS93" s="580"/>
      <c r="CMT93" s="580"/>
      <c r="CMU93" s="580"/>
      <c r="CMV93" s="580"/>
      <c r="CMW93" s="580"/>
      <c r="CMX93" s="580"/>
      <c r="CMY93" s="580"/>
      <c r="CMZ93" s="580"/>
      <c r="CNA93" s="580"/>
      <c r="CNB93" s="580"/>
      <c r="CNC93" s="580"/>
      <c r="CND93" s="580"/>
      <c r="CNE93" s="580"/>
      <c r="CNF93" s="580"/>
      <c r="CNG93" s="580"/>
      <c r="CNH93" s="580"/>
      <c r="CNI93" s="580"/>
      <c r="CNJ93" s="580"/>
      <c r="CNK93" s="580"/>
      <c r="CNL93" s="580"/>
      <c r="CNM93" s="580"/>
      <c r="CNN93" s="580"/>
      <c r="CNO93" s="580"/>
      <c r="CNP93" s="580"/>
      <c r="CNQ93" s="580"/>
      <c r="CNR93" s="580"/>
      <c r="CNS93" s="580"/>
      <c r="CNT93" s="580"/>
      <c r="CNU93" s="580"/>
      <c r="CNV93" s="580"/>
      <c r="CNW93" s="580"/>
      <c r="CNX93" s="580"/>
      <c r="CNY93" s="580"/>
      <c r="CNZ93" s="580"/>
      <c r="COA93" s="580"/>
      <c r="COB93" s="580"/>
      <c r="COC93" s="580"/>
      <c r="COD93" s="580"/>
      <c r="COE93" s="580"/>
      <c r="COF93" s="580"/>
      <c r="COG93" s="580"/>
      <c r="COH93" s="580"/>
      <c r="COI93" s="580"/>
      <c r="COJ93" s="580"/>
      <c r="COK93" s="580"/>
      <c r="COL93" s="580"/>
      <c r="COM93" s="580"/>
      <c r="CON93" s="580"/>
      <c r="COO93" s="580"/>
      <c r="COP93" s="580"/>
      <c r="COQ93" s="580"/>
      <c r="COR93" s="580"/>
      <c r="COS93" s="580"/>
      <c r="COT93" s="580"/>
      <c r="COU93" s="580"/>
      <c r="COV93" s="580"/>
      <c r="COW93" s="580"/>
      <c r="COX93" s="580"/>
      <c r="COY93" s="580"/>
      <c r="COZ93" s="580"/>
      <c r="CPA93" s="580"/>
      <c r="CPB93" s="580"/>
      <c r="CPC93" s="580"/>
      <c r="CPD93" s="580"/>
      <c r="CPE93" s="580"/>
      <c r="CPF93" s="580"/>
      <c r="CPG93" s="580"/>
      <c r="CPH93" s="580"/>
      <c r="CPI93" s="580"/>
      <c r="CPJ93" s="580"/>
      <c r="CPK93" s="580"/>
      <c r="CPL93" s="580"/>
      <c r="CPM93" s="580"/>
      <c r="CPN93" s="580"/>
      <c r="CPO93" s="580"/>
      <c r="CPP93" s="580"/>
      <c r="CPQ93" s="580"/>
      <c r="CPR93" s="580"/>
      <c r="CPS93" s="580"/>
      <c r="CPT93" s="580"/>
      <c r="CPU93" s="580"/>
      <c r="CPV93" s="580"/>
      <c r="CPW93" s="580"/>
      <c r="CPX93" s="580"/>
      <c r="CPY93" s="580"/>
      <c r="CPZ93" s="580"/>
      <c r="CQA93" s="580"/>
      <c r="CQB93" s="580"/>
      <c r="CQC93" s="580"/>
      <c r="CQD93" s="580"/>
      <c r="CQE93" s="580"/>
      <c r="CQF93" s="580"/>
      <c r="CQG93" s="580"/>
      <c r="CQH93" s="580"/>
      <c r="CQI93" s="580"/>
      <c r="CQJ93" s="580"/>
      <c r="CQK93" s="580"/>
      <c r="CQL93" s="580"/>
      <c r="CQM93" s="580"/>
      <c r="CQN93" s="580"/>
      <c r="CQO93" s="580"/>
      <c r="CQP93" s="580"/>
      <c r="CQQ93" s="580"/>
      <c r="CQR93" s="580"/>
      <c r="CQS93" s="580"/>
      <c r="CQT93" s="580"/>
      <c r="CQU93" s="580"/>
      <c r="CQV93" s="580"/>
      <c r="CQW93" s="580"/>
      <c r="CQX93" s="580"/>
      <c r="CQY93" s="580"/>
      <c r="CQZ93" s="580"/>
      <c r="CRA93" s="580"/>
      <c r="CRB93" s="580"/>
      <c r="CRC93" s="580"/>
      <c r="CRD93" s="580"/>
      <c r="CRE93" s="580"/>
      <c r="CRF93" s="580"/>
      <c r="CRG93" s="580"/>
      <c r="CRH93" s="580"/>
      <c r="CRI93" s="580"/>
      <c r="CRJ93" s="580"/>
      <c r="CRK93" s="580"/>
      <c r="CRL93" s="580"/>
      <c r="CRM93" s="580"/>
      <c r="CRN93" s="580"/>
      <c r="CRO93" s="580"/>
      <c r="CRP93" s="580"/>
      <c r="CRQ93" s="580"/>
      <c r="CRR93" s="580"/>
      <c r="CRS93" s="580"/>
      <c r="CRT93" s="580"/>
      <c r="CRU93" s="580"/>
      <c r="CRV93" s="580"/>
      <c r="CRW93" s="580"/>
      <c r="CRX93" s="580"/>
      <c r="CRY93" s="580"/>
      <c r="CRZ93" s="580"/>
      <c r="CSA93" s="580"/>
      <c r="CSB93" s="580"/>
      <c r="CSC93" s="580"/>
      <c r="CSD93" s="580"/>
      <c r="CSE93" s="580"/>
      <c r="CSF93" s="580"/>
      <c r="CSG93" s="580"/>
      <c r="CSH93" s="580"/>
      <c r="CSI93" s="580"/>
      <c r="CSJ93" s="580"/>
      <c r="CSK93" s="580"/>
      <c r="CSL93" s="580"/>
      <c r="CSM93" s="580"/>
      <c r="CSN93" s="580"/>
      <c r="CSO93" s="580"/>
      <c r="CSP93" s="580"/>
      <c r="CSQ93" s="580"/>
      <c r="CSR93" s="580"/>
      <c r="CSS93" s="580"/>
      <c r="CST93" s="580"/>
      <c r="CSU93" s="580"/>
      <c r="CSV93" s="580"/>
      <c r="CSW93" s="580"/>
      <c r="CSX93" s="580"/>
      <c r="CSY93" s="580"/>
      <c r="CSZ93" s="580"/>
      <c r="CTA93" s="580"/>
      <c r="CTB93" s="580"/>
      <c r="CTC93" s="580"/>
      <c r="CTD93" s="580"/>
      <c r="CTE93" s="580"/>
      <c r="CTF93" s="580"/>
      <c r="CTG93" s="580"/>
      <c r="CTH93" s="580"/>
      <c r="CTI93" s="580"/>
      <c r="CTJ93" s="580"/>
      <c r="CTK93" s="580"/>
      <c r="CTL93" s="580"/>
      <c r="CTM93" s="580"/>
      <c r="CTN93" s="580"/>
      <c r="CTO93" s="580"/>
      <c r="CTP93" s="580"/>
      <c r="CTQ93" s="580"/>
      <c r="CTR93" s="580"/>
      <c r="CTS93" s="580"/>
      <c r="CTT93" s="580"/>
      <c r="CTU93" s="580"/>
      <c r="CTV93" s="580"/>
      <c r="CTW93" s="580"/>
      <c r="CTX93" s="580"/>
      <c r="CTY93" s="580"/>
      <c r="CTZ93" s="580"/>
      <c r="CUA93" s="580"/>
      <c r="CUB93" s="580"/>
      <c r="CUC93" s="580"/>
      <c r="CUD93" s="580"/>
      <c r="CUE93" s="580"/>
      <c r="CUF93" s="580"/>
      <c r="CUG93" s="580"/>
      <c r="CUH93" s="580"/>
      <c r="CUI93" s="580"/>
      <c r="CUJ93" s="580"/>
      <c r="CUK93" s="580"/>
      <c r="CUL93" s="580"/>
      <c r="CUM93" s="580"/>
      <c r="CUN93" s="580"/>
      <c r="CUO93" s="580"/>
      <c r="CUP93" s="580"/>
      <c r="CUQ93" s="580"/>
      <c r="CUR93" s="580"/>
      <c r="CUS93" s="580"/>
      <c r="CUT93" s="580"/>
      <c r="CUU93" s="580"/>
      <c r="CUV93" s="580"/>
      <c r="CUW93" s="580"/>
      <c r="CUX93" s="580"/>
      <c r="CUY93" s="580"/>
      <c r="CUZ93" s="580"/>
      <c r="CVA93" s="580"/>
      <c r="CVB93" s="580"/>
      <c r="CVC93" s="580"/>
      <c r="CVD93" s="580"/>
      <c r="CVE93" s="580"/>
      <c r="CVF93" s="580"/>
      <c r="CVG93" s="580"/>
      <c r="CVH93" s="580"/>
      <c r="CVI93" s="580"/>
      <c r="CVJ93" s="580"/>
      <c r="CVK93" s="580"/>
      <c r="CVL93" s="580"/>
      <c r="CVM93" s="580"/>
      <c r="CVN93" s="580"/>
      <c r="CVO93" s="580"/>
      <c r="CVP93" s="580"/>
      <c r="CVQ93" s="580"/>
      <c r="CVR93" s="580"/>
      <c r="CVS93" s="580"/>
      <c r="CVT93" s="580"/>
      <c r="CVU93" s="580"/>
      <c r="CVV93" s="580"/>
      <c r="CVW93" s="580"/>
      <c r="CVX93" s="580"/>
      <c r="CVY93" s="580"/>
      <c r="CVZ93" s="580"/>
      <c r="CWA93" s="580"/>
      <c r="CWB93" s="580"/>
      <c r="CWC93" s="580"/>
      <c r="CWD93" s="580"/>
      <c r="CWE93" s="580"/>
      <c r="CWF93" s="580"/>
      <c r="CWG93" s="580"/>
      <c r="CWH93" s="580"/>
      <c r="CWI93" s="580"/>
      <c r="CWJ93" s="580"/>
      <c r="CWK93" s="580"/>
      <c r="CWL93" s="580"/>
      <c r="CWM93" s="580"/>
      <c r="CWN93" s="580"/>
      <c r="CWO93" s="580"/>
      <c r="CWP93" s="580"/>
      <c r="CWQ93" s="580"/>
      <c r="CWR93" s="580"/>
      <c r="CWS93" s="580"/>
      <c r="CWT93" s="580"/>
      <c r="CWU93" s="580"/>
      <c r="CWV93" s="580"/>
      <c r="CWW93" s="580"/>
      <c r="CWX93" s="580"/>
      <c r="CWY93" s="580"/>
      <c r="CWZ93" s="580"/>
      <c r="CXA93" s="580"/>
      <c r="CXB93" s="580"/>
      <c r="CXC93" s="580"/>
      <c r="CXD93" s="580"/>
      <c r="CXE93" s="580"/>
      <c r="CXF93" s="580"/>
      <c r="CXG93" s="580"/>
      <c r="CXH93" s="580"/>
      <c r="CXI93" s="580"/>
      <c r="CXJ93" s="580"/>
      <c r="CXK93" s="580"/>
      <c r="CXL93" s="580"/>
      <c r="CXM93" s="580"/>
      <c r="CXN93" s="580"/>
      <c r="CXO93" s="580"/>
      <c r="CXP93" s="580"/>
      <c r="CXQ93" s="580"/>
      <c r="CXR93" s="580"/>
      <c r="CXS93" s="580"/>
      <c r="CXT93" s="580"/>
      <c r="CXU93" s="580"/>
      <c r="CXV93" s="580"/>
      <c r="CXW93" s="580"/>
      <c r="CXX93" s="580"/>
      <c r="CXY93" s="580"/>
      <c r="CXZ93" s="580"/>
      <c r="CYA93" s="580"/>
      <c r="CYB93" s="580"/>
      <c r="CYC93" s="580"/>
      <c r="CYD93" s="580"/>
      <c r="CYE93" s="580"/>
      <c r="CYF93" s="580"/>
      <c r="CYG93" s="580"/>
      <c r="CYH93" s="580"/>
      <c r="CYI93" s="580"/>
      <c r="CYJ93" s="580"/>
      <c r="CYK93" s="580"/>
      <c r="CYL93" s="580"/>
      <c r="CYM93" s="580"/>
      <c r="CYN93" s="580"/>
      <c r="CYO93" s="580"/>
      <c r="CYP93" s="580"/>
      <c r="CYQ93" s="580"/>
      <c r="CYR93" s="580"/>
      <c r="CYS93" s="580"/>
      <c r="CYT93" s="580"/>
      <c r="CYU93" s="580"/>
      <c r="CYV93" s="580"/>
      <c r="CYW93" s="580"/>
      <c r="CYX93" s="580"/>
      <c r="CYY93" s="580"/>
      <c r="CYZ93" s="580"/>
      <c r="CZA93" s="580"/>
      <c r="CZB93" s="580"/>
      <c r="CZC93" s="580"/>
      <c r="CZD93" s="580"/>
      <c r="CZE93" s="580"/>
      <c r="CZF93" s="580"/>
      <c r="CZG93" s="580"/>
      <c r="CZH93" s="580"/>
      <c r="CZI93" s="580"/>
      <c r="CZJ93" s="580"/>
      <c r="CZK93" s="580"/>
      <c r="CZL93" s="580"/>
      <c r="CZM93" s="580"/>
      <c r="CZN93" s="580"/>
      <c r="CZO93" s="580"/>
      <c r="CZP93" s="580"/>
      <c r="CZQ93" s="580"/>
      <c r="CZR93" s="580"/>
      <c r="CZS93" s="580"/>
      <c r="CZT93" s="580"/>
      <c r="CZU93" s="580"/>
      <c r="CZV93" s="580"/>
      <c r="CZW93" s="580"/>
      <c r="CZX93" s="580"/>
      <c r="CZY93" s="580"/>
      <c r="CZZ93" s="580"/>
      <c r="DAA93" s="580"/>
      <c r="DAB93" s="580"/>
      <c r="DAC93" s="580"/>
      <c r="DAD93" s="580"/>
      <c r="DAE93" s="580"/>
      <c r="DAF93" s="580"/>
      <c r="DAG93" s="580"/>
      <c r="DAH93" s="580"/>
      <c r="DAI93" s="580"/>
      <c r="DAJ93" s="580"/>
      <c r="DAK93" s="580"/>
      <c r="DAL93" s="580"/>
      <c r="DAM93" s="580"/>
      <c r="DAN93" s="580"/>
      <c r="DAO93" s="580"/>
      <c r="DAP93" s="580"/>
      <c r="DAQ93" s="580"/>
      <c r="DAR93" s="580"/>
      <c r="DAS93" s="580"/>
      <c r="DAT93" s="580"/>
      <c r="DAU93" s="580"/>
      <c r="DAV93" s="580"/>
      <c r="DAW93" s="580"/>
      <c r="DAX93" s="580"/>
      <c r="DAY93" s="580"/>
      <c r="DAZ93" s="580"/>
      <c r="DBA93" s="580"/>
      <c r="DBB93" s="580"/>
      <c r="DBC93" s="580"/>
      <c r="DBD93" s="580"/>
      <c r="DBE93" s="580"/>
      <c r="DBF93" s="580"/>
      <c r="DBG93" s="580"/>
      <c r="DBH93" s="580"/>
      <c r="DBI93" s="580"/>
      <c r="DBJ93" s="580"/>
      <c r="DBK93" s="580"/>
      <c r="DBL93" s="580"/>
      <c r="DBM93" s="580"/>
      <c r="DBN93" s="580"/>
      <c r="DBO93" s="580"/>
      <c r="DBP93" s="580"/>
      <c r="DBQ93" s="580"/>
      <c r="DBR93" s="580"/>
      <c r="DBS93" s="580"/>
      <c r="DBT93" s="580"/>
      <c r="DBU93" s="580"/>
      <c r="DBV93" s="580"/>
      <c r="DBW93" s="580"/>
      <c r="DBX93" s="580"/>
      <c r="DBY93" s="580"/>
      <c r="DBZ93" s="580"/>
      <c r="DCA93" s="580"/>
      <c r="DCB93" s="580"/>
      <c r="DCC93" s="580"/>
      <c r="DCD93" s="580"/>
      <c r="DCE93" s="580"/>
      <c r="DCF93" s="580"/>
      <c r="DCG93" s="580"/>
      <c r="DCH93" s="580"/>
      <c r="DCI93" s="580"/>
      <c r="DCJ93" s="580"/>
      <c r="DCK93" s="580"/>
      <c r="DCL93" s="580"/>
      <c r="DCM93" s="580"/>
      <c r="DCN93" s="580"/>
      <c r="DCO93" s="580"/>
      <c r="DCP93" s="580"/>
      <c r="DCQ93" s="580"/>
      <c r="DCR93" s="580"/>
      <c r="DCS93" s="580"/>
      <c r="DCT93" s="580"/>
      <c r="DCU93" s="580"/>
      <c r="DCV93" s="580"/>
      <c r="DCW93" s="580"/>
      <c r="DCX93" s="580"/>
      <c r="DCY93" s="580"/>
      <c r="DCZ93" s="580"/>
      <c r="DDA93" s="580"/>
      <c r="DDB93" s="580"/>
      <c r="DDC93" s="580"/>
      <c r="DDD93" s="580"/>
      <c r="DDE93" s="580"/>
      <c r="DDF93" s="580"/>
      <c r="DDG93" s="580"/>
      <c r="DDH93" s="580"/>
      <c r="DDI93" s="580"/>
      <c r="DDJ93" s="580"/>
      <c r="DDK93" s="580"/>
      <c r="DDL93" s="580"/>
      <c r="DDM93" s="580"/>
      <c r="DDN93" s="580"/>
      <c r="DDO93" s="580"/>
      <c r="DDP93" s="580"/>
      <c r="DDQ93" s="580"/>
      <c r="DDR93" s="580"/>
      <c r="DDS93" s="580"/>
      <c r="DDT93" s="580"/>
      <c r="DDU93" s="580"/>
      <c r="DDV93" s="580"/>
      <c r="DDW93" s="580"/>
      <c r="DDX93" s="580"/>
      <c r="DDY93" s="580"/>
      <c r="DDZ93" s="580"/>
      <c r="DEA93" s="580"/>
      <c r="DEB93" s="580"/>
      <c r="DEC93" s="580"/>
      <c r="DED93" s="580"/>
      <c r="DEE93" s="580"/>
      <c r="DEF93" s="580"/>
      <c r="DEG93" s="580"/>
      <c r="DEH93" s="580"/>
      <c r="DEI93" s="580"/>
      <c r="DEJ93" s="580"/>
      <c r="DEK93" s="580"/>
      <c r="DEL93" s="580"/>
      <c r="DEM93" s="580"/>
      <c r="DEN93" s="580"/>
      <c r="DEO93" s="580"/>
      <c r="DEP93" s="580"/>
      <c r="DEQ93" s="580"/>
      <c r="DER93" s="580"/>
      <c r="DES93" s="580"/>
      <c r="DET93" s="580"/>
      <c r="DEU93" s="580"/>
      <c r="DEV93" s="580"/>
      <c r="DEW93" s="580"/>
      <c r="DEX93" s="580"/>
      <c r="DEY93" s="580"/>
      <c r="DEZ93" s="580"/>
      <c r="DFA93" s="580"/>
      <c r="DFB93" s="580"/>
      <c r="DFC93" s="580"/>
      <c r="DFD93" s="580"/>
      <c r="DFE93" s="580"/>
      <c r="DFF93" s="580"/>
      <c r="DFG93" s="580"/>
      <c r="DFH93" s="580"/>
      <c r="DFI93" s="580"/>
      <c r="DFJ93" s="580"/>
      <c r="DFK93" s="580"/>
      <c r="DFL93" s="580"/>
      <c r="DFM93" s="580"/>
      <c r="DFN93" s="580"/>
      <c r="DFO93" s="580"/>
      <c r="DFP93" s="580"/>
      <c r="DFQ93" s="580"/>
      <c r="DFR93" s="580"/>
      <c r="DFS93" s="580"/>
      <c r="DFT93" s="580"/>
      <c r="DFU93" s="580"/>
      <c r="DFV93" s="580"/>
      <c r="DFW93" s="580"/>
      <c r="DFX93" s="580"/>
      <c r="DFY93" s="580"/>
      <c r="DFZ93" s="580"/>
      <c r="DGA93" s="580"/>
      <c r="DGB93" s="580"/>
      <c r="DGC93" s="580"/>
      <c r="DGD93" s="580"/>
      <c r="DGE93" s="580"/>
      <c r="DGF93" s="580"/>
      <c r="DGG93" s="580"/>
      <c r="DGH93" s="580"/>
      <c r="DGI93" s="580"/>
      <c r="DGJ93" s="580"/>
      <c r="DGK93" s="580"/>
      <c r="DGL93" s="580"/>
      <c r="DGM93" s="580"/>
      <c r="DGN93" s="580"/>
      <c r="DGO93" s="580"/>
      <c r="DGP93" s="580"/>
      <c r="DGQ93" s="580"/>
      <c r="DGR93" s="580"/>
      <c r="DGS93" s="580"/>
      <c r="DGT93" s="580"/>
      <c r="DGU93" s="580"/>
      <c r="DGV93" s="580"/>
      <c r="DGW93" s="580"/>
      <c r="DGX93" s="580"/>
      <c r="DGY93" s="580"/>
      <c r="DGZ93" s="580"/>
      <c r="DHA93" s="580"/>
      <c r="DHB93" s="580"/>
      <c r="DHC93" s="580"/>
      <c r="DHD93" s="580"/>
      <c r="DHE93" s="580"/>
      <c r="DHF93" s="580"/>
      <c r="DHG93" s="580"/>
      <c r="DHH93" s="580"/>
      <c r="DHI93" s="580"/>
      <c r="DHJ93" s="580"/>
      <c r="DHK93" s="580"/>
      <c r="DHL93" s="580"/>
      <c r="DHM93" s="580"/>
      <c r="DHN93" s="580"/>
      <c r="DHO93" s="580"/>
      <c r="DHP93" s="580"/>
      <c r="DHQ93" s="580"/>
      <c r="DHR93" s="580"/>
      <c r="DHS93" s="580"/>
      <c r="DHT93" s="580"/>
      <c r="DHU93" s="580"/>
      <c r="DHV93" s="580"/>
      <c r="DHW93" s="580"/>
      <c r="DHX93" s="580"/>
      <c r="DHY93" s="580"/>
      <c r="DHZ93" s="580"/>
      <c r="DIA93" s="580"/>
      <c r="DIB93" s="580"/>
      <c r="DIC93" s="580"/>
      <c r="DID93" s="580"/>
      <c r="DIE93" s="580"/>
      <c r="DIF93" s="580"/>
      <c r="DIG93" s="580"/>
      <c r="DIH93" s="580"/>
      <c r="DII93" s="580"/>
      <c r="DIJ93" s="580"/>
      <c r="DIK93" s="580"/>
      <c r="DIL93" s="580"/>
      <c r="DIM93" s="580"/>
      <c r="DIN93" s="580"/>
      <c r="DIO93" s="580"/>
      <c r="DIP93" s="580"/>
      <c r="DIQ93" s="580"/>
      <c r="DIR93" s="580"/>
      <c r="DIS93" s="580"/>
      <c r="DIT93" s="580"/>
      <c r="DIU93" s="580"/>
      <c r="DIV93" s="580"/>
      <c r="DIW93" s="580"/>
      <c r="DIX93" s="580"/>
      <c r="DIY93" s="580"/>
      <c r="DIZ93" s="580"/>
      <c r="DJA93" s="580"/>
      <c r="DJB93" s="580"/>
      <c r="DJC93" s="580"/>
      <c r="DJD93" s="580"/>
      <c r="DJE93" s="580"/>
      <c r="DJF93" s="580"/>
      <c r="DJG93" s="580"/>
      <c r="DJH93" s="580"/>
      <c r="DJI93" s="580"/>
      <c r="DJJ93" s="580"/>
      <c r="DJK93" s="580"/>
      <c r="DJL93" s="580"/>
      <c r="DJM93" s="580"/>
      <c r="DJN93" s="580"/>
      <c r="DJO93" s="580"/>
      <c r="DJP93" s="580"/>
      <c r="DJQ93" s="580"/>
      <c r="DJR93" s="580"/>
      <c r="DJS93" s="580"/>
      <c r="DJT93" s="580"/>
      <c r="DJU93" s="580"/>
      <c r="DJV93" s="580"/>
      <c r="DJW93" s="580"/>
      <c r="DJX93" s="580"/>
      <c r="DJY93" s="580"/>
      <c r="DJZ93" s="580"/>
      <c r="DKA93" s="580"/>
      <c r="DKB93" s="580"/>
      <c r="DKC93" s="580"/>
      <c r="DKD93" s="580"/>
      <c r="DKE93" s="580"/>
      <c r="DKF93" s="580"/>
      <c r="DKG93" s="580"/>
      <c r="DKH93" s="580"/>
      <c r="DKI93" s="580"/>
      <c r="DKJ93" s="580"/>
      <c r="DKK93" s="580"/>
      <c r="DKL93" s="580"/>
      <c r="DKM93" s="580"/>
      <c r="DKN93" s="580"/>
      <c r="DKO93" s="580"/>
      <c r="DKP93" s="580"/>
      <c r="DKQ93" s="580"/>
      <c r="DKR93" s="580"/>
      <c r="DKS93" s="580"/>
      <c r="DKT93" s="580"/>
      <c r="DKU93" s="580"/>
      <c r="DKV93" s="580"/>
      <c r="DKW93" s="580"/>
      <c r="DKX93" s="580"/>
      <c r="DKY93" s="580"/>
      <c r="DKZ93" s="580"/>
      <c r="DLA93" s="580"/>
      <c r="DLB93" s="580"/>
      <c r="DLC93" s="580"/>
      <c r="DLD93" s="580"/>
      <c r="DLE93" s="580"/>
      <c r="DLF93" s="580"/>
      <c r="DLG93" s="580"/>
      <c r="DLH93" s="580"/>
      <c r="DLI93" s="580"/>
      <c r="DLJ93" s="580"/>
      <c r="DLK93" s="580"/>
      <c r="DLL93" s="580"/>
      <c r="DLM93" s="580"/>
      <c r="DLN93" s="580"/>
      <c r="DLO93" s="580"/>
      <c r="DLP93" s="580"/>
      <c r="DLQ93" s="580"/>
      <c r="DLR93" s="580"/>
      <c r="DLS93" s="580"/>
      <c r="DLT93" s="580"/>
      <c r="DLU93" s="580"/>
      <c r="DLV93" s="580"/>
      <c r="DLW93" s="580"/>
      <c r="DLX93" s="580"/>
      <c r="DLY93" s="580"/>
      <c r="DLZ93" s="580"/>
      <c r="DMA93" s="580"/>
      <c r="DMB93" s="580"/>
      <c r="DMC93" s="580"/>
      <c r="DMD93" s="580"/>
      <c r="DME93" s="580"/>
      <c r="DMF93" s="580"/>
      <c r="DMG93" s="580"/>
      <c r="DMH93" s="580"/>
      <c r="DMI93" s="580"/>
      <c r="DMJ93" s="580"/>
      <c r="DMK93" s="580"/>
      <c r="DML93" s="580"/>
      <c r="DMM93" s="580"/>
      <c r="DMN93" s="580"/>
      <c r="DMO93" s="580"/>
      <c r="DMP93" s="580"/>
      <c r="DMQ93" s="580"/>
      <c r="DMR93" s="580"/>
      <c r="DMS93" s="580"/>
      <c r="DMT93" s="580"/>
      <c r="DMU93" s="580"/>
      <c r="DMV93" s="580"/>
      <c r="DMW93" s="580"/>
      <c r="DMX93" s="580"/>
      <c r="DMY93" s="580"/>
      <c r="DMZ93" s="580"/>
      <c r="DNA93" s="580"/>
      <c r="DNB93" s="580"/>
      <c r="DNC93" s="580"/>
      <c r="DND93" s="580"/>
      <c r="DNE93" s="580"/>
      <c r="DNF93" s="580"/>
      <c r="DNG93" s="580"/>
      <c r="DNH93" s="580"/>
      <c r="DNI93" s="580"/>
      <c r="DNJ93" s="580"/>
      <c r="DNK93" s="580"/>
      <c r="DNL93" s="580"/>
      <c r="DNM93" s="580"/>
      <c r="DNN93" s="580"/>
      <c r="DNO93" s="580"/>
      <c r="DNP93" s="580"/>
      <c r="DNQ93" s="580"/>
      <c r="DNR93" s="580"/>
      <c r="DNS93" s="580"/>
      <c r="DNT93" s="580"/>
      <c r="DNU93" s="580"/>
      <c r="DNV93" s="580"/>
      <c r="DNW93" s="580"/>
      <c r="DNX93" s="580"/>
      <c r="DNY93" s="580"/>
      <c r="DNZ93" s="580"/>
      <c r="DOA93" s="580"/>
      <c r="DOB93" s="580"/>
      <c r="DOC93" s="580"/>
      <c r="DOD93" s="580"/>
      <c r="DOE93" s="580"/>
      <c r="DOF93" s="580"/>
      <c r="DOG93" s="580"/>
      <c r="DOH93" s="580"/>
      <c r="DOI93" s="580"/>
      <c r="DOJ93" s="580"/>
      <c r="DOK93" s="580"/>
      <c r="DOL93" s="580"/>
      <c r="DOM93" s="580"/>
      <c r="DON93" s="580"/>
      <c r="DOO93" s="580"/>
      <c r="DOP93" s="580"/>
      <c r="DOQ93" s="580"/>
      <c r="DOR93" s="580"/>
      <c r="DOS93" s="580"/>
      <c r="DOT93" s="580"/>
      <c r="DOU93" s="580"/>
      <c r="DOV93" s="580"/>
      <c r="DOW93" s="580"/>
      <c r="DOX93" s="580"/>
      <c r="DOY93" s="580"/>
      <c r="DOZ93" s="580"/>
      <c r="DPA93" s="580"/>
      <c r="DPB93" s="580"/>
      <c r="DPC93" s="580"/>
      <c r="DPD93" s="580"/>
      <c r="DPE93" s="580"/>
      <c r="DPF93" s="580"/>
      <c r="DPG93" s="580"/>
      <c r="DPH93" s="580"/>
      <c r="DPI93" s="580"/>
      <c r="DPJ93" s="580"/>
      <c r="DPK93" s="580"/>
      <c r="DPL93" s="580"/>
      <c r="DPM93" s="580"/>
      <c r="DPN93" s="580"/>
      <c r="DPO93" s="580"/>
      <c r="DPP93" s="580"/>
      <c r="DPQ93" s="580"/>
      <c r="DPR93" s="580"/>
      <c r="DPS93" s="580"/>
      <c r="DPT93" s="580"/>
      <c r="DPU93" s="580"/>
      <c r="DPV93" s="580"/>
      <c r="DPW93" s="580"/>
      <c r="DPX93" s="580"/>
      <c r="DPY93" s="580"/>
      <c r="DPZ93" s="580"/>
      <c r="DQA93" s="580"/>
      <c r="DQB93" s="580"/>
      <c r="DQC93" s="580"/>
      <c r="DQD93" s="580"/>
      <c r="DQE93" s="580"/>
      <c r="DQF93" s="580"/>
      <c r="DQG93" s="580"/>
      <c r="DQH93" s="580"/>
      <c r="DQI93" s="580"/>
      <c r="DQJ93" s="580"/>
      <c r="DQK93" s="580"/>
      <c r="DQL93" s="580"/>
      <c r="DQM93" s="580"/>
      <c r="DQN93" s="580"/>
      <c r="DQO93" s="580"/>
      <c r="DQP93" s="580"/>
      <c r="DQQ93" s="580"/>
      <c r="DQR93" s="580"/>
      <c r="DQS93" s="580"/>
      <c r="DQT93" s="580"/>
      <c r="DQU93" s="580"/>
      <c r="DQV93" s="580"/>
      <c r="DQW93" s="580"/>
      <c r="DQX93" s="580"/>
      <c r="DQY93" s="580"/>
      <c r="DQZ93" s="580"/>
      <c r="DRA93" s="580"/>
      <c r="DRB93" s="580"/>
      <c r="DRC93" s="580"/>
      <c r="DRD93" s="580"/>
      <c r="DRE93" s="580"/>
      <c r="DRF93" s="580"/>
      <c r="DRG93" s="580"/>
      <c r="DRH93" s="580"/>
      <c r="DRI93" s="580"/>
      <c r="DRJ93" s="580"/>
      <c r="DRK93" s="580"/>
      <c r="DRL93" s="580"/>
      <c r="DRM93" s="580"/>
      <c r="DRN93" s="580"/>
      <c r="DRO93" s="580"/>
      <c r="DRP93" s="580"/>
      <c r="DRQ93" s="580"/>
      <c r="DRR93" s="580"/>
      <c r="DRS93" s="580"/>
      <c r="DRT93" s="580"/>
      <c r="DRU93" s="580"/>
      <c r="DRV93" s="580"/>
      <c r="DRW93" s="580"/>
      <c r="DRX93" s="580"/>
      <c r="DRY93" s="580"/>
      <c r="DRZ93" s="580"/>
      <c r="DSA93" s="580"/>
      <c r="DSB93" s="580"/>
      <c r="DSC93" s="580"/>
      <c r="DSD93" s="580"/>
      <c r="DSE93" s="580"/>
      <c r="DSF93" s="580"/>
      <c r="DSG93" s="580"/>
      <c r="DSH93" s="580"/>
      <c r="DSI93" s="580"/>
      <c r="DSJ93" s="580"/>
      <c r="DSK93" s="580"/>
      <c r="DSL93" s="580"/>
      <c r="DSM93" s="580"/>
      <c r="DSN93" s="580"/>
      <c r="DSO93" s="580"/>
      <c r="DSP93" s="580"/>
      <c r="DSQ93" s="580"/>
      <c r="DSR93" s="580"/>
      <c r="DSS93" s="580"/>
      <c r="DST93" s="580"/>
      <c r="DSU93" s="580"/>
      <c r="DSV93" s="580"/>
      <c r="DSW93" s="580"/>
      <c r="DSX93" s="580"/>
      <c r="DSY93" s="580"/>
      <c r="DSZ93" s="580"/>
      <c r="DTA93" s="580"/>
      <c r="DTB93" s="580"/>
      <c r="DTC93" s="580"/>
      <c r="DTD93" s="580"/>
      <c r="DTE93" s="580"/>
      <c r="DTF93" s="580"/>
      <c r="DTG93" s="580"/>
      <c r="DTH93" s="580"/>
      <c r="DTI93" s="580"/>
      <c r="DTJ93" s="580"/>
      <c r="DTK93" s="580"/>
      <c r="DTL93" s="580"/>
      <c r="DTM93" s="580"/>
      <c r="DTN93" s="580"/>
      <c r="DTO93" s="580"/>
      <c r="DTP93" s="580"/>
      <c r="DTQ93" s="580"/>
      <c r="DTR93" s="580"/>
      <c r="DTS93" s="580"/>
      <c r="DTT93" s="580"/>
      <c r="DTU93" s="580"/>
      <c r="DTV93" s="580"/>
      <c r="DTW93" s="580"/>
      <c r="DTX93" s="580"/>
      <c r="DTY93" s="580"/>
      <c r="DTZ93" s="580"/>
      <c r="DUA93" s="580"/>
      <c r="DUB93" s="580"/>
      <c r="DUC93" s="580"/>
      <c r="DUD93" s="580"/>
      <c r="DUE93" s="580"/>
      <c r="DUF93" s="580"/>
      <c r="DUG93" s="580"/>
      <c r="DUH93" s="580"/>
      <c r="DUI93" s="580"/>
      <c r="DUJ93" s="580"/>
      <c r="DUK93" s="580"/>
      <c r="DUL93" s="580"/>
      <c r="DUM93" s="580"/>
      <c r="DUN93" s="580"/>
      <c r="DUO93" s="580"/>
      <c r="DUP93" s="580"/>
      <c r="DUQ93" s="580"/>
      <c r="DUR93" s="580"/>
      <c r="DUS93" s="580"/>
      <c r="DUT93" s="580"/>
      <c r="DUU93" s="580"/>
      <c r="DUV93" s="580"/>
      <c r="DUW93" s="580"/>
      <c r="DUX93" s="580"/>
      <c r="DUY93" s="580"/>
      <c r="DUZ93" s="580"/>
      <c r="DVA93" s="580"/>
      <c r="DVB93" s="580"/>
      <c r="DVC93" s="580"/>
      <c r="DVD93" s="580"/>
      <c r="DVE93" s="580"/>
      <c r="DVF93" s="580"/>
      <c r="DVG93" s="580"/>
      <c r="DVH93" s="580"/>
      <c r="DVI93" s="580"/>
      <c r="DVJ93" s="580"/>
      <c r="DVK93" s="580"/>
      <c r="DVL93" s="580"/>
      <c r="DVM93" s="580"/>
      <c r="DVN93" s="580"/>
      <c r="DVO93" s="580"/>
      <c r="DVP93" s="580"/>
      <c r="DVQ93" s="580"/>
      <c r="DVR93" s="580"/>
      <c r="DVS93" s="580"/>
      <c r="DVT93" s="580"/>
      <c r="DVU93" s="580"/>
      <c r="DVV93" s="580"/>
      <c r="DVW93" s="580"/>
      <c r="DVX93" s="580"/>
      <c r="DVY93" s="580"/>
      <c r="DVZ93" s="580"/>
      <c r="DWA93" s="580"/>
      <c r="DWB93" s="580"/>
      <c r="DWC93" s="580"/>
      <c r="DWD93" s="580"/>
      <c r="DWE93" s="580"/>
      <c r="DWF93" s="580"/>
      <c r="DWG93" s="580"/>
      <c r="DWH93" s="580"/>
      <c r="DWI93" s="580"/>
      <c r="DWJ93" s="580"/>
      <c r="DWK93" s="580"/>
      <c r="DWL93" s="580"/>
      <c r="DWM93" s="580"/>
      <c r="DWN93" s="580"/>
      <c r="DWO93" s="580"/>
      <c r="DWP93" s="580"/>
      <c r="DWQ93" s="580"/>
      <c r="DWR93" s="580"/>
      <c r="DWS93" s="580"/>
      <c r="DWT93" s="580"/>
      <c r="DWU93" s="580"/>
      <c r="DWV93" s="580"/>
      <c r="DWW93" s="580"/>
      <c r="DWX93" s="580"/>
      <c r="DWY93" s="580"/>
      <c r="DWZ93" s="580"/>
      <c r="DXA93" s="580"/>
      <c r="DXB93" s="580"/>
      <c r="DXC93" s="580"/>
      <c r="DXD93" s="580"/>
      <c r="DXE93" s="580"/>
      <c r="DXF93" s="580"/>
      <c r="DXG93" s="580"/>
      <c r="DXH93" s="580"/>
      <c r="DXI93" s="580"/>
      <c r="DXJ93" s="580"/>
      <c r="DXK93" s="580"/>
      <c r="DXL93" s="580"/>
      <c r="DXM93" s="580"/>
      <c r="DXN93" s="580"/>
      <c r="DXO93" s="580"/>
      <c r="DXP93" s="580"/>
      <c r="DXQ93" s="580"/>
      <c r="DXR93" s="580"/>
      <c r="DXS93" s="580"/>
      <c r="DXT93" s="580"/>
      <c r="DXU93" s="580"/>
      <c r="DXV93" s="580"/>
      <c r="DXW93" s="580"/>
      <c r="DXX93" s="580"/>
      <c r="DXY93" s="580"/>
      <c r="DXZ93" s="580"/>
      <c r="DYA93" s="580"/>
      <c r="DYB93" s="580"/>
      <c r="DYC93" s="580"/>
      <c r="DYD93" s="580"/>
      <c r="DYE93" s="580"/>
      <c r="DYF93" s="580"/>
      <c r="DYG93" s="580"/>
      <c r="DYH93" s="580"/>
      <c r="DYI93" s="580"/>
      <c r="DYJ93" s="580"/>
      <c r="DYK93" s="580"/>
      <c r="DYL93" s="580"/>
      <c r="DYM93" s="580"/>
      <c r="DYN93" s="580"/>
      <c r="DYO93" s="580"/>
      <c r="DYP93" s="580"/>
      <c r="DYQ93" s="580"/>
      <c r="DYR93" s="580"/>
      <c r="DYS93" s="580"/>
      <c r="DYT93" s="580"/>
      <c r="DYU93" s="580"/>
      <c r="DYV93" s="580"/>
      <c r="DYW93" s="580"/>
      <c r="DYX93" s="580"/>
      <c r="DYY93" s="580"/>
      <c r="DYZ93" s="580"/>
      <c r="DZA93" s="580"/>
      <c r="DZB93" s="580"/>
      <c r="DZC93" s="580"/>
      <c r="DZD93" s="580"/>
      <c r="DZE93" s="580"/>
      <c r="DZF93" s="580"/>
      <c r="DZG93" s="580"/>
      <c r="DZH93" s="580"/>
      <c r="DZI93" s="580"/>
      <c r="DZJ93" s="580"/>
      <c r="DZK93" s="580"/>
      <c r="DZL93" s="580"/>
      <c r="DZM93" s="580"/>
      <c r="DZN93" s="580"/>
      <c r="DZO93" s="580"/>
      <c r="DZP93" s="580"/>
      <c r="DZQ93" s="580"/>
      <c r="DZR93" s="580"/>
      <c r="DZS93" s="580"/>
      <c r="DZT93" s="580"/>
      <c r="DZU93" s="580"/>
      <c r="DZV93" s="580"/>
      <c r="DZW93" s="580"/>
      <c r="DZX93" s="580"/>
      <c r="DZY93" s="580"/>
      <c r="DZZ93" s="580"/>
      <c r="EAA93" s="580"/>
      <c r="EAB93" s="580"/>
      <c r="EAC93" s="580"/>
      <c r="EAD93" s="580"/>
      <c r="EAE93" s="580"/>
      <c r="EAF93" s="580"/>
      <c r="EAG93" s="580"/>
      <c r="EAH93" s="580"/>
      <c r="EAI93" s="580"/>
      <c r="EAJ93" s="580"/>
      <c r="EAK93" s="580"/>
      <c r="EAL93" s="580"/>
      <c r="EAM93" s="580"/>
      <c r="EAN93" s="580"/>
      <c r="EAO93" s="580"/>
      <c r="EAP93" s="580"/>
      <c r="EAQ93" s="580"/>
      <c r="EAR93" s="580"/>
      <c r="EAS93" s="580"/>
      <c r="EAT93" s="580"/>
      <c r="EAU93" s="580"/>
      <c r="EAV93" s="580"/>
      <c r="EAW93" s="580"/>
      <c r="EAX93" s="580"/>
      <c r="EAY93" s="580"/>
      <c r="EAZ93" s="580"/>
      <c r="EBA93" s="580"/>
      <c r="EBB93" s="580"/>
      <c r="EBC93" s="580"/>
      <c r="EBD93" s="580"/>
      <c r="EBE93" s="580"/>
      <c r="EBF93" s="580"/>
      <c r="EBG93" s="580"/>
      <c r="EBH93" s="580"/>
      <c r="EBI93" s="580"/>
      <c r="EBJ93" s="580"/>
      <c r="EBK93" s="580"/>
      <c r="EBL93" s="580"/>
      <c r="EBM93" s="580"/>
      <c r="EBN93" s="580"/>
      <c r="EBO93" s="580"/>
      <c r="EBP93" s="580"/>
      <c r="EBQ93" s="580"/>
      <c r="EBR93" s="580"/>
      <c r="EBS93" s="580"/>
      <c r="EBT93" s="580"/>
      <c r="EBU93" s="580"/>
      <c r="EBV93" s="580"/>
      <c r="EBW93" s="580"/>
      <c r="EBX93" s="580"/>
      <c r="EBY93" s="580"/>
      <c r="EBZ93" s="580"/>
      <c r="ECA93" s="580"/>
      <c r="ECB93" s="580"/>
      <c r="ECC93" s="580"/>
      <c r="ECD93" s="580"/>
      <c r="ECE93" s="580"/>
      <c r="ECF93" s="580"/>
      <c r="ECG93" s="580"/>
      <c r="ECH93" s="580"/>
      <c r="ECI93" s="580"/>
      <c r="ECJ93" s="580"/>
      <c r="ECK93" s="580"/>
      <c r="ECL93" s="580"/>
      <c r="ECM93" s="580"/>
      <c r="ECN93" s="580"/>
      <c r="ECO93" s="580"/>
      <c r="ECP93" s="580"/>
      <c r="ECQ93" s="580"/>
      <c r="ECR93" s="580"/>
      <c r="ECS93" s="580"/>
      <c r="ECT93" s="580"/>
      <c r="ECU93" s="580"/>
      <c r="ECV93" s="580"/>
      <c r="ECW93" s="580"/>
      <c r="ECX93" s="580"/>
      <c r="ECY93" s="580"/>
      <c r="ECZ93" s="580"/>
      <c r="EDA93" s="580"/>
      <c r="EDB93" s="580"/>
      <c r="EDC93" s="580"/>
      <c r="EDD93" s="580"/>
      <c r="EDE93" s="580"/>
      <c r="EDF93" s="580"/>
      <c r="EDG93" s="580"/>
      <c r="EDH93" s="580"/>
      <c r="EDI93" s="580"/>
      <c r="EDJ93" s="580"/>
      <c r="EDK93" s="580"/>
      <c r="EDL93" s="580"/>
      <c r="EDM93" s="580"/>
      <c r="EDN93" s="580"/>
      <c r="EDO93" s="580"/>
      <c r="EDP93" s="580"/>
      <c r="EDQ93" s="580"/>
      <c r="EDR93" s="580"/>
      <c r="EDS93" s="580"/>
      <c r="EDT93" s="580"/>
      <c r="EDU93" s="580"/>
      <c r="EDV93" s="580"/>
      <c r="EDW93" s="580"/>
      <c r="EDX93" s="580"/>
      <c r="EDY93" s="580"/>
      <c r="EDZ93" s="580"/>
      <c r="EEA93" s="580"/>
      <c r="EEB93" s="580"/>
      <c r="EEC93" s="580"/>
      <c r="EED93" s="580"/>
      <c r="EEE93" s="580"/>
      <c r="EEF93" s="580"/>
      <c r="EEG93" s="580"/>
      <c r="EEH93" s="580"/>
      <c r="EEI93" s="580"/>
      <c r="EEJ93" s="580"/>
      <c r="EEK93" s="580"/>
      <c r="EEL93" s="580"/>
      <c r="EEM93" s="580"/>
      <c r="EEN93" s="580"/>
      <c r="EEO93" s="580"/>
      <c r="EEP93" s="580"/>
      <c r="EEQ93" s="580"/>
      <c r="EER93" s="580"/>
      <c r="EES93" s="580"/>
      <c r="EET93" s="580"/>
      <c r="EEU93" s="580"/>
      <c r="EEV93" s="580"/>
      <c r="EEW93" s="580"/>
      <c r="EEX93" s="580"/>
      <c r="EEY93" s="580"/>
      <c r="EEZ93" s="580"/>
      <c r="EFA93" s="580"/>
      <c r="EFB93" s="580"/>
      <c r="EFC93" s="580"/>
      <c r="EFD93" s="580"/>
      <c r="EFE93" s="580"/>
      <c r="EFF93" s="580"/>
      <c r="EFG93" s="580"/>
      <c r="EFH93" s="580"/>
      <c r="EFI93" s="580"/>
      <c r="EFJ93" s="580"/>
      <c r="EFK93" s="580"/>
      <c r="EFL93" s="580"/>
      <c r="EFM93" s="580"/>
      <c r="EFN93" s="580"/>
      <c r="EFO93" s="580"/>
      <c r="EFP93" s="580"/>
      <c r="EFQ93" s="580"/>
      <c r="EFR93" s="580"/>
      <c r="EFS93" s="580"/>
      <c r="EFT93" s="580"/>
      <c r="EFU93" s="580"/>
      <c r="EFV93" s="580"/>
      <c r="EFW93" s="580"/>
      <c r="EFX93" s="580"/>
      <c r="EFY93" s="580"/>
      <c r="EFZ93" s="580"/>
      <c r="EGA93" s="580"/>
      <c r="EGB93" s="580"/>
      <c r="EGC93" s="580"/>
      <c r="EGD93" s="580"/>
      <c r="EGE93" s="580"/>
      <c r="EGF93" s="580"/>
      <c r="EGG93" s="580"/>
      <c r="EGH93" s="580"/>
      <c r="EGI93" s="580"/>
      <c r="EGJ93" s="580"/>
      <c r="EGK93" s="580"/>
      <c r="EGL93" s="580"/>
      <c r="EGM93" s="580"/>
      <c r="EGN93" s="580"/>
      <c r="EGO93" s="580"/>
      <c r="EGP93" s="580"/>
      <c r="EGQ93" s="580"/>
      <c r="EGR93" s="580"/>
      <c r="EGS93" s="580"/>
      <c r="EGT93" s="580"/>
      <c r="EGU93" s="580"/>
      <c r="EGV93" s="580"/>
      <c r="EGW93" s="580"/>
      <c r="EGX93" s="580"/>
      <c r="EGY93" s="580"/>
      <c r="EGZ93" s="580"/>
      <c r="EHA93" s="580"/>
      <c r="EHB93" s="580"/>
      <c r="EHC93" s="580"/>
      <c r="EHD93" s="580"/>
      <c r="EHE93" s="580"/>
      <c r="EHF93" s="580"/>
      <c r="EHG93" s="580"/>
      <c r="EHH93" s="580"/>
      <c r="EHI93" s="580"/>
      <c r="EHJ93" s="580"/>
      <c r="EHK93" s="580"/>
      <c r="EHL93" s="580"/>
      <c r="EHM93" s="580"/>
      <c r="EHN93" s="580"/>
      <c r="EHO93" s="580"/>
      <c r="EHP93" s="580"/>
      <c r="EHQ93" s="580"/>
      <c r="EHR93" s="580"/>
      <c r="EHS93" s="580"/>
      <c r="EHT93" s="580"/>
      <c r="EHU93" s="580"/>
      <c r="EHV93" s="580"/>
      <c r="EHW93" s="580"/>
      <c r="EHX93" s="580"/>
      <c r="EHY93" s="580"/>
      <c r="EHZ93" s="580"/>
      <c r="EIA93" s="580"/>
      <c r="EIB93" s="580"/>
      <c r="EIC93" s="580"/>
      <c r="EID93" s="580"/>
      <c r="EIE93" s="580"/>
      <c r="EIF93" s="580"/>
      <c r="EIG93" s="580"/>
      <c r="EIH93" s="580"/>
      <c r="EII93" s="580"/>
      <c r="EIJ93" s="580"/>
      <c r="EIK93" s="580"/>
      <c r="EIL93" s="580"/>
      <c r="EIM93" s="580"/>
      <c r="EIN93" s="580"/>
      <c r="EIO93" s="580"/>
      <c r="EIP93" s="580"/>
      <c r="EIQ93" s="580"/>
      <c r="EIR93" s="580"/>
      <c r="EIS93" s="580"/>
      <c r="EIT93" s="580"/>
      <c r="EIU93" s="580"/>
      <c r="EIV93" s="580"/>
      <c r="EIW93" s="580"/>
      <c r="EIX93" s="580"/>
      <c r="EIY93" s="580"/>
      <c r="EIZ93" s="580"/>
      <c r="EJA93" s="580"/>
      <c r="EJB93" s="580"/>
      <c r="EJC93" s="580"/>
      <c r="EJD93" s="580"/>
      <c r="EJE93" s="580"/>
      <c r="EJF93" s="580"/>
      <c r="EJG93" s="580"/>
      <c r="EJH93" s="580"/>
      <c r="EJI93" s="580"/>
      <c r="EJJ93" s="580"/>
      <c r="EJK93" s="580"/>
      <c r="EJL93" s="580"/>
      <c r="EJM93" s="580"/>
      <c r="EJN93" s="580"/>
      <c r="EJO93" s="580"/>
      <c r="EJP93" s="580"/>
      <c r="EJQ93" s="580"/>
      <c r="EJR93" s="580"/>
      <c r="EJS93" s="580"/>
      <c r="EJT93" s="580"/>
      <c r="EJU93" s="580"/>
      <c r="EJV93" s="580"/>
      <c r="EJW93" s="580"/>
      <c r="EJX93" s="580"/>
      <c r="EJY93" s="580"/>
      <c r="EJZ93" s="580"/>
      <c r="EKA93" s="580"/>
      <c r="EKB93" s="580"/>
      <c r="EKC93" s="580"/>
      <c r="EKD93" s="580"/>
      <c r="EKE93" s="580"/>
      <c r="EKF93" s="580"/>
      <c r="EKG93" s="580"/>
      <c r="EKH93" s="580"/>
      <c r="EKI93" s="580"/>
      <c r="EKJ93" s="580"/>
      <c r="EKK93" s="580"/>
      <c r="EKL93" s="580"/>
      <c r="EKM93" s="580"/>
      <c r="EKN93" s="580"/>
      <c r="EKO93" s="580"/>
      <c r="EKP93" s="580"/>
      <c r="EKQ93" s="580"/>
      <c r="EKR93" s="580"/>
      <c r="EKS93" s="580"/>
      <c r="EKT93" s="580"/>
      <c r="EKU93" s="580"/>
      <c r="EKV93" s="580"/>
      <c r="EKW93" s="580"/>
      <c r="EKX93" s="580"/>
      <c r="EKY93" s="580"/>
      <c r="EKZ93" s="580"/>
      <c r="ELA93" s="580"/>
      <c r="ELB93" s="580"/>
      <c r="ELC93" s="580"/>
      <c r="ELD93" s="580"/>
      <c r="ELE93" s="580"/>
      <c r="ELF93" s="580"/>
      <c r="ELG93" s="580"/>
      <c r="ELH93" s="580"/>
      <c r="ELI93" s="580"/>
      <c r="ELJ93" s="580"/>
      <c r="ELK93" s="580"/>
      <c r="ELL93" s="580"/>
      <c r="ELM93" s="580"/>
      <c r="ELN93" s="580"/>
      <c r="ELO93" s="580"/>
      <c r="ELP93" s="580"/>
      <c r="ELQ93" s="580"/>
      <c r="ELR93" s="580"/>
      <c r="ELS93" s="580"/>
      <c r="ELT93" s="580"/>
      <c r="ELU93" s="580"/>
      <c r="ELV93" s="580"/>
      <c r="ELW93" s="580"/>
      <c r="ELX93" s="580"/>
      <c r="ELY93" s="580"/>
      <c r="ELZ93" s="580"/>
      <c r="EMA93" s="580"/>
      <c r="EMB93" s="580"/>
      <c r="EMC93" s="580"/>
      <c r="EMD93" s="580"/>
      <c r="EME93" s="580"/>
      <c r="EMF93" s="580"/>
      <c r="EMG93" s="580"/>
      <c r="EMH93" s="580"/>
      <c r="EMI93" s="580"/>
      <c r="EMJ93" s="580"/>
      <c r="EMK93" s="580"/>
      <c r="EML93" s="580"/>
      <c r="EMM93" s="580"/>
      <c r="EMN93" s="580"/>
      <c r="EMO93" s="580"/>
      <c r="EMP93" s="580"/>
      <c r="EMQ93" s="580"/>
      <c r="EMR93" s="580"/>
      <c r="EMS93" s="580"/>
      <c r="EMT93" s="580"/>
      <c r="EMU93" s="580"/>
      <c r="EMV93" s="580"/>
      <c r="EMW93" s="580"/>
      <c r="EMX93" s="580"/>
      <c r="EMY93" s="580"/>
      <c r="EMZ93" s="580"/>
      <c r="ENA93" s="580"/>
      <c r="ENB93" s="580"/>
      <c r="ENC93" s="580"/>
      <c r="END93" s="580"/>
      <c r="ENE93" s="580"/>
      <c r="ENF93" s="580"/>
      <c r="ENG93" s="580"/>
      <c r="ENH93" s="580"/>
      <c r="ENI93" s="580"/>
      <c r="ENJ93" s="580"/>
      <c r="ENK93" s="580"/>
      <c r="ENL93" s="580"/>
      <c r="ENM93" s="580"/>
      <c r="ENN93" s="580"/>
      <c r="ENO93" s="580"/>
      <c r="ENP93" s="580"/>
      <c r="ENQ93" s="580"/>
      <c r="ENR93" s="580"/>
      <c r="ENS93" s="580"/>
      <c r="ENT93" s="580"/>
      <c r="ENU93" s="580"/>
      <c r="ENV93" s="580"/>
      <c r="ENW93" s="580"/>
      <c r="ENX93" s="580"/>
      <c r="ENY93" s="580"/>
      <c r="ENZ93" s="580"/>
      <c r="EOA93" s="580"/>
      <c r="EOB93" s="580"/>
      <c r="EOC93" s="580"/>
      <c r="EOD93" s="580"/>
      <c r="EOE93" s="580"/>
      <c r="EOF93" s="580"/>
      <c r="EOG93" s="580"/>
      <c r="EOH93" s="580"/>
      <c r="EOI93" s="580"/>
      <c r="EOJ93" s="580"/>
      <c r="EOK93" s="580"/>
      <c r="EOL93" s="580"/>
      <c r="EOM93" s="580"/>
      <c r="EON93" s="580"/>
      <c r="EOO93" s="580"/>
      <c r="EOP93" s="580"/>
      <c r="EOQ93" s="580"/>
      <c r="EOR93" s="580"/>
      <c r="EOS93" s="580"/>
      <c r="EOT93" s="580"/>
      <c r="EOU93" s="580"/>
      <c r="EOV93" s="580"/>
      <c r="EOW93" s="580"/>
      <c r="EOX93" s="580"/>
      <c r="EOY93" s="580"/>
      <c r="EOZ93" s="580"/>
      <c r="EPA93" s="580"/>
      <c r="EPB93" s="580"/>
      <c r="EPC93" s="580"/>
      <c r="EPD93" s="580"/>
      <c r="EPE93" s="580"/>
      <c r="EPF93" s="580"/>
      <c r="EPG93" s="580"/>
      <c r="EPH93" s="580"/>
      <c r="EPI93" s="580"/>
      <c r="EPJ93" s="580"/>
      <c r="EPK93" s="580"/>
      <c r="EPL93" s="580"/>
      <c r="EPM93" s="580"/>
      <c r="EPN93" s="580"/>
      <c r="EPO93" s="580"/>
      <c r="EPP93" s="580"/>
      <c r="EPQ93" s="580"/>
      <c r="EPR93" s="580"/>
      <c r="EPS93" s="580"/>
      <c r="EPT93" s="580"/>
      <c r="EPU93" s="580"/>
      <c r="EPV93" s="580"/>
      <c r="EPW93" s="580"/>
      <c r="EPX93" s="580"/>
      <c r="EPY93" s="580"/>
      <c r="EPZ93" s="580"/>
      <c r="EQA93" s="580"/>
      <c r="EQB93" s="580"/>
      <c r="EQC93" s="580"/>
      <c r="EQD93" s="580"/>
      <c r="EQE93" s="580"/>
      <c r="EQF93" s="580"/>
      <c r="EQG93" s="580"/>
      <c r="EQH93" s="580"/>
      <c r="EQI93" s="580"/>
      <c r="EQJ93" s="580"/>
      <c r="EQK93" s="580"/>
      <c r="EQL93" s="580"/>
      <c r="EQM93" s="580"/>
      <c r="EQN93" s="580"/>
      <c r="EQO93" s="580"/>
      <c r="EQP93" s="580"/>
      <c r="EQQ93" s="580"/>
      <c r="EQR93" s="580"/>
      <c r="EQS93" s="580"/>
      <c r="EQT93" s="580"/>
      <c r="EQU93" s="580"/>
      <c r="EQV93" s="580"/>
      <c r="EQW93" s="580"/>
      <c r="EQX93" s="580"/>
      <c r="EQY93" s="580"/>
      <c r="EQZ93" s="580"/>
      <c r="ERA93" s="580"/>
      <c r="ERB93" s="580"/>
      <c r="ERC93" s="580"/>
      <c r="ERD93" s="580"/>
      <c r="ERE93" s="580"/>
      <c r="ERF93" s="580"/>
      <c r="ERG93" s="580"/>
      <c r="ERH93" s="580"/>
      <c r="ERI93" s="580"/>
      <c r="ERJ93" s="580"/>
      <c r="ERK93" s="580"/>
      <c r="ERL93" s="580"/>
      <c r="ERM93" s="580"/>
      <c r="ERN93" s="580"/>
      <c r="ERO93" s="580"/>
      <c r="ERP93" s="580"/>
      <c r="ERQ93" s="580"/>
      <c r="ERR93" s="580"/>
      <c r="ERS93" s="580"/>
      <c r="ERT93" s="580"/>
      <c r="ERU93" s="580"/>
      <c r="ERV93" s="580"/>
      <c r="ERW93" s="580"/>
      <c r="ERX93" s="580"/>
      <c r="ERY93" s="580"/>
      <c r="ERZ93" s="580"/>
      <c r="ESA93" s="580"/>
      <c r="ESB93" s="580"/>
      <c r="ESC93" s="580"/>
      <c r="ESD93" s="580"/>
      <c r="ESE93" s="580"/>
      <c r="ESF93" s="580"/>
      <c r="ESG93" s="580"/>
      <c r="ESH93" s="580"/>
      <c r="ESI93" s="580"/>
      <c r="ESJ93" s="580"/>
      <c r="ESK93" s="580"/>
      <c r="ESL93" s="580"/>
      <c r="ESM93" s="580"/>
      <c r="ESN93" s="580"/>
      <c r="ESO93" s="580"/>
      <c r="ESP93" s="580"/>
      <c r="ESQ93" s="580"/>
      <c r="ESR93" s="580"/>
      <c r="ESS93" s="580"/>
      <c r="EST93" s="580"/>
      <c r="ESU93" s="580"/>
      <c r="ESV93" s="580"/>
      <c r="ESW93" s="580"/>
      <c r="ESX93" s="580"/>
      <c r="ESY93" s="580"/>
      <c r="ESZ93" s="580"/>
      <c r="ETA93" s="580"/>
      <c r="ETB93" s="580"/>
      <c r="ETC93" s="580"/>
      <c r="ETD93" s="580"/>
      <c r="ETE93" s="580"/>
      <c r="ETF93" s="580"/>
      <c r="ETG93" s="580"/>
      <c r="ETH93" s="580"/>
      <c r="ETI93" s="580"/>
      <c r="ETJ93" s="580"/>
      <c r="ETK93" s="580"/>
      <c r="ETL93" s="580"/>
      <c r="ETM93" s="580"/>
      <c r="ETN93" s="580"/>
      <c r="ETO93" s="580"/>
      <c r="ETP93" s="580"/>
      <c r="ETQ93" s="580"/>
      <c r="ETR93" s="580"/>
      <c r="ETS93" s="580"/>
      <c r="ETT93" s="580"/>
      <c r="ETU93" s="580"/>
      <c r="ETV93" s="580"/>
      <c r="ETW93" s="580"/>
      <c r="ETX93" s="580"/>
      <c r="ETY93" s="580"/>
      <c r="ETZ93" s="580"/>
      <c r="EUA93" s="580"/>
      <c r="EUB93" s="580"/>
      <c r="EUC93" s="580"/>
      <c r="EUD93" s="580"/>
      <c r="EUE93" s="580"/>
      <c r="EUF93" s="580"/>
      <c r="EUG93" s="580"/>
      <c r="EUH93" s="580"/>
      <c r="EUI93" s="580"/>
      <c r="EUJ93" s="580"/>
      <c r="EUK93" s="580"/>
      <c r="EUL93" s="580"/>
      <c r="EUM93" s="580"/>
      <c r="EUN93" s="580"/>
      <c r="EUO93" s="580"/>
      <c r="EUP93" s="580"/>
      <c r="EUQ93" s="580"/>
      <c r="EUR93" s="580"/>
      <c r="EUS93" s="580"/>
      <c r="EUT93" s="580"/>
      <c r="EUU93" s="580"/>
      <c r="EUV93" s="580"/>
      <c r="EUW93" s="580"/>
      <c r="EUX93" s="580"/>
      <c r="EUY93" s="580"/>
      <c r="EUZ93" s="580"/>
      <c r="EVA93" s="580"/>
      <c r="EVB93" s="580"/>
      <c r="EVC93" s="580"/>
      <c r="EVD93" s="580"/>
      <c r="EVE93" s="580"/>
      <c r="EVF93" s="580"/>
      <c r="EVG93" s="580"/>
      <c r="EVH93" s="580"/>
      <c r="EVI93" s="580"/>
      <c r="EVJ93" s="580"/>
      <c r="EVK93" s="580"/>
      <c r="EVL93" s="580"/>
      <c r="EVM93" s="580"/>
      <c r="EVN93" s="580"/>
      <c r="EVO93" s="580"/>
      <c r="EVP93" s="580"/>
      <c r="EVQ93" s="580"/>
      <c r="EVR93" s="580"/>
      <c r="EVS93" s="580"/>
      <c r="EVT93" s="580"/>
      <c r="EVU93" s="580"/>
      <c r="EVV93" s="580"/>
      <c r="EVW93" s="580"/>
      <c r="EVX93" s="580"/>
      <c r="EVY93" s="580"/>
      <c r="EVZ93" s="580"/>
      <c r="EWA93" s="580"/>
      <c r="EWB93" s="580"/>
      <c r="EWC93" s="580"/>
      <c r="EWD93" s="580"/>
      <c r="EWE93" s="580"/>
      <c r="EWF93" s="580"/>
      <c r="EWG93" s="580"/>
      <c r="EWH93" s="580"/>
      <c r="EWI93" s="580"/>
      <c r="EWJ93" s="580"/>
      <c r="EWK93" s="580"/>
      <c r="EWL93" s="580"/>
      <c r="EWM93" s="580"/>
      <c r="EWN93" s="580"/>
      <c r="EWO93" s="580"/>
      <c r="EWP93" s="580"/>
      <c r="EWQ93" s="580"/>
      <c r="EWR93" s="580"/>
      <c r="EWS93" s="580"/>
      <c r="EWT93" s="580"/>
      <c r="EWU93" s="580"/>
      <c r="EWV93" s="580"/>
      <c r="EWW93" s="580"/>
      <c r="EWX93" s="580"/>
      <c r="EWY93" s="580"/>
      <c r="EWZ93" s="580"/>
      <c r="EXA93" s="580"/>
      <c r="EXB93" s="580"/>
      <c r="EXC93" s="580"/>
      <c r="EXD93" s="580"/>
      <c r="EXE93" s="580"/>
      <c r="EXF93" s="580"/>
      <c r="EXG93" s="580"/>
      <c r="EXH93" s="580"/>
      <c r="EXI93" s="580"/>
      <c r="EXJ93" s="580"/>
      <c r="EXK93" s="580"/>
      <c r="EXL93" s="580"/>
      <c r="EXM93" s="580"/>
      <c r="EXN93" s="580"/>
      <c r="EXO93" s="580"/>
      <c r="EXP93" s="580"/>
      <c r="EXQ93" s="580"/>
      <c r="EXR93" s="580"/>
      <c r="EXS93" s="580"/>
      <c r="EXT93" s="580"/>
      <c r="EXU93" s="580"/>
      <c r="EXV93" s="580"/>
      <c r="EXW93" s="580"/>
      <c r="EXX93" s="580"/>
      <c r="EXY93" s="580"/>
      <c r="EXZ93" s="580"/>
      <c r="EYA93" s="580"/>
      <c r="EYB93" s="580"/>
      <c r="EYC93" s="580"/>
      <c r="EYD93" s="580"/>
      <c r="EYE93" s="580"/>
      <c r="EYF93" s="580"/>
      <c r="EYG93" s="580"/>
      <c r="EYH93" s="580"/>
      <c r="EYI93" s="580"/>
      <c r="EYJ93" s="580"/>
      <c r="EYK93" s="580"/>
      <c r="EYL93" s="580"/>
      <c r="EYM93" s="580"/>
      <c r="EYN93" s="580"/>
      <c r="EYO93" s="580"/>
      <c r="EYP93" s="580"/>
      <c r="EYQ93" s="580"/>
      <c r="EYR93" s="580"/>
      <c r="EYS93" s="580"/>
      <c r="EYT93" s="580"/>
      <c r="EYU93" s="580"/>
      <c r="EYV93" s="580"/>
      <c r="EYW93" s="580"/>
      <c r="EYX93" s="580"/>
      <c r="EYY93" s="580"/>
      <c r="EYZ93" s="580"/>
      <c r="EZA93" s="580"/>
      <c r="EZB93" s="580"/>
      <c r="EZC93" s="580"/>
      <c r="EZD93" s="580"/>
      <c r="EZE93" s="580"/>
      <c r="EZF93" s="580"/>
      <c r="EZG93" s="580"/>
      <c r="EZH93" s="580"/>
      <c r="EZI93" s="580"/>
      <c r="EZJ93" s="580"/>
      <c r="EZK93" s="580"/>
      <c r="EZL93" s="580"/>
      <c r="EZM93" s="580"/>
      <c r="EZN93" s="580"/>
      <c r="EZO93" s="580"/>
      <c r="EZP93" s="580"/>
      <c r="EZQ93" s="580"/>
      <c r="EZR93" s="580"/>
      <c r="EZS93" s="580"/>
      <c r="EZT93" s="580"/>
      <c r="EZU93" s="580"/>
      <c r="EZV93" s="580"/>
      <c r="EZW93" s="580"/>
      <c r="EZX93" s="580"/>
      <c r="EZY93" s="580"/>
      <c r="EZZ93" s="580"/>
      <c r="FAA93" s="580"/>
      <c r="FAB93" s="580"/>
      <c r="FAC93" s="580"/>
      <c r="FAD93" s="580"/>
      <c r="FAE93" s="580"/>
      <c r="FAF93" s="580"/>
      <c r="FAG93" s="580"/>
      <c r="FAH93" s="580"/>
      <c r="FAI93" s="580"/>
      <c r="FAJ93" s="580"/>
      <c r="FAK93" s="580"/>
      <c r="FAL93" s="580"/>
      <c r="FAM93" s="580"/>
      <c r="FAN93" s="580"/>
      <c r="FAO93" s="580"/>
      <c r="FAP93" s="580"/>
      <c r="FAQ93" s="580"/>
      <c r="FAR93" s="580"/>
      <c r="FAS93" s="580"/>
      <c r="FAT93" s="580"/>
      <c r="FAU93" s="580"/>
      <c r="FAV93" s="580"/>
      <c r="FAW93" s="580"/>
      <c r="FAX93" s="580"/>
      <c r="FAY93" s="580"/>
      <c r="FAZ93" s="580"/>
      <c r="FBA93" s="580"/>
      <c r="FBB93" s="580"/>
      <c r="FBC93" s="580"/>
      <c r="FBD93" s="580"/>
      <c r="FBE93" s="580"/>
      <c r="FBF93" s="580"/>
      <c r="FBG93" s="580"/>
      <c r="FBH93" s="580"/>
      <c r="FBI93" s="580"/>
      <c r="FBJ93" s="580"/>
      <c r="FBK93" s="580"/>
      <c r="FBL93" s="580"/>
      <c r="FBM93" s="580"/>
      <c r="FBN93" s="580"/>
      <c r="FBO93" s="580"/>
      <c r="FBP93" s="580"/>
      <c r="FBQ93" s="580"/>
      <c r="FBR93" s="580"/>
      <c r="FBS93" s="580"/>
      <c r="FBT93" s="580"/>
      <c r="FBU93" s="580"/>
      <c r="FBV93" s="580"/>
      <c r="FBW93" s="580"/>
      <c r="FBX93" s="580"/>
      <c r="FBY93" s="580"/>
      <c r="FBZ93" s="580"/>
      <c r="FCA93" s="580"/>
      <c r="FCB93" s="580"/>
      <c r="FCC93" s="580"/>
      <c r="FCD93" s="580"/>
      <c r="FCE93" s="580"/>
      <c r="FCF93" s="580"/>
      <c r="FCG93" s="580"/>
      <c r="FCH93" s="580"/>
      <c r="FCI93" s="580"/>
      <c r="FCJ93" s="580"/>
      <c r="FCK93" s="580"/>
      <c r="FCL93" s="580"/>
      <c r="FCM93" s="580"/>
      <c r="FCN93" s="580"/>
      <c r="FCO93" s="580"/>
      <c r="FCP93" s="580"/>
      <c r="FCQ93" s="580"/>
      <c r="FCR93" s="580"/>
      <c r="FCS93" s="580"/>
      <c r="FCT93" s="580"/>
      <c r="FCU93" s="580"/>
      <c r="FCV93" s="580"/>
      <c r="FCW93" s="580"/>
      <c r="FCX93" s="580"/>
      <c r="FCY93" s="580"/>
      <c r="FCZ93" s="580"/>
      <c r="FDA93" s="580"/>
      <c r="FDB93" s="580"/>
      <c r="FDC93" s="580"/>
      <c r="FDD93" s="580"/>
      <c r="FDE93" s="580"/>
      <c r="FDF93" s="580"/>
      <c r="FDG93" s="580"/>
      <c r="FDH93" s="580"/>
      <c r="FDI93" s="580"/>
      <c r="FDJ93" s="580"/>
      <c r="FDK93" s="580"/>
      <c r="FDL93" s="580"/>
      <c r="FDM93" s="580"/>
      <c r="FDN93" s="580"/>
      <c r="FDO93" s="580"/>
      <c r="FDP93" s="580"/>
      <c r="FDQ93" s="580"/>
      <c r="FDR93" s="580"/>
      <c r="FDS93" s="580"/>
      <c r="FDT93" s="580"/>
      <c r="FDU93" s="580"/>
      <c r="FDV93" s="580"/>
      <c r="FDW93" s="580"/>
      <c r="FDX93" s="580"/>
      <c r="FDY93" s="580"/>
      <c r="FDZ93" s="580"/>
      <c r="FEA93" s="580"/>
      <c r="FEB93" s="580"/>
      <c r="FEC93" s="580"/>
      <c r="FED93" s="580"/>
      <c r="FEE93" s="580"/>
      <c r="FEF93" s="580"/>
      <c r="FEG93" s="580"/>
      <c r="FEH93" s="580"/>
      <c r="FEI93" s="580"/>
      <c r="FEJ93" s="580"/>
      <c r="FEK93" s="580"/>
      <c r="FEL93" s="580"/>
      <c r="FEM93" s="580"/>
      <c r="FEN93" s="580"/>
      <c r="FEO93" s="580"/>
      <c r="FEP93" s="580"/>
      <c r="FEQ93" s="580"/>
      <c r="FER93" s="580"/>
      <c r="FES93" s="580"/>
      <c r="FET93" s="580"/>
      <c r="FEU93" s="580"/>
      <c r="FEV93" s="580"/>
      <c r="FEW93" s="580"/>
      <c r="FEX93" s="580"/>
      <c r="FEY93" s="580"/>
      <c r="FEZ93" s="580"/>
      <c r="FFA93" s="580"/>
      <c r="FFB93" s="580"/>
      <c r="FFC93" s="580"/>
      <c r="FFD93" s="580"/>
      <c r="FFE93" s="580"/>
      <c r="FFF93" s="580"/>
      <c r="FFG93" s="580"/>
      <c r="FFH93" s="580"/>
      <c r="FFI93" s="580"/>
      <c r="FFJ93" s="580"/>
      <c r="FFK93" s="580"/>
      <c r="FFL93" s="580"/>
      <c r="FFM93" s="580"/>
      <c r="FFN93" s="580"/>
      <c r="FFO93" s="580"/>
      <c r="FFP93" s="580"/>
      <c r="FFQ93" s="580"/>
      <c r="FFR93" s="580"/>
      <c r="FFS93" s="580"/>
      <c r="FFT93" s="580"/>
      <c r="FFU93" s="580"/>
      <c r="FFV93" s="580"/>
      <c r="FFW93" s="580"/>
      <c r="FFX93" s="580"/>
      <c r="FFY93" s="580"/>
      <c r="FFZ93" s="580"/>
      <c r="FGA93" s="580"/>
      <c r="FGB93" s="580"/>
      <c r="FGC93" s="580"/>
      <c r="FGD93" s="580"/>
      <c r="FGE93" s="580"/>
      <c r="FGF93" s="580"/>
      <c r="FGG93" s="580"/>
      <c r="FGH93" s="580"/>
      <c r="FGI93" s="580"/>
      <c r="FGJ93" s="580"/>
      <c r="FGK93" s="580"/>
      <c r="FGL93" s="580"/>
      <c r="FGM93" s="580"/>
      <c r="FGN93" s="580"/>
      <c r="FGO93" s="580"/>
      <c r="FGP93" s="580"/>
      <c r="FGQ93" s="580"/>
      <c r="FGR93" s="580"/>
      <c r="FGS93" s="580"/>
      <c r="FGT93" s="580"/>
      <c r="FGU93" s="580"/>
      <c r="FGV93" s="580"/>
      <c r="FGW93" s="580"/>
      <c r="FGX93" s="580"/>
      <c r="FGY93" s="580"/>
      <c r="FGZ93" s="580"/>
      <c r="FHA93" s="580"/>
      <c r="FHB93" s="580"/>
      <c r="FHC93" s="580"/>
      <c r="FHD93" s="580"/>
      <c r="FHE93" s="580"/>
      <c r="FHF93" s="580"/>
      <c r="FHG93" s="580"/>
      <c r="FHH93" s="580"/>
      <c r="FHI93" s="580"/>
      <c r="FHJ93" s="580"/>
      <c r="FHK93" s="580"/>
      <c r="FHL93" s="580"/>
      <c r="FHM93" s="580"/>
      <c r="FHN93" s="580"/>
      <c r="FHO93" s="580"/>
      <c r="FHP93" s="580"/>
      <c r="FHQ93" s="580"/>
      <c r="FHR93" s="580"/>
      <c r="FHS93" s="580"/>
      <c r="FHT93" s="580"/>
      <c r="FHU93" s="580"/>
      <c r="FHV93" s="580"/>
      <c r="FHW93" s="580"/>
      <c r="FHX93" s="580"/>
      <c r="FHY93" s="580"/>
      <c r="FHZ93" s="580"/>
      <c r="FIA93" s="580"/>
      <c r="FIB93" s="580"/>
      <c r="FIC93" s="580"/>
      <c r="FID93" s="580"/>
      <c r="FIE93" s="580"/>
      <c r="FIF93" s="580"/>
      <c r="FIG93" s="580"/>
      <c r="FIH93" s="580"/>
      <c r="FII93" s="580"/>
      <c r="FIJ93" s="580"/>
      <c r="FIK93" s="580"/>
      <c r="FIL93" s="580"/>
      <c r="FIM93" s="580"/>
      <c r="FIN93" s="580"/>
      <c r="FIO93" s="580"/>
      <c r="FIP93" s="580"/>
      <c r="FIQ93" s="580"/>
      <c r="FIR93" s="580"/>
      <c r="FIS93" s="580"/>
      <c r="FIT93" s="580"/>
      <c r="FIU93" s="580"/>
      <c r="FIV93" s="580"/>
      <c r="FIW93" s="580"/>
      <c r="FIX93" s="580"/>
      <c r="FIY93" s="580"/>
      <c r="FIZ93" s="580"/>
      <c r="FJA93" s="580"/>
      <c r="FJB93" s="580"/>
      <c r="FJC93" s="580"/>
      <c r="FJD93" s="580"/>
      <c r="FJE93" s="580"/>
      <c r="FJF93" s="580"/>
      <c r="FJG93" s="580"/>
      <c r="FJH93" s="580"/>
      <c r="FJI93" s="580"/>
      <c r="FJJ93" s="580"/>
      <c r="FJK93" s="580"/>
      <c r="FJL93" s="580"/>
      <c r="FJM93" s="580"/>
      <c r="FJN93" s="580"/>
      <c r="FJO93" s="580"/>
      <c r="FJP93" s="580"/>
      <c r="FJQ93" s="580"/>
      <c r="FJR93" s="580"/>
      <c r="FJS93" s="580"/>
      <c r="FJT93" s="580"/>
      <c r="FJU93" s="580"/>
      <c r="FJV93" s="580"/>
      <c r="FJW93" s="580"/>
      <c r="FJX93" s="580"/>
      <c r="FJY93" s="580"/>
      <c r="FJZ93" s="580"/>
      <c r="FKA93" s="580"/>
      <c r="FKB93" s="580"/>
      <c r="FKC93" s="580"/>
      <c r="FKD93" s="580"/>
      <c r="FKE93" s="580"/>
      <c r="FKF93" s="580"/>
      <c r="FKG93" s="580"/>
      <c r="FKH93" s="580"/>
      <c r="FKI93" s="580"/>
      <c r="FKJ93" s="580"/>
      <c r="FKK93" s="580"/>
      <c r="FKL93" s="580"/>
      <c r="FKM93" s="580"/>
      <c r="FKN93" s="580"/>
      <c r="FKO93" s="580"/>
      <c r="FKP93" s="580"/>
      <c r="FKQ93" s="580"/>
      <c r="FKR93" s="580"/>
      <c r="FKS93" s="580"/>
      <c r="FKT93" s="580"/>
      <c r="FKU93" s="580"/>
      <c r="FKV93" s="580"/>
      <c r="FKW93" s="580"/>
      <c r="FKX93" s="580"/>
      <c r="FKY93" s="580"/>
      <c r="FKZ93" s="580"/>
      <c r="FLA93" s="580"/>
      <c r="FLB93" s="580"/>
      <c r="FLC93" s="580"/>
      <c r="FLD93" s="580"/>
      <c r="FLE93" s="580"/>
      <c r="FLF93" s="580"/>
      <c r="FLG93" s="580"/>
      <c r="FLH93" s="580"/>
      <c r="FLI93" s="580"/>
      <c r="FLJ93" s="580"/>
      <c r="FLK93" s="580"/>
      <c r="FLL93" s="580"/>
      <c r="FLM93" s="580"/>
      <c r="FLN93" s="580"/>
      <c r="FLO93" s="580"/>
      <c r="FLP93" s="580"/>
      <c r="FLQ93" s="580"/>
      <c r="FLR93" s="580"/>
      <c r="FLS93" s="580"/>
      <c r="FLT93" s="580"/>
      <c r="FLU93" s="580"/>
      <c r="FLV93" s="580"/>
      <c r="FLW93" s="580"/>
      <c r="FLX93" s="580"/>
      <c r="FLY93" s="580"/>
      <c r="FLZ93" s="580"/>
      <c r="FMA93" s="580"/>
      <c r="FMB93" s="580"/>
      <c r="FMC93" s="580"/>
      <c r="FMD93" s="580"/>
      <c r="FME93" s="580"/>
      <c r="FMF93" s="580"/>
      <c r="FMG93" s="580"/>
      <c r="FMH93" s="580"/>
      <c r="FMI93" s="580"/>
      <c r="FMJ93" s="580"/>
      <c r="FMK93" s="580"/>
      <c r="FML93" s="580"/>
      <c r="FMM93" s="580"/>
      <c r="FMN93" s="580"/>
      <c r="FMO93" s="580"/>
      <c r="FMP93" s="580"/>
      <c r="FMQ93" s="580"/>
      <c r="FMR93" s="580"/>
      <c r="FMS93" s="580"/>
      <c r="FMT93" s="580"/>
      <c r="FMU93" s="580"/>
      <c r="FMV93" s="580"/>
      <c r="FMW93" s="580"/>
      <c r="FMX93" s="580"/>
      <c r="FMY93" s="580"/>
      <c r="FMZ93" s="580"/>
      <c r="FNA93" s="580"/>
      <c r="FNB93" s="580"/>
      <c r="FNC93" s="580"/>
      <c r="FND93" s="580"/>
      <c r="FNE93" s="580"/>
      <c r="FNF93" s="580"/>
      <c r="FNG93" s="580"/>
      <c r="FNH93" s="580"/>
      <c r="FNI93" s="580"/>
      <c r="FNJ93" s="580"/>
      <c r="FNK93" s="580"/>
      <c r="FNL93" s="580"/>
      <c r="FNM93" s="580"/>
      <c r="FNN93" s="580"/>
      <c r="FNO93" s="580"/>
      <c r="FNP93" s="580"/>
      <c r="FNQ93" s="580"/>
      <c r="FNR93" s="580"/>
      <c r="FNS93" s="580"/>
      <c r="FNT93" s="580"/>
      <c r="FNU93" s="580"/>
      <c r="FNV93" s="580"/>
      <c r="FNW93" s="580"/>
      <c r="FNX93" s="580"/>
      <c r="FNY93" s="580"/>
      <c r="FNZ93" s="580"/>
      <c r="FOA93" s="580"/>
      <c r="FOB93" s="580"/>
      <c r="FOC93" s="580"/>
      <c r="FOD93" s="580"/>
      <c r="FOE93" s="580"/>
      <c r="FOF93" s="580"/>
      <c r="FOG93" s="580"/>
      <c r="FOH93" s="580"/>
      <c r="FOI93" s="580"/>
      <c r="FOJ93" s="580"/>
      <c r="FOK93" s="580"/>
      <c r="FOL93" s="580"/>
      <c r="FOM93" s="580"/>
      <c r="FON93" s="580"/>
      <c r="FOO93" s="580"/>
      <c r="FOP93" s="580"/>
      <c r="FOQ93" s="580"/>
      <c r="FOR93" s="580"/>
      <c r="FOS93" s="580"/>
      <c r="FOT93" s="580"/>
      <c r="FOU93" s="580"/>
      <c r="FOV93" s="580"/>
      <c r="FOW93" s="580"/>
      <c r="FOX93" s="580"/>
      <c r="FOY93" s="580"/>
      <c r="FOZ93" s="580"/>
      <c r="FPA93" s="580"/>
      <c r="FPB93" s="580"/>
      <c r="FPC93" s="580"/>
      <c r="FPD93" s="580"/>
      <c r="FPE93" s="580"/>
      <c r="FPF93" s="580"/>
      <c r="FPG93" s="580"/>
      <c r="FPH93" s="580"/>
      <c r="FPI93" s="580"/>
      <c r="FPJ93" s="580"/>
      <c r="FPK93" s="580"/>
      <c r="FPL93" s="580"/>
      <c r="FPM93" s="580"/>
      <c r="FPN93" s="580"/>
      <c r="FPO93" s="580"/>
      <c r="FPP93" s="580"/>
      <c r="FPQ93" s="580"/>
      <c r="FPR93" s="580"/>
      <c r="FPS93" s="580"/>
      <c r="FPT93" s="580"/>
      <c r="FPU93" s="580"/>
      <c r="FPV93" s="580"/>
      <c r="FPW93" s="580"/>
      <c r="FPX93" s="580"/>
      <c r="FPY93" s="580"/>
      <c r="FPZ93" s="580"/>
      <c r="FQA93" s="580"/>
      <c r="FQB93" s="580"/>
      <c r="FQC93" s="580"/>
      <c r="FQD93" s="580"/>
      <c r="FQE93" s="580"/>
      <c r="FQF93" s="580"/>
      <c r="FQG93" s="580"/>
      <c r="FQH93" s="580"/>
      <c r="FQI93" s="580"/>
      <c r="FQJ93" s="580"/>
      <c r="FQK93" s="580"/>
      <c r="FQL93" s="580"/>
      <c r="FQM93" s="580"/>
      <c r="FQN93" s="580"/>
      <c r="FQO93" s="580"/>
      <c r="FQP93" s="580"/>
      <c r="FQQ93" s="580"/>
      <c r="FQR93" s="580"/>
      <c r="FQS93" s="580"/>
      <c r="FQT93" s="580"/>
      <c r="FQU93" s="580"/>
      <c r="FQV93" s="580"/>
      <c r="FQW93" s="580"/>
      <c r="FQX93" s="580"/>
      <c r="FQY93" s="580"/>
      <c r="FQZ93" s="580"/>
      <c r="FRA93" s="580"/>
      <c r="FRB93" s="580"/>
      <c r="FRC93" s="580"/>
      <c r="FRD93" s="580"/>
      <c r="FRE93" s="580"/>
      <c r="FRF93" s="580"/>
      <c r="FRG93" s="580"/>
      <c r="FRH93" s="580"/>
      <c r="FRI93" s="580"/>
      <c r="FRJ93" s="580"/>
      <c r="FRK93" s="580"/>
      <c r="FRL93" s="580"/>
      <c r="FRM93" s="580"/>
      <c r="FRN93" s="580"/>
      <c r="FRO93" s="580"/>
      <c r="FRP93" s="580"/>
      <c r="FRQ93" s="580"/>
      <c r="FRR93" s="580"/>
      <c r="FRS93" s="580"/>
      <c r="FRT93" s="580"/>
      <c r="FRU93" s="580"/>
      <c r="FRV93" s="580"/>
      <c r="FRW93" s="580"/>
      <c r="FRX93" s="580"/>
      <c r="FRY93" s="580"/>
      <c r="FRZ93" s="580"/>
      <c r="FSA93" s="580"/>
      <c r="FSB93" s="580"/>
      <c r="FSC93" s="580"/>
      <c r="FSD93" s="580"/>
      <c r="FSE93" s="580"/>
      <c r="FSF93" s="580"/>
      <c r="FSG93" s="580"/>
      <c r="FSH93" s="580"/>
      <c r="FSI93" s="580"/>
      <c r="FSJ93" s="580"/>
      <c r="FSK93" s="580"/>
      <c r="FSL93" s="580"/>
      <c r="FSM93" s="580"/>
      <c r="FSN93" s="580"/>
      <c r="FSO93" s="580"/>
      <c r="FSP93" s="580"/>
      <c r="FSQ93" s="580"/>
      <c r="FSR93" s="580"/>
      <c r="FSS93" s="580"/>
      <c r="FST93" s="580"/>
      <c r="FSU93" s="580"/>
      <c r="FSV93" s="580"/>
      <c r="FSW93" s="580"/>
      <c r="FSX93" s="580"/>
      <c r="FSY93" s="580"/>
      <c r="FSZ93" s="580"/>
      <c r="FTA93" s="580"/>
      <c r="FTB93" s="580"/>
      <c r="FTC93" s="580"/>
      <c r="FTD93" s="580"/>
      <c r="FTE93" s="580"/>
      <c r="FTF93" s="580"/>
      <c r="FTG93" s="580"/>
      <c r="FTH93" s="580"/>
      <c r="FTI93" s="580"/>
      <c r="FTJ93" s="580"/>
      <c r="FTK93" s="580"/>
      <c r="FTL93" s="580"/>
      <c r="FTM93" s="580"/>
      <c r="FTN93" s="580"/>
      <c r="FTO93" s="580"/>
      <c r="FTP93" s="580"/>
      <c r="FTQ93" s="580"/>
      <c r="FTR93" s="580"/>
      <c r="FTS93" s="580"/>
      <c r="FTT93" s="580"/>
      <c r="FTU93" s="580"/>
      <c r="FTV93" s="580"/>
      <c r="FTW93" s="580"/>
      <c r="FTX93" s="580"/>
      <c r="FTY93" s="580"/>
      <c r="FTZ93" s="580"/>
      <c r="FUA93" s="580"/>
      <c r="FUB93" s="580"/>
      <c r="FUC93" s="580"/>
      <c r="FUD93" s="580"/>
      <c r="FUE93" s="580"/>
      <c r="FUF93" s="580"/>
      <c r="FUG93" s="580"/>
      <c r="FUH93" s="580"/>
      <c r="FUI93" s="580"/>
      <c r="FUJ93" s="580"/>
      <c r="FUK93" s="580"/>
      <c r="FUL93" s="580"/>
      <c r="FUM93" s="580"/>
      <c r="FUN93" s="580"/>
      <c r="FUO93" s="580"/>
      <c r="FUP93" s="580"/>
      <c r="FUQ93" s="580"/>
      <c r="FUR93" s="580"/>
      <c r="FUS93" s="580"/>
      <c r="FUT93" s="580"/>
      <c r="FUU93" s="580"/>
      <c r="FUV93" s="580"/>
      <c r="FUW93" s="580"/>
      <c r="FUX93" s="580"/>
      <c r="FUY93" s="580"/>
      <c r="FUZ93" s="580"/>
      <c r="FVA93" s="580"/>
      <c r="FVB93" s="580"/>
      <c r="FVC93" s="580"/>
      <c r="FVD93" s="580"/>
      <c r="FVE93" s="580"/>
      <c r="FVF93" s="580"/>
      <c r="FVG93" s="580"/>
      <c r="FVH93" s="580"/>
      <c r="FVI93" s="580"/>
      <c r="FVJ93" s="580"/>
      <c r="FVK93" s="580"/>
      <c r="FVL93" s="580"/>
      <c r="FVM93" s="580"/>
      <c r="FVN93" s="580"/>
      <c r="FVO93" s="580"/>
      <c r="FVP93" s="580"/>
      <c r="FVQ93" s="580"/>
      <c r="FVR93" s="580"/>
      <c r="FVS93" s="580"/>
      <c r="FVT93" s="580"/>
      <c r="FVU93" s="580"/>
      <c r="FVV93" s="580"/>
      <c r="FVW93" s="580"/>
      <c r="FVX93" s="580"/>
      <c r="FVY93" s="580"/>
      <c r="FVZ93" s="580"/>
      <c r="FWA93" s="580"/>
      <c r="FWB93" s="580"/>
      <c r="FWC93" s="580"/>
      <c r="FWD93" s="580"/>
      <c r="FWE93" s="580"/>
      <c r="FWF93" s="580"/>
      <c r="FWG93" s="580"/>
      <c r="FWH93" s="580"/>
      <c r="FWI93" s="580"/>
      <c r="FWJ93" s="580"/>
      <c r="FWK93" s="580"/>
      <c r="FWL93" s="580"/>
      <c r="FWM93" s="580"/>
      <c r="FWN93" s="580"/>
      <c r="FWO93" s="580"/>
      <c r="FWP93" s="580"/>
      <c r="FWQ93" s="580"/>
      <c r="FWR93" s="580"/>
      <c r="FWS93" s="580"/>
      <c r="FWT93" s="580"/>
      <c r="FWU93" s="580"/>
      <c r="FWV93" s="580"/>
      <c r="FWW93" s="580"/>
      <c r="FWX93" s="580"/>
      <c r="FWY93" s="580"/>
      <c r="FWZ93" s="580"/>
      <c r="FXA93" s="580"/>
      <c r="FXB93" s="580"/>
      <c r="FXC93" s="580"/>
      <c r="FXD93" s="580"/>
      <c r="FXE93" s="580"/>
      <c r="FXF93" s="580"/>
      <c r="FXG93" s="580"/>
      <c r="FXH93" s="580"/>
      <c r="FXI93" s="580"/>
      <c r="FXJ93" s="580"/>
      <c r="FXK93" s="580"/>
      <c r="FXL93" s="580"/>
      <c r="FXM93" s="580"/>
      <c r="FXN93" s="580"/>
      <c r="FXO93" s="580"/>
      <c r="FXP93" s="580"/>
      <c r="FXQ93" s="580"/>
      <c r="FXR93" s="580"/>
      <c r="FXS93" s="580"/>
      <c r="FXT93" s="580"/>
      <c r="FXU93" s="580"/>
      <c r="FXV93" s="580"/>
      <c r="FXW93" s="580"/>
      <c r="FXX93" s="580"/>
      <c r="FXY93" s="580"/>
      <c r="FXZ93" s="580"/>
      <c r="FYA93" s="580"/>
      <c r="FYB93" s="580"/>
      <c r="FYC93" s="580"/>
      <c r="FYD93" s="580"/>
      <c r="FYE93" s="580"/>
      <c r="FYF93" s="580"/>
      <c r="FYG93" s="580"/>
      <c r="FYH93" s="580"/>
      <c r="FYI93" s="580"/>
      <c r="FYJ93" s="580"/>
      <c r="FYK93" s="580"/>
      <c r="FYL93" s="580"/>
      <c r="FYM93" s="580"/>
      <c r="FYN93" s="580"/>
      <c r="FYO93" s="580"/>
      <c r="FYP93" s="580"/>
      <c r="FYQ93" s="580"/>
      <c r="FYR93" s="580"/>
      <c r="FYS93" s="580"/>
      <c r="FYT93" s="580"/>
      <c r="FYU93" s="580"/>
      <c r="FYV93" s="580"/>
      <c r="FYW93" s="580"/>
      <c r="FYX93" s="580"/>
      <c r="FYY93" s="580"/>
      <c r="FYZ93" s="580"/>
      <c r="FZA93" s="580"/>
      <c r="FZB93" s="580"/>
      <c r="FZC93" s="580"/>
      <c r="FZD93" s="580"/>
      <c r="FZE93" s="580"/>
      <c r="FZF93" s="580"/>
      <c r="FZG93" s="580"/>
      <c r="FZH93" s="580"/>
      <c r="FZI93" s="580"/>
      <c r="FZJ93" s="580"/>
      <c r="FZK93" s="580"/>
      <c r="FZL93" s="580"/>
      <c r="FZM93" s="580"/>
      <c r="FZN93" s="580"/>
      <c r="FZO93" s="580"/>
      <c r="FZP93" s="580"/>
      <c r="FZQ93" s="580"/>
      <c r="FZR93" s="580"/>
      <c r="FZS93" s="580"/>
      <c r="FZT93" s="580"/>
      <c r="FZU93" s="580"/>
      <c r="FZV93" s="580"/>
      <c r="FZW93" s="580"/>
      <c r="FZX93" s="580"/>
      <c r="FZY93" s="580"/>
      <c r="FZZ93" s="580"/>
      <c r="GAA93" s="580"/>
      <c r="GAB93" s="580"/>
      <c r="GAC93" s="580"/>
      <c r="GAD93" s="580"/>
      <c r="GAE93" s="580"/>
      <c r="GAF93" s="580"/>
      <c r="GAG93" s="580"/>
      <c r="GAH93" s="580"/>
      <c r="GAI93" s="580"/>
      <c r="GAJ93" s="580"/>
      <c r="GAK93" s="580"/>
      <c r="GAL93" s="580"/>
      <c r="GAM93" s="580"/>
      <c r="GAN93" s="580"/>
      <c r="GAO93" s="580"/>
      <c r="GAP93" s="580"/>
      <c r="GAQ93" s="580"/>
      <c r="GAR93" s="580"/>
      <c r="GAS93" s="580"/>
      <c r="GAT93" s="580"/>
      <c r="GAU93" s="580"/>
      <c r="GAV93" s="580"/>
      <c r="GAW93" s="580"/>
      <c r="GAX93" s="580"/>
      <c r="GAY93" s="580"/>
      <c r="GAZ93" s="580"/>
      <c r="GBA93" s="580"/>
      <c r="GBB93" s="580"/>
      <c r="GBC93" s="580"/>
      <c r="GBD93" s="580"/>
      <c r="GBE93" s="580"/>
      <c r="GBF93" s="580"/>
      <c r="GBG93" s="580"/>
      <c r="GBH93" s="580"/>
      <c r="GBI93" s="580"/>
      <c r="GBJ93" s="580"/>
      <c r="GBK93" s="580"/>
      <c r="GBL93" s="580"/>
      <c r="GBM93" s="580"/>
      <c r="GBN93" s="580"/>
      <c r="GBO93" s="580"/>
      <c r="GBP93" s="580"/>
      <c r="GBQ93" s="580"/>
      <c r="GBR93" s="580"/>
      <c r="GBS93" s="580"/>
      <c r="GBT93" s="580"/>
      <c r="GBU93" s="580"/>
      <c r="GBV93" s="580"/>
      <c r="GBW93" s="580"/>
      <c r="GBX93" s="580"/>
      <c r="GBY93" s="580"/>
      <c r="GBZ93" s="580"/>
      <c r="GCA93" s="580"/>
      <c r="GCB93" s="580"/>
      <c r="GCC93" s="580"/>
      <c r="GCD93" s="580"/>
      <c r="GCE93" s="580"/>
      <c r="GCF93" s="580"/>
      <c r="GCG93" s="580"/>
      <c r="GCH93" s="580"/>
      <c r="GCI93" s="580"/>
      <c r="GCJ93" s="580"/>
      <c r="GCK93" s="580"/>
      <c r="GCL93" s="580"/>
      <c r="GCM93" s="580"/>
      <c r="GCN93" s="580"/>
      <c r="GCO93" s="580"/>
      <c r="GCP93" s="580"/>
      <c r="GCQ93" s="580"/>
      <c r="GCR93" s="580"/>
      <c r="GCS93" s="580"/>
      <c r="GCT93" s="580"/>
      <c r="GCU93" s="580"/>
      <c r="GCV93" s="580"/>
      <c r="GCW93" s="580"/>
      <c r="GCX93" s="580"/>
      <c r="GCY93" s="580"/>
      <c r="GCZ93" s="580"/>
      <c r="GDA93" s="580"/>
      <c r="GDB93" s="580"/>
      <c r="GDC93" s="580"/>
      <c r="GDD93" s="580"/>
      <c r="GDE93" s="580"/>
      <c r="GDF93" s="580"/>
      <c r="GDG93" s="580"/>
      <c r="GDH93" s="580"/>
      <c r="GDI93" s="580"/>
      <c r="GDJ93" s="580"/>
      <c r="GDK93" s="580"/>
      <c r="GDL93" s="580"/>
      <c r="GDM93" s="580"/>
      <c r="GDN93" s="580"/>
      <c r="GDO93" s="580"/>
      <c r="GDP93" s="580"/>
      <c r="GDQ93" s="580"/>
      <c r="GDR93" s="580"/>
      <c r="GDS93" s="580"/>
      <c r="GDT93" s="580"/>
      <c r="GDU93" s="580"/>
      <c r="GDV93" s="580"/>
      <c r="GDW93" s="580"/>
      <c r="GDX93" s="580"/>
      <c r="GDY93" s="580"/>
      <c r="GDZ93" s="580"/>
      <c r="GEA93" s="580"/>
      <c r="GEB93" s="580"/>
      <c r="GEC93" s="580"/>
      <c r="GED93" s="580"/>
      <c r="GEE93" s="580"/>
      <c r="GEF93" s="580"/>
      <c r="GEG93" s="580"/>
      <c r="GEH93" s="580"/>
      <c r="GEI93" s="580"/>
      <c r="GEJ93" s="580"/>
      <c r="GEK93" s="580"/>
      <c r="GEL93" s="580"/>
      <c r="GEM93" s="580"/>
      <c r="GEN93" s="580"/>
      <c r="GEO93" s="580"/>
      <c r="GEP93" s="580"/>
      <c r="GEQ93" s="580"/>
      <c r="GER93" s="580"/>
      <c r="GES93" s="580"/>
      <c r="GET93" s="580"/>
      <c r="GEU93" s="580"/>
      <c r="GEV93" s="580"/>
      <c r="GEW93" s="580"/>
      <c r="GEX93" s="580"/>
      <c r="GEY93" s="580"/>
      <c r="GEZ93" s="580"/>
      <c r="GFA93" s="580"/>
      <c r="GFB93" s="580"/>
      <c r="GFC93" s="580"/>
      <c r="GFD93" s="580"/>
      <c r="GFE93" s="580"/>
      <c r="GFF93" s="580"/>
      <c r="GFG93" s="580"/>
      <c r="GFH93" s="580"/>
      <c r="GFI93" s="580"/>
      <c r="GFJ93" s="580"/>
      <c r="GFK93" s="580"/>
      <c r="GFL93" s="580"/>
      <c r="GFM93" s="580"/>
      <c r="GFN93" s="580"/>
      <c r="GFO93" s="580"/>
      <c r="GFP93" s="580"/>
      <c r="GFQ93" s="580"/>
      <c r="GFR93" s="580"/>
      <c r="GFS93" s="580"/>
      <c r="GFT93" s="580"/>
      <c r="GFU93" s="580"/>
      <c r="GFV93" s="580"/>
      <c r="GFW93" s="580"/>
      <c r="GFX93" s="580"/>
      <c r="GFY93" s="580"/>
      <c r="GFZ93" s="580"/>
      <c r="GGA93" s="580"/>
      <c r="GGB93" s="580"/>
      <c r="GGC93" s="580"/>
      <c r="GGD93" s="580"/>
      <c r="GGE93" s="580"/>
      <c r="GGF93" s="580"/>
      <c r="GGG93" s="580"/>
      <c r="GGH93" s="580"/>
      <c r="GGI93" s="580"/>
      <c r="GGJ93" s="580"/>
      <c r="GGK93" s="580"/>
      <c r="GGL93" s="580"/>
      <c r="GGM93" s="580"/>
      <c r="GGN93" s="580"/>
      <c r="GGO93" s="580"/>
      <c r="GGP93" s="580"/>
      <c r="GGQ93" s="580"/>
      <c r="GGR93" s="580"/>
      <c r="GGS93" s="580"/>
      <c r="GGT93" s="580"/>
      <c r="GGU93" s="580"/>
      <c r="GGV93" s="580"/>
      <c r="GGW93" s="580"/>
      <c r="GGX93" s="580"/>
      <c r="GGY93" s="580"/>
      <c r="GGZ93" s="580"/>
      <c r="GHA93" s="580"/>
      <c r="GHB93" s="580"/>
      <c r="GHC93" s="580"/>
      <c r="GHD93" s="580"/>
      <c r="GHE93" s="580"/>
      <c r="GHF93" s="580"/>
      <c r="GHG93" s="580"/>
      <c r="GHH93" s="580"/>
      <c r="GHI93" s="580"/>
      <c r="GHJ93" s="580"/>
      <c r="GHK93" s="580"/>
      <c r="GHL93" s="580"/>
      <c r="GHM93" s="580"/>
      <c r="GHN93" s="580"/>
      <c r="GHO93" s="580"/>
      <c r="GHP93" s="580"/>
      <c r="GHQ93" s="580"/>
      <c r="GHR93" s="580"/>
      <c r="GHS93" s="580"/>
      <c r="GHT93" s="580"/>
      <c r="GHU93" s="580"/>
      <c r="GHV93" s="580"/>
      <c r="GHW93" s="580"/>
      <c r="GHX93" s="580"/>
      <c r="GHY93" s="580"/>
      <c r="GHZ93" s="580"/>
      <c r="GIA93" s="580"/>
      <c r="GIB93" s="580"/>
      <c r="GIC93" s="580"/>
      <c r="GID93" s="580"/>
      <c r="GIE93" s="580"/>
      <c r="GIF93" s="580"/>
      <c r="GIG93" s="580"/>
      <c r="GIH93" s="580"/>
      <c r="GII93" s="580"/>
      <c r="GIJ93" s="580"/>
      <c r="GIK93" s="580"/>
      <c r="GIL93" s="580"/>
      <c r="GIM93" s="580"/>
      <c r="GIN93" s="580"/>
      <c r="GIO93" s="580"/>
      <c r="GIP93" s="580"/>
      <c r="GIQ93" s="580"/>
      <c r="GIR93" s="580"/>
      <c r="GIS93" s="580"/>
      <c r="GIT93" s="580"/>
      <c r="GIU93" s="580"/>
      <c r="GIV93" s="580"/>
      <c r="GIW93" s="580"/>
      <c r="GIX93" s="580"/>
      <c r="GIY93" s="580"/>
      <c r="GIZ93" s="580"/>
      <c r="GJA93" s="580"/>
      <c r="GJB93" s="580"/>
      <c r="GJC93" s="580"/>
      <c r="GJD93" s="580"/>
      <c r="GJE93" s="580"/>
      <c r="GJF93" s="580"/>
      <c r="GJG93" s="580"/>
      <c r="GJH93" s="580"/>
      <c r="GJI93" s="580"/>
      <c r="GJJ93" s="580"/>
      <c r="GJK93" s="580"/>
      <c r="GJL93" s="580"/>
      <c r="GJM93" s="580"/>
      <c r="GJN93" s="580"/>
      <c r="GJO93" s="580"/>
      <c r="GJP93" s="580"/>
      <c r="GJQ93" s="580"/>
      <c r="GJR93" s="580"/>
      <c r="GJS93" s="580"/>
      <c r="GJT93" s="580"/>
      <c r="GJU93" s="580"/>
      <c r="GJV93" s="580"/>
      <c r="GJW93" s="580"/>
      <c r="GJX93" s="580"/>
      <c r="GJY93" s="580"/>
      <c r="GJZ93" s="580"/>
      <c r="GKA93" s="580"/>
      <c r="GKB93" s="580"/>
      <c r="GKC93" s="580"/>
      <c r="GKD93" s="580"/>
      <c r="GKE93" s="580"/>
      <c r="GKF93" s="580"/>
      <c r="GKG93" s="580"/>
      <c r="GKH93" s="580"/>
      <c r="GKI93" s="580"/>
      <c r="GKJ93" s="580"/>
      <c r="GKK93" s="580"/>
      <c r="GKL93" s="580"/>
      <c r="GKM93" s="580"/>
      <c r="GKN93" s="580"/>
      <c r="GKO93" s="580"/>
      <c r="GKP93" s="580"/>
      <c r="GKQ93" s="580"/>
      <c r="GKR93" s="580"/>
      <c r="GKS93" s="580"/>
      <c r="GKT93" s="580"/>
      <c r="GKU93" s="580"/>
      <c r="GKV93" s="580"/>
      <c r="GKW93" s="580"/>
      <c r="GKX93" s="580"/>
      <c r="GKY93" s="580"/>
      <c r="GKZ93" s="580"/>
      <c r="GLA93" s="580"/>
      <c r="GLB93" s="580"/>
      <c r="GLC93" s="580"/>
      <c r="GLD93" s="580"/>
      <c r="GLE93" s="580"/>
      <c r="GLF93" s="580"/>
      <c r="GLG93" s="580"/>
      <c r="GLH93" s="580"/>
      <c r="GLI93" s="580"/>
      <c r="GLJ93" s="580"/>
      <c r="GLK93" s="580"/>
      <c r="GLL93" s="580"/>
      <c r="GLM93" s="580"/>
      <c r="GLN93" s="580"/>
      <c r="GLO93" s="580"/>
      <c r="GLP93" s="580"/>
      <c r="GLQ93" s="580"/>
      <c r="GLR93" s="580"/>
      <c r="GLS93" s="580"/>
      <c r="GLT93" s="580"/>
      <c r="GLU93" s="580"/>
      <c r="GLV93" s="580"/>
      <c r="GLW93" s="580"/>
      <c r="GLX93" s="580"/>
      <c r="GLY93" s="580"/>
      <c r="GLZ93" s="580"/>
      <c r="GMA93" s="580"/>
      <c r="GMB93" s="580"/>
      <c r="GMC93" s="580"/>
      <c r="GMD93" s="580"/>
      <c r="GME93" s="580"/>
      <c r="GMF93" s="580"/>
      <c r="GMG93" s="580"/>
      <c r="GMH93" s="580"/>
      <c r="GMI93" s="580"/>
      <c r="GMJ93" s="580"/>
      <c r="GMK93" s="580"/>
      <c r="GML93" s="580"/>
      <c r="GMM93" s="580"/>
      <c r="GMN93" s="580"/>
      <c r="GMO93" s="580"/>
      <c r="GMP93" s="580"/>
      <c r="GMQ93" s="580"/>
      <c r="GMR93" s="580"/>
      <c r="GMS93" s="580"/>
      <c r="GMT93" s="580"/>
      <c r="GMU93" s="580"/>
      <c r="GMV93" s="580"/>
      <c r="GMW93" s="580"/>
      <c r="GMX93" s="580"/>
      <c r="GMY93" s="580"/>
      <c r="GMZ93" s="580"/>
      <c r="GNA93" s="580"/>
      <c r="GNB93" s="580"/>
      <c r="GNC93" s="580"/>
      <c r="GND93" s="580"/>
      <c r="GNE93" s="580"/>
      <c r="GNF93" s="580"/>
      <c r="GNG93" s="580"/>
      <c r="GNH93" s="580"/>
      <c r="GNI93" s="580"/>
      <c r="GNJ93" s="580"/>
      <c r="GNK93" s="580"/>
      <c r="GNL93" s="580"/>
      <c r="GNM93" s="580"/>
      <c r="GNN93" s="580"/>
      <c r="GNO93" s="580"/>
      <c r="GNP93" s="580"/>
      <c r="GNQ93" s="580"/>
      <c r="GNR93" s="580"/>
      <c r="GNS93" s="580"/>
      <c r="GNT93" s="580"/>
      <c r="GNU93" s="580"/>
      <c r="GNV93" s="580"/>
      <c r="GNW93" s="580"/>
      <c r="GNX93" s="580"/>
      <c r="GNY93" s="580"/>
      <c r="GNZ93" s="580"/>
      <c r="GOA93" s="580"/>
      <c r="GOB93" s="580"/>
      <c r="GOC93" s="580"/>
      <c r="GOD93" s="580"/>
      <c r="GOE93" s="580"/>
      <c r="GOF93" s="580"/>
      <c r="GOG93" s="580"/>
      <c r="GOH93" s="580"/>
      <c r="GOI93" s="580"/>
      <c r="GOJ93" s="580"/>
      <c r="GOK93" s="580"/>
      <c r="GOL93" s="580"/>
      <c r="GOM93" s="580"/>
      <c r="GON93" s="580"/>
      <c r="GOO93" s="580"/>
      <c r="GOP93" s="580"/>
      <c r="GOQ93" s="580"/>
      <c r="GOR93" s="580"/>
      <c r="GOS93" s="580"/>
      <c r="GOT93" s="580"/>
      <c r="GOU93" s="580"/>
      <c r="GOV93" s="580"/>
      <c r="GOW93" s="580"/>
      <c r="GOX93" s="580"/>
      <c r="GOY93" s="580"/>
      <c r="GOZ93" s="580"/>
      <c r="GPA93" s="580"/>
      <c r="GPB93" s="580"/>
      <c r="GPC93" s="580"/>
      <c r="GPD93" s="580"/>
      <c r="GPE93" s="580"/>
      <c r="GPF93" s="580"/>
      <c r="GPG93" s="580"/>
      <c r="GPH93" s="580"/>
      <c r="GPI93" s="580"/>
      <c r="GPJ93" s="580"/>
      <c r="GPK93" s="580"/>
      <c r="GPL93" s="580"/>
      <c r="GPM93" s="580"/>
      <c r="GPN93" s="580"/>
      <c r="GPO93" s="580"/>
      <c r="GPP93" s="580"/>
      <c r="GPQ93" s="580"/>
      <c r="GPR93" s="580"/>
      <c r="GPS93" s="580"/>
      <c r="GPT93" s="580"/>
      <c r="GPU93" s="580"/>
      <c r="GPV93" s="580"/>
      <c r="GPW93" s="580"/>
      <c r="GPX93" s="580"/>
      <c r="GPY93" s="580"/>
      <c r="GPZ93" s="580"/>
      <c r="GQA93" s="580"/>
      <c r="GQB93" s="580"/>
      <c r="GQC93" s="580"/>
      <c r="GQD93" s="580"/>
      <c r="GQE93" s="580"/>
      <c r="GQF93" s="580"/>
      <c r="GQG93" s="580"/>
      <c r="GQH93" s="580"/>
      <c r="GQI93" s="580"/>
      <c r="GQJ93" s="580"/>
      <c r="GQK93" s="580"/>
      <c r="GQL93" s="580"/>
      <c r="GQM93" s="580"/>
      <c r="GQN93" s="580"/>
      <c r="GQO93" s="580"/>
      <c r="GQP93" s="580"/>
      <c r="GQQ93" s="580"/>
      <c r="GQR93" s="580"/>
      <c r="GQS93" s="580"/>
      <c r="GQT93" s="580"/>
      <c r="GQU93" s="580"/>
      <c r="GQV93" s="580"/>
      <c r="GQW93" s="580"/>
      <c r="GQX93" s="580"/>
      <c r="GQY93" s="580"/>
      <c r="GQZ93" s="580"/>
      <c r="GRA93" s="580"/>
      <c r="GRB93" s="580"/>
      <c r="GRC93" s="580"/>
      <c r="GRD93" s="580"/>
      <c r="GRE93" s="580"/>
      <c r="GRF93" s="580"/>
      <c r="GRG93" s="580"/>
      <c r="GRH93" s="580"/>
      <c r="GRI93" s="580"/>
      <c r="GRJ93" s="580"/>
      <c r="GRK93" s="580"/>
      <c r="GRL93" s="580"/>
      <c r="GRM93" s="580"/>
      <c r="GRN93" s="580"/>
      <c r="GRO93" s="580"/>
      <c r="GRP93" s="580"/>
      <c r="GRQ93" s="580"/>
      <c r="GRR93" s="580"/>
      <c r="GRS93" s="580"/>
      <c r="GRT93" s="580"/>
      <c r="GRU93" s="580"/>
      <c r="GRV93" s="580"/>
      <c r="GRW93" s="580"/>
      <c r="GRX93" s="580"/>
      <c r="GRY93" s="580"/>
      <c r="GRZ93" s="580"/>
      <c r="GSA93" s="580"/>
      <c r="GSB93" s="580"/>
      <c r="GSC93" s="580"/>
      <c r="GSD93" s="580"/>
      <c r="GSE93" s="580"/>
      <c r="GSF93" s="580"/>
      <c r="GSG93" s="580"/>
      <c r="GSH93" s="580"/>
      <c r="GSI93" s="580"/>
      <c r="GSJ93" s="580"/>
      <c r="GSK93" s="580"/>
      <c r="GSL93" s="580"/>
      <c r="GSM93" s="580"/>
      <c r="GSN93" s="580"/>
      <c r="GSO93" s="580"/>
      <c r="GSP93" s="580"/>
      <c r="GSQ93" s="580"/>
      <c r="GSR93" s="580"/>
      <c r="GSS93" s="580"/>
      <c r="GST93" s="580"/>
      <c r="GSU93" s="580"/>
      <c r="GSV93" s="580"/>
      <c r="GSW93" s="580"/>
      <c r="GSX93" s="580"/>
      <c r="GSY93" s="580"/>
      <c r="GSZ93" s="580"/>
      <c r="GTA93" s="580"/>
      <c r="GTB93" s="580"/>
      <c r="GTC93" s="580"/>
      <c r="GTD93" s="580"/>
      <c r="GTE93" s="580"/>
      <c r="GTF93" s="580"/>
      <c r="GTG93" s="580"/>
      <c r="GTH93" s="580"/>
      <c r="GTI93" s="580"/>
      <c r="GTJ93" s="580"/>
      <c r="GTK93" s="580"/>
      <c r="GTL93" s="580"/>
      <c r="GTM93" s="580"/>
      <c r="GTN93" s="580"/>
      <c r="GTO93" s="580"/>
      <c r="GTP93" s="580"/>
      <c r="GTQ93" s="580"/>
      <c r="GTR93" s="580"/>
      <c r="GTS93" s="580"/>
      <c r="GTT93" s="580"/>
      <c r="GTU93" s="580"/>
      <c r="GTV93" s="580"/>
      <c r="GTW93" s="580"/>
      <c r="GTX93" s="580"/>
      <c r="GTY93" s="580"/>
      <c r="GTZ93" s="580"/>
      <c r="GUA93" s="580"/>
      <c r="GUB93" s="580"/>
      <c r="GUC93" s="580"/>
      <c r="GUD93" s="580"/>
      <c r="GUE93" s="580"/>
      <c r="GUF93" s="580"/>
      <c r="GUG93" s="580"/>
      <c r="GUH93" s="580"/>
      <c r="GUI93" s="580"/>
      <c r="GUJ93" s="580"/>
      <c r="GUK93" s="580"/>
      <c r="GUL93" s="580"/>
      <c r="GUM93" s="580"/>
      <c r="GUN93" s="580"/>
      <c r="GUO93" s="580"/>
      <c r="GUP93" s="580"/>
      <c r="GUQ93" s="580"/>
      <c r="GUR93" s="580"/>
      <c r="GUS93" s="580"/>
      <c r="GUT93" s="580"/>
      <c r="GUU93" s="580"/>
      <c r="GUV93" s="580"/>
      <c r="GUW93" s="580"/>
      <c r="GUX93" s="580"/>
      <c r="GUY93" s="580"/>
      <c r="GUZ93" s="580"/>
      <c r="GVA93" s="580"/>
      <c r="GVB93" s="580"/>
      <c r="GVC93" s="580"/>
      <c r="GVD93" s="580"/>
      <c r="GVE93" s="580"/>
      <c r="GVF93" s="580"/>
      <c r="GVG93" s="580"/>
      <c r="GVH93" s="580"/>
      <c r="GVI93" s="580"/>
      <c r="GVJ93" s="580"/>
      <c r="GVK93" s="580"/>
      <c r="GVL93" s="580"/>
      <c r="GVM93" s="580"/>
      <c r="GVN93" s="580"/>
      <c r="GVO93" s="580"/>
      <c r="GVP93" s="580"/>
      <c r="GVQ93" s="580"/>
      <c r="GVR93" s="580"/>
      <c r="GVS93" s="580"/>
      <c r="GVT93" s="580"/>
      <c r="GVU93" s="580"/>
      <c r="GVV93" s="580"/>
      <c r="GVW93" s="580"/>
      <c r="GVX93" s="580"/>
      <c r="GVY93" s="580"/>
      <c r="GVZ93" s="580"/>
      <c r="GWA93" s="580"/>
      <c r="GWB93" s="580"/>
      <c r="GWC93" s="580"/>
      <c r="GWD93" s="580"/>
      <c r="GWE93" s="580"/>
      <c r="GWF93" s="580"/>
      <c r="GWG93" s="580"/>
      <c r="GWH93" s="580"/>
      <c r="GWI93" s="580"/>
      <c r="GWJ93" s="580"/>
      <c r="GWK93" s="580"/>
      <c r="GWL93" s="580"/>
      <c r="GWM93" s="580"/>
      <c r="GWN93" s="580"/>
      <c r="GWO93" s="580"/>
      <c r="GWP93" s="580"/>
      <c r="GWQ93" s="580"/>
      <c r="GWR93" s="580"/>
      <c r="GWS93" s="580"/>
      <c r="GWT93" s="580"/>
      <c r="GWU93" s="580"/>
      <c r="GWV93" s="580"/>
      <c r="GWW93" s="580"/>
      <c r="GWX93" s="580"/>
      <c r="GWY93" s="580"/>
      <c r="GWZ93" s="580"/>
      <c r="GXA93" s="580"/>
      <c r="GXB93" s="580"/>
      <c r="GXC93" s="580"/>
      <c r="GXD93" s="580"/>
      <c r="GXE93" s="580"/>
      <c r="GXF93" s="580"/>
      <c r="GXG93" s="580"/>
      <c r="GXH93" s="580"/>
      <c r="GXI93" s="580"/>
      <c r="GXJ93" s="580"/>
      <c r="GXK93" s="580"/>
      <c r="GXL93" s="580"/>
      <c r="GXM93" s="580"/>
      <c r="GXN93" s="580"/>
      <c r="GXO93" s="580"/>
      <c r="GXP93" s="580"/>
      <c r="GXQ93" s="580"/>
      <c r="GXR93" s="580"/>
      <c r="GXS93" s="580"/>
      <c r="GXT93" s="580"/>
      <c r="GXU93" s="580"/>
      <c r="GXV93" s="580"/>
      <c r="GXW93" s="580"/>
      <c r="GXX93" s="580"/>
      <c r="GXY93" s="580"/>
      <c r="GXZ93" s="580"/>
      <c r="GYA93" s="580"/>
      <c r="GYB93" s="580"/>
      <c r="GYC93" s="580"/>
      <c r="GYD93" s="580"/>
      <c r="GYE93" s="580"/>
      <c r="GYF93" s="580"/>
      <c r="GYG93" s="580"/>
      <c r="GYH93" s="580"/>
      <c r="GYI93" s="580"/>
      <c r="GYJ93" s="580"/>
      <c r="GYK93" s="580"/>
      <c r="GYL93" s="580"/>
      <c r="GYM93" s="580"/>
      <c r="GYN93" s="580"/>
      <c r="GYO93" s="580"/>
      <c r="GYP93" s="580"/>
      <c r="GYQ93" s="580"/>
      <c r="GYR93" s="580"/>
      <c r="GYS93" s="580"/>
      <c r="GYT93" s="580"/>
      <c r="GYU93" s="580"/>
      <c r="GYV93" s="580"/>
      <c r="GYW93" s="580"/>
      <c r="GYX93" s="580"/>
      <c r="GYY93" s="580"/>
      <c r="GYZ93" s="580"/>
      <c r="GZA93" s="580"/>
      <c r="GZB93" s="580"/>
      <c r="GZC93" s="580"/>
      <c r="GZD93" s="580"/>
      <c r="GZE93" s="580"/>
      <c r="GZF93" s="580"/>
      <c r="GZG93" s="580"/>
      <c r="GZH93" s="580"/>
      <c r="GZI93" s="580"/>
      <c r="GZJ93" s="580"/>
      <c r="GZK93" s="580"/>
      <c r="GZL93" s="580"/>
      <c r="GZM93" s="580"/>
      <c r="GZN93" s="580"/>
      <c r="GZO93" s="580"/>
      <c r="GZP93" s="580"/>
      <c r="GZQ93" s="580"/>
      <c r="GZR93" s="580"/>
      <c r="GZS93" s="580"/>
      <c r="GZT93" s="580"/>
      <c r="GZU93" s="580"/>
      <c r="GZV93" s="580"/>
      <c r="GZW93" s="580"/>
      <c r="GZX93" s="580"/>
      <c r="GZY93" s="580"/>
      <c r="GZZ93" s="580"/>
      <c r="HAA93" s="580"/>
      <c r="HAB93" s="580"/>
      <c r="HAC93" s="580"/>
      <c r="HAD93" s="580"/>
      <c r="HAE93" s="580"/>
      <c r="HAF93" s="580"/>
      <c r="HAG93" s="580"/>
      <c r="HAH93" s="580"/>
      <c r="HAI93" s="580"/>
      <c r="HAJ93" s="580"/>
      <c r="HAK93" s="580"/>
      <c r="HAL93" s="580"/>
      <c r="HAM93" s="580"/>
      <c r="HAN93" s="580"/>
      <c r="HAO93" s="580"/>
      <c r="HAP93" s="580"/>
      <c r="HAQ93" s="580"/>
      <c r="HAR93" s="580"/>
      <c r="HAS93" s="580"/>
      <c r="HAT93" s="580"/>
      <c r="HAU93" s="580"/>
      <c r="HAV93" s="580"/>
      <c r="HAW93" s="580"/>
      <c r="HAX93" s="580"/>
      <c r="HAY93" s="580"/>
      <c r="HAZ93" s="580"/>
      <c r="HBA93" s="580"/>
      <c r="HBB93" s="580"/>
      <c r="HBC93" s="580"/>
      <c r="HBD93" s="580"/>
      <c r="HBE93" s="580"/>
      <c r="HBF93" s="580"/>
      <c r="HBG93" s="580"/>
      <c r="HBH93" s="580"/>
      <c r="HBI93" s="580"/>
      <c r="HBJ93" s="580"/>
      <c r="HBK93" s="580"/>
      <c r="HBL93" s="580"/>
      <c r="HBM93" s="580"/>
      <c r="HBN93" s="580"/>
      <c r="HBO93" s="580"/>
      <c r="HBP93" s="580"/>
      <c r="HBQ93" s="580"/>
      <c r="HBR93" s="580"/>
      <c r="HBS93" s="580"/>
      <c r="HBT93" s="580"/>
      <c r="HBU93" s="580"/>
      <c r="HBV93" s="580"/>
      <c r="HBW93" s="580"/>
      <c r="HBX93" s="580"/>
      <c r="HBY93" s="580"/>
      <c r="HBZ93" s="580"/>
      <c r="HCA93" s="580"/>
      <c r="HCB93" s="580"/>
      <c r="HCC93" s="580"/>
      <c r="HCD93" s="580"/>
      <c r="HCE93" s="580"/>
      <c r="HCF93" s="580"/>
      <c r="HCG93" s="580"/>
      <c r="HCH93" s="580"/>
      <c r="HCI93" s="580"/>
      <c r="HCJ93" s="580"/>
      <c r="HCK93" s="580"/>
      <c r="HCL93" s="580"/>
      <c r="HCM93" s="580"/>
      <c r="HCN93" s="580"/>
      <c r="HCO93" s="580"/>
      <c r="HCP93" s="580"/>
      <c r="HCQ93" s="580"/>
      <c r="HCR93" s="580"/>
      <c r="HCS93" s="580"/>
      <c r="HCT93" s="580"/>
      <c r="HCU93" s="580"/>
      <c r="HCV93" s="580"/>
      <c r="HCW93" s="580"/>
      <c r="HCX93" s="580"/>
      <c r="HCY93" s="580"/>
      <c r="HCZ93" s="580"/>
      <c r="HDA93" s="580"/>
      <c r="HDB93" s="580"/>
      <c r="HDC93" s="580"/>
      <c r="HDD93" s="580"/>
      <c r="HDE93" s="580"/>
      <c r="HDF93" s="580"/>
      <c r="HDG93" s="580"/>
      <c r="HDH93" s="580"/>
      <c r="HDI93" s="580"/>
      <c r="HDJ93" s="580"/>
      <c r="HDK93" s="580"/>
      <c r="HDL93" s="580"/>
      <c r="HDM93" s="580"/>
      <c r="HDN93" s="580"/>
      <c r="HDO93" s="580"/>
      <c r="HDP93" s="580"/>
      <c r="HDQ93" s="580"/>
      <c r="HDR93" s="580"/>
      <c r="HDS93" s="580"/>
      <c r="HDT93" s="580"/>
      <c r="HDU93" s="580"/>
      <c r="HDV93" s="580"/>
      <c r="HDW93" s="580"/>
      <c r="HDX93" s="580"/>
      <c r="HDY93" s="580"/>
      <c r="HDZ93" s="580"/>
      <c r="HEA93" s="580"/>
      <c r="HEB93" s="580"/>
      <c r="HEC93" s="580"/>
      <c r="HED93" s="580"/>
      <c r="HEE93" s="580"/>
      <c r="HEF93" s="580"/>
      <c r="HEG93" s="580"/>
      <c r="HEH93" s="580"/>
      <c r="HEI93" s="580"/>
      <c r="HEJ93" s="580"/>
      <c r="HEK93" s="580"/>
      <c r="HEL93" s="580"/>
      <c r="HEM93" s="580"/>
      <c r="HEN93" s="580"/>
      <c r="HEO93" s="580"/>
      <c r="HEP93" s="580"/>
      <c r="HEQ93" s="580"/>
      <c r="HER93" s="580"/>
      <c r="HES93" s="580"/>
      <c r="HET93" s="580"/>
      <c r="HEU93" s="580"/>
      <c r="HEV93" s="580"/>
      <c r="HEW93" s="580"/>
      <c r="HEX93" s="580"/>
      <c r="HEY93" s="580"/>
      <c r="HEZ93" s="580"/>
      <c r="HFA93" s="580"/>
      <c r="HFB93" s="580"/>
      <c r="HFC93" s="580"/>
      <c r="HFD93" s="580"/>
      <c r="HFE93" s="580"/>
      <c r="HFF93" s="580"/>
      <c r="HFG93" s="580"/>
      <c r="HFH93" s="580"/>
      <c r="HFI93" s="580"/>
      <c r="HFJ93" s="580"/>
      <c r="HFK93" s="580"/>
      <c r="HFL93" s="580"/>
      <c r="HFM93" s="580"/>
      <c r="HFN93" s="580"/>
      <c r="HFO93" s="580"/>
      <c r="HFP93" s="580"/>
      <c r="HFQ93" s="580"/>
      <c r="HFR93" s="580"/>
      <c r="HFS93" s="580"/>
      <c r="HFT93" s="580"/>
      <c r="HFU93" s="580"/>
      <c r="HFV93" s="580"/>
      <c r="HFW93" s="580"/>
      <c r="HFX93" s="580"/>
      <c r="HFY93" s="580"/>
      <c r="HFZ93" s="580"/>
      <c r="HGA93" s="580"/>
      <c r="HGB93" s="580"/>
      <c r="HGC93" s="580"/>
      <c r="HGD93" s="580"/>
      <c r="HGE93" s="580"/>
      <c r="HGF93" s="580"/>
      <c r="HGG93" s="580"/>
      <c r="HGH93" s="580"/>
      <c r="HGI93" s="580"/>
      <c r="HGJ93" s="580"/>
      <c r="HGK93" s="580"/>
      <c r="HGL93" s="580"/>
      <c r="HGM93" s="580"/>
      <c r="HGN93" s="580"/>
      <c r="HGO93" s="580"/>
      <c r="HGP93" s="580"/>
      <c r="HGQ93" s="580"/>
      <c r="HGR93" s="580"/>
      <c r="HGS93" s="580"/>
      <c r="HGT93" s="580"/>
      <c r="HGU93" s="580"/>
      <c r="HGV93" s="580"/>
      <c r="HGW93" s="580"/>
      <c r="HGX93" s="580"/>
      <c r="HGY93" s="580"/>
      <c r="HGZ93" s="580"/>
      <c r="HHA93" s="580"/>
      <c r="HHB93" s="580"/>
      <c r="HHC93" s="580"/>
      <c r="HHD93" s="580"/>
      <c r="HHE93" s="580"/>
      <c r="HHF93" s="580"/>
      <c r="HHG93" s="580"/>
      <c r="HHH93" s="580"/>
      <c r="HHI93" s="580"/>
      <c r="HHJ93" s="580"/>
      <c r="HHK93" s="580"/>
      <c r="HHL93" s="580"/>
      <c r="HHM93" s="580"/>
      <c r="HHN93" s="580"/>
      <c r="HHO93" s="580"/>
      <c r="HHP93" s="580"/>
      <c r="HHQ93" s="580"/>
      <c r="HHR93" s="580"/>
      <c r="HHS93" s="580"/>
      <c r="HHT93" s="580"/>
      <c r="HHU93" s="580"/>
      <c r="HHV93" s="580"/>
      <c r="HHW93" s="580"/>
      <c r="HHX93" s="580"/>
      <c r="HHY93" s="580"/>
      <c r="HHZ93" s="580"/>
      <c r="HIA93" s="580"/>
      <c r="HIB93" s="580"/>
      <c r="HIC93" s="580"/>
      <c r="HID93" s="580"/>
      <c r="HIE93" s="580"/>
      <c r="HIF93" s="580"/>
      <c r="HIG93" s="580"/>
      <c r="HIH93" s="580"/>
      <c r="HII93" s="580"/>
      <c r="HIJ93" s="580"/>
      <c r="HIK93" s="580"/>
      <c r="HIL93" s="580"/>
      <c r="HIM93" s="580"/>
      <c r="HIN93" s="580"/>
      <c r="HIO93" s="580"/>
      <c r="HIP93" s="580"/>
      <c r="HIQ93" s="580"/>
      <c r="HIR93" s="580"/>
      <c r="HIS93" s="580"/>
      <c r="HIT93" s="580"/>
      <c r="HIU93" s="580"/>
      <c r="HIV93" s="580"/>
      <c r="HIW93" s="580"/>
      <c r="HIX93" s="580"/>
      <c r="HIY93" s="580"/>
      <c r="HIZ93" s="580"/>
      <c r="HJA93" s="580"/>
      <c r="HJB93" s="580"/>
      <c r="HJC93" s="580"/>
      <c r="HJD93" s="580"/>
      <c r="HJE93" s="580"/>
      <c r="HJF93" s="580"/>
      <c r="HJG93" s="580"/>
      <c r="HJH93" s="580"/>
      <c r="HJI93" s="580"/>
      <c r="HJJ93" s="580"/>
      <c r="HJK93" s="580"/>
      <c r="HJL93" s="580"/>
      <c r="HJM93" s="580"/>
      <c r="HJN93" s="580"/>
      <c r="HJO93" s="580"/>
      <c r="HJP93" s="580"/>
      <c r="HJQ93" s="580"/>
      <c r="HJR93" s="580"/>
      <c r="HJS93" s="580"/>
      <c r="HJT93" s="580"/>
      <c r="HJU93" s="580"/>
      <c r="HJV93" s="580"/>
      <c r="HJW93" s="580"/>
      <c r="HJX93" s="580"/>
      <c r="HJY93" s="580"/>
      <c r="HJZ93" s="580"/>
      <c r="HKA93" s="580"/>
      <c r="HKB93" s="580"/>
      <c r="HKC93" s="580"/>
      <c r="HKD93" s="580"/>
      <c r="HKE93" s="580"/>
      <c r="HKF93" s="580"/>
      <c r="HKG93" s="580"/>
      <c r="HKH93" s="580"/>
      <c r="HKI93" s="580"/>
      <c r="HKJ93" s="580"/>
      <c r="HKK93" s="580"/>
      <c r="HKL93" s="580"/>
      <c r="HKM93" s="580"/>
      <c r="HKN93" s="580"/>
      <c r="HKO93" s="580"/>
      <c r="HKP93" s="580"/>
      <c r="HKQ93" s="580"/>
      <c r="HKR93" s="580"/>
      <c r="HKS93" s="580"/>
      <c r="HKT93" s="580"/>
      <c r="HKU93" s="580"/>
      <c r="HKV93" s="580"/>
      <c r="HKW93" s="580"/>
      <c r="HKX93" s="580"/>
      <c r="HKY93" s="580"/>
      <c r="HKZ93" s="580"/>
      <c r="HLA93" s="580"/>
      <c r="HLB93" s="580"/>
      <c r="HLC93" s="580"/>
      <c r="HLD93" s="580"/>
      <c r="HLE93" s="580"/>
      <c r="HLF93" s="580"/>
      <c r="HLG93" s="580"/>
      <c r="HLH93" s="580"/>
      <c r="HLI93" s="580"/>
      <c r="HLJ93" s="580"/>
      <c r="HLK93" s="580"/>
      <c r="HLL93" s="580"/>
      <c r="HLM93" s="580"/>
      <c r="HLN93" s="580"/>
      <c r="HLO93" s="580"/>
      <c r="HLP93" s="580"/>
      <c r="HLQ93" s="580"/>
      <c r="HLR93" s="580"/>
      <c r="HLS93" s="580"/>
      <c r="HLT93" s="580"/>
      <c r="HLU93" s="580"/>
      <c r="HLV93" s="580"/>
      <c r="HLW93" s="580"/>
      <c r="HLX93" s="580"/>
      <c r="HLY93" s="580"/>
      <c r="HLZ93" s="580"/>
      <c r="HMA93" s="580"/>
      <c r="HMB93" s="580"/>
      <c r="HMC93" s="580"/>
      <c r="HMD93" s="580"/>
      <c r="HME93" s="580"/>
      <c r="HMF93" s="580"/>
      <c r="HMG93" s="580"/>
      <c r="HMH93" s="580"/>
      <c r="HMI93" s="580"/>
      <c r="HMJ93" s="580"/>
      <c r="HMK93" s="580"/>
      <c r="HML93" s="580"/>
      <c r="HMM93" s="580"/>
      <c r="HMN93" s="580"/>
      <c r="HMO93" s="580"/>
      <c r="HMP93" s="580"/>
      <c r="HMQ93" s="580"/>
      <c r="HMR93" s="580"/>
      <c r="HMS93" s="580"/>
      <c r="HMT93" s="580"/>
      <c r="HMU93" s="580"/>
      <c r="HMV93" s="580"/>
      <c r="HMW93" s="580"/>
      <c r="HMX93" s="580"/>
      <c r="HMY93" s="580"/>
      <c r="HMZ93" s="580"/>
      <c r="HNA93" s="580"/>
      <c r="HNB93" s="580"/>
      <c r="HNC93" s="580"/>
      <c r="HND93" s="580"/>
      <c r="HNE93" s="580"/>
      <c r="HNF93" s="580"/>
      <c r="HNG93" s="580"/>
      <c r="HNH93" s="580"/>
      <c r="HNI93" s="580"/>
      <c r="HNJ93" s="580"/>
      <c r="HNK93" s="580"/>
      <c r="HNL93" s="580"/>
      <c r="HNM93" s="580"/>
      <c r="HNN93" s="580"/>
      <c r="HNO93" s="580"/>
      <c r="HNP93" s="580"/>
      <c r="HNQ93" s="580"/>
      <c r="HNR93" s="580"/>
      <c r="HNS93" s="580"/>
      <c r="HNT93" s="580"/>
      <c r="HNU93" s="580"/>
      <c r="HNV93" s="580"/>
      <c r="HNW93" s="580"/>
      <c r="HNX93" s="580"/>
      <c r="HNY93" s="580"/>
      <c r="HNZ93" s="580"/>
      <c r="HOA93" s="580"/>
      <c r="HOB93" s="580"/>
      <c r="HOC93" s="580"/>
      <c r="HOD93" s="580"/>
      <c r="HOE93" s="580"/>
      <c r="HOF93" s="580"/>
      <c r="HOG93" s="580"/>
      <c r="HOH93" s="580"/>
      <c r="HOI93" s="580"/>
      <c r="HOJ93" s="580"/>
      <c r="HOK93" s="580"/>
      <c r="HOL93" s="580"/>
      <c r="HOM93" s="580"/>
      <c r="HON93" s="580"/>
      <c r="HOO93" s="580"/>
      <c r="HOP93" s="580"/>
      <c r="HOQ93" s="580"/>
      <c r="HOR93" s="580"/>
      <c r="HOS93" s="580"/>
      <c r="HOT93" s="580"/>
      <c r="HOU93" s="580"/>
      <c r="HOV93" s="580"/>
      <c r="HOW93" s="580"/>
      <c r="HOX93" s="580"/>
      <c r="HOY93" s="580"/>
      <c r="HOZ93" s="580"/>
      <c r="HPA93" s="580"/>
      <c r="HPB93" s="580"/>
      <c r="HPC93" s="580"/>
      <c r="HPD93" s="580"/>
      <c r="HPE93" s="580"/>
      <c r="HPF93" s="580"/>
      <c r="HPG93" s="580"/>
      <c r="HPH93" s="580"/>
      <c r="HPI93" s="580"/>
      <c r="HPJ93" s="580"/>
      <c r="HPK93" s="580"/>
      <c r="HPL93" s="580"/>
      <c r="HPM93" s="580"/>
      <c r="HPN93" s="580"/>
      <c r="HPO93" s="580"/>
      <c r="HPP93" s="580"/>
      <c r="HPQ93" s="580"/>
      <c r="HPR93" s="580"/>
      <c r="HPS93" s="580"/>
      <c r="HPT93" s="580"/>
      <c r="HPU93" s="580"/>
      <c r="HPV93" s="580"/>
      <c r="HPW93" s="580"/>
      <c r="HPX93" s="580"/>
      <c r="HPY93" s="580"/>
      <c r="HPZ93" s="580"/>
      <c r="HQA93" s="580"/>
      <c r="HQB93" s="580"/>
      <c r="HQC93" s="580"/>
      <c r="HQD93" s="580"/>
      <c r="HQE93" s="580"/>
      <c r="HQF93" s="580"/>
      <c r="HQG93" s="580"/>
      <c r="HQH93" s="580"/>
      <c r="HQI93" s="580"/>
      <c r="HQJ93" s="580"/>
      <c r="HQK93" s="580"/>
      <c r="HQL93" s="580"/>
      <c r="HQM93" s="580"/>
      <c r="HQN93" s="580"/>
      <c r="HQO93" s="580"/>
      <c r="HQP93" s="580"/>
      <c r="HQQ93" s="580"/>
      <c r="HQR93" s="580"/>
      <c r="HQS93" s="580"/>
      <c r="HQT93" s="580"/>
      <c r="HQU93" s="580"/>
      <c r="HQV93" s="580"/>
      <c r="HQW93" s="580"/>
      <c r="HQX93" s="580"/>
      <c r="HQY93" s="580"/>
      <c r="HQZ93" s="580"/>
      <c r="HRA93" s="580"/>
      <c r="HRB93" s="580"/>
      <c r="HRC93" s="580"/>
      <c r="HRD93" s="580"/>
      <c r="HRE93" s="580"/>
      <c r="HRF93" s="580"/>
      <c r="HRG93" s="580"/>
      <c r="HRH93" s="580"/>
      <c r="HRI93" s="580"/>
      <c r="HRJ93" s="580"/>
      <c r="HRK93" s="580"/>
      <c r="HRL93" s="580"/>
      <c r="HRM93" s="580"/>
      <c r="HRN93" s="580"/>
      <c r="HRO93" s="580"/>
      <c r="HRP93" s="580"/>
      <c r="HRQ93" s="580"/>
      <c r="HRR93" s="580"/>
      <c r="HRS93" s="580"/>
      <c r="HRT93" s="580"/>
      <c r="HRU93" s="580"/>
      <c r="HRV93" s="580"/>
      <c r="HRW93" s="580"/>
      <c r="HRX93" s="580"/>
      <c r="HRY93" s="580"/>
      <c r="HRZ93" s="580"/>
      <c r="HSA93" s="580"/>
      <c r="HSB93" s="580"/>
      <c r="HSC93" s="580"/>
      <c r="HSD93" s="580"/>
      <c r="HSE93" s="580"/>
      <c r="HSF93" s="580"/>
      <c r="HSG93" s="580"/>
      <c r="HSH93" s="580"/>
      <c r="HSI93" s="580"/>
      <c r="HSJ93" s="580"/>
      <c r="HSK93" s="580"/>
      <c r="HSL93" s="580"/>
      <c r="HSM93" s="580"/>
      <c r="HSN93" s="580"/>
      <c r="HSO93" s="580"/>
      <c r="HSP93" s="580"/>
      <c r="HSQ93" s="580"/>
      <c r="HSR93" s="580"/>
      <c r="HSS93" s="580"/>
      <c r="HST93" s="580"/>
      <c r="HSU93" s="580"/>
      <c r="HSV93" s="580"/>
      <c r="HSW93" s="580"/>
      <c r="HSX93" s="580"/>
      <c r="HSY93" s="580"/>
      <c r="HSZ93" s="580"/>
      <c r="HTA93" s="580"/>
      <c r="HTB93" s="580"/>
      <c r="HTC93" s="580"/>
      <c r="HTD93" s="580"/>
      <c r="HTE93" s="580"/>
      <c r="HTF93" s="580"/>
      <c r="HTG93" s="580"/>
      <c r="HTH93" s="580"/>
      <c r="HTI93" s="580"/>
      <c r="HTJ93" s="580"/>
      <c r="HTK93" s="580"/>
      <c r="HTL93" s="580"/>
      <c r="HTM93" s="580"/>
      <c r="HTN93" s="580"/>
      <c r="HTO93" s="580"/>
      <c r="HTP93" s="580"/>
      <c r="HTQ93" s="580"/>
      <c r="HTR93" s="580"/>
      <c r="HTS93" s="580"/>
      <c r="HTT93" s="580"/>
      <c r="HTU93" s="580"/>
      <c r="HTV93" s="580"/>
      <c r="HTW93" s="580"/>
      <c r="HTX93" s="580"/>
      <c r="HTY93" s="580"/>
      <c r="HTZ93" s="580"/>
      <c r="HUA93" s="580"/>
      <c r="HUB93" s="580"/>
      <c r="HUC93" s="580"/>
      <c r="HUD93" s="580"/>
      <c r="HUE93" s="580"/>
      <c r="HUF93" s="580"/>
      <c r="HUG93" s="580"/>
      <c r="HUH93" s="580"/>
      <c r="HUI93" s="580"/>
      <c r="HUJ93" s="580"/>
      <c r="HUK93" s="580"/>
      <c r="HUL93" s="580"/>
      <c r="HUM93" s="580"/>
      <c r="HUN93" s="580"/>
      <c r="HUO93" s="580"/>
      <c r="HUP93" s="580"/>
      <c r="HUQ93" s="580"/>
      <c r="HUR93" s="580"/>
      <c r="HUS93" s="580"/>
      <c r="HUT93" s="580"/>
      <c r="HUU93" s="580"/>
      <c r="HUV93" s="580"/>
      <c r="HUW93" s="580"/>
      <c r="HUX93" s="580"/>
      <c r="HUY93" s="580"/>
      <c r="HUZ93" s="580"/>
      <c r="HVA93" s="580"/>
      <c r="HVB93" s="580"/>
      <c r="HVC93" s="580"/>
      <c r="HVD93" s="580"/>
      <c r="HVE93" s="580"/>
      <c r="HVF93" s="580"/>
      <c r="HVG93" s="580"/>
      <c r="HVH93" s="580"/>
      <c r="HVI93" s="580"/>
      <c r="HVJ93" s="580"/>
      <c r="HVK93" s="580"/>
      <c r="HVL93" s="580"/>
      <c r="HVM93" s="580"/>
      <c r="HVN93" s="580"/>
      <c r="HVO93" s="580"/>
      <c r="HVP93" s="580"/>
      <c r="HVQ93" s="580"/>
      <c r="HVR93" s="580"/>
      <c r="HVS93" s="580"/>
      <c r="HVT93" s="580"/>
      <c r="HVU93" s="580"/>
      <c r="HVV93" s="580"/>
      <c r="HVW93" s="580"/>
      <c r="HVX93" s="580"/>
      <c r="HVY93" s="580"/>
      <c r="HVZ93" s="580"/>
      <c r="HWA93" s="580"/>
      <c r="HWB93" s="580"/>
      <c r="HWC93" s="580"/>
      <c r="HWD93" s="580"/>
      <c r="HWE93" s="580"/>
      <c r="HWF93" s="580"/>
      <c r="HWG93" s="580"/>
      <c r="HWH93" s="580"/>
      <c r="HWI93" s="580"/>
      <c r="HWJ93" s="580"/>
      <c r="HWK93" s="580"/>
      <c r="HWL93" s="580"/>
      <c r="HWM93" s="580"/>
      <c r="HWN93" s="580"/>
      <c r="HWO93" s="580"/>
      <c r="HWP93" s="580"/>
      <c r="HWQ93" s="580"/>
      <c r="HWR93" s="580"/>
      <c r="HWS93" s="580"/>
      <c r="HWT93" s="580"/>
      <c r="HWU93" s="580"/>
      <c r="HWV93" s="580"/>
      <c r="HWW93" s="580"/>
      <c r="HWX93" s="580"/>
      <c r="HWY93" s="580"/>
      <c r="HWZ93" s="580"/>
      <c r="HXA93" s="580"/>
      <c r="HXB93" s="580"/>
      <c r="HXC93" s="580"/>
      <c r="HXD93" s="580"/>
      <c r="HXE93" s="580"/>
      <c r="HXF93" s="580"/>
      <c r="HXG93" s="580"/>
      <c r="HXH93" s="580"/>
      <c r="HXI93" s="580"/>
      <c r="HXJ93" s="580"/>
      <c r="HXK93" s="580"/>
      <c r="HXL93" s="580"/>
      <c r="HXM93" s="580"/>
      <c r="HXN93" s="580"/>
      <c r="HXO93" s="580"/>
      <c r="HXP93" s="580"/>
      <c r="HXQ93" s="580"/>
      <c r="HXR93" s="580"/>
      <c r="HXS93" s="580"/>
      <c r="HXT93" s="580"/>
      <c r="HXU93" s="580"/>
      <c r="HXV93" s="580"/>
      <c r="HXW93" s="580"/>
      <c r="HXX93" s="580"/>
      <c r="HXY93" s="580"/>
      <c r="HXZ93" s="580"/>
      <c r="HYA93" s="580"/>
      <c r="HYB93" s="580"/>
      <c r="HYC93" s="580"/>
      <c r="HYD93" s="580"/>
      <c r="HYE93" s="580"/>
      <c r="HYF93" s="580"/>
      <c r="HYG93" s="580"/>
      <c r="HYH93" s="580"/>
      <c r="HYI93" s="580"/>
      <c r="HYJ93" s="580"/>
      <c r="HYK93" s="580"/>
      <c r="HYL93" s="580"/>
      <c r="HYM93" s="580"/>
      <c r="HYN93" s="580"/>
      <c r="HYO93" s="580"/>
      <c r="HYP93" s="580"/>
      <c r="HYQ93" s="580"/>
      <c r="HYR93" s="580"/>
      <c r="HYS93" s="580"/>
      <c r="HYT93" s="580"/>
      <c r="HYU93" s="580"/>
      <c r="HYV93" s="580"/>
      <c r="HYW93" s="580"/>
      <c r="HYX93" s="580"/>
      <c r="HYY93" s="580"/>
      <c r="HYZ93" s="580"/>
      <c r="HZA93" s="580"/>
      <c r="HZB93" s="580"/>
      <c r="HZC93" s="580"/>
      <c r="HZD93" s="580"/>
      <c r="HZE93" s="580"/>
      <c r="HZF93" s="580"/>
      <c r="HZG93" s="580"/>
      <c r="HZH93" s="580"/>
      <c r="HZI93" s="580"/>
      <c r="HZJ93" s="580"/>
      <c r="HZK93" s="580"/>
      <c r="HZL93" s="580"/>
      <c r="HZM93" s="580"/>
      <c r="HZN93" s="580"/>
      <c r="HZO93" s="580"/>
      <c r="HZP93" s="580"/>
      <c r="HZQ93" s="580"/>
      <c r="HZR93" s="580"/>
      <c r="HZS93" s="580"/>
      <c r="HZT93" s="580"/>
      <c r="HZU93" s="580"/>
      <c r="HZV93" s="580"/>
      <c r="HZW93" s="580"/>
      <c r="HZX93" s="580"/>
      <c r="HZY93" s="580"/>
      <c r="HZZ93" s="580"/>
      <c r="IAA93" s="580"/>
      <c r="IAB93" s="580"/>
      <c r="IAC93" s="580"/>
      <c r="IAD93" s="580"/>
      <c r="IAE93" s="580"/>
      <c r="IAF93" s="580"/>
      <c r="IAG93" s="580"/>
      <c r="IAH93" s="580"/>
      <c r="IAI93" s="580"/>
      <c r="IAJ93" s="580"/>
      <c r="IAK93" s="580"/>
      <c r="IAL93" s="580"/>
      <c r="IAM93" s="580"/>
      <c r="IAN93" s="580"/>
      <c r="IAO93" s="580"/>
      <c r="IAP93" s="580"/>
      <c r="IAQ93" s="580"/>
      <c r="IAR93" s="580"/>
      <c r="IAS93" s="580"/>
      <c r="IAT93" s="580"/>
      <c r="IAU93" s="580"/>
      <c r="IAV93" s="580"/>
      <c r="IAW93" s="580"/>
      <c r="IAX93" s="580"/>
      <c r="IAY93" s="580"/>
      <c r="IAZ93" s="580"/>
      <c r="IBA93" s="580"/>
      <c r="IBB93" s="580"/>
      <c r="IBC93" s="580"/>
      <c r="IBD93" s="580"/>
      <c r="IBE93" s="580"/>
      <c r="IBF93" s="580"/>
      <c r="IBG93" s="580"/>
      <c r="IBH93" s="580"/>
      <c r="IBI93" s="580"/>
      <c r="IBJ93" s="580"/>
      <c r="IBK93" s="580"/>
      <c r="IBL93" s="580"/>
      <c r="IBM93" s="580"/>
      <c r="IBN93" s="580"/>
      <c r="IBO93" s="580"/>
      <c r="IBP93" s="580"/>
      <c r="IBQ93" s="580"/>
      <c r="IBR93" s="580"/>
      <c r="IBS93" s="580"/>
      <c r="IBT93" s="580"/>
      <c r="IBU93" s="580"/>
      <c r="IBV93" s="580"/>
      <c r="IBW93" s="580"/>
      <c r="IBX93" s="580"/>
      <c r="IBY93" s="580"/>
      <c r="IBZ93" s="580"/>
      <c r="ICA93" s="580"/>
      <c r="ICB93" s="580"/>
      <c r="ICC93" s="580"/>
      <c r="ICD93" s="580"/>
      <c r="ICE93" s="580"/>
      <c r="ICF93" s="580"/>
      <c r="ICG93" s="580"/>
      <c r="ICH93" s="580"/>
      <c r="ICI93" s="580"/>
      <c r="ICJ93" s="580"/>
      <c r="ICK93" s="580"/>
      <c r="ICL93" s="580"/>
      <c r="ICM93" s="580"/>
      <c r="ICN93" s="580"/>
      <c r="ICO93" s="580"/>
      <c r="ICP93" s="580"/>
      <c r="ICQ93" s="580"/>
      <c r="ICR93" s="580"/>
      <c r="ICS93" s="580"/>
      <c r="ICT93" s="580"/>
      <c r="ICU93" s="580"/>
      <c r="ICV93" s="580"/>
      <c r="ICW93" s="580"/>
      <c r="ICX93" s="580"/>
      <c r="ICY93" s="580"/>
      <c r="ICZ93" s="580"/>
      <c r="IDA93" s="580"/>
      <c r="IDB93" s="580"/>
      <c r="IDC93" s="580"/>
      <c r="IDD93" s="580"/>
      <c r="IDE93" s="580"/>
      <c r="IDF93" s="580"/>
      <c r="IDG93" s="580"/>
      <c r="IDH93" s="580"/>
      <c r="IDI93" s="580"/>
      <c r="IDJ93" s="580"/>
      <c r="IDK93" s="580"/>
      <c r="IDL93" s="580"/>
      <c r="IDM93" s="580"/>
      <c r="IDN93" s="580"/>
      <c r="IDO93" s="580"/>
      <c r="IDP93" s="580"/>
      <c r="IDQ93" s="580"/>
      <c r="IDR93" s="580"/>
      <c r="IDS93" s="580"/>
      <c r="IDT93" s="580"/>
      <c r="IDU93" s="580"/>
      <c r="IDV93" s="580"/>
      <c r="IDW93" s="580"/>
      <c r="IDX93" s="580"/>
      <c r="IDY93" s="580"/>
      <c r="IDZ93" s="580"/>
      <c r="IEA93" s="580"/>
      <c r="IEB93" s="580"/>
      <c r="IEC93" s="580"/>
      <c r="IED93" s="580"/>
      <c r="IEE93" s="580"/>
      <c r="IEF93" s="580"/>
      <c r="IEG93" s="580"/>
      <c r="IEH93" s="580"/>
      <c r="IEI93" s="580"/>
      <c r="IEJ93" s="580"/>
      <c r="IEK93" s="580"/>
      <c r="IEL93" s="580"/>
      <c r="IEM93" s="580"/>
      <c r="IEN93" s="580"/>
      <c r="IEO93" s="580"/>
      <c r="IEP93" s="580"/>
      <c r="IEQ93" s="580"/>
      <c r="IER93" s="580"/>
      <c r="IES93" s="580"/>
      <c r="IET93" s="580"/>
      <c r="IEU93" s="580"/>
      <c r="IEV93" s="580"/>
      <c r="IEW93" s="580"/>
      <c r="IEX93" s="580"/>
      <c r="IEY93" s="580"/>
      <c r="IEZ93" s="580"/>
      <c r="IFA93" s="580"/>
      <c r="IFB93" s="580"/>
      <c r="IFC93" s="580"/>
      <c r="IFD93" s="580"/>
      <c r="IFE93" s="580"/>
      <c r="IFF93" s="580"/>
      <c r="IFG93" s="580"/>
      <c r="IFH93" s="580"/>
      <c r="IFI93" s="580"/>
      <c r="IFJ93" s="580"/>
      <c r="IFK93" s="580"/>
      <c r="IFL93" s="580"/>
      <c r="IFM93" s="580"/>
      <c r="IFN93" s="580"/>
      <c r="IFO93" s="580"/>
      <c r="IFP93" s="580"/>
      <c r="IFQ93" s="580"/>
      <c r="IFR93" s="580"/>
      <c r="IFS93" s="580"/>
      <c r="IFT93" s="580"/>
      <c r="IFU93" s="580"/>
      <c r="IFV93" s="580"/>
      <c r="IFW93" s="580"/>
      <c r="IFX93" s="580"/>
      <c r="IFY93" s="580"/>
      <c r="IFZ93" s="580"/>
      <c r="IGA93" s="580"/>
      <c r="IGB93" s="580"/>
      <c r="IGC93" s="580"/>
      <c r="IGD93" s="580"/>
      <c r="IGE93" s="580"/>
      <c r="IGF93" s="580"/>
      <c r="IGG93" s="580"/>
      <c r="IGH93" s="580"/>
      <c r="IGI93" s="580"/>
      <c r="IGJ93" s="580"/>
      <c r="IGK93" s="580"/>
      <c r="IGL93" s="580"/>
      <c r="IGM93" s="580"/>
      <c r="IGN93" s="580"/>
      <c r="IGO93" s="580"/>
      <c r="IGP93" s="580"/>
      <c r="IGQ93" s="580"/>
      <c r="IGR93" s="580"/>
      <c r="IGS93" s="580"/>
      <c r="IGT93" s="580"/>
      <c r="IGU93" s="580"/>
      <c r="IGV93" s="580"/>
      <c r="IGW93" s="580"/>
      <c r="IGX93" s="580"/>
      <c r="IGY93" s="580"/>
      <c r="IGZ93" s="580"/>
      <c r="IHA93" s="580"/>
      <c r="IHB93" s="580"/>
      <c r="IHC93" s="580"/>
      <c r="IHD93" s="580"/>
      <c r="IHE93" s="580"/>
      <c r="IHF93" s="580"/>
      <c r="IHG93" s="580"/>
      <c r="IHH93" s="580"/>
      <c r="IHI93" s="580"/>
      <c r="IHJ93" s="580"/>
      <c r="IHK93" s="580"/>
      <c r="IHL93" s="580"/>
      <c r="IHM93" s="580"/>
      <c r="IHN93" s="580"/>
      <c r="IHO93" s="580"/>
      <c r="IHP93" s="580"/>
      <c r="IHQ93" s="580"/>
      <c r="IHR93" s="580"/>
      <c r="IHS93" s="580"/>
      <c r="IHT93" s="580"/>
      <c r="IHU93" s="580"/>
      <c r="IHV93" s="580"/>
      <c r="IHW93" s="580"/>
      <c r="IHX93" s="580"/>
      <c r="IHY93" s="580"/>
      <c r="IHZ93" s="580"/>
      <c r="IIA93" s="580"/>
      <c r="IIB93" s="580"/>
      <c r="IIC93" s="580"/>
      <c r="IID93" s="580"/>
      <c r="IIE93" s="580"/>
      <c r="IIF93" s="580"/>
      <c r="IIG93" s="580"/>
      <c r="IIH93" s="580"/>
      <c r="III93" s="580"/>
      <c r="IIJ93" s="580"/>
      <c r="IIK93" s="580"/>
      <c r="IIL93" s="580"/>
      <c r="IIM93" s="580"/>
      <c r="IIN93" s="580"/>
      <c r="IIO93" s="580"/>
      <c r="IIP93" s="580"/>
      <c r="IIQ93" s="580"/>
      <c r="IIR93" s="580"/>
      <c r="IIS93" s="580"/>
      <c r="IIT93" s="580"/>
      <c r="IIU93" s="580"/>
      <c r="IIV93" s="580"/>
      <c r="IIW93" s="580"/>
      <c r="IIX93" s="580"/>
      <c r="IIY93" s="580"/>
      <c r="IIZ93" s="580"/>
      <c r="IJA93" s="580"/>
      <c r="IJB93" s="580"/>
      <c r="IJC93" s="580"/>
      <c r="IJD93" s="580"/>
      <c r="IJE93" s="580"/>
      <c r="IJF93" s="580"/>
      <c r="IJG93" s="580"/>
      <c r="IJH93" s="580"/>
      <c r="IJI93" s="580"/>
      <c r="IJJ93" s="580"/>
      <c r="IJK93" s="580"/>
      <c r="IJL93" s="580"/>
      <c r="IJM93" s="580"/>
      <c r="IJN93" s="580"/>
      <c r="IJO93" s="580"/>
      <c r="IJP93" s="580"/>
      <c r="IJQ93" s="580"/>
      <c r="IJR93" s="580"/>
      <c r="IJS93" s="580"/>
      <c r="IJT93" s="580"/>
      <c r="IJU93" s="580"/>
      <c r="IJV93" s="580"/>
      <c r="IJW93" s="580"/>
      <c r="IJX93" s="580"/>
      <c r="IJY93" s="580"/>
      <c r="IJZ93" s="580"/>
      <c r="IKA93" s="580"/>
      <c r="IKB93" s="580"/>
      <c r="IKC93" s="580"/>
      <c r="IKD93" s="580"/>
      <c r="IKE93" s="580"/>
      <c r="IKF93" s="580"/>
      <c r="IKG93" s="580"/>
      <c r="IKH93" s="580"/>
      <c r="IKI93" s="580"/>
      <c r="IKJ93" s="580"/>
      <c r="IKK93" s="580"/>
      <c r="IKL93" s="580"/>
      <c r="IKM93" s="580"/>
      <c r="IKN93" s="580"/>
      <c r="IKO93" s="580"/>
      <c r="IKP93" s="580"/>
      <c r="IKQ93" s="580"/>
      <c r="IKR93" s="580"/>
      <c r="IKS93" s="580"/>
      <c r="IKT93" s="580"/>
      <c r="IKU93" s="580"/>
      <c r="IKV93" s="580"/>
      <c r="IKW93" s="580"/>
      <c r="IKX93" s="580"/>
      <c r="IKY93" s="580"/>
      <c r="IKZ93" s="580"/>
      <c r="ILA93" s="580"/>
      <c r="ILB93" s="580"/>
      <c r="ILC93" s="580"/>
      <c r="ILD93" s="580"/>
      <c r="ILE93" s="580"/>
      <c r="ILF93" s="580"/>
      <c r="ILG93" s="580"/>
      <c r="ILH93" s="580"/>
      <c r="ILI93" s="580"/>
      <c r="ILJ93" s="580"/>
      <c r="ILK93" s="580"/>
      <c r="ILL93" s="580"/>
      <c r="ILM93" s="580"/>
      <c r="ILN93" s="580"/>
      <c r="ILO93" s="580"/>
      <c r="ILP93" s="580"/>
      <c r="ILQ93" s="580"/>
      <c r="ILR93" s="580"/>
      <c r="ILS93" s="580"/>
      <c r="ILT93" s="580"/>
      <c r="ILU93" s="580"/>
      <c r="ILV93" s="580"/>
      <c r="ILW93" s="580"/>
      <c r="ILX93" s="580"/>
      <c r="ILY93" s="580"/>
      <c r="ILZ93" s="580"/>
      <c r="IMA93" s="580"/>
      <c r="IMB93" s="580"/>
      <c r="IMC93" s="580"/>
      <c r="IMD93" s="580"/>
      <c r="IME93" s="580"/>
      <c r="IMF93" s="580"/>
      <c r="IMG93" s="580"/>
      <c r="IMH93" s="580"/>
      <c r="IMI93" s="580"/>
      <c r="IMJ93" s="580"/>
      <c r="IMK93" s="580"/>
      <c r="IML93" s="580"/>
      <c r="IMM93" s="580"/>
      <c r="IMN93" s="580"/>
      <c r="IMO93" s="580"/>
      <c r="IMP93" s="580"/>
      <c r="IMQ93" s="580"/>
      <c r="IMR93" s="580"/>
      <c r="IMS93" s="580"/>
      <c r="IMT93" s="580"/>
      <c r="IMU93" s="580"/>
      <c r="IMV93" s="580"/>
      <c r="IMW93" s="580"/>
      <c r="IMX93" s="580"/>
      <c r="IMY93" s="580"/>
      <c r="IMZ93" s="580"/>
      <c r="INA93" s="580"/>
      <c r="INB93" s="580"/>
      <c r="INC93" s="580"/>
      <c r="IND93" s="580"/>
      <c r="INE93" s="580"/>
      <c r="INF93" s="580"/>
      <c r="ING93" s="580"/>
      <c r="INH93" s="580"/>
      <c r="INI93" s="580"/>
      <c r="INJ93" s="580"/>
      <c r="INK93" s="580"/>
      <c r="INL93" s="580"/>
      <c r="INM93" s="580"/>
      <c r="INN93" s="580"/>
      <c r="INO93" s="580"/>
      <c r="INP93" s="580"/>
      <c r="INQ93" s="580"/>
      <c r="INR93" s="580"/>
      <c r="INS93" s="580"/>
      <c r="INT93" s="580"/>
      <c r="INU93" s="580"/>
      <c r="INV93" s="580"/>
      <c r="INW93" s="580"/>
      <c r="INX93" s="580"/>
      <c r="INY93" s="580"/>
      <c r="INZ93" s="580"/>
      <c r="IOA93" s="580"/>
      <c r="IOB93" s="580"/>
      <c r="IOC93" s="580"/>
      <c r="IOD93" s="580"/>
      <c r="IOE93" s="580"/>
      <c r="IOF93" s="580"/>
      <c r="IOG93" s="580"/>
      <c r="IOH93" s="580"/>
      <c r="IOI93" s="580"/>
      <c r="IOJ93" s="580"/>
      <c r="IOK93" s="580"/>
      <c r="IOL93" s="580"/>
      <c r="IOM93" s="580"/>
      <c r="ION93" s="580"/>
      <c r="IOO93" s="580"/>
      <c r="IOP93" s="580"/>
      <c r="IOQ93" s="580"/>
      <c r="IOR93" s="580"/>
      <c r="IOS93" s="580"/>
      <c r="IOT93" s="580"/>
      <c r="IOU93" s="580"/>
      <c r="IOV93" s="580"/>
      <c r="IOW93" s="580"/>
      <c r="IOX93" s="580"/>
      <c r="IOY93" s="580"/>
      <c r="IOZ93" s="580"/>
      <c r="IPA93" s="580"/>
      <c r="IPB93" s="580"/>
      <c r="IPC93" s="580"/>
      <c r="IPD93" s="580"/>
      <c r="IPE93" s="580"/>
      <c r="IPF93" s="580"/>
      <c r="IPG93" s="580"/>
      <c r="IPH93" s="580"/>
      <c r="IPI93" s="580"/>
      <c r="IPJ93" s="580"/>
      <c r="IPK93" s="580"/>
      <c r="IPL93" s="580"/>
      <c r="IPM93" s="580"/>
      <c r="IPN93" s="580"/>
      <c r="IPO93" s="580"/>
      <c r="IPP93" s="580"/>
      <c r="IPQ93" s="580"/>
      <c r="IPR93" s="580"/>
      <c r="IPS93" s="580"/>
      <c r="IPT93" s="580"/>
      <c r="IPU93" s="580"/>
      <c r="IPV93" s="580"/>
      <c r="IPW93" s="580"/>
      <c r="IPX93" s="580"/>
      <c r="IPY93" s="580"/>
      <c r="IPZ93" s="580"/>
      <c r="IQA93" s="580"/>
      <c r="IQB93" s="580"/>
      <c r="IQC93" s="580"/>
      <c r="IQD93" s="580"/>
      <c r="IQE93" s="580"/>
      <c r="IQF93" s="580"/>
      <c r="IQG93" s="580"/>
      <c r="IQH93" s="580"/>
      <c r="IQI93" s="580"/>
      <c r="IQJ93" s="580"/>
      <c r="IQK93" s="580"/>
      <c r="IQL93" s="580"/>
      <c r="IQM93" s="580"/>
      <c r="IQN93" s="580"/>
      <c r="IQO93" s="580"/>
      <c r="IQP93" s="580"/>
      <c r="IQQ93" s="580"/>
      <c r="IQR93" s="580"/>
      <c r="IQS93" s="580"/>
      <c r="IQT93" s="580"/>
      <c r="IQU93" s="580"/>
      <c r="IQV93" s="580"/>
      <c r="IQW93" s="580"/>
      <c r="IQX93" s="580"/>
      <c r="IQY93" s="580"/>
      <c r="IQZ93" s="580"/>
      <c r="IRA93" s="580"/>
      <c r="IRB93" s="580"/>
      <c r="IRC93" s="580"/>
      <c r="IRD93" s="580"/>
      <c r="IRE93" s="580"/>
      <c r="IRF93" s="580"/>
      <c r="IRG93" s="580"/>
      <c r="IRH93" s="580"/>
      <c r="IRI93" s="580"/>
      <c r="IRJ93" s="580"/>
      <c r="IRK93" s="580"/>
      <c r="IRL93" s="580"/>
      <c r="IRM93" s="580"/>
      <c r="IRN93" s="580"/>
      <c r="IRO93" s="580"/>
      <c r="IRP93" s="580"/>
      <c r="IRQ93" s="580"/>
      <c r="IRR93" s="580"/>
      <c r="IRS93" s="580"/>
      <c r="IRT93" s="580"/>
      <c r="IRU93" s="580"/>
      <c r="IRV93" s="580"/>
      <c r="IRW93" s="580"/>
      <c r="IRX93" s="580"/>
      <c r="IRY93" s="580"/>
      <c r="IRZ93" s="580"/>
      <c r="ISA93" s="580"/>
      <c r="ISB93" s="580"/>
      <c r="ISC93" s="580"/>
      <c r="ISD93" s="580"/>
      <c r="ISE93" s="580"/>
      <c r="ISF93" s="580"/>
      <c r="ISG93" s="580"/>
      <c r="ISH93" s="580"/>
      <c r="ISI93" s="580"/>
      <c r="ISJ93" s="580"/>
      <c r="ISK93" s="580"/>
      <c r="ISL93" s="580"/>
      <c r="ISM93" s="580"/>
      <c r="ISN93" s="580"/>
      <c r="ISO93" s="580"/>
      <c r="ISP93" s="580"/>
      <c r="ISQ93" s="580"/>
      <c r="ISR93" s="580"/>
      <c r="ISS93" s="580"/>
      <c r="IST93" s="580"/>
      <c r="ISU93" s="580"/>
      <c r="ISV93" s="580"/>
      <c r="ISW93" s="580"/>
      <c r="ISX93" s="580"/>
      <c r="ISY93" s="580"/>
      <c r="ISZ93" s="580"/>
      <c r="ITA93" s="580"/>
      <c r="ITB93" s="580"/>
      <c r="ITC93" s="580"/>
      <c r="ITD93" s="580"/>
      <c r="ITE93" s="580"/>
      <c r="ITF93" s="580"/>
      <c r="ITG93" s="580"/>
      <c r="ITH93" s="580"/>
      <c r="ITI93" s="580"/>
      <c r="ITJ93" s="580"/>
      <c r="ITK93" s="580"/>
      <c r="ITL93" s="580"/>
      <c r="ITM93" s="580"/>
      <c r="ITN93" s="580"/>
      <c r="ITO93" s="580"/>
      <c r="ITP93" s="580"/>
      <c r="ITQ93" s="580"/>
      <c r="ITR93" s="580"/>
      <c r="ITS93" s="580"/>
      <c r="ITT93" s="580"/>
      <c r="ITU93" s="580"/>
      <c r="ITV93" s="580"/>
      <c r="ITW93" s="580"/>
      <c r="ITX93" s="580"/>
      <c r="ITY93" s="580"/>
      <c r="ITZ93" s="580"/>
      <c r="IUA93" s="580"/>
      <c r="IUB93" s="580"/>
      <c r="IUC93" s="580"/>
      <c r="IUD93" s="580"/>
      <c r="IUE93" s="580"/>
      <c r="IUF93" s="580"/>
      <c r="IUG93" s="580"/>
      <c r="IUH93" s="580"/>
      <c r="IUI93" s="580"/>
      <c r="IUJ93" s="580"/>
      <c r="IUK93" s="580"/>
      <c r="IUL93" s="580"/>
      <c r="IUM93" s="580"/>
      <c r="IUN93" s="580"/>
      <c r="IUO93" s="580"/>
      <c r="IUP93" s="580"/>
      <c r="IUQ93" s="580"/>
      <c r="IUR93" s="580"/>
      <c r="IUS93" s="580"/>
      <c r="IUT93" s="580"/>
      <c r="IUU93" s="580"/>
      <c r="IUV93" s="580"/>
      <c r="IUW93" s="580"/>
      <c r="IUX93" s="580"/>
      <c r="IUY93" s="580"/>
      <c r="IUZ93" s="580"/>
      <c r="IVA93" s="580"/>
      <c r="IVB93" s="580"/>
      <c r="IVC93" s="580"/>
      <c r="IVD93" s="580"/>
      <c r="IVE93" s="580"/>
      <c r="IVF93" s="580"/>
      <c r="IVG93" s="580"/>
      <c r="IVH93" s="580"/>
      <c r="IVI93" s="580"/>
      <c r="IVJ93" s="580"/>
      <c r="IVK93" s="580"/>
      <c r="IVL93" s="580"/>
      <c r="IVM93" s="580"/>
      <c r="IVN93" s="580"/>
      <c r="IVO93" s="580"/>
      <c r="IVP93" s="580"/>
      <c r="IVQ93" s="580"/>
      <c r="IVR93" s="580"/>
      <c r="IVS93" s="580"/>
      <c r="IVT93" s="580"/>
      <c r="IVU93" s="580"/>
      <c r="IVV93" s="580"/>
      <c r="IVW93" s="580"/>
      <c r="IVX93" s="580"/>
      <c r="IVY93" s="580"/>
      <c r="IVZ93" s="580"/>
      <c r="IWA93" s="580"/>
      <c r="IWB93" s="580"/>
      <c r="IWC93" s="580"/>
      <c r="IWD93" s="580"/>
      <c r="IWE93" s="580"/>
      <c r="IWF93" s="580"/>
      <c r="IWG93" s="580"/>
      <c r="IWH93" s="580"/>
      <c r="IWI93" s="580"/>
      <c r="IWJ93" s="580"/>
      <c r="IWK93" s="580"/>
      <c r="IWL93" s="580"/>
      <c r="IWM93" s="580"/>
      <c r="IWN93" s="580"/>
      <c r="IWO93" s="580"/>
      <c r="IWP93" s="580"/>
      <c r="IWQ93" s="580"/>
      <c r="IWR93" s="580"/>
      <c r="IWS93" s="580"/>
      <c r="IWT93" s="580"/>
      <c r="IWU93" s="580"/>
      <c r="IWV93" s="580"/>
      <c r="IWW93" s="580"/>
      <c r="IWX93" s="580"/>
      <c r="IWY93" s="580"/>
      <c r="IWZ93" s="580"/>
      <c r="IXA93" s="580"/>
      <c r="IXB93" s="580"/>
      <c r="IXC93" s="580"/>
      <c r="IXD93" s="580"/>
      <c r="IXE93" s="580"/>
      <c r="IXF93" s="580"/>
      <c r="IXG93" s="580"/>
      <c r="IXH93" s="580"/>
      <c r="IXI93" s="580"/>
      <c r="IXJ93" s="580"/>
      <c r="IXK93" s="580"/>
      <c r="IXL93" s="580"/>
      <c r="IXM93" s="580"/>
      <c r="IXN93" s="580"/>
      <c r="IXO93" s="580"/>
      <c r="IXP93" s="580"/>
      <c r="IXQ93" s="580"/>
      <c r="IXR93" s="580"/>
      <c r="IXS93" s="580"/>
      <c r="IXT93" s="580"/>
      <c r="IXU93" s="580"/>
      <c r="IXV93" s="580"/>
      <c r="IXW93" s="580"/>
      <c r="IXX93" s="580"/>
      <c r="IXY93" s="580"/>
      <c r="IXZ93" s="580"/>
      <c r="IYA93" s="580"/>
      <c r="IYB93" s="580"/>
      <c r="IYC93" s="580"/>
      <c r="IYD93" s="580"/>
      <c r="IYE93" s="580"/>
      <c r="IYF93" s="580"/>
      <c r="IYG93" s="580"/>
      <c r="IYH93" s="580"/>
      <c r="IYI93" s="580"/>
      <c r="IYJ93" s="580"/>
      <c r="IYK93" s="580"/>
      <c r="IYL93" s="580"/>
      <c r="IYM93" s="580"/>
      <c r="IYN93" s="580"/>
      <c r="IYO93" s="580"/>
      <c r="IYP93" s="580"/>
      <c r="IYQ93" s="580"/>
      <c r="IYR93" s="580"/>
      <c r="IYS93" s="580"/>
      <c r="IYT93" s="580"/>
      <c r="IYU93" s="580"/>
      <c r="IYV93" s="580"/>
      <c r="IYW93" s="580"/>
      <c r="IYX93" s="580"/>
      <c r="IYY93" s="580"/>
      <c r="IYZ93" s="580"/>
      <c r="IZA93" s="580"/>
      <c r="IZB93" s="580"/>
      <c r="IZC93" s="580"/>
      <c r="IZD93" s="580"/>
      <c r="IZE93" s="580"/>
      <c r="IZF93" s="580"/>
      <c r="IZG93" s="580"/>
      <c r="IZH93" s="580"/>
      <c r="IZI93" s="580"/>
      <c r="IZJ93" s="580"/>
      <c r="IZK93" s="580"/>
      <c r="IZL93" s="580"/>
      <c r="IZM93" s="580"/>
      <c r="IZN93" s="580"/>
      <c r="IZO93" s="580"/>
      <c r="IZP93" s="580"/>
      <c r="IZQ93" s="580"/>
      <c r="IZR93" s="580"/>
      <c r="IZS93" s="580"/>
      <c r="IZT93" s="580"/>
      <c r="IZU93" s="580"/>
      <c r="IZV93" s="580"/>
      <c r="IZW93" s="580"/>
      <c r="IZX93" s="580"/>
      <c r="IZY93" s="580"/>
      <c r="IZZ93" s="580"/>
      <c r="JAA93" s="580"/>
      <c r="JAB93" s="580"/>
      <c r="JAC93" s="580"/>
      <c r="JAD93" s="580"/>
      <c r="JAE93" s="580"/>
      <c r="JAF93" s="580"/>
      <c r="JAG93" s="580"/>
      <c r="JAH93" s="580"/>
      <c r="JAI93" s="580"/>
      <c r="JAJ93" s="580"/>
      <c r="JAK93" s="580"/>
      <c r="JAL93" s="580"/>
      <c r="JAM93" s="580"/>
      <c r="JAN93" s="580"/>
      <c r="JAO93" s="580"/>
      <c r="JAP93" s="580"/>
      <c r="JAQ93" s="580"/>
      <c r="JAR93" s="580"/>
      <c r="JAS93" s="580"/>
      <c r="JAT93" s="580"/>
      <c r="JAU93" s="580"/>
      <c r="JAV93" s="580"/>
      <c r="JAW93" s="580"/>
      <c r="JAX93" s="580"/>
      <c r="JAY93" s="580"/>
      <c r="JAZ93" s="580"/>
      <c r="JBA93" s="580"/>
      <c r="JBB93" s="580"/>
      <c r="JBC93" s="580"/>
      <c r="JBD93" s="580"/>
      <c r="JBE93" s="580"/>
      <c r="JBF93" s="580"/>
      <c r="JBG93" s="580"/>
      <c r="JBH93" s="580"/>
      <c r="JBI93" s="580"/>
      <c r="JBJ93" s="580"/>
      <c r="JBK93" s="580"/>
      <c r="JBL93" s="580"/>
      <c r="JBM93" s="580"/>
      <c r="JBN93" s="580"/>
      <c r="JBO93" s="580"/>
      <c r="JBP93" s="580"/>
      <c r="JBQ93" s="580"/>
      <c r="JBR93" s="580"/>
      <c r="JBS93" s="580"/>
      <c r="JBT93" s="580"/>
      <c r="JBU93" s="580"/>
      <c r="JBV93" s="580"/>
      <c r="JBW93" s="580"/>
      <c r="JBX93" s="580"/>
      <c r="JBY93" s="580"/>
      <c r="JBZ93" s="580"/>
      <c r="JCA93" s="580"/>
      <c r="JCB93" s="580"/>
      <c r="JCC93" s="580"/>
      <c r="JCD93" s="580"/>
      <c r="JCE93" s="580"/>
      <c r="JCF93" s="580"/>
      <c r="JCG93" s="580"/>
      <c r="JCH93" s="580"/>
      <c r="JCI93" s="580"/>
      <c r="JCJ93" s="580"/>
      <c r="JCK93" s="580"/>
      <c r="JCL93" s="580"/>
      <c r="JCM93" s="580"/>
      <c r="JCN93" s="580"/>
      <c r="JCO93" s="580"/>
      <c r="JCP93" s="580"/>
      <c r="JCQ93" s="580"/>
      <c r="JCR93" s="580"/>
      <c r="JCS93" s="580"/>
      <c r="JCT93" s="580"/>
      <c r="JCU93" s="580"/>
      <c r="JCV93" s="580"/>
      <c r="JCW93" s="580"/>
      <c r="JCX93" s="580"/>
      <c r="JCY93" s="580"/>
      <c r="JCZ93" s="580"/>
      <c r="JDA93" s="580"/>
      <c r="JDB93" s="580"/>
      <c r="JDC93" s="580"/>
      <c r="JDD93" s="580"/>
      <c r="JDE93" s="580"/>
      <c r="JDF93" s="580"/>
      <c r="JDG93" s="580"/>
      <c r="JDH93" s="580"/>
      <c r="JDI93" s="580"/>
      <c r="JDJ93" s="580"/>
      <c r="JDK93" s="580"/>
      <c r="JDL93" s="580"/>
      <c r="JDM93" s="580"/>
      <c r="JDN93" s="580"/>
      <c r="JDO93" s="580"/>
      <c r="JDP93" s="580"/>
      <c r="JDQ93" s="580"/>
      <c r="JDR93" s="580"/>
      <c r="JDS93" s="580"/>
      <c r="JDT93" s="580"/>
      <c r="JDU93" s="580"/>
      <c r="JDV93" s="580"/>
      <c r="JDW93" s="580"/>
      <c r="JDX93" s="580"/>
      <c r="JDY93" s="580"/>
      <c r="JDZ93" s="580"/>
      <c r="JEA93" s="580"/>
      <c r="JEB93" s="580"/>
      <c r="JEC93" s="580"/>
      <c r="JED93" s="580"/>
      <c r="JEE93" s="580"/>
      <c r="JEF93" s="580"/>
      <c r="JEG93" s="580"/>
      <c r="JEH93" s="580"/>
      <c r="JEI93" s="580"/>
      <c r="JEJ93" s="580"/>
      <c r="JEK93" s="580"/>
      <c r="JEL93" s="580"/>
      <c r="JEM93" s="580"/>
      <c r="JEN93" s="580"/>
      <c r="JEO93" s="580"/>
      <c r="JEP93" s="580"/>
      <c r="JEQ93" s="580"/>
      <c r="JER93" s="580"/>
      <c r="JES93" s="580"/>
      <c r="JET93" s="580"/>
      <c r="JEU93" s="580"/>
      <c r="JEV93" s="580"/>
      <c r="JEW93" s="580"/>
      <c r="JEX93" s="580"/>
      <c r="JEY93" s="580"/>
      <c r="JEZ93" s="580"/>
      <c r="JFA93" s="580"/>
      <c r="JFB93" s="580"/>
      <c r="JFC93" s="580"/>
      <c r="JFD93" s="580"/>
      <c r="JFE93" s="580"/>
      <c r="JFF93" s="580"/>
      <c r="JFG93" s="580"/>
      <c r="JFH93" s="580"/>
      <c r="JFI93" s="580"/>
      <c r="JFJ93" s="580"/>
      <c r="JFK93" s="580"/>
      <c r="JFL93" s="580"/>
      <c r="JFM93" s="580"/>
      <c r="JFN93" s="580"/>
      <c r="JFO93" s="580"/>
      <c r="JFP93" s="580"/>
      <c r="JFQ93" s="580"/>
      <c r="JFR93" s="580"/>
      <c r="JFS93" s="580"/>
      <c r="JFT93" s="580"/>
      <c r="JFU93" s="580"/>
      <c r="JFV93" s="580"/>
      <c r="JFW93" s="580"/>
      <c r="JFX93" s="580"/>
      <c r="JFY93" s="580"/>
      <c r="JFZ93" s="580"/>
      <c r="JGA93" s="580"/>
      <c r="JGB93" s="580"/>
      <c r="JGC93" s="580"/>
      <c r="JGD93" s="580"/>
      <c r="JGE93" s="580"/>
      <c r="JGF93" s="580"/>
      <c r="JGG93" s="580"/>
      <c r="JGH93" s="580"/>
      <c r="JGI93" s="580"/>
      <c r="JGJ93" s="580"/>
      <c r="JGK93" s="580"/>
      <c r="JGL93" s="580"/>
      <c r="JGM93" s="580"/>
      <c r="JGN93" s="580"/>
      <c r="JGO93" s="580"/>
      <c r="JGP93" s="580"/>
      <c r="JGQ93" s="580"/>
      <c r="JGR93" s="580"/>
      <c r="JGS93" s="580"/>
      <c r="JGT93" s="580"/>
      <c r="JGU93" s="580"/>
      <c r="JGV93" s="580"/>
      <c r="JGW93" s="580"/>
      <c r="JGX93" s="580"/>
      <c r="JGY93" s="580"/>
      <c r="JGZ93" s="580"/>
      <c r="JHA93" s="580"/>
      <c r="JHB93" s="580"/>
      <c r="JHC93" s="580"/>
      <c r="JHD93" s="580"/>
      <c r="JHE93" s="580"/>
      <c r="JHF93" s="580"/>
      <c r="JHG93" s="580"/>
      <c r="JHH93" s="580"/>
      <c r="JHI93" s="580"/>
      <c r="JHJ93" s="580"/>
      <c r="JHK93" s="580"/>
      <c r="JHL93" s="580"/>
      <c r="JHM93" s="580"/>
      <c r="JHN93" s="580"/>
      <c r="JHO93" s="580"/>
      <c r="JHP93" s="580"/>
      <c r="JHQ93" s="580"/>
      <c r="JHR93" s="580"/>
      <c r="JHS93" s="580"/>
      <c r="JHT93" s="580"/>
      <c r="JHU93" s="580"/>
      <c r="JHV93" s="580"/>
      <c r="JHW93" s="580"/>
      <c r="JHX93" s="580"/>
      <c r="JHY93" s="580"/>
      <c r="JHZ93" s="580"/>
      <c r="JIA93" s="580"/>
      <c r="JIB93" s="580"/>
      <c r="JIC93" s="580"/>
      <c r="JID93" s="580"/>
      <c r="JIE93" s="580"/>
      <c r="JIF93" s="580"/>
      <c r="JIG93" s="580"/>
      <c r="JIH93" s="580"/>
      <c r="JII93" s="580"/>
      <c r="JIJ93" s="580"/>
      <c r="JIK93" s="580"/>
      <c r="JIL93" s="580"/>
      <c r="JIM93" s="580"/>
      <c r="JIN93" s="580"/>
      <c r="JIO93" s="580"/>
      <c r="JIP93" s="580"/>
      <c r="JIQ93" s="580"/>
      <c r="JIR93" s="580"/>
      <c r="JIS93" s="580"/>
      <c r="JIT93" s="580"/>
      <c r="JIU93" s="580"/>
      <c r="JIV93" s="580"/>
      <c r="JIW93" s="580"/>
      <c r="JIX93" s="580"/>
      <c r="JIY93" s="580"/>
      <c r="JIZ93" s="580"/>
      <c r="JJA93" s="580"/>
      <c r="JJB93" s="580"/>
      <c r="JJC93" s="580"/>
      <c r="JJD93" s="580"/>
      <c r="JJE93" s="580"/>
      <c r="JJF93" s="580"/>
      <c r="JJG93" s="580"/>
      <c r="JJH93" s="580"/>
      <c r="JJI93" s="580"/>
      <c r="JJJ93" s="580"/>
      <c r="JJK93" s="580"/>
      <c r="JJL93" s="580"/>
      <c r="JJM93" s="580"/>
      <c r="JJN93" s="580"/>
      <c r="JJO93" s="580"/>
      <c r="JJP93" s="580"/>
      <c r="JJQ93" s="580"/>
      <c r="JJR93" s="580"/>
      <c r="JJS93" s="580"/>
      <c r="JJT93" s="580"/>
      <c r="JJU93" s="580"/>
      <c r="JJV93" s="580"/>
      <c r="JJW93" s="580"/>
      <c r="JJX93" s="580"/>
      <c r="JJY93" s="580"/>
      <c r="JJZ93" s="580"/>
      <c r="JKA93" s="580"/>
      <c r="JKB93" s="580"/>
      <c r="JKC93" s="580"/>
      <c r="JKD93" s="580"/>
      <c r="JKE93" s="580"/>
      <c r="JKF93" s="580"/>
      <c r="JKG93" s="580"/>
      <c r="JKH93" s="580"/>
      <c r="JKI93" s="580"/>
      <c r="JKJ93" s="580"/>
      <c r="JKK93" s="580"/>
      <c r="JKL93" s="580"/>
      <c r="JKM93" s="580"/>
      <c r="JKN93" s="580"/>
      <c r="JKO93" s="580"/>
      <c r="JKP93" s="580"/>
      <c r="JKQ93" s="580"/>
      <c r="JKR93" s="580"/>
      <c r="JKS93" s="580"/>
      <c r="JKT93" s="580"/>
      <c r="JKU93" s="580"/>
      <c r="JKV93" s="580"/>
      <c r="JKW93" s="580"/>
      <c r="JKX93" s="580"/>
      <c r="JKY93" s="580"/>
      <c r="JKZ93" s="580"/>
      <c r="JLA93" s="580"/>
      <c r="JLB93" s="580"/>
      <c r="JLC93" s="580"/>
      <c r="JLD93" s="580"/>
      <c r="JLE93" s="580"/>
      <c r="JLF93" s="580"/>
      <c r="JLG93" s="580"/>
      <c r="JLH93" s="580"/>
      <c r="JLI93" s="580"/>
      <c r="JLJ93" s="580"/>
      <c r="JLK93" s="580"/>
      <c r="JLL93" s="580"/>
      <c r="JLM93" s="580"/>
      <c r="JLN93" s="580"/>
      <c r="JLO93" s="580"/>
      <c r="JLP93" s="580"/>
      <c r="JLQ93" s="580"/>
      <c r="JLR93" s="580"/>
      <c r="JLS93" s="580"/>
      <c r="JLT93" s="580"/>
      <c r="JLU93" s="580"/>
      <c r="JLV93" s="580"/>
      <c r="JLW93" s="580"/>
      <c r="JLX93" s="580"/>
      <c r="JLY93" s="580"/>
      <c r="JLZ93" s="580"/>
      <c r="JMA93" s="580"/>
      <c r="JMB93" s="580"/>
      <c r="JMC93" s="580"/>
      <c r="JMD93" s="580"/>
      <c r="JME93" s="580"/>
      <c r="JMF93" s="580"/>
      <c r="JMG93" s="580"/>
      <c r="JMH93" s="580"/>
      <c r="JMI93" s="580"/>
      <c r="JMJ93" s="580"/>
      <c r="JMK93" s="580"/>
      <c r="JML93" s="580"/>
      <c r="JMM93" s="580"/>
      <c r="JMN93" s="580"/>
      <c r="JMO93" s="580"/>
      <c r="JMP93" s="580"/>
      <c r="JMQ93" s="580"/>
      <c r="JMR93" s="580"/>
      <c r="JMS93" s="580"/>
      <c r="JMT93" s="580"/>
      <c r="JMU93" s="580"/>
      <c r="JMV93" s="580"/>
      <c r="JMW93" s="580"/>
      <c r="JMX93" s="580"/>
      <c r="JMY93" s="580"/>
      <c r="JMZ93" s="580"/>
      <c r="JNA93" s="580"/>
      <c r="JNB93" s="580"/>
      <c r="JNC93" s="580"/>
      <c r="JND93" s="580"/>
      <c r="JNE93" s="580"/>
      <c r="JNF93" s="580"/>
      <c r="JNG93" s="580"/>
      <c r="JNH93" s="580"/>
      <c r="JNI93" s="580"/>
      <c r="JNJ93" s="580"/>
      <c r="JNK93" s="580"/>
      <c r="JNL93" s="580"/>
      <c r="JNM93" s="580"/>
      <c r="JNN93" s="580"/>
      <c r="JNO93" s="580"/>
      <c r="JNP93" s="580"/>
      <c r="JNQ93" s="580"/>
      <c r="JNR93" s="580"/>
      <c r="JNS93" s="580"/>
      <c r="JNT93" s="580"/>
      <c r="JNU93" s="580"/>
      <c r="JNV93" s="580"/>
      <c r="JNW93" s="580"/>
      <c r="JNX93" s="580"/>
      <c r="JNY93" s="580"/>
      <c r="JNZ93" s="580"/>
      <c r="JOA93" s="580"/>
      <c r="JOB93" s="580"/>
      <c r="JOC93" s="580"/>
      <c r="JOD93" s="580"/>
      <c r="JOE93" s="580"/>
      <c r="JOF93" s="580"/>
      <c r="JOG93" s="580"/>
      <c r="JOH93" s="580"/>
      <c r="JOI93" s="580"/>
      <c r="JOJ93" s="580"/>
      <c r="JOK93" s="580"/>
      <c r="JOL93" s="580"/>
      <c r="JOM93" s="580"/>
      <c r="JON93" s="580"/>
      <c r="JOO93" s="580"/>
      <c r="JOP93" s="580"/>
      <c r="JOQ93" s="580"/>
      <c r="JOR93" s="580"/>
      <c r="JOS93" s="580"/>
      <c r="JOT93" s="580"/>
      <c r="JOU93" s="580"/>
      <c r="JOV93" s="580"/>
      <c r="JOW93" s="580"/>
      <c r="JOX93" s="580"/>
      <c r="JOY93" s="580"/>
      <c r="JOZ93" s="580"/>
      <c r="JPA93" s="580"/>
      <c r="JPB93" s="580"/>
      <c r="JPC93" s="580"/>
      <c r="JPD93" s="580"/>
      <c r="JPE93" s="580"/>
      <c r="JPF93" s="580"/>
      <c r="JPG93" s="580"/>
      <c r="JPH93" s="580"/>
      <c r="JPI93" s="580"/>
      <c r="JPJ93" s="580"/>
      <c r="JPK93" s="580"/>
      <c r="JPL93" s="580"/>
      <c r="JPM93" s="580"/>
      <c r="JPN93" s="580"/>
      <c r="JPO93" s="580"/>
      <c r="JPP93" s="580"/>
      <c r="JPQ93" s="580"/>
      <c r="JPR93" s="580"/>
      <c r="JPS93" s="580"/>
      <c r="JPT93" s="580"/>
      <c r="JPU93" s="580"/>
      <c r="JPV93" s="580"/>
      <c r="JPW93" s="580"/>
      <c r="JPX93" s="580"/>
      <c r="JPY93" s="580"/>
      <c r="JPZ93" s="580"/>
      <c r="JQA93" s="580"/>
      <c r="JQB93" s="580"/>
      <c r="JQC93" s="580"/>
      <c r="JQD93" s="580"/>
      <c r="JQE93" s="580"/>
      <c r="JQF93" s="580"/>
      <c r="JQG93" s="580"/>
      <c r="JQH93" s="580"/>
      <c r="JQI93" s="580"/>
      <c r="JQJ93" s="580"/>
      <c r="JQK93" s="580"/>
      <c r="JQL93" s="580"/>
      <c r="JQM93" s="580"/>
      <c r="JQN93" s="580"/>
      <c r="JQO93" s="580"/>
      <c r="JQP93" s="580"/>
      <c r="JQQ93" s="580"/>
      <c r="JQR93" s="580"/>
      <c r="JQS93" s="580"/>
      <c r="JQT93" s="580"/>
      <c r="JQU93" s="580"/>
      <c r="JQV93" s="580"/>
      <c r="JQW93" s="580"/>
      <c r="JQX93" s="580"/>
      <c r="JQY93" s="580"/>
      <c r="JQZ93" s="580"/>
      <c r="JRA93" s="580"/>
      <c r="JRB93" s="580"/>
      <c r="JRC93" s="580"/>
      <c r="JRD93" s="580"/>
      <c r="JRE93" s="580"/>
      <c r="JRF93" s="580"/>
      <c r="JRG93" s="580"/>
      <c r="JRH93" s="580"/>
      <c r="JRI93" s="580"/>
      <c r="JRJ93" s="580"/>
      <c r="JRK93" s="580"/>
      <c r="JRL93" s="580"/>
      <c r="JRM93" s="580"/>
      <c r="JRN93" s="580"/>
      <c r="JRO93" s="580"/>
      <c r="JRP93" s="580"/>
      <c r="JRQ93" s="580"/>
      <c r="JRR93" s="580"/>
      <c r="JRS93" s="580"/>
      <c r="JRT93" s="580"/>
      <c r="JRU93" s="580"/>
      <c r="JRV93" s="580"/>
      <c r="JRW93" s="580"/>
      <c r="JRX93" s="580"/>
      <c r="JRY93" s="580"/>
      <c r="JRZ93" s="580"/>
      <c r="JSA93" s="580"/>
      <c r="JSB93" s="580"/>
      <c r="JSC93" s="580"/>
      <c r="JSD93" s="580"/>
      <c r="JSE93" s="580"/>
      <c r="JSF93" s="580"/>
      <c r="JSG93" s="580"/>
      <c r="JSH93" s="580"/>
      <c r="JSI93" s="580"/>
      <c r="JSJ93" s="580"/>
      <c r="JSK93" s="580"/>
      <c r="JSL93" s="580"/>
      <c r="JSM93" s="580"/>
      <c r="JSN93" s="580"/>
      <c r="JSO93" s="580"/>
      <c r="JSP93" s="580"/>
      <c r="JSQ93" s="580"/>
      <c r="JSR93" s="580"/>
      <c r="JSS93" s="580"/>
      <c r="JST93" s="580"/>
      <c r="JSU93" s="580"/>
      <c r="JSV93" s="580"/>
      <c r="JSW93" s="580"/>
      <c r="JSX93" s="580"/>
      <c r="JSY93" s="580"/>
      <c r="JSZ93" s="580"/>
      <c r="JTA93" s="580"/>
      <c r="JTB93" s="580"/>
      <c r="JTC93" s="580"/>
      <c r="JTD93" s="580"/>
      <c r="JTE93" s="580"/>
      <c r="JTF93" s="580"/>
      <c r="JTG93" s="580"/>
      <c r="JTH93" s="580"/>
      <c r="JTI93" s="580"/>
      <c r="JTJ93" s="580"/>
      <c r="JTK93" s="580"/>
      <c r="JTL93" s="580"/>
      <c r="JTM93" s="580"/>
      <c r="JTN93" s="580"/>
      <c r="JTO93" s="580"/>
      <c r="JTP93" s="580"/>
      <c r="JTQ93" s="580"/>
      <c r="JTR93" s="580"/>
      <c r="JTS93" s="580"/>
      <c r="JTT93" s="580"/>
      <c r="JTU93" s="580"/>
      <c r="JTV93" s="580"/>
      <c r="JTW93" s="580"/>
      <c r="JTX93" s="580"/>
      <c r="JTY93" s="580"/>
      <c r="JTZ93" s="580"/>
      <c r="JUA93" s="580"/>
      <c r="JUB93" s="580"/>
      <c r="JUC93" s="580"/>
      <c r="JUD93" s="580"/>
      <c r="JUE93" s="580"/>
      <c r="JUF93" s="580"/>
      <c r="JUG93" s="580"/>
      <c r="JUH93" s="580"/>
      <c r="JUI93" s="580"/>
      <c r="JUJ93" s="580"/>
      <c r="JUK93" s="580"/>
      <c r="JUL93" s="580"/>
      <c r="JUM93" s="580"/>
      <c r="JUN93" s="580"/>
      <c r="JUO93" s="580"/>
      <c r="JUP93" s="580"/>
      <c r="JUQ93" s="580"/>
      <c r="JUR93" s="580"/>
      <c r="JUS93" s="580"/>
      <c r="JUT93" s="580"/>
      <c r="JUU93" s="580"/>
      <c r="JUV93" s="580"/>
      <c r="JUW93" s="580"/>
      <c r="JUX93" s="580"/>
      <c r="JUY93" s="580"/>
      <c r="JUZ93" s="580"/>
      <c r="JVA93" s="580"/>
      <c r="JVB93" s="580"/>
      <c r="JVC93" s="580"/>
      <c r="JVD93" s="580"/>
      <c r="JVE93" s="580"/>
      <c r="JVF93" s="580"/>
      <c r="JVG93" s="580"/>
      <c r="JVH93" s="580"/>
      <c r="JVI93" s="580"/>
      <c r="JVJ93" s="580"/>
      <c r="JVK93" s="580"/>
      <c r="JVL93" s="580"/>
      <c r="JVM93" s="580"/>
      <c r="JVN93" s="580"/>
      <c r="JVO93" s="580"/>
      <c r="JVP93" s="580"/>
      <c r="JVQ93" s="580"/>
      <c r="JVR93" s="580"/>
      <c r="JVS93" s="580"/>
      <c r="JVT93" s="580"/>
      <c r="JVU93" s="580"/>
      <c r="JVV93" s="580"/>
      <c r="JVW93" s="580"/>
      <c r="JVX93" s="580"/>
      <c r="JVY93" s="580"/>
      <c r="JVZ93" s="580"/>
      <c r="JWA93" s="580"/>
      <c r="JWB93" s="580"/>
      <c r="JWC93" s="580"/>
      <c r="JWD93" s="580"/>
      <c r="JWE93" s="580"/>
      <c r="JWF93" s="580"/>
      <c r="JWG93" s="580"/>
      <c r="JWH93" s="580"/>
      <c r="JWI93" s="580"/>
      <c r="JWJ93" s="580"/>
      <c r="JWK93" s="580"/>
      <c r="JWL93" s="580"/>
      <c r="JWM93" s="580"/>
      <c r="JWN93" s="580"/>
      <c r="JWO93" s="580"/>
      <c r="JWP93" s="580"/>
      <c r="JWQ93" s="580"/>
      <c r="JWR93" s="580"/>
      <c r="JWS93" s="580"/>
      <c r="JWT93" s="580"/>
      <c r="JWU93" s="580"/>
      <c r="JWV93" s="580"/>
      <c r="JWW93" s="580"/>
      <c r="JWX93" s="580"/>
      <c r="JWY93" s="580"/>
      <c r="JWZ93" s="580"/>
      <c r="JXA93" s="580"/>
      <c r="JXB93" s="580"/>
      <c r="JXC93" s="580"/>
      <c r="JXD93" s="580"/>
      <c r="JXE93" s="580"/>
      <c r="JXF93" s="580"/>
      <c r="JXG93" s="580"/>
      <c r="JXH93" s="580"/>
      <c r="JXI93" s="580"/>
      <c r="JXJ93" s="580"/>
      <c r="JXK93" s="580"/>
      <c r="JXL93" s="580"/>
      <c r="JXM93" s="580"/>
      <c r="JXN93" s="580"/>
      <c r="JXO93" s="580"/>
      <c r="JXP93" s="580"/>
      <c r="JXQ93" s="580"/>
      <c r="JXR93" s="580"/>
      <c r="JXS93" s="580"/>
      <c r="JXT93" s="580"/>
      <c r="JXU93" s="580"/>
      <c r="JXV93" s="580"/>
      <c r="JXW93" s="580"/>
      <c r="JXX93" s="580"/>
      <c r="JXY93" s="580"/>
      <c r="JXZ93" s="580"/>
      <c r="JYA93" s="580"/>
      <c r="JYB93" s="580"/>
      <c r="JYC93" s="580"/>
      <c r="JYD93" s="580"/>
      <c r="JYE93" s="580"/>
      <c r="JYF93" s="580"/>
      <c r="JYG93" s="580"/>
      <c r="JYH93" s="580"/>
      <c r="JYI93" s="580"/>
      <c r="JYJ93" s="580"/>
      <c r="JYK93" s="580"/>
      <c r="JYL93" s="580"/>
      <c r="JYM93" s="580"/>
      <c r="JYN93" s="580"/>
      <c r="JYO93" s="580"/>
      <c r="JYP93" s="580"/>
      <c r="JYQ93" s="580"/>
      <c r="JYR93" s="580"/>
      <c r="JYS93" s="580"/>
      <c r="JYT93" s="580"/>
      <c r="JYU93" s="580"/>
      <c r="JYV93" s="580"/>
      <c r="JYW93" s="580"/>
      <c r="JYX93" s="580"/>
      <c r="JYY93" s="580"/>
      <c r="JYZ93" s="580"/>
      <c r="JZA93" s="580"/>
      <c r="JZB93" s="580"/>
      <c r="JZC93" s="580"/>
      <c r="JZD93" s="580"/>
      <c r="JZE93" s="580"/>
      <c r="JZF93" s="580"/>
      <c r="JZG93" s="580"/>
      <c r="JZH93" s="580"/>
      <c r="JZI93" s="580"/>
      <c r="JZJ93" s="580"/>
      <c r="JZK93" s="580"/>
      <c r="JZL93" s="580"/>
      <c r="JZM93" s="580"/>
      <c r="JZN93" s="580"/>
      <c r="JZO93" s="580"/>
      <c r="JZP93" s="580"/>
      <c r="JZQ93" s="580"/>
      <c r="JZR93" s="580"/>
      <c r="JZS93" s="580"/>
      <c r="JZT93" s="580"/>
      <c r="JZU93" s="580"/>
      <c r="JZV93" s="580"/>
      <c r="JZW93" s="580"/>
      <c r="JZX93" s="580"/>
      <c r="JZY93" s="580"/>
      <c r="JZZ93" s="580"/>
      <c r="KAA93" s="580"/>
      <c r="KAB93" s="580"/>
      <c r="KAC93" s="580"/>
      <c r="KAD93" s="580"/>
      <c r="KAE93" s="580"/>
      <c r="KAF93" s="580"/>
      <c r="KAG93" s="580"/>
      <c r="KAH93" s="580"/>
      <c r="KAI93" s="580"/>
      <c r="KAJ93" s="580"/>
      <c r="KAK93" s="580"/>
      <c r="KAL93" s="580"/>
      <c r="KAM93" s="580"/>
      <c r="KAN93" s="580"/>
      <c r="KAO93" s="580"/>
      <c r="KAP93" s="580"/>
      <c r="KAQ93" s="580"/>
      <c r="KAR93" s="580"/>
      <c r="KAS93" s="580"/>
      <c r="KAT93" s="580"/>
      <c r="KAU93" s="580"/>
      <c r="KAV93" s="580"/>
      <c r="KAW93" s="580"/>
      <c r="KAX93" s="580"/>
      <c r="KAY93" s="580"/>
      <c r="KAZ93" s="580"/>
      <c r="KBA93" s="580"/>
      <c r="KBB93" s="580"/>
      <c r="KBC93" s="580"/>
      <c r="KBD93" s="580"/>
      <c r="KBE93" s="580"/>
      <c r="KBF93" s="580"/>
      <c r="KBG93" s="580"/>
      <c r="KBH93" s="580"/>
      <c r="KBI93" s="580"/>
      <c r="KBJ93" s="580"/>
      <c r="KBK93" s="580"/>
      <c r="KBL93" s="580"/>
      <c r="KBM93" s="580"/>
      <c r="KBN93" s="580"/>
      <c r="KBO93" s="580"/>
      <c r="KBP93" s="580"/>
      <c r="KBQ93" s="580"/>
      <c r="KBR93" s="580"/>
      <c r="KBS93" s="580"/>
      <c r="KBT93" s="580"/>
      <c r="KBU93" s="580"/>
      <c r="KBV93" s="580"/>
      <c r="KBW93" s="580"/>
      <c r="KBX93" s="580"/>
      <c r="KBY93" s="580"/>
      <c r="KBZ93" s="580"/>
      <c r="KCA93" s="580"/>
      <c r="KCB93" s="580"/>
      <c r="KCC93" s="580"/>
      <c r="KCD93" s="580"/>
      <c r="KCE93" s="580"/>
      <c r="KCF93" s="580"/>
      <c r="KCG93" s="580"/>
      <c r="KCH93" s="580"/>
      <c r="KCI93" s="580"/>
      <c r="KCJ93" s="580"/>
      <c r="KCK93" s="580"/>
      <c r="KCL93" s="580"/>
      <c r="KCM93" s="580"/>
      <c r="KCN93" s="580"/>
      <c r="KCO93" s="580"/>
      <c r="KCP93" s="580"/>
      <c r="KCQ93" s="580"/>
      <c r="KCR93" s="580"/>
      <c r="KCS93" s="580"/>
      <c r="KCT93" s="580"/>
      <c r="KCU93" s="580"/>
      <c r="KCV93" s="580"/>
      <c r="KCW93" s="580"/>
      <c r="KCX93" s="580"/>
      <c r="KCY93" s="580"/>
      <c r="KCZ93" s="580"/>
      <c r="KDA93" s="580"/>
      <c r="KDB93" s="580"/>
      <c r="KDC93" s="580"/>
      <c r="KDD93" s="580"/>
      <c r="KDE93" s="580"/>
      <c r="KDF93" s="580"/>
      <c r="KDG93" s="580"/>
      <c r="KDH93" s="580"/>
      <c r="KDI93" s="580"/>
      <c r="KDJ93" s="580"/>
      <c r="KDK93" s="580"/>
      <c r="KDL93" s="580"/>
      <c r="KDM93" s="580"/>
      <c r="KDN93" s="580"/>
      <c r="KDO93" s="580"/>
      <c r="KDP93" s="580"/>
      <c r="KDQ93" s="580"/>
      <c r="KDR93" s="580"/>
      <c r="KDS93" s="580"/>
      <c r="KDT93" s="580"/>
      <c r="KDU93" s="580"/>
      <c r="KDV93" s="580"/>
      <c r="KDW93" s="580"/>
      <c r="KDX93" s="580"/>
      <c r="KDY93" s="580"/>
      <c r="KDZ93" s="580"/>
      <c r="KEA93" s="580"/>
      <c r="KEB93" s="580"/>
      <c r="KEC93" s="580"/>
      <c r="KED93" s="580"/>
      <c r="KEE93" s="580"/>
      <c r="KEF93" s="580"/>
      <c r="KEG93" s="580"/>
      <c r="KEH93" s="580"/>
      <c r="KEI93" s="580"/>
      <c r="KEJ93" s="580"/>
      <c r="KEK93" s="580"/>
      <c r="KEL93" s="580"/>
      <c r="KEM93" s="580"/>
      <c r="KEN93" s="580"/>
      <c r="KEO93" s="580"/>
      <c r="KEP93" s="580"/>
      <c r="KEQ93" s="580"/>
      <c r="KER93" s="580"/>
      <c r="KES93" s="580"/>
      <c r="KET93" s="580"/>
      <c r="KEU93" s="580"/>
      <c r="KEV93" s="580"/>
      <c r="KEW93" s="580"/>
      <c r="KEX93" s="580"/>
      <c r="KEY93" s="580"/>
      <c r="KEZ93" s="580"/>
      <c r="KFA93" s="580"/>
      <c r="KFB93" s="580"/>
      <c r="KFC93" s="580"/>
      <c r="KFD93" s="580"/>
      <c r="KFE93" s="580"/>
      <c r="KFF93" s="580"/>
      <c r="KFG93" s="580"/>
      <c r="KFH93" s="580"/>
      <c r="KFI93" s="580"/>
      <c r="KFJ93" s="580"/>
      <c r="KFK93" s="580"/>
      <c r="KFL93" s="580"/>
      <c r="KFM93" s="580"/>
      <c r="KFN93" s="580"/>
      <c r="KFO93" s="580"/>
      <c r="KFP93" s="580"/>
      <c r="KFQ93" s="580"/>
      <c r="KFR93" s="580"/>
      <c r="KFS93" s="580"/>
      <c r="KFT93" s="580"/>
      <c r="KFU93" s="580"/>
      <c r="KFV93" s="580"/>
      <c r="KFW93" s="580"/>
      <c r="KFX93" s="580"/>
      <c r="KFY93" s="580"/>
      <c r="KFZ93" s="580"/>
      <c r="KGA93" s="580"/>
      <c r="KGB93" s="580"/>
      <c r="KGC93" s="580"/>
      <c r="KGD93" s="580"/>
      <c r="KGE93" s="580"/>
      <c r="KGF93" s="580"/>
      <c r="KGG93" s="580"/>
      <c r="KGH93" s="580"/>
      <c r="KGI93" s="580"/>
      <c r="KGJ93" s="580"/>
      <c r="KGK93" s="580"/>
      <c r="KGL93" s="580"/>
      <c r="KGM93" s="580"/>
      <c r="KGN93" s="580"/>
      <c r="KGO93" s="580"/>
      <c r="KGP93" s="580"/>
      <c r="KGQ93" s="580"/>
      <c r="KGR93" s="580"/>
      <c r="KGS93" s="580"/>
      <c r="KGT93" s="580"/>
      <c r="KGU93" s="580"/>
      <c r="KGV93" s="580"/>
      <c r="KGW93" s="580"/>
      <c r="KGX93" s="580"/>
      <c r="KGY93" s="580"/>
      <c r="KGZ93" s="580"/>
      <c r="KHA93" s="580"/>
      <c r="KHB93" s="580"/>
      <c r="KHC93" s="580"/>
      <c r="KHD93" s="580"/>
      <c r="KHE93" s="580"/>
      <c r="KHF93" s="580"/>
      <c r="KHG93" s="580"/>
      <c r="KHH93" s="580"/>
      <c r="KHI93" s="580"/>
      <c r="KHJ93" s="580"/>
      <c r="KHK93" s="580"/>
      <c r="KHL93" s="580"/>
      <c r="KHM93" s="580"/>
      <c r="KHN93" s="580"/>
      <c r="KHO93" s="580"/>
      <c r="KHP93" s="580"/>
      <c r="KHQ93" s="580"/>
      <c r="KHR93" s="580"/>
      <c r="KHS93" s="580"/>
      <c r="KHT93" s="580"/>
      <c r="KHU93" s="580"/>
      <c r="KHV93" s="580"/>
      <c r="KHW93" s="580"/>
      <c r="KHX93" s="580"/>
      <c r="KHY93" s="580"/>
      <c r="KHZ93" s="580"/>
      <c r="KIA93" s="580"/>
      <c r="KIB93" s="580"/>
      <c r="KIC93" s="580"/>
      <c r="KID93" s="580"/>
      <c r="KIE93" s="580"/>
      <c r="KIF93" s="580"/>
      <c r="KIG93" s="580"/>
      <c r="KIH93" s="580"/>
      <c r="KII93" s="580"/>
      <c r="KIJ93" s="580"/>
      <c r="KIK93" s="580"/>
      <c r="KIL93" s="580"/>
      <c r="KIM93" s="580"/>
      <c r="KIN93" s="580"/>
      <c r="KIO93" s="580"/>
      <c r="KIP93" s="580"/>
      <c r="KIQ93" s="580"/>
      <c r="KIR93" s="580"/>
      <c r="KIS93" s="580"/>
      <c r="KIT93" s="580"/>
      <c r="KIU93" s="580"/>
      <c r="KIV93" s="580"/>
      <c r="KIW93" s="580"/>
      <c r="KIX93" s="580"/>
      <c r="KIY93" s="580"/>
      <c r="KIZ93" s="580"/>
      <c r="KJA93" s="580"/>
      <c r="KJB93" s="580"/>
      <c r="KJC93" s="580"/>
      <c r="KJD93" s="580"/>
      <c r="KJE93" s="580"/>
      <c r="KJF93" s="580"/>
      <c r="KJG93" s="580"/>
      <c r="KJH93" s="580"/>
      <c r="KJI93" s="580"/>
      <c r="KJJ93" s="580"/>
      <c r="KJK93" s="580"/>
      <c r="KJL93" s="580"/>
      <c r="KJM93" s="580"/>
      <c r="KJN93" s="580"/>
      <c r="KJO93" s="580"/>
      <c r="KJP93" s="580"/>
      <c r="KJQ93" s="580"/>
      <c r="KJR93" s="580"/>
      <c r="KJS93" s="580"/>
      <c r="KJT93" s="580"/>
      <c r="KJU93" s="580"/>
      <c r="KJV93" s="580"/>
      <c r="KJW93" s="580"/>
      <c r="KJX93" s="580"/>
      <c r="KJY93" s="580"/>
      <c r="KJZ93" s="580"/>
      <c r="KKA93" s="580"/>
      <c r="KKB93" s="580"/>
      <c r="KKC93" s="580"/>
      <c r="KKD93" s="580"/>
      <c r="KKE93" s="580"/>
      <c r="KKF93" s="580"/>
      <c r="KKG93" s="580"/>
      <c r="KKH93" s="580"/>
      <c r="KKI93" s="580"/>
      <c r="KKJ93" s="580"/>
      <c r="KKK93" s="580"/>
      <c r="KKL93" s="580"/>
      <c r="KKM93" s="580"/>
      <c r="KKN93" s="580"/>
      <c r="KKO93" s="580"/>
      <c r="KKP93" s="580"/>
      <c r="KKQ93" s="580"/>
      <c r="KKR93" s="580"/>
      <c r="KKS93" s="580"/>
      <c r="KKT93" s="580"/>
      <c r="KKU93" s="580"/>
      <c r="KKV93" s="580"/>
      <c r="KKW93" s="580"/>
      <c r="KKX93" s="580"/>
      <c r="KKY93" s="580"/>
      <c r="KKZ93" s="580"/>
      <c r="KLA93" s="580"/>
      <c r="KLB93" s="580"/>
      <c r="KLC93" s="580"/>
      <c r="KLD93" s="580"/>
      <c r="KLE93" s="580"/>
      <c r="KLF93" s="580"/>
      <c r="KLG93" s="580"/>
      <c r="KLH93" s="580"/>
      <c r="KLI93" s="580"/>
      <c r="KLJ93" s="580"/>
      <c r="KLK93" s="580"/>
      <c r="KLL93" s="580"/>
      <c r="KLM93" s="580"/>
      <c r="KLN93" s="580"/>
      <c r="KLO93" s="580"/>
      <c r="KLP93" s="580"/>
      <c r="KLQ93" s="580"/>
      <c r="KLR93" s="580"/>
      <c r="KLS93" s="580"/>
      <c r="KLT93" s="580"/>
      <c r="KLU93" s="580"/>
      <c r="KLV93" s="580"/>
      <c r="KLW93" s="580"/>
      <c r="KLX93" s="580"/>
      <c r="KLY93" s="580"/>
      <c r="KLZ93" s="580"/>
      <c r="KMA93" s="580"/>
      <c r="KMB93" s="580"/>
      <c r="KMC93" s="580"/>
      <c r="KMD93" s="580"/>
      <c r="KME93" s="580"/>
      <c r="KMF93" s="580"/>
      <c r="KMG93" s="580"/>
      <c r="KMH93" s="580"/>
      <c r="KMI93" s="580"/>
      <c r="KMJ93" s="580"/>
      <c r="KMK93" s="580"/>
      <c r="KML93" s="580"/>
      <c r="KMM93" s="580"/>
      <c r="KMN93" s="580"/>
      <c r="KMO93" s="580"/>
      <c r="KMP93" s="580"/>
      <c r="KMQ93" s="580"/>
      <c r="KMR93" s="580"/>
      <c r="KMS93" s="580"/>
      <c r="KMT93" s="580"/>
      <c r="KMU93" s="580"/>
      <c r="KMV93" s="580"/>
      <c r="KMW93" s="580"/>
      <c r="KMX93" s="580"/>
      <c r="KMY93" s="580"/>
      <c r="KMZ93" s="580"/>
      <c r="KNA93" s="580"/>
      <c r="KNB93" s="580"/>
      <c r="KNC93" s="580"/>
      <c r="KND93" s="580"/>
      <c r="KNE93" s="580"/>
      <c r="KNF93" s="580"/>
      <c r="KNG93" s="580"/>
      <c r="KNH93" s="580"/>
      <c r="KNI93" s="580"/>
      <c r="KNJ93" s="580"/>
      <c r="KNK93" s="580"/>
      <c r="KNL93" s="580"/>
      <c r="KNM93" s="580"/>
      <c r="KNN93" s="580"/>
      <c r="KNO93" s="580"/>
      <c r="KNP93" s="580"/>
      <c r="KNQ93" s="580"/>
      <c r="KNR93" s="580"/>
      <c r="KNS93" s="580"/>
      <c r="KNT93" s="580"/>
      <c r="KNU93" s="580"/>
      <c r="KNV93" s="580"/>
      <c r="KNW93" s="580"/>
      <c r="KNX93" s="580"/>
      <c r="KNY93" s="580"/>
      <c r="KNZ93" s="580"/>
      <c r="KOA93" s="580"/>
      <c r="KOB93" s="580"/>
      <c r="KOC93" s="580"/>
      <c r="KOD93" s="580"/>
      <c r="KOE93" s="580"/>
      <c r="KOF93" s="580"/>
      <c r="KOG93" s="580"/>
      <c r="KOH93" s="580"/>
      <c r="KOI93" s="580"/>
      <c r="KOJ93" s="580"/>
      <c r="KOK93" s="580"/>
      <c r="KOL93" s="580"/>
      <c r="KOM93" s="580"/>
      <c r="KON93" s="580"/>
      <c r="KOO93" s="580"/>
      <c r="KOP93" s="580"/>
      <c r="KOQ93" s="580"/>
      <c r="KOR93" s="580"/>
      <c r="KOS93" s="580"/>
      <c r="KOT93" s="580"/>
      <c r="KOU93" s="580"/>
      <c r="KOV93" s="580"/>
      <c r="KOW93" s="580"/>
      <c r="KOX93" s="580"/>
      <c r="KOY93" s="580"/>
      <c r="KOZ93" s="580"/>
      <c r="KPA93" s="580"/>
      <c r="KPB93" s="580"/>
      <c r="KPC93" s="580"/>
      <c r="KPD93" s="580"/>
      <c r="KPE93" s="580"/>
      <c r="KPF93" s="580"/>
      <c r="KPG93" s="580"/>
      <c r="KPH93" s="580"/>
      <c r="KPI93" s="580"/>
      <c r="KPJ93" s="580"/>
      <c r="KPK93" s="580"/>
      <c r="KPL93" s="580"/>
      <c r="KPM93" s="580"/>
      <c r="KPN93" s="580"/>
      <c r="KPO93" s="580"/>
      <c r="KPP93" s="580"/>
      <c r="KPQ93" s="580"/>
      <c r="KPR93" s="580"/>
      <c r="KPS93" s="580"/>
      <c r="KPT93" s="580"/>
      <c r="KPU93" s="580"/>
      <c r="KPV93" s="580"/>
      <c r="KPW93" s="580"/>
      <c r="KPX93" s="580"/>
      <c r="KPY93" s="580"/>
      <c r="KPZ93" s="580"/>
      <c r="KQA93" s="580"/>
      <c r="KQB93" s="580"/>
      <c r="KQC93" s="580"/>
      <c r="KQD93" s="580"/>
      <c r="KQE93" s="580"/>
      <c r="KQF93" s="580"/>
      <c r="KQG93" s="580"/>
      <c r="KQH93" s="580"/>
      <c r="KQI93" s="580"/>
      <c r="KQJ93" s="580"/>
      <c r="KQK93" s="580"/>
      <c r="KQL93" s="580"/>
      <c r="KQM93" s="580"/>
      <c r="KQN93" s="580"/>
      <c r="KQO93" s="580"/>
      <c r="KQP93" s="580"/>
      <c r="KQQ93" s="580"/>
      <c r="KQR93" s="580"/>
      <c r="KQS93" s="580"/>
      <c r="KQT93" s="580"/>
      <c r="KQU93" s="580"/>
      <c r="KQV93" s="580"/>
      <c r="KQW93" s="580"/>
      <c r="KQX93" s="580"/>
      <c r="KQY93" s="580"/>
      <c r="KQZ93" s="580"/>
      <c r="KRA93" s="580"/>
      <c r="KRB93" s="580"/>
      <c r="KRC93" s="580"/>
      <c r="KRD93" s="580"/>
      <c r="KRE93" s="580"/>
      <c r="KRF93" s="580"/>
      <c r="KRG93" s="580"/>
      <c r="KRH93" s="580"/>
      <c r="KRI93" s="580"/>
      <c r="KRJ93" s="580"/>
      <c r="KRK93" s="580"/>
      <c r="KRL93" s="580"/>
      <c r="KRM93" s="580"/>
      <c r="KRN93" s="580"/>
      <c r="KRO93" s="580"/>
      <c r="KRP93" s="580"/>
      <c r="KRQ93" s="580"/>
      <c r="KRR93" s="580"/>
      <c r="KRS93" s="580"/>
      <c r="KRT93" s="580"/>
      <c r="KRU93" s="580"/>
      <c r="KRV93" s="580"/>
      <c r="KRW93" s="580"/>
      <c r="KRX93" s="580"/>
      <c r="KRY93" s="580"/>
      <c r="KRZ93" s="580"/>
      <c r="KSA93" s="580"/>
      <c r="KSB93" s="580"/>
      <c r="KSC93" s="580"/>
      <c r="KSD93" s="580"/>
      <c r="KSE93" s="580"/>
      <c r="KSF93" s="580"/>
      <c r="KSG93" s="580"/>
      <c r="KSH93" s="580"/>
      <c r="KSI93" s="580"/>
      <c r="KSJ93" s="580"/>
      <c r="KSK93" s="580"/>
      <c r="KSL93" s="580"/>
      <c r="KSM93" s="580"/>
      <c r="KSN93" s="580"/>
      <c r="KSO93" s="580"/>
      <c r="KSP93" s="580"/>
      <c r="KSQ93" s="580"/>
      <c r="KSR93" s="580"/>
      <c r="KSS93" s="580"/>
      <c r="KST93" s="580"/>
      <c r="KSU93" s="580"/>
      <c r="KSV93" s="580"/>
      <c r="KSW93" s="580"/>
      <c r="KSX93" s="580"/>
      <c r="KSY93" s="580"/>
      <c r="KSZ93" s="580"/>
      <c r="KTA93" s="580"/>
      <c r="KTB93" s="580"/>
      <c r="KTC93" s="580"/>
      <c r="KTD93" s="580"/>
      <c r="KTE93" s="580"/>
      <c r="KTF93" s="580"/>
      <c r="KTG93" s="580"/>
      <c r="KTH93" s="580"/>
      <c r="KTI93" s="580"/>
      <c r="KTJ93" s="580"/>
      <c r="KTK93" s="580"/>
      <c r="KTL93" s="580"/>
      <c r="KTM93" s="580"/>
      <c r="KTN93" s="580"/>
      <c r="KTO93" s="580"/>
      <c r="KTP93" s="580"/>
      <c r="KTQ93" s="580"/>
      <c r="KTR93" s="580"/>
      <c r="KTS93" s="580"/>
      <c r="KTT93" s="580"/>
      <c r="KTU93" s="580"/>
      <c r="KTV93" s="580"/>
      <c r="KTW93" s="580"/>
      <c r="KTX93" s="580"/>
      <c r="KTY93" s="580"/>
      <c r="KTZ93" s="580"/>
      <c r="KUA93" s="580"/>
      <c r="KUB93" s="580"/>
      <c r="KUC93" s="580"/>
      <c r="KUD93" s="580"/>
      <c r="KUE93" s="580"/>
      <c r="KUF93" s="580"/>
      <c r="KUG93" s="580"/>
      <c r="KUH93" s="580"/>
      <c r="KUI93" s="580"/>
      <c r="KUJ93" s="580"/>
      <c r="KUK93" s="580"/>
      <c r="KUL93" s="580"/>
      <c r="KUM93" s="580"/>
      <c r="KUN93" s="580"/>
      <c r="KUO93" s="580"/>
      <c r="KUP93" s="580"/>
      <c r="KUQ93" s="580"/>
      <c r="KUR93" s="580"/>
      <c r="KUS93" s="580"/>
      <c r="KUT93" s="580"/>
      <c r="KUU93" s="580"/>
      <c r="KUV93" s="580"/>
      <c r="KUW93" s="580"/>
      <c r="KUX93" s="580"/>
      <c r="KUY93" s="580"/>
      <c r="KUZ93" s="580"/>
      <c r="KVA93" s="580"/>
      <c r="KVB93" s="580"/>
      <c r="KVC93" s="580"/>
      <c r="KVD93" s="580"/>
      <c r="KVE93" s="580"/>
      <c r="KVF93" s="580"/>
      <c r="KVG93" s="580"/>
      <c r="KVH93" s="580"/>
      <c r="KVI93" s="580"/>
      <c r="KVJ93" s="580"/>
      <c r="KVK93" s="580"/>
      <c r="KVL93" s="580"/>
      <c r="KVM93" s="580"/>
      <c r="KVN93" s="580"/>
      <c r="KVO93" s="580"/>
      <c r="KVP93" s="580"/>
      <c r="KVQ93" s="580"/>
      <c r="KVR93" s="580"/>
      <c r="KVS93" s="580"/>
      <c r="KVT93" s="580"/>
      <c r="KVU93" s="580"/>
      <c r="KVV93" s="580"/>
      <c r="KVW93" s="580"/>
      <c r="KVX93" s="580"/>
      <c r="KVY93" s="580"/>
      <c r="KVZ93" s="580"/>
      <c r="KWA93" s="580"/>
      <c r="KWB93" s="580"/>
      <c r="KWC93" s="580"/>
      <c r="KWD93" s="580"/>
      <c r="KWE93" s="580"/>
      <c r="KWF93" s="580"/>
      <c r="KWG93" s="580"/>
      <c r="KWH93" s="580"/>
      <c r="KWI93" s="580"/>
      <c r="KWJ93" s="580"/>
      <c r="KWK93" s="580"/>
      <c r="KWL93" s="580"/>
      <c r="KWM93" s="580"/>
      <c r="KWN93" s="580"/>
      <c r="KWO93" s="580"/>
      <c r="KWP93" s="580"/>
      <c r="KWQ93" s="580"/>
      <c r="KWR93" s="580"/>
      <c r="KWS93" s="580"/>
      <c r="KWT93" s="580"/>
      <c r="KWU93" s="580"/>
      <c r="KWV93" s="580"/>
      <c r="KWW93" s="580"/>
      <c r="KWX93" s="580"/>
      <c r="KWY93" s="580"/>
      <c r="KWZ93" s="580"/>
      <c r="KXA93" s="580"/>
      <c r="KXB93" s="580"/>
      <c r="KXC93" s="580"/>
      <c r="KXD93" s="580"/>
      <c r="KXE93" s="580"/>
      <c r="KXF93" s="580"/>
      <c r="KXG93" s="580"/>
      <c r="KXH93" s="580"/>
      <c r="KXI93" s="580"/>
      <c r="KXJ93" s="580"/>
      <c r="KXK93" s="580"/>
      <c r="KXL93" s="580"/>
      <c r="KXM93" s="580"/>
      <c r="KXN93" s="580"/>
      <c r="KXO93" s="580"/>
      <c r="KXP93" s="580"/>
      <c r="KXQ93" s="580"/>
      <c r="KXR93" s="580"/>
      <c r="KXS93" s="580"/>
      <c r="KXT93" s="580"/>
      <c r="KXU93" s="580"/>
      <c r="KXV93" s="580"/>
      <c r="KXW93" s="580"/>
      <c r="KXX93" s="580"/>
      <c r="KXY93" s="580"/>
      <c r="KXZ93" s="580"/>
      <c r="KYA93" s="580"/>
      <c r="KYB93" s="580"/>
      <c r="KYC93" s="580"/>
      <c r="KYD93" s="580"/>
      <c r="KYE93" s="580"/>
      <c r="KYF93" s="580"/>
      <c r="KYG93" s="580"/>
      <c r="KYH93" s="580"/>
      <c r="KYI93" s="580"/>
      <c r="KYJ93" s="580"/>
      <c r="KYK93" s="580"/>
      <c r="KYL93" s="580"/>
      <c r="KYM93" s="580"/>
      <c r="KYN93" s="580"/>
      <c r="KYO93" s="580"/>
      <c r="KYP93" s="580"/>
      <c r="KYQ93" s="580"/>
      <c r="KYR93" s="580"/>
      <c r="KYS93" s="580"/>
      <c r="KYT93" s="580"/>
      <c r="KYU93" s="580"/>
      <c r="KYV93" s="580"/>
      <c r="KYW93" s="580"/>
      <c r="KYX93" s="580"/>
      <c r="KYY93" s="580"/>
      <c r="KYZ93" s="580"/>
      <c r="KZA93" s="580"/>
      <c r="KZB93" s="580"/>
      <c r="KZC93" s="580"/>
      <c r="KZD93" s="580"/>
      <c r="KZE93" s="580"/>
      <c r="KZF93" s="580"/>
      <c r="KZG93" s="580"/>
      <c r="KZH93" s="580"/>
      <c r="KZI93" s="580"/>
      <c r="KZJ93" s="580"/>
      <c r="KZK93" s="580"/>
      <c r="KZL93" s="580"/>
      <c r="KZM93" s="580"/>
      <c r="KZN93" s="580"/>
      <c r="KZO93" s="580"/>
      <c r="KZP93" s="580"/>
      <c r="KZQ93" s="580"/>
      <c r="KZR93" s="580"/>
      <c r="KZS93" s="580"/>
      <c r="KZT93" s="580"/>
      <c r="KZU93" s="580"/>
      <c r="KZV93" s="580"/>
      <c r="KZW93" s="580"/>
      <c r="KZX93" s="580"/>
      <c r="KZY93" s="580"/>
      <c r="KZZ93" s="580"/>
      <c r="LAA93" s="580"/>
      <c r="LAB93" s="580"/>
      <c r="LAC93" s="580"/>
      <c r="LAD93" s="580"/>
      <c r="LAE93" s="580"/>
      <c r="LAF93" s="580"/>
      <c r="LAG93" s="580"/>
      <c r="LAH93" s="580"/>
      <c r="LAI93" s="580"/>
      <c r="LAJ93" s="580"/>
      <c r="LAK93" s="580"/>
      <c r="LAL93" s="580"/>
      <c r="LAM93" s="580"/>
      <c r="LAN93" s="580"/>
      <c r="LAO93" s="580"/>
      <c r="LAP93" s="580"/>
      <c r="LAQ93" s="580"/>
      <c r="LAR93" s="580"/>
      <c r="LAS93" s="580"/>
      <c r="LAT93" s="580"/>
      <c r="LAU93" s="580"/>
      <c r="LAV93" s="580"/>
      <c r="LAW93" s="580"/>
      <c r="LAX93" s="580"/>
      <c r="LAY93" s="580"/>
      <c r="LAZ93" s="580"/>
      <c r="LBA93" s="580"/>
      <c r="LBB93" s="580"/>
      <c r="LBC93" s="580"/>
      <c r="LBD93" s="580"/>
      <c r="LBE93" s="580"/>
      <c r="LBF93" s="580"/>
      <c r="LBG93" s="580"/>
      <c r="LBH93" s="580"/>
      <c r="LBI93" s="580"/>
      <c r="LBJ93" s="580"/>
      <c r="LBK93" s="580"/>
      <c r="LBL93" s="580"/>
      <c r="LBM93" s="580"/>
      <c r="LBN93" s="580"/>
      <c r="LBO93" s="580"/>
      <c r="LBP93" s="580"/>
      <c r="LBQ93" s="580"/>
      <c r="LBR93" s="580"/>
      <c r="LBS93" s="580"/>
      <c r="LBT93" s="580"/>
      <c r="LBU93" s="580"/>
      <c r="LBV93" s="580"/>
      <c r="LBW93" s="580"/>
      <c r="LBX93" s="580"/>
      <c r="LBY93" s="580"/>
      <c r="LBZ93" s="580"/>
      <c r="LCA93" s="580"/>
      <c r="LCB93" s="580"/>
      <c r="LCC93" s="580"/>
      <c r="LCD93" s="580"/>
      <c r="LCE93" s="580"/>
      <c r="LCF93" s="580"/>
      <c r="LCG93" s="580"/>
      <c r="LCH93" s="580"/>
      <c r="LCI93" s="580"/>
      <c r="LCJ93" s="580"/>
      <c r="LCK93" s="580"/>
      <c r="LCL93" s="580"/>
      <c r="LCM93" s="580"/>
      <c r="LCN93" s="580"/>
      <c r="LCO93" s="580"/>
      <c r="LCP93" s="580"/>
      <c r="LCQ93" s="580"/>
      <c r="LCR93" s="580"/>
      <c r="LCS93" s="580"/>
      <c r="LCT93" s="580"/>
      <c r="LCU93" s="580"/>
      <c r="LCV93" s="580"/>
      <c r="LCW93" s="580"/>
      <c r="LCX93" s="580"/>
      <c r="LCY93" s="580"/>
      <c r="LCZ93" s="580"/>
      <c r="LDA93" s="580"/>
      <c r="LDB93" s="580"/>
      <c r="LDC93" s="580"/>
      <c r="LDD93" s="580"/>
      <c r="LDE93" s="580"/>
      <c r="LDF93" s="580"/>
      <c r="LDG93" s="580"/>
      <c r="LDH93" s="580"/>
      <c r="LDI93" s="580"/>
      <c r="LDJ93" s="580"/>
      <c r="LDK93" s="580"/>
      <c r="LDL93" s="580"/>
      <c r="LDM93" s="580"/>
      <c r="LDN93" s="580"/>
      <c r="LDO93" s="580"/>
      <c r="LDP93" s="580"/>
      <c r="LDQ93" s="580"/>
      <c r="LDR93" s="580"/>
      <c r="LDS93" s="580"/>
      <c r="LDT93" s="580"/>
      <c r="LDU93" s="580"/>
      <c r="LDV93" s="580"/>
      <c r="LDW93" s="580"/>
      <c r="LDX93" s="580"/>
      <c r="LDY93" s="580"/>
      <c r="LDZ93" s="580"/>
      <c r="LEA93" s="580"/>
      <c r="LEB93" s="580"/>
      <c r="LEC93" s="580"/>
      <c r="LED93" s="580"/>
      <c r="LEE93" s="580"/>
      <c r="LEF93" s="580"/>
      <c r="LEG93" s="580"/>
      <c r="LEH93" s="580"/>
      <c r="LEI93" s="580"/>
      <c r="LEJ93" s="580"/>
      <c r="LEK93" s="580"/>
      <c r="LEL93" s="580"/>
      <c r="LEM93" s="580"/>
      <c r="LEN93" s="580"/>
      <c r="LEO93" s="580"/>
      <c r="LEP93" s="580"/>
      <c r="LEQ93" s="580"/>
      <c r="LER93" s="580"/>
      <c r="LES93" s="580"/>
      <c r="LET93" s="580"/>
      <c r="LEU93" s="580"/>
      <c r="LEV93" s="580"/>
      <c r="LEW93" s="580"/>
      <c r="LEX93" s="580"/>
      <c r="LEY93" s="580"/>
      <c r="LEZ93" s="580"/>
      <c r="LFA93" s="580"/>
      <c r="LFB93" s="580"/>
      <c r="LFC93" s="580"/>
      <c r="LFD93" s="580"/>
      <c r="LFE93" s="580"/>
      <c r="LFF93" s="580"/>
      <c r="LFG93" s="580"/>
      <c r="LFH93" s="580"/>
      <c r="LFI93" s="580"/>
      <c r="LFJ93" s="580"/>
      <c r="LFK93" s="580"/>
      <c r="LFL93" s="580"/>
      <c r="LFM93" s="580"/>
      <c r="LFN93" s="580"/>
      <c r="LFO93" s="580"/>
      <c r="LFP93" s="580"/>
      <c r="LFQ93" s="580"/>
      <c r="LFR93" s="580"/>
      <c r="LFS93" s="580"/>
      <c r="LFT93" s="580"/>
      <c r="LFU93" s="580"/>
      <c r="LFV93" s="580"/>
      <c r="LFW93" s="580"/>
      <c r="LFX93" s="580"/>
      <c r="LFY93" s="580"/>
      <c r="LFZ93" s="580"/>
      <c r="LGA93" s="580"/>
      <c r="LGB93" s="580"/>
      <c r="LGC93" s="580"/>
      <c r="LGD93" s="580"/>
      <c r="LGE93" s="580"/>
      <c r="LGF93" s="580"/>
      <c r="LGG93" s="580"/>
      <c r="LGH93" s="580"/>
      <c r="LGI93" s="580"/>
      <c r="LGJ93" s="580"/>
      <c r="LGK93" s="580"/>
      <c r="LGL93" s="580"/>
      <c r="LGM93" s="580"/>
      <c r="LGN93" s="580"/>
      <c r="LGO93" s="580"/>
      <c r="LGP93" s="580"/>
      <c r="LGQ93" s="580"/>
      <c r="LGR93" s="580"/>
      <c r="LGS93" s="580"/>
      <c r="LGT93" s="580"/>
      <c r="LGU93" s="580"/>
      <c r="LGV93" s="580"/>
      <c r="LGW93" s="580"/>
      <c r="LGX93" s="580"/>
      <c r="LGY93" s="580"/>
      <c r="LGZ93" s="580"/>
      <c r="LHA93" s="580"/>
      <c r="LHB93" s="580"/>
      <c r="LHC93" s="580"/>
      <c r="LHD93" s="580"/>
      <c r="LHE93" s="580"/>
      <c r="LHF93" s="580"/>
      <c r="LHG93" s="580"/>
      <c r="LHH93" s="580"/>
      <c r="LHI93" s="580"/>
      <c r="LHJ93" s="580"/>
      <c r="LHK93" s="580"/>
      <c r="LHL93" s="580"/>
      <c r="LHM93" s="580"/>
      <c r="LHN93" s="580"/>
      <c r="LHO93" s="580"/>
      <c r="LHP93" s="580"/>
      <c r="LHQ93" s="580"/>
      <c r="LHR93" s="580"/>
      <c r="LHS93" s="580"/>
      <c r="LHT93" s="580"/>
      <c r="LHU93" s="580"/>
      <c r="LHV93" s="580"/>
      <c r="LHW93" s="580"/>
      <c r="LHX93" s="580"/>
      <c r="LHY93" s="580"/>
      <c r="LHZ93" s="580"/>
      <c r="LIA93" s="580"/>
      <c r="LIB93" s="580"/>
      <c r="LIC93" s="580"/>
      <c r="LID93" s="580"/>
      <c r="LIE93" s="580"/>
      <c r="LIF93" s="580"/>
      <c r="LIG93" s="580"/>
      <c r="LIH93" s="580"/>
      <c r="LII93" s="580"/>
      <c r="LIJ93" s="580"/>
      <c r="LIK93" s="580"/>
      <c r="LIL93" s="580"/>
      <c r="LIM93" s="580"/>
      <c r="LIN93" s="580"/>
      <c r="LIO93" s="580"/>
      <c r="LIP93" s="580"/>
      <c r="LIQ93" s="580"/>
      <c r="LIR93" s="580"/>
      <c r="LIS93" s="580"/>
      <c r="LIT93" s="580"/>
      <c r="LIU93" s="580"/>
      <c r="LIV93" s="580"/>
      <c r="LIW93" s="580"/>
      <c r="LIX93" s="580"/>
      <c r="LIY93" s="580"/>
      <c r="LIZ93" s="580"/>
      <c r="LJA93" s="580"/>
      <c r="LJB93" s="580"/>
      <c r="LJC93" s="580"/>
      <c r="LJD93" s="580"/>
      <c r="LJE93" s="580"/>
      <c r="LJF93" s="580"/>
      <c r="LJG93" s="580"/>
      <c r="LJH93" s="580"/>
      <c r="LJI93" s="580"/>
      <c r="LJJ93" s="580"/>
      <c r="LJK93" s="580"/>
      <c r="LJL93" s="580"/>
      <c r="LJM93" s="580"/>
      <c r="LJN93" s="580"/>
      <c r="LJO93" s="580"/>
      <c r="LJP93" s="580"/>
      <c r="LJQ93" s="580"/>
      <c r="LJR93" s="580"/>
      <c r="LJS93" s="580"/>
      <c r="LJT93" s="580"/>
      <c r="LJU93" s="580"/>
      <c r="LJV93" s="580"/>
      <c r="LJW93" s="580"/>
      <c r="LJX93" s="580"/>
      <c r="LJY93" s="580"/>
      <c r="LJZ93" s="580"/>
      <c r="LKA93" s="580"/>
      <c r="LKB93" s="580"/>
      <c r="LKC93" s="580"/>
      <c r="LKD93" s="580"/>
      <c r="LKE93" s="580"/>
      <c r="LKF93" s="580"/>
      <c r="LKG93" s="580"/>
      <c r="LKH93" s="580"/>
      <c r="LKI93" s="580"/>
      <c r="LKJ93" s="580"/>
      <c r="LKK93" s="580"/>
      <c r="LKL93" s="580"/>
      <c r="LKM93" s="580"/>
      <c r="LKN93" s="580"/>
      <c r="LKO93" s="580"/>
      <c r="LKP93" s="580"/>
      <c r="LKQ93" s="580"/>
      <c r="LKR93" s="580"/>
      <c r="LKS93" s="580"/>
      <c r="LKT93" s="580"/>
      <c r="LKU93" s="580"/>
      <c r="LKV93" s="580"/>
      <c r="LKW93" s="580"/>
      <c r="LKX93" s="580"/>
      <c r="LKY93" s="580"/>
      <c r="LKZ93" s="580"/>
      <c r="LLA93" s="580"/>
      <c r="LLB93" s="580"/>
      <c r="LLC93" s="580"/>
      <c r="LLD93" s="580"/>
      <c r="LLE93" s="580"/>
      <c r="LLF93" s="580"/>
      <c r="LLG93" s="580"/>
      <c r="LLH93" s="580"/>
      <c r="LLI93" s="580"/>
      <c r="LLJ93" s="580"/>
      <c r="LLK93" s="580"/>
      <c r="LLL93" s="580"/>
      <c r="LLM93" s="580"/>
      <c r="LLN93" s="580"/>
      <c r="LLO93" s="580"/>
      <c r="LLP93" s="580"/>
      <c r="LLQ93" s="580"/>
      <c r="LLR93" s="580"/>
      <c r="LLS93" s="580"/>
      <c r="LLT93" s="580"/>
      <c r="LLU93" s="580"/>
      <c r="LLV93" s="580"/>
      <c r="LLW93" s="580"/>
      <c r="LLX93" s="580"/>
      <c r="LLY93" s="580"/>
      <c r="LLZ93" s="580"/>
      <c r="LMA93" s="580"/>
      <c r="LMB93" s="580"/>
      <c r="LMC93" s="580"/>
      <c r="LMD93" s="580"/>
      <c r="LME93" s="580"/>
      <c r="LMF93" s="580"/>
      <c r="LMG93" s="580"/>
      <c r="LMH93" s="580"/>
      <c r="LMI93" s="580"/>
      <c r="LMJ93" s="580"/>
      <c r="LMK93" s="580"/>
      <c r="LML93" s="580"/>
      <c r="LMM93" s="580"/>
      <c r="LMN93" s="580"/>
      <c r="LMO93" s="580"/>
      <c r="LMP93" s="580"/>
      <c r="LMQ93" s="580"/>
      <c r="LMR93" s="580"/>
      <c r="LMS93" s="580"/>
      <c r="LMT93" s="580"/>
      <c r="LMU93" s="580"/>
      <c r="LMV93" s="580"/>
      <c r="LMW93" s="580"/>
      <c r="LMX93" s="580"/>
      <c r="LMY93" s="580"/>
      <c r="LMZ93" s="580"/>
      <c r="LNA93" s="580"/>
      <c r="LNB93" s="580"/>
      <c r="LNC93" s="580"/>
      <c r="LND93" s="580"/>
      <c r="LNE93" s="580"/>
      <c r="LNF93" s="580"/>
      <c r="LNG93" s="580"/>
      <c r="LNH93" s="580"/>
      <c r="LNI93" s="580"/>
      <c r="LNJ93" s="580"/>
      <c r="LNK93" s="580"/>
      <c r="LNL93" s="580"/>
      <c r="LNM93" s="580"/>
      <c r="LNN93" s="580"/>
      <c r="LNO93" s="580"/>
      <c r="LNP93" s="580"/>
      <c r="LNQ93" s="580"/>
      <c r="LNR93" s="580"/>
      <c r="LNS93" s="580"/>
      <c r="LNT93" s="580"/>
      <c r="LNU93" s="580"/>
      <c r="LNV93" s="580"/>
      <c r="LNW93" s="580"/>
      <c r="LNX93" s="580"/>
      <c r="LNY93" s="580"/>
      <c r="LNZ93" s="580"/>
      <c r="LOA93" s="580"/>
      <c r="LOB93" s="580"/>
      <c r="LOC93" s="580"/>
      <c r="LOD93" s="580"/>
      <c r="LOE93" s="580"/>
      <c r="LOF93" s="580"/>
      <c r="LOG93" s="580"/>
      <c r="LOH93" s="580"/>
      <c r="LOI93" s="580"/>
      <c r="LOJ93" s="580"/>
      <c r="LOK93" s="580"/>
      <c r="LOL93" s="580"/>
      <c r="LOM93" s="580"/>
      <c r="LON93" s="580"/>
      <c r="LOO93" s="580"/>
      <c r="LOP93" s="580"/>
      <c r="LOQ93" s="580"/>
      <c r="LOR93" s="580"/>
      <c r="LOS93" s="580"/>
      <c r="LOT93" s="580"/>
      <c r="LOU93" s="580"/>
      <c r="LOV93" s="580"/>
      <c r="LOW93" s="580"/>
      <c r="LOX93" s="580"/>
      <c r="LOY93" s="580"/>
      <c r="LOZ93" s="580"/>
      <c r="LPA93" s="580"/>
      <c r="LPB93" s="580"/>
      <c r="LPC93" s="580"/>
      <c r="LPD93" s="580"/>
      <c r="LPE93" s="580"/>
      <c r="LPF93" s="580"/>
      <c r="LPG93" s="580"/>
      <c r="LPH93" s="580"/>
      <c r="LPI93" s="580"/>
      <c r="LPJ93" s="580"/>
      <c r="LPK93" s="580"/>
      <c r="LPL93" s="580"/>
      <c r="LPM93" s="580"/>
      <c r="LPN93" s="580"/>
      <c r="LPO93" s="580"/>
      <c r="LPP93" s="580"/>
      <c r="LPQ93" s="580"/>
      <c r="LPR93" s="580"/>
      <c r="LPS93" s="580"/>
      <c r="LPT93" s="580"/>
      <c r="LPU93" s="580"/>
      <c r="LPV93" s="580"/>
      <c r="LPW93" s="580"/>
      <c r="LPX93" s="580"/>
      <c r="LPY93" s="580"/>
      <c r="LPZ93" s="580"/>
      <c r="LQA93" s="580"/>
      <c r="LQB93" s="580"/>
      <c r="LQC93" s="580"/>
      <c r="LQD93" s="580"/>
      <c r="LQE93" s="580"/>
      <c r="LQF93" s="580"/>
      <c r="LQG93" s="580"/>
      <c r="LQH93" s="580"/>
      <c r="LQI93" s="580"/>
      <c r="LQJ93" s="580"/>
      <c r="LQK93" s="580"/>
      <c r="LQL93" s="580"/>
      <c r="LQM93" s="580"/>
      <c r="LQN93" s="580"/>
      <c r="LQO93" s="580"/>
      <c r="LQP93" s="580"/>
      <c r="LQQ93" s="580"/>
      <c r="LQR93" s="580"/>
      <c r="LQS93" s="580"/>
      <c r="LQT93" s="580"/>
      <c r="LQU93" s="580"/>
      <c r="LQV93" s="580"/>
      <c r="LQW93" s="580"/>
      <c r="LQX93" s="580"/>
      <c r="LQY93" s="580"/>
      <c r="LQZ93" s="580"/>
      <c r="LRA93" s="580"/>
      <c r="LRB93" s="580"/>
      <c r="LRC93" s="580"/>
      <c r="LRD93" s="580"/>
      <c r="LRE93" s="580"/>
      <c r="LRF93" s="580"/>
      <c r="LRG93" s="580"/>
      <c r="LRH93" s="580"/>
      <c r="LRI93" s="580"/>
      <c r="LRJ93" s="580"/>
      <c r="LRK93" s="580"/>
      <c r="LRL93" s="580"/>
      <c r="LRM93" s="580"/>
      <c r="LRN93" s="580"/>
      <c r="LRO93" s="580"/>
      <c r="LRP93" s="580"/>
      <c r="LRQ93" s="580"/>
      <c r="LRR93" s="580"/>
      <c r="LRS93" s="580"/>
      <c r="LRT93" s="580"/>
      <c r="LRU93" s="580"/>
      <c r="LRV93" s="580"/>
      <c r="LRW93" s="580"/>
      <c r="LRX93" s="580"/>
      <c r="LRY93" s="580"/>
      <c r="LRZ93" s="580"/>
      <c r="LSA93" s="580"/>
      <c r="LSB93" s="580"/>
      <c r="LSC93" s="580"/>
      <c r="LSD93" s="580"/>
      <c r="LSE93" s="580"/>
      <c r="LSF93" s="580"/>
      <c r="LSG93" s="580"/>
      <c r="LSH93" s="580"/>
      <c r="LSI93" s="580"/>
      <c r="LSJ93" s="580"/>
      <c r="LSK93" s="580"/>
      <c r="LSL93" s="580"/>
      <c r="LSM93" s="580"/>
      <c r="LSN93" s="580"/>
      <c r="LSO93" s="580"/>
      <c r="LSP93" s="580"/>
      <c r="LSQ93" s="580"/>
      <c r="LSR93" s="580"/>
      <c r="LSS93" s="580"/>
      <c r="LST93" s="580"/>
      <c r="LSU93" s="580"/>
      <c r="LSV93" s="580"/>
      <c r="LSW93" s="580"/>
      <c r="LSX93" s="580"/>
      <c r="LSY93" s="580"/>
      <c r="LSZ93" s="580"/>
      <c r="LTA93" s="580"/>
      <c r="LTB93" s="580"/>
      <c r="LTC93" s="580"/>
      <c r="LTD93" s="580"/>
      <c r="LTE93" s="580"/>
      <c r="LTF93" s="580"/>
      <c r="LTG93" s="580"/>
      <c r="LTH93" s="580"/>
      <c r="LTI93" s="580"/>
      <c r="LTJ93" s="580"/>
      <c r="LTK93" s="580"/>
      <c r="LTL93" s="580"/>
      <c r="LTM93" s="580"/>
      <c r="LTN93" s="580"/>
      <c r="LTO93" s="580"/>
      <c r="LTP93" s="580"/>
      <c r="LTQ93" s="580"/>
      <c r="LTR93" s="580"/>
      <c r="LTS93" s="580"/>
      <c r="LTT93" s="580"/>
      <c r="LTU93" s="580"/>
      <c r="LTV93" s="580"/>
      <c r="LTW93" s="580"/>
      <c r="LTX93" s="580"/>
      <c r="LTY93" s="580"/>
      <c r="LTZ93" s="580"/>
      <c r="LUA93" s="580"/>
      <c r="LUB93" s="580"/>
      <c r="LUC93" s="580"/>
      <c r="LUD93" s="580"/>
      <c r="LUE93" s="580"/>
      <c r="LUF93" s="580"/>
      <c r="LUG93" s="580"/>
      <c r="LUH93" s="580"/>
      <c r="LUI93" s="580"/>
      <c r="LUJ93" s="580"/>
      <c r="LUK93" s="580"/>
      <c r="LUL93" s="580"/>
      <c r="LUM93" s="580"/>
      <c r="LUN93" s="580"/>
      <c r="LUO93" s="580"/>
      <c r="LUP93" s="580"/>
      <c r="LUQ93" s="580"/>
      <c r="LUR93" s="580"/>
      <c r="LUS93" s="580"/>
      <c r="LUT93" s="580"/>
      <c r="LUU93" s="580"/>
      <c r="LUV93" s="580"/>
      <c r="LUW93" s="580"/>
      <c r="LUX93" s="580"/>
      <c r="LUY93" s="580"/>
      <c r="LUZ93" s="580"/>
      <c r="LVA93" s="580"/>
      <c r="LVB93" s="580"/>
      <c r="LVC93" s="580"/>
      <c r="LVD93" s="580"/>
      <c r="LVE93" s="580"/>
      <c r="LVF93" s="580"/>
      <c r="LVG93" s="580"/>
      <c r="LVH93" s="580"/>
      <c r="LVI93" s="580"/>
      <c r="LVJ93" s="580"/>
      <c r="LVK93" s="580"/>
      <c r="LVL93" s="580"/>
      <c r="LVM93" s="580"/>
      <c r="LVN93" s="580"/>
      <c r="LVO93" s="580"/>
      <c r="LVP93" s="580"/>
      <c r="LVQ93" s="580"/>
      <c r="LVR93" s="580"/>
      <c r="LVS93" s="580"/>
      <c r="LVT93" s="580"/>
      <c r="LVU93" s="580"/>
      <c r="LVV93" s="580"/>
      <c r="LVW93" s="580"/>
      <c r="LVX93" s="580"/>
      <c r="LVY93" s="580"/>
      <c r="LVZ93" s="580"/>
      <c r="LWA93" s="580"/>
      <c r="LWB93" s="580"/>
      <c r="LWC93" s="580"/>
      <c r="LWD93" s="580"/>
      <c r="LWE93" s="580"/>
      <c r="LWF93" s="580"/>
      <c r="LWG93" s="580"/>
      <c r="LWH93" s="580"/>
      <c r="LWI93" s="580"/>
      <c r="LWJ93" s="580"/>
      <c r="LWK93" s="580"/>
      <c r="LWL93" s="580"/>
      <c r="LWM93" s="580"/>
      <c r="LWN93" s="580"/>
      <c r="LWO93" s="580"/>
      <c r="LWP93" s="580"/>
      <c r="LWQ93" s="580"/>
      <c r="LWR93" s="580"/>
      <c r="LWS93" s="580"/>
      <c r="LWT93" s="580"/>
      <c r="LWU93" s="580"/>
      <c r="LWV93" s="580"/>
      <c r="LWW93" s="580"/>
      <c r="LWX93" s="580"/>
      <c r="LWY93" s="580"/>
      <c r="LWZ93" s="580"/>
      <c r="LXA93" s="580"/>
      <c r="LXB93" s="580"/>
      <c r="LXC93" s="580"/>
      <c r="LXD93" s="580"/>
      <c r="LXE93" s="580"/>
      <c r="LXF93" s="580"/>
      <c r="LXG93" s="580"/>
      <c r="LXH93" s="580"/>
      <c r="LXI93" s="580"/>
      <c r="LXJ93" s="580"/>
      <c r="LXK93" s="580"/>
      <c r="LXL93" s="580"/>
      <c r="LXM93" s="580"/>
      <c r="LXN93" s="580"/>
      <c r="LXO93" s="580"/>
      <c r="LXP93" s="580"/>
      <c r="LXQ93" s="580"/>
      <c r="LXR93" s="580"/>
      <c r="LXS93" s="580"/>
      <c r="LXT93" s="580"/>
      <c r="LXU93" s="580"/>
      <c r="LXV93" s="580"/>
      <c r="LXW93" s="580"/>
      <c r="LXX93" s="580"/>
      <c r="LXY93" s="580"/>
      <c r="LXZ93" s="580"/>
      <c r="LYA93" s="580"/>
      <c r="LYB93" s="580"/>
      <c r="LYC93" s="580"/>
      <c r="LYD93" s="580"/>
      <c r="LYE93" s="580"/>
      <c r="LYF93" s="580"/>
      <c r="LYG93" s="580"/>
      <c r="LYH93" s="580"/>
      <c r="LYI93" s="580"/>
      <c r="LYJ93" s="580"/>
      <c r="LYK93" s="580"/>
      <c r="LYL93" s="580"/>
      <c r="LYM93" s="580"/>
      <c r="LYN93" s="580"/>
      <c r="LYO93" s="580"/>
      <c r="LYP93" s="580"/>
      <c r="LYQ93" s="580"/>
      <c r="LYR93" s="580"/>
      <c r="LYS93" s="580"/>
      <c r="LYT93" s="580"/>
      <c r="LYU93" s="580"/>
      <c r="LYV93" s="580"/>
      <c r="LYW93" s="580"/>
      <c r="LYX93" s="580"/>
      <c r="LYY93" s="580"/>
      <c r="LYZ93" s="580"/>
      <c r="LZA93" s="580"/>
      <c r="LZB93" s="580"/>
      <c r="LZC93" s="580"/>
      <c r="LZD93" s="580"/>
      <c r="LZE93" s="580"/>
      <c r="LZF93" s="580"/>
      <c r="LZG93" s="580"/>
      <c r="LZH93" s="580"/>
      <c r="LZI93" s="580"/>
      <c r="LZJ93" s="580"/>
      <c r="LZK93" s="580"/>
      <c r="LZL93" s="580"/>
      <c r="LZM93" s="580"/>
      <c r="LZN93" s="580"/>
      <c r="LZO93" s="580"/>
      <c r="LZP93" s="580"/>
      <c r="LZQ93" s="580"/>
      <c r="LZR93" s="580"/>
      <c r="LZS93" s="580"/>
      <c r="LZT93" s="580"/>
      <c r="LZU93" s="580"/>
      <c r="LZV93" s="580"/>
      <c r="LZW93" s="580"/>
      <c r="LZX93" s="580"/>
      <c r="LZY93" s="580"/>
      <c r="LZZ93" s="580"/>
      <c r="MAA93" s="580"/>
      <c r="MAB93" s="580"/>
      <c r="MAC93" s="580"/>
      <c r="MAD93" s="580"/>
      <c r="MAE93" s="580"/>
      <c r="MAF93" s="580"/>
      <c r="MAG93" s="580"/>
      <c r="MAH93" s="580"/>
      <c r="MAI93" s="580"/>
      <c r="MAJ93" s="580"/>
      <c r="MAK93" s="580"/>
      <c r="MAL93" s="580"/>
      <c r="MAM93" s="580"/>
      <c r="MAN93" s="580"/>
      <c r="MAO93" s="580"/>
      <c r="MAP93" s="580"/>
      <c r="MAQ93" s="580"/>
      <c r="MAR93" s="580"/>
      <c r="MAS93" s="580"/>
      <c r="MAT93" s="580"/>
      <c r="MAU93" s="580"/>
      <c r="MAV93" s="580"/>
      <c r="MAW93" s="580"/>
      <c r="MAX93" s="580"/>
      <c r="MAY93" s="580"/>
      <c r="MAZ93" s="580"/>
      <c r="MBA93" s="580"/>
      <c r="MBB93" s="580"/>
      <c r="MBC93" s="580"/>
      <c r="MBD93" s="580"/>
      <c r="MBE93" s="580"/>
      <c r="MBF93" s="580"/>
      <c r="MBG93" s="580"/>
      <c r="MBH93" s="580"/>
      <c r="MBI93" s="580"/>
      <c r="MBJ93" s="580"/>
      <c r="MBK93" s="580"/>
      <c r="MBL93" s="580"/>
      <c r="MBM93" s="580"/>
      <c r="MBN93" s="580"/>
      <c r="MBO93" s="580"/>
      <c r="MBP93" s="580"/>
      <c r="MBQ93" s="580"/>
      <c r="MBR93" s="580"/>
      <c r="MBS93" s="580"/>
      <c r="MBT93" s="580"/>
      <c r="MBU93" s="580"/>
      <c r="MBV93" s="580"/>
      <c r="MBW93" s="580"/>
      <c r="MBX93" s="580"/>
      <c r="MBY93" s="580"/>
      <c r="MBZ93" s="580"/>
      <c r="MCA93" s="580"/>
      <c r="MCB93" s="580"/>
      <c r="MCC93" s="580"/>
      <c r="MCD93" s="580"/>
      <c r="MCE93" s="580"/>
      <c r="MCF93" s="580"/>
      <c r="MCG93" s="580"/>
      <c r="MCH93" s="580"/>
      <c r="MCI93" s="580"/>
      <c r="MCJ93" s="580"/>
      <c r="MCK93" s="580"/>
      <c r="MCL93" s="580"/>
      <c r="MCM93" s="580"/>
      <c r="MCN93" s="580"/>
      <c r="MCO93" s="580"/>
      <c r="MCP93" s="580"/>
      <c r="MCQ93" s="580"/>
      <c r="MCR93" s="580"/>
      <c r="MCS93" s="580"/>
      <c r="MCT93" s="580"/>
      <c r="MCU93" s="580"/>
      <c r="MCV93" s="580"/>
      <c r="MCW93" s="580"/>
      <c r="MCX93" s="580"/>
      <c r="MCY93" s="580"/>
      <c r="MCZ93" s="580"/>
      <c r="MDA93" s="580"/>
      <c r="MDB93" s="580"/>
      <c r="MDC93" s="580"/>
      <c r="MDD93" s="580"/>
      <c r="MDE93" s="580"/>
      <c r="MDF93" s="580"/>
      <c r="MDG93" s="580"/>
      <c r="MDH93" s="580"/>
      <c r="MDI93" s="580"/>
      <c r="MDJ93" s="580"/>
      <c r="MDK93" s="580"/>
      <c r="MDL93" s="580"/>
      <c r="MDM93" s="580"/>
      <c r="MDN93" s="580"/>
      <c r="MDO93" s="580"/>
      <c r="MDP93" s="580"/>
      <c r="MDQ93" s="580"/>
      <c r="MDR93" s="580"/>
      <c r="MDS93" s="580"/>
      <c r="MDT93" s="580"/>
      <c r="MDU93" s="580"/>
      <c r="MDV93" s="580"/>
      <c r="MDW93" s="580"/>
      <c r="MDX93" s="580"/>
      <c r="MDY93" s="580"/>
      <c r="MDZ93" s="580"/>
      <c r="MEA93" s="580"/>
      <c r="MEB93" s="580"/>
      <c r="MEC93" s="580"/>
      <c r="MED93" s="580"/>
      <c r="MEE93" s="580"/>
      <c r="MEF93" s="580"/>
      <c r="MEG93" s="580"/>
      <c r="MEH93" s="580"/>
      <c r="MEI93" s="580"/>
      <c r="MEJ93" s="580"/>
      <c r="MEK93" s="580"/>
      <c r="MEL93" s="580"/>
      <c r="MEM93" s="580"/>
      <c r="MEN93" s="580"/>
      <c r="MEO93" s="580"/>
      <c r="MEP93" s="580"/>
      <c r="MEQ93" s="580"/>
      <c r="MER93" s="580"/>
      <c r="MES93" s="580"/>
      <c r="MET93" s="580"/>
      <c r="MEU93" s="580"/>
      <c r="MEV93" s="580"/>
      <c r="MEW93" s="580"/>
      <c r="MEX93" s="580"/>
      <c r="MEY93" s="580"/>
      <c r="MEZ93" s="580"/>
      <c r="MFA93" s="580"/>
      <c r="MFB93" s="580"/>
      <c r="MFC93" s="580"/>
      <c r="MFD93" s="580"/>
      <c r="MFE93" s="580"/>
      <c r="MFF93" s="580"/>
      <c r="MFG93" s="580"/>
      <c r="MFH93" s="580"/>
      <c r="MFI93" s="580"/>
      <c r="MFJ93" s="580"/>
      <c r="MFK93" s="580"/>
      <c r="MFL93" s="580"/>
      <c r="MFM93" s="580"/>
      <c r="MFN93" s="580"/>
      <c r="MFO93" s="580"/>
      <c r="MFP93" s="580"/>
      <c r="MFQ93" s="580"/>
      <c r="MFR93" s="580"/>
      <c r="MFS93" s="580"/>
      <c r="MFT93" s="580"/>
      <c r="MFU93" s="580"/>
      <c r="MFV93" s="580"/>
      <c r="MFW93" s="580"/>
      <c r="MFX93" s="580"/>
      <c r="MFY93" s="580"/>
      <c r="MFZ93" s="580"/>
      <c r="MGA93" s="580"/>
      <c r="MGB93" s="580"/>
      <c r="MGC93" s="580"/>
      <c r="MGD93" s="580"/>
      <c r="MGE93" s="580"/>
      <c r="MGF93" s="580"/>
      <c r="MGG93" s="580"/>
      <c r="MGH93" s="580"/>
      <c r="MGI93" s="580"/>
      <c r="MGJ93" s="580"/>
      <c r="MGK93" s="580"/>
      <c r="MGL93" s="580"/>
      <c r="MGM93" s="580"/>
      <c r="MGN93" s="580"/>
      <c r="MGO93" s="580"/>
      <c r="MGP93" s="580"/>
      <c r="MGQ93" s="580"/>
      <c r="MGR93" s="580"/>
      <c r="MGS93" s="580"/>
      <c r="MGT93" s="580"/>
      <c r="MGU93" s="580"/>
      <c r="MGV93" s="580"/>
      <c r="MGW93" s="580"/>
      <c r="MGX93" s="580"/>
      <c r="MGY93" s="580"/>
      <c r="MGZ93" s="580"/>
      <c r="MHA93" s="580"/>
      <c r="MHB93" s="580"/>
      <c r="MHC93" s="580"/>
      <c r="MHD93" s="580"/>
      <c r="MHE93" s="580"/>
      <c r="MHF93" s="580"/>
      <c r="MHG93" s="580"/>
      <c r="MHH93" s="580"/>
      <c r="MHI93" s="580"/>
      <c r="MHJ93" s="580"/>
      <c r="MHK93" s="580"/>
      <c r="MHL93" s="580"/>
      <c r="MHM93" s="580"/>
      <c r="MHN93" s="580"/>
      <c r="MHO93" s="580"/>
      <c r="MHP93" s="580"/>
      <c r="MHQ93" s="580"/>
      <c r="MHR93" s="580"/>
      <c r="MHS93" s="580"/>
      <c r="MHT93" s="580"/>
      <c r="MHU93" s="580"/>
      <c r="MHV93" s="580"/>
      <c r="MHW93" s="580"/>
      <c r="MHX93" s="580"/>
      <c r="MHY93" s="580"/>
      <c r="MHZ93" s="580"/>
      <c r="MIA93" s="580"/>
      <c r="MIB93" s="580"/>
      <c r="MIC93" s="580"/>
      <c r="MID93" s="580"/>
      <c r="MIE93" s="580"/>
      <c r="MIF93" s="580"/>
      <c r="MIG93" s="580"/>
      <c r="MIH93" s="580"/>
      <c r="MII93" s="580"/>
      <c r="MIJ93" s="580"/>
      <c r="MIK93" s="580"/>
      <c r="MIL93" s="580"/>
      <c r="MIM93" s="580"/>
      <c r="MIN93" s="580"/>
      <c r="MIO93" s="580"/>
      <c r="MIP93" s="580"/>
      <c r="MIQ93" s="580"/>
      <c r="MIR93" s="580"/>
      <c r="MIS93" s="580"/>
      <c r="MIT93" s="580"/>
      <c r="MIU93" s="580"/>
      <c r="MIV93" s="580"/>
      <c r="MIW93" s="580"/>
      <c r="MIX93" s="580"/>
      <c r="MIY93" s="580"/>
      <c r="MIZ93" s="580"/>
      <c r="MJA93" s="580"/>
      <c r="MJB93" s="580"/>
      <c r="MJC93" s="580"/>
      <c r="MJD93" s="580"/>
      <c r="MJE93" s="580"/>
      <c r="MJF93" s="580"/>
      <c r="MJG93" s="580"/>
      <c r="MJH93" s="580"/>
      <c r="MJI93" s="580"/>
      <c r="MJJ93" s="580"/>
      <c r="MJK93" s="580"/>
      <c r="MJL93" s="580"/>
      <c r="MJM93" s="580"/>
      <c r="MJN93" s="580"/>
      <c r="MJO93" s="580"/>
      <c r="MJP93" s="580"/>
      <c r="MJQ93" s="580"/>
      <c r="MJR93" s="580"/>
      <c r="MJS93" s="580"/>
      <c r="MJT93" s="580"/>
      <c r="MJU93" s="580"/>
      <c r="MJV93" s="580"/>
      <c r="MJW93" s="580"/>
      <c r="MJX93" s="580"/>
      <c r="MJY93" s="580"/>
      <c r="MJZ93" s="580"/>
      <c r="MKA93" s="580"/>
      <c r="MKB93" s="580"/>
      <c r="MKC93" s="580"/>
      <c r="MKD93" s="580"/>
      <c r="MKE93" s="580"/>
      <c r="MKF93" s="580"/>
      <c r="MKG93" s="580"/>
      <c r="MKH93" s="580"/>
      <c r="MKI93" s="580"/>
      <c r="MKJ93" s="580"/>
      <c r="MKK93" s="580"/>
      <c r="MKL93" s="580"/>
      <c r="MKM93" s="580"/>
      <c r="MKN93" s="580"/>
      <c r="MKO93" s="580"/>
      <c r="MKP93" s="580"/>
      <c r="MKQ93" s="580"/>
      <c r="MKR93" s="580"/>
      <c r="MKS93" s="580"/>
      <c r="MKT93" s="580"/>
      <c r="MKU93" s="580"/>
      <c r="MKV93" s="580"/>
      <c r="MKW93" s="580"/>
      <c r="MKX93" s="580"/>
      <c r="MKY93" s="580"/>
      <c r="MKZ93" s="580"/>
      <c r="MLA93" s="580"/>
      <c r="MLB93" s="580"/>
      <c r="MLC93" s="580"/>
      <c r="MLD93" s="580"/>
      <c r="MLE93" s="580"/>
      <c r="MLF93" s="580"/>
      <c r="MLG93" s="580"/>
      <c r="MLH93" s="580"/>
      <c r="MLI93" s="580"/>
      <c r="MLJ93" s="580"/>
      <c r="MLK93" s="580"/>
      <c r="MLL93" s="580"/>
      <c r="MLM93" s="580"/>
      <c r="MLN93" s="580"/>
      <c r="MLO93" s="580"/>
      <c r="MLP93" s="580"/>
      <c r="MLQ93" s="580"/>
      <c r="MLR93" s="580"/>
      <c r="MLS93" s="580"/>
      <c r="MLT93" s="580"/>
      <c r="MLU93" s="580"/>
      <c r="MLV93" s="580"/>
      <c r="MLW93" s="580"/>
      <c r="MLX93" s="580"/>
      <c r="MLY93" s="580"/>
      <c r="MLZ93" s="580"/>
      <c r="MMA93" s="580"/>
      <c r="MMB93" s="580"/>
      <c r="MMC93" s="580"/>
      <c r="MMD93" s="580"/>
      <c r="MME93" s="580"/>
      <c r="MMF93" s="580"/>
      <c r="MMG93" s="580"/>
      <c r="MMH93" s="580"/>
      <c r="MMI93" s="580"/>
      <c r="MMJ93" s="580"/>
      <c r="MMK93" s="580"/>
      <c r="MML93" s="580"/>
      <c r="MMM93" s="580"/>
      <c r="MMN93" s="580"/>
      <c r="MMO93" s="580"/>
      <c r="MMP93" s="580"/>
      <c r="MMQ93" s="580"/>
      <c r="MMR93" s="580"/>
      <c r="MMS93" s="580"/>
      <c r="MMT93" s="580"/>
      <c r="MMU93" s="580"/>
      <c r="MMV93" s="580"/>
      <c r="MMW93" s="580"/>
      <c r="MMX93" s="580"/>
      <c r="MMY93" s="580"/>
      <c r="MMZ93" s="580"/>
      <c r="MNA93" s="580"/>
      <c r="MNB93" s="580"/>
      <c r="MNC93" s="580"/>
      <c r="MND93" s="580"/>
      <c r="MNE93" s="580"/>
      <c r="MNF93" s="580"/>
      <c r="MNG93" s="580"/>
      <c r="MNH93" s="580"/>
      <c r="MNI93" s="580"/>
      <c r="MNJ93" s="580"/>
      <c r="MNK93" s="580"/>
      <c r="MNL93" s="580"/>
      <c r="MNM93" s="580"/>
      <c r="MNN93" s="580"/>
      <c r="MNO93" s="580"/>
      <c r="MNP93" s="580"/>
      <c r="MNQ93" s="580"/>
      <c r="MNR93" s="580"/>
      <c r="MNS93" s="580"/>
      <c r="MNT93" s="580"/>
      <c r="MNU93" s="580"/>
      <c r="MNV93" s="580"/>
      <c r="MNW93" s="580"/>
      <c r="MNX93" s="580"/>
      <c r="MNY93" s="580"/>
      <c r="MNZ93" s="580"/>
      <c r="MOA93" s="580"/>
      <c r="MOB93" s="580"/>
      <c r="MOC93" s="580"/>
      <c r="MOD93" s="580"/>
      <c r="MOE93" s="580"/>
      <c r="MOF93" s="580"/>
      <c r="MOG93" s="580"/>
      <c r="MOH93" s="580"/>
      <c r="MOI93" s="580"/>
      <c r="MOJ93" s="580"/>
      <c r="MOK93" s="580"/>
      <c r="MOL93" s="580"/>
      <c r="MOM93" s="580"/>
      <c r="MON93" s="580"/>
      <c r="MOO93" s="580"/>
      <c r="MOP93" s="580"/>
      <c r="MOQ93" s="580"/>
      <c r="MOR93" s="580"/>
      <c r="MOS93" s="580"/>
      <c r="MOT93" s="580"/>
      <c r="MOU93" s="580"/>
      <c r="MOV93" s="580"/>
      <c r="MOW93" s="580"/>
      <c r="MOX93" s="580"/>
      <c r="MOY93" s="580"/>
      <c r="MOZ93" s="580"/>
      <c r="MPA93" s="580"/>
      <c r="MPB93" s="580"/>
      <c r="MPC93" s="580"/>
      <c r="MPD93" s="580"/>
      <c r="MPE93" s="580"/>
      <c r="MPF93" s="580"/>
      <c r="MPG93" s="580"/>
      <c r="MPH93" s="580"/>
      <c r="MPI93" s="580"/>
      <c r="MPJ93" s="580"/>
      <c r="MPK93" s="580"/>
      <c r="MPL93" s="580"/>
      <c r="MPM93" s="580"/>
      <c r="MPN93" s="580"/>
      <c r="MPO93" s="580"/>
      <c r="MPP93" s="580"/>
      <c r="MPQ93" s="580"/>
      <c r="MPR93" s="580"/>
      <c r="MPS93" s="580"/>
      <c r="MPT93" s="580"/>
      <c r="MPU93" s="580"/>
      <c r="MPV93" s="580"/>
      <c r="MPW93" s="580"/>
      <c r="MPX93" s="580"/>
      <c r="MPY93" s="580"/>
      <c r="MPZ93" s="580"/>
      <c r="MQA93" s="580"/>
      <c r="MQB93" s="580"/>
      <c r="MQC93" s="580"/>
      <c r="MQD93" s="580"/>
      <c r="MQE93" s="580"/>
      <c r="MQF93" s="580"/>
      <c r="MQG93" s="580"/>
      <c r="MQH93" s="580"/>
      <c r="MQI93" s="580"/>
      <c r="MQJ93" s="580"/>
      <c r="MQK93" s="580"/>
      <c r="MQL93" s="580"/>
      <c r="MQM93" s="580"/>
      <c r="MQN93" s="580"/>
      <c r="MQO93" s="580"/>
      <c r="MQP93" s="580"/>
      <c r="MQQ93" s="580"/>
      <c r="MQR93" s="580"/>
      <c r="MQS93" s="580"/>
      <c r="MQT93" s="580"/>
      <c r="MQU93" s="580"/>
      <c r="MQV93" s="580"/>
      <c r="MQW93" s="580"/>
      <c r="MQX93" s="580"/>
      <c r="MQY93" s="580"/>
      <c r="MQZ93" s="580"/>
      <c r="MRA93" s="580"/>
      <c r="MRB93" s="580"/>
      <c r="MRC93" s="580"/>
      <c r="MRD93" s="580"/>
      <c r="MRE93" s="580"/>
      <c r="MRF93" s="580"/>
      <c r="MRG93" s="580"/>
      <c r="MRH93" s="580"/>
      <c r="MRI93" s="580"/>
      <c r="MRJ93" s="580"/>
      <c r="MRK93" s="580"/>
      <c r="MRL93" s="580"/>
      <c r="MRM93" s="580"/>
      <c r="MRN93" s="580"/>
      <c r="MRO93" s="580"/>
      <c r="MRP93" s="580"/>
      <c r="MRQ93" s="580"/>
      <c r="MRR93" s="580"/>
      <c r="MRS93" s="580"/>
      <c r="MRT93" s="580"/>
      <c r="MRU93" s="580"/>
      <c r="MRV93" s="580"/>
      <c r="MRW93" s="580"/>
      <c r="MRX93" s="580"/>
      <c r="MRY93" s="580"/>
      <c r="MRZ93" s="580"/>
      <c r="MSA93" s="580"/>
      <c r="MSB93" s="580"/>
      <c r="MSC93" s="580"/>
      <c r="MSD93" s="580"/>
      <c r="MSE93" s="580"/>
      <c r="MSF93" s="580"/>
      <c r="MSG93" s="580"/>
      <c r="MSH93" s="580"/>
      <c r="MSI93" s="580"/>
      <c r="MSJ93" s="580"/>
      <c r="MSK93" s="580"/>
      <c r="MSL93" s="580"/>
      <c r="MSM93" s="580"/>
      <c r="MSN93" s="580"/>
      <c r="MSO93" s="580"/>
      <c r="MSP93" s="580"/>
      <c r="MSQ93" s="580"/>
      <c r="MSR93" s="580"/>
      <c r="MSS93" s="580"/>
      <c r="MST93" s="580"/>
      <c r="MSU93" s="580"/>
      <c r="MSV93" s="580"/>
      <c r="MSW93" s="580"/>
      <c r="MSX93" s="580"/>
      <c r="MSY93" s="580"/>
      <c r="MSZ93" s="580"/>
      <c r="MTA93" s="580"/>
      <c r="MTB93" s="580"/>
      <c r="MTC93" s="580"/>
      <c r="MTD93" s="580"/>
      <c r="MTE93" s="580"/>
      <c r="MTF93" s="580"/>
      <c r="MTG93" s="580"/>
      <c r="MTH93" s="580"/>
      <c r="MTI93" s="580"/>
      <c r="MTJ93" s="580"/>
      <c r="MTK93" s="580"/>
      <c r="MTL93" s="580"/>
      <c r="MTM93" s="580"/>
      <c r="MTN93" s="580"/>
      <c r="MTO93" s="580"/>
      <c r="MTP93" s="580"/>
      <c r="MTQ93" s="580"/>
      <c r="MTR93" s="580"/>
      <c r="MTS93" s="580"/>
      <c r="MTT93" s="580"/>
      <c r="MTU93" s="580"/>
      <c r="MTV93" s="580"/>
      <c r="MTW93" s="580"/>
      <c r="MTX93" s="580"/>
      <c r="MTY93" s="580"/>
      <c r="MTZ93" s="580"/>
      <c r="MUA93" s="580"/>
      <c r="MUB93" s="580"/>
      <c r="MUC93" s="580"/>
      <c r="MUD93" s="580"/>
      <c r="MUE93" s="580"/>
      <c r="MUF93" s="580"/>
      <c r="MUG93" s="580"/>
      <c r="MUH93" s="580"/>
      <c r="MUI93" s="580"/>
      <c r="MUJ93" s="580"/>
      <c r="MUK93" s="580"/>
      <c r="MUL93" s="580"/>
      <c r="MUM93" s="580"/>
      <c r="MUN93" s="580"/>
      <c r="MUO93" s="580"/>
      <c r="MUP93" s="580"/>
      <c r="MUQ93" s="580"/>
      <c r="MUR93" s="580"/>
      <c r="MUS93" s="580"/>
      <c r="MUT93" s="580"/>
      <c r="MUU93" s="580"/>
      <c r="MUV93" s="580"/>
      <c r="MUW93" s="580"/>
      <c r="MUX93" s="580"/>
      <c r="MUY93" s="580"/>
      <c r="MUZ93" s="580"/>
      <c r="MVA93" s="580"/>
      <c r="MVB93" s="580"/>
      <c r="MVC93" s="580"/>
      <c r="MVD93" s="580"/>
      <c r="MVE93" s="580"/>
      <c r="MVF93" s="580"/>
      <c r="MVG93" s="580"/>
      <c r="MVH93" s="580"/>
      <c r="MVI93" s="580"/>
      <c r="MVJ93" s="580"/>
      <c r="MVK93" s="580"/>
      <c r="MVL93" s="580"/>
      <c r="MVM93" s="580"/>
      <c r="MVN93" s="580"/>
      <c r="MVO93" s="580"/>
      <c r="MVP93" s="580"/>
      <c r="MVQ93" s="580"/>
      <c r="MVR93" s="580"/>
      <c r="MVS93" s="580"/>
      <c r="MVT93" s="580"/>
      <c r="MVU93" s="580"/>
      <c r="MVV93" s="580"/>
      <c r="MVW93" s="580"/>
      <c r="MVX93" s="580"/>
      <c r="MVY93" s="580"/>
      <c r="MVZ93" s="580"/>
      <c r="MWA93" s="580"/>
      <c r="MWB93" s="580"/>
      <c r="MWC93" s="580"/>
      <c r="MWD93" s="580"/>
      <c r="MWE93" s="580"/>
      <c r="MWF93" s="580"/>
      <c r="MWG93" s="580"/>
      <c r="MWH93" s="580"/>
      <c r="MWI93" s="580"/>
      <c r="MWJ93" s="580"/>
      <c r="MWK93" s="580"/>
      <c r="MWL93" s="580"/>
      <c r="MWM93" s="580"/>
      <c r="MWN93" s="580"/>
      <c r="MWO93" s="580"/>
      <c r="MWP93" s="580"/>
      <c r="MWQ93" s="580"/>
      <c r="MWR93" s="580"/>
      <c r="MWS93" s="580"/>
      <c r="MWT93" s="580"/>
      <c r="MWU93" s="580"/>
      <c r="MWV93" s="580"/>
      <c r="MWW93" s="580"/>
      <c r="MWX93" s="580"/>
      <c r="MWY93" s="580"/>
      <c r="MWZ93" s="580"/>
      <c r="MXA93" s="580"/>
      <c r="MXB93" s="580"/>
      <c r="MXC93" s="580"/>
      <c r="MXD93" s="580"/>
      <c r="MXE93" s="580"/>
      <c r="MXF93" s="580"/>
      <c r="MXG93" s="580"/>
      <c r="MXH93" s="580"/>
      <c r="MXI93" s="580"/>
      <c r="MXJ93" s="580"/>
      <c r="MXK93" s="580"/>
      <c r="MXL93" s="580"/>
      <c r="MXM93" s="580"/>
      <c r="MXN93" s="580"/>
      <c r="MXO93" s="580"/>
      <c r="MXP93" s="580"/>
      <c r="MXQ93" s="580"/>
      <c r="MXR93" s="580"/>
      <c r="MXS93" s="580"/>
      <c r="MXT93" s="580"/>
      <c r="MXU93" s="580"/>
      <c r="MXV93" s="580"/>
      <c r="MXW93" s="580"/>
      <c r="MXX93" s="580"/>
      <c r="MXY93" s="580"/>
      <c r="MXZ93" s="580"/>
      <c r="MYA93" s="580"/>
      <c r="MYB93" s="580"/>
      <c r="MYC93" s="580"/>
      <c r="MYD93" s="580"/>
      <c r="MYE93" s="580"/>
      <c r="MYF93" s="580"/>
      <c r="MYG93" s="580"/>
      <c r="MYH93" s="580"/>
      <c r="MYI93" s="580"/>
      <c r="MYJ93" s="580"/>
      <c r="MYK93" s="580"/>
      <c r="MYL93" s="580"/>
      <c r="MYM93" s="580"/>
      <c r="MYN93" s="580"/>
      <c r="MYO93" s="580"/>
      <c r="MYP93" s="580"/>
      <c r="MYQ93" s="580"/>
      <c r="MYR93" s="580"/>
      <c r="MYS93" s="580"/>
      <c r="MYT93" s="580"/>
      <c r="MYU93" s="580"/>
      <c r="MYV93" s="580"/>
      <c r="MYW93" s="580"/>
      <c r="MYX93" s="580"/>
      <c r="MYY93" s="580"/>
      <c r="MYZ93" s="580"/>
      <c r="MZA93" s="580"/>
      <c r="MZB93" s="580"/>
      <c r="MZC93" s="580"/>
      <c r="MZD93" s="580"/>
      <c r="MZE93" s="580"/>
      <c r="MZF93" s="580"/>
      <c r="MZG93" s="580"/>
      <c r="MZH93" s="580"/>
      <c r="MZI93" s="580"/>
      <c r="MZJ93" s="580"/>
      <c r="MZK93" s="580"/>
      <c r="MZL93" s="580"/>
      <c r="MZM93" s="580"/>
      <c r="MZN93" s="580"/>
      <c r="MZO93" s="580"/>
      <c r="MZP93" s="580"/>
      <c r="MZQ93" s="580"/>
      <c r="MZR93" s="580"/>
      <c r="MZS93" s="580"/>
      <c r="MZT93" s="580"/>
      <c r="MZU93" s="580"/>
      <c r="MZV93" s="580"/>
      <c r="MZW93" s="580"/>
      <c r="MZX93" s="580"/>
      <c r="MZY93" s="580"/>
      <c r="MZZ93" s="580"/>
      <c r="NAA93" s="580"/>
      <c r="NAB93" s="580"/>
      <c r="NAC93" s="580"/>
      <c r="NAD93" s="580"/>
      <c r="NAE93" s="580"/>
      <c r="NAF93" s="580"/>
      <c r="NAG93" s="580"/>
      <c r="NAH93" s="580"/>
      <c r="NAI93" s="580"/>
      <c r="NAJ93" s="580"/>
      <c r="NAK93" s="580"/>
      <c r="NAL93" s="580"/>
      <c r="NAM93" s="580"/>
      <c r="NAN93" s="580"/>
      <c r="NAO93" s="580"/>
      <c r="NAP93" s="580"/>
      <c r="NAQ93" s="580"/>
      <c r="NAR93" s="580"/>
      <c r="NAS93" s="580"/>
      <c r="NAT93" s="580"/>
      <c r="NAU93" s="580"/>
      <c r="NAV93" s="580"/>
      <c r="NAW93" s="580"/>
      <c r="NAX93" s="580"/>
      <c r="NAY93" s="580"/>
      <c r="NAZ93" s="580"/>
      <c r="NBA93" s="580"/>
      <c r="NBB93" s="580"/>
      <c r="NBC93" s="580"/>
      <c r="NBD93" s="580"/>
      <c r="NBE93" s="580"/>
      <c r="NBF93" s="580"/>
      <c r="NBG93" s="580"/>
      <c r="NBH93" s="580"/>
      <c r="NBI93" s="580"/>
      <c r="NBJ93" s="580"/>
      <c r="NBK93" s="580"/>
      <c r="NBL93" s="580"/>
      <c r="NBM93" s="580"/>
      <c r="NBN93" s="580"/>
      <c r="NBO93" s="580"/>
      <c r="NBP93" s="580"/>
      <c r="NBQ93" s="580"/>
      <c r="NBR93" s="580"/>
      <c r="NBS93" s="580"/>
      <c r="NBT93" s="580"/>
      <c r="NBU93" s="580"/>
      <c r="NBV93" s="580"/>
      <c r="NBW93" s="580"/>
      <c r="NBX93" s="580"/>
      <c r="NBY93" s="580"/>
      <c r="NBZ93" s="580"/>
      <c r="NCA93" s="580"/>
      <c r="NCB93" s="580"/>
      <c r="NCC93" s="580"/>
      <c r="NCD93" s="580"/>
      <c r="NCE93" s="580"/>
      <c r="NCF93" s="580"/>
      <c r="NCG93" s="580"/>
      <c r="NCH93" s="580"/>
      <c r="NCI93" s="580"/>
      <c r="NCJ93" s="580"/>
      <c r="NCK93" s="580"/>
      <c r="NCL93" s="580"/>
      <c r="NCM93" s="580"/>
      <c r="NCN93" s="580"/>
      <c r="NCO93" s="580"/>
      <c r="NCP93" s="580"/>
      <c r="NCQ93" s="580"/>
      <c r="NCR93" s="580"/>
      <c r="NCS93" s="580"/>
      <c r="NCT93" s="580"/>
      <c r="NCU93" s="580"/>
      <c r="NCV93" s="580"/>
      <c r="NCW93" s="580"/>
      <c r="NCX93" s="580"/>
      <c r="NCY93" s="580"/>
      <c r="NCZ93" s="580"/>
      <c r="NDA93" s="580"/>
      <c r="NDB93" s="580"/>
      <c r="NDC93" s="580"/>
      <c r="NDD93" s="580"/>
      <c r="NDE93" s="580"/>
      <c r="NDF93" s="580"/>
      <c r="NDG93" s="580"/>
      <c r="NDH93" s="580"/>
      <c r="NDI93" s="580"/>
      <c r="NDJ93" s="580"/>
      <c r="NDK93" s="580"/>
      <c r="NDL93" s="580"/>
      <c r="NDM93" s="580"/>
      <c r="NDN93" s="580"/>
      <c r="NDO93" s="580"/>
      <c r="NDP93" s="580"/>
      <c r="NDQ93" s="580"/>
      <c r="NDR93" s="580"/>
      <c r="NDS93" s="580"/>
      <c r="NDT93" s="580"/>
      <c r="NDU93" s="580"/>
      <c r="NDV93" s="580"/>
      <c r="NDW93" s="580"/>
      <c r="NDX93" s="580"/>
      <c r="NDY93" s="580"/>
      <c r="NDZ93" s="580"/>
      <c r="NEA93" s="580"/>
      <c r="NEB93" s="580"/>
      <c r="NEC93" s="580"/>
      <c r="NED93" s="580"/>
      <c r="NEE93" s="580"/>
      <c r="NEF93" s="580"/>
      <c r="NEG93" s="580"/>
      <c r="NEH93" s="580"/>
      <c r="NEI93" s="580"/>
      <c r="NEJ93" s="580"/>
      <c r="NEK93" s="580"/>
      <c r="NEL93" s="580"/>
      <c r="NEM93" s="580"/>
      <c r="NEN93" s="580"/>
      <c r="NEO93" s="580"/>
      <c r="NEP93" s="580"/>
      <c r="NEQ93" s="580"/>
      <c r="NER93" s="580"/>
      <c r="NES93" s="580"/>
      <c r="NET93" s="580"/>
      <c r="NEU93" s="580"/>
      <c r="NEV93" s="580"/>
      <c r="NEW93" s="580"/>
      <c r="NEX93" s="580"/>
      <c r="NEY93" s="580"/>
      <c r="NEZ93" s="580"/>
      <c r="NFA93" s="580"/>
      <c r="NFB93" s="580"/>
      <c r="NFC93" s="580"/>
      <c r="NFD93" s="580"/>
      <c r="NFE93" s="580"/>
      <c r="NFF93" s="580"/>
      <c r="NFG93" s="580"/>
      <c r="NFH93" s="580"/>
      <c r="NFI93" s="580"/>
      <c r="NFJ93" s="580"/>
      <c r="NFK93" s="580"/>
      <c r="NFL93" s="580"/>
      <c r="NFM93" s="580"/>
      <c r="NFN93" s="580"/>
      <c r="NFO93" s="580"/>
      <c r="NFP93" s="580"/>
      <c r="NFQ93" s="580"/>
      <c r="NFR93" s="580"/>
      <c r="NFS93" s="580"/>
      <c r="NFT93" s="580"/>
      <c r="NFU93" s="580"/>
      <c r="NFV93" s="580"/>
      <c r="NFW93" s="580"/>
      <c r="NFX93" s="580"/>
      <c r="NFY93" s="580"/>
      <c r="NFZ93" s="580"/>
      <c r="NGA93" s="580"/>
      <c r="NGB93" s="580"/>
      <c r="NGC93" s="580"/>
      <c r="NGD93" s="580"/>
      <c r="NGE93" s="580"/>
      <c r="NGF93" s="580"/>
      <c r="NGG93" s="580"/>
      <c r="NGH93" s="580"/>
      <c r="NGI93" s="580"/>
      <c r="NGJ93" s="580"/>
      <c r="NGK93" s="580"/>
      <c r="NGL93" s="580"/>
      <c r="NGM93" s="580"/>
      <c r="NGN93" s="580"/>
      <c r="NGO93" s="580"/>
      <c r="NGP93" s="580"/>
      <c r="NGQ93" s="580"/>
      <c r="NGR93" s="580"/>
      <c r="NGS93" s="580"/>
      <c r="NGT93" s="580"/>
      <c r="NGU93" s="580"/>
      <c r="NGV93" s="580"/>
      <c r="NGW93" s="580"/>
      <c r="NGX93" s="580"/>
      <c r="NGY93" s="580"/>
      <c r="NGZ93" s="580"/>
      <c r="NHA93" s="580"/>
      <c r="NHB93" s="580"/>
      <c r="NHC93" s="580"/>
      <c r="NHD93" s="580"/>
      <c r="NHE93" s="580"/>
      <c r="NHF93" s="580"/>
      <c r="NHG93" s="580"/>
      <c r="NHH93" s="580"/>
      <c r="NHI93" s="580"/>
      <c r="NHJ93" s="580"/>
      <c r="NHK93" s="580"/>
      <c r="NHL93" s="580"/>
      <c r="NHM93" s="580"/>
      <c r="NHN93" s="580"/>
      <c r="NHO93" s="580"/>
      <c r="NHP93" s="580"/>
      <c r="NHQ93" s="580"/>
      <c r="NHR93" s="580"/>
      <c r="NHS93" s="580"/>
      <c r="NHT93" s="580"/>
      <c r="NHU93" s="580"/>
      <c r="NHV93" s="580"/>
      <c r="NHW93" s="580"/>
      <c r="NHX93" s="580"/>
      <c r="NHY93" s="580"/>
      <c r="NHZ93" s="580"/>
      <c r="NIA93" s="580"/>
      <c r="NIB93" s="580"/>
      <c r="NIC93" s="580"/>
      <c r="NID93" s="580"/>
      <c r="NIE93" s="580"/>
      <c r="NIF93" s="580"/>
      <c r="NIG93" s="580"/>
      <c r="NIH93" s="580"/>
      <c r="NII93" s="580"/>
      <c r="NIJ93" s="580"/>
      <c r="NIK93" s="580"/>
      <c r="NIL93" s="580"/>
      <c r="NIM93" s="580"/>
      <c r="NIN93" s="580"/>
      <c r="NIO93" s="580"/>
      <c r="NIP93" s="580"/>
      <c r="NIQ93" s="580"/>
      <c r="NIR93" s="580"/>
      <c r="NIS93" s="580"/>
      <c r="NIT93" s="580"/>
      <c r="NIU93" s="580"/>
      <c r="NIV93" s="580"/>
      <c r="NIW93" s="580"/>
      <c r="NIX93" s="580"/>
      <c r="NIY93" s="580"/>
      <c r="NIZ93" s="580"/>
      <c r="NJA93" s="580"/>
      <c r="NJB93" s="580"/>
      <c r="NJC93" s="580"/>
      <c r="NJD93" s="580"/>
      <c r="NJE93" s="580"/>
      <c r="NJF93" s="580"/>
      <c r="NJG93" s="580"/>
      <c r="NJH93" s="580"/>
      <c r="NJI93" s="580"/>
      <c r="NJJ93" s="580"/>
      <c r="NJK93" s="580"/>
      <c r="NJL93" s="580"/>
      <c r="NJM93" s="580"/>
      <c r="NJN93" s="580"/>
      <c r="NJO93" s="580"/>
      <c r="NJP93" s="580"/>
      <c r="NJQ93" s="580"/>
      <c r="NJR93" s="580"/>
      <c r="NJS93" s="580"/>
      <c r="NJT93" s="580"/>
      <c r="NJU93" s="580"/>
      <c r="NJV93" s="580"/>
      <c r="NJW93" s="580"/>
      <c r="NJX93" s="580"/>
      <c r="NJY93" s="580"/>
      <c r="NJZ93" s="580"/>
      <c r="NKA93" s="580"/>
      <c r="NKB93" s="580"/>
      <c r="NKC93" s="580"/>
      <c r="NKD93" s="580"/>
      <c r="NKE93" s="580"/>
      <c r="NKF93" s="580"/>
      <c r="NKG93" s="580"/>
      <c r="NKH93" s="580"/>
      <c r="NKI93" s="580"/>
      <c r="NKJ93" s="580"/>
      <c r="NKK93" s="580"/>
      <c r="NKL93" s="580"/>
      <c r="NKM93" s="580"/>
      <c r="NKN93" s="580"/>
      <c r="NKO93" s="580"/>
      <c r="NKP93" s="580"/>
      <c r="NKQ93" s="580"/>
      <c r="NKR93" s="580"/>
      <c r="NKS93" s="580"/>
      <c r="NKT93" s="580"/>
      <c r="NKU93" s="580"/>
      <c r="NKV93" s="580"/>
      <c r="NKW93" s="580"/>
      <c r="NKX93" s="580"/>
      <c r="NKY93" s="580"/>
      <c r="NKZ93" s="580"/>
      <c r="NLA93" s="580"/>
      <c r="NLB93" s="580"/>
      <c r="NLC93" s="580"/>
      <c r="NLD93" s="580"/>
      <c r="NLE93" s="580"/>
      <c r="NLF93" s="580"/>
      <c r="NLG93" s="580"/>
      <c r="NLH93" s="580"/>
      <c r="NLI93" s="580"/>
      <c r="NLJ93" s="580"/>
      <c r="NLK93" s="580"/>
      <c r="NLL93" s="580"/>
      <c r="NLM93" s="580"/>
      <c r="NLN93" s="580"/>
      <c r="NLO93" s="580"/>
      <c r="NLP93" s="580"/>
      <c r="NLQ93" s="580"/>
      <c r="NLR93" s="580"/>
      <c r="NLS93" s="580"/>
      <c r="NLT93" s="580"/>
      <c r="NLU93" s="580"/>
      <c r="NLV93" s="580"/>
      <c r="NLW93" s="580"/>
      <c r="NLX93" s="580"/>
      <c r="NLY93" s="580"/>
      <c r="NLZ93" s="580"/>
      <c r="NMA93" s="580"/>
      <c r="NMB93" s="580"/>
      <c r="NMC93" s="580"/>
      <c r="NMD93" s="580"/>
      <c r="NME93" s="580"/>
      <c r="NMF93" s="580"/>
      <c r="NMG93" s="580"/>
      <c r="NMH93" s="580"/>
      <c r="NMI93" s="580"/>
      <c r="NMJ93" s="580"/>
      <c r="NMK93" s="580"/>
      <c r="NML93" s="580"/>
      <c r="NMM93" s="580"/>
      <c r="NMN93" s="580"/>
      <c r="NMO93" s="580"/>
      <c r="NMP93" s="580"/>
      <c r="NMQ93" s="580"/>
      <c r="NMR93" s="580"/>
      <c r="NMS93" s="580"/>
      <c r="NMT93" s="580"/>
      <c r="NMU93" s="580"/>
      <c r="NMV93" s="580"/>
      <c r="NMW93" s="580"/>
      <c r="NMX93" s="580"/>
      <c r="NMY93" s="580"/>
      <c r="NMZ93" s="580"/>
      <c r="NNA93" s="580"/>
      <c r="NNB93" s="580"/>
      <c r="NNC93" s="580"/>
      <c r="NND93" s="580"/>
      <c r="NNE93" s="580"/>
      <c r="NNF93" s="580"/>
      <c r="NNG93" s="580"/>
      <c r="NNH93" s="580"/>
      <c r="NNI93" s="580"/>
      <c r="NNJ93" s="580"/>
      <c r="NNK93" s="580"/>
      <c r="NNL93" s="580"/>
      <c r="NNM93" s="580"/>
      <c r="NNN93" s="580"/>
      <c r="NNO93" s="580"/>
      <c r="NNP93" s="580"/>
      <c r="NNQ93" s="580"/>
      <c r="NNR93" s="580"/>
      <c r="NNS93" s="580"/>
      <c r="NNT93" s="580"/>
      <c r="NNU93" s="580"/>
      <c r="NNV93" s="580"/>
      <c r="NNW93" s="580"/>
      <c r="NNX93" s="580"/>
      <c r="NNY93" s="580"/>
      <c r="NNZ93" s="580"/>
      <c r="NOA93" s="580"/>
      <c r="NOB93" s="580"/>
      <c r="NOC93" s="580"/>
      <c r="NOD93" s="580"/>
      <c r="NOE93" s="580"/>
      <c r="NOF93" s="580"/>
      <c r="NOG93" s="580"/>
      <c r="NOH93" s="580"/>
      <c r="NOI93" s="580"/>
      <c r="NOJ93" s="580"/>
      <c r="NOK93" s="580"/>
      <c r="NOL93" s="580"/>
      <c r="NOM93" s="580"/>
      <c r="NON93" s="580"/>
      <c r="NOO93" s="580"/>
      <c r="NOP93" s="580"/>
      <c r="NOQ93" s="580"/>
      <c r="NOR93" s="580"/>
      <c r="NOS93" s="580"/>
      <c r="NOT93" s="580"/>
      <c r="NOU93" s="580"/>
      <c r="NOV93" s="580"/>
      <c r="NOW93" s="580"/>
      <c r="NOX93" s="580"/>
      <c r="NOY93" s="580"/>
      <c r="NOZ93" s="580"/>
      <c r="NPA93" s="580"/>
      <c r="NPB93" s="580"/>
      <c r="NPC93" s="580"/>
      <c r="NPD93" s="580"/>
      <c r="NPE93" s="580"/>
      <c r="NPF93" s="580"/>
      <c r="NPG93" s="580"/>
      <c r="NPH93" s="580"/>
      <c r="NPI93" s="580"/>
      <c r="NPJ93" s="580"/>
      <c r="NPK93" s="580"/>
      <c r="NPL93" s="580"/>
      <c r="NPM93" s="580"/>
      <c r="NPN93" s="580"/>
      <c r="NPO93" s="580"/>
      <c r="NPP93" s="580"/>
      <c r="NPQ93" s="580"/>
      <c r="NPR93" s="580"/>
      <c r="NPS93" s="580"/>
      <c r="NPT93" s="580"/>
      <c r="NPU93" s="580"/>
      <c r="NPV93" s="580"/>
      <c r="NPW93" s="580"/>
      <c r="NPX93" s="580"/>
      <c r="NPY93" s="580"/>
      <c r="NPZ93" s="580"/>
      <c r="NQA93" s="580"/>
      <c r="NQB93" s="580"/>
      <c r="NQC93" s="580"/>
      <c r="NQD93" s="580"/>
      <c r="NQE93" s="580"/>
      <c r="NQF93" s="580"/>
      <c r="NQG93" s="580"/>
      <c r="NQH93" s="580"/>
      <c r="NQI93" s="580"/>
      <c r="NQJ93" s="580"/>
      <c r="NQK93" s="580"/>
      <c r="NQL93" s="580"/>
      <c r="NQM93" s="580"/>
      <c r="NQN93" s="580"/>
      <c r="NQO93" s="580"/>
      <c r="NQP93" s="580"/>
      <c r="NQQ93" s="580"/>
      <c r="NQR93" s="580"/>
      <c r="NQS93" s="580"/>
      <c r="NQT93" s="580"/>
      <c r="NQU93" s="580"/>
      <c r="NQV93" s="580"/>
      <c r="NQW93" s="580"/>
      <c r="NQX93" s="580"/>
      <c r="NQY93" s="580"/>
      <c r="NQZ93" s="580"/>
      <c r="NRA93" s="580"/>
      <c r="NRB93" s="580"/>
      <c r="NRC93" s="580"/>
      <c r="NRD93" s="580"/>
      <c r="NRE93" s="580"/>
      <c r="NRF93" s="580"/>
      <c r="NRG93" s="580"/>
      <c r="NRH93" s="580"/>
      <c r="NRI93" s="580"/>
      <c r="NRJ93" s="580"/>
      <c r="NRK93" s="580"/>
      <c r="NRL93" s="580"/>
      <c r="NRM93" s="580"/>
      <c r="NRN93" s="580"/>
      <c r="NRO93" s="580"/>
      <c r="NRP93" s="580"/>
      <c r="NRQ93" s="580"/>
      <c r="NRR93" s="580"/>
      <c r="NRS93" s="580"/>
      <c r="NRT93" s="580"/>
      <c r="NRU93" s="580"/>
      <c r="NRV93" s="580"/>
      <c r="NRW93" s="580"/>
      <c r="NRX93" s="580"/>
      <c r="NRY93" s="580"/>
      <c r="NRZ93" s="580"/>
      <c r="NSA93" s="580"/>
      <c r="NSB93" s="580"/>
      <c r="NSC93" s="580"/>
      <c r="NSD93" s="580"/>
      <c r="NSE93" s="580"/>
      <c r="NSF93" s="580"/>
      <c r="NSG93" s="580"/>
      <c r="NSH93" s="580"/>
      <c r="NSI93" s="580"/>
      <c r="NSJ93" s="580"/>
      <c r="NSK93" s="580"/>
      <c r="NSL93" s="580"/>
      <c r="NSM93" s="580"/>
      <c r="NSN93" s="580"/>
      <c r="NSO93" s="580"/>
      <c r="NSP93" s="580"/>
      <c r="NSQ93" s="580"/>
      <c r="NSR93" s="580"/>
      <c r="NSS93" s="580"/>
      <c r="NST93" s="580"/>
      <c r="NSU93" s="580"/>
      <c r="NSV93" s="580"/>
      <c r="NSW93" s="580"/>
      <c r="NSX93" s="580"/>
      <c r="NSY93" s="580"/>
      <c r="NSZ93" s="580"/>
      <c r="NTA93" s="580"/>
      <c r="NTB93" s="580"/>
      <c r="NTC93" s="580"/>
      <c r="NTD93" s="580"/>
      <c r="NTE93" s="580"/>
      <c r="NTF93" s="580"/>
      <c r="NTG93" s="580"/>
      <c r="NTH93" s="580"/>
      <c r="NTI93" s="580"/>
      <c r="NTJ93" s="580"/>
      <c r="NTK93" s="580"/>
      <c r="NTL93" s="580"/>
      <c r="NTM93" s="580"/>
      <c r="NTN93" s="580"/>
      <c r="NTO93" s="580"/>
      <c r="NTP93" s="580"/>
      <c r="NTQ93" s="580"/>
      <c r="NTR93" s="580"/>
      <c r="NTS93" s="580"/>
      <c r="NTT93" s="580"/>
      <c r="NTU93" s="580"/>
      <c r="NTV93" s="580"/>
      <c r="NTW93" s="580"/>
      <c r="NTX93" s="580"/>
      <c r="NTY93" s="580"/>
      <c r="NTZ93" s="580"/>
      <c r="NUA93" s="580"/>
      <c r="NUB93" s="580"/>
      <c r="NUC93" s="580"/>
      <c r="NUD93" s="580"/>
      <c r="NUE93" s="580"/>
      <c r="NUF93" s="580"/>
      <c r="NUG93" s="580"/>
      <c r="NUH93" s="580"/>
      <c r="NUI93" s="580"/>
      <c r="NUJ93" s="580"/>
      <c r="NUK93" s="580"/>
      <c r="NUL93" s="580"/>
      <c r="NUM93" s="580"/>
      <c r="NUN93" s="580"/>
      <c r="NUO93" s="580"/>
      <c r="NUP93" s="580"/>
      <c r="NUQ93" s="580"/>
      <c r="NUR93" s="580"/>
      <c r="NUS93" s="580"/>
      <c r="NUT93" s="580"/>
      <c r="NUU93" s="580"/>
      <c r="NUV93" s="580"/>
      <c r="NUW93" s="580"/>
      <c r="NUX93" s="580"/>
      <c r="NUY93" s="580"/>
      <c r="NUZ93" s="580"/>
      <c r="NVA93" s="580"/>
      <c r="NVB93" s="580"/>
      <c r="NVC93" s="580"/>
      <c r="NVD93" s="580"/>
      <c r="NVE93" s="580"/>
      <c r="NVF93" s="580"/>
      <c r="NVG93" s="580"/>
      <c r="NVH93" s="580"/>
      <c r="NVI93" s="580"/>
      <c r="NVJ93" s="580"/>
      <c r="NVK93" s="580"/>
      <c r="NVL93" s="580"/>
      <c r="NVM93" s="580"/>
      <c r="NVN93" s="580"/>
      <c r="NVO93" s="580"/>
      <c r="NVP93" s="580"/>
      <c r="NVQ93" s="580"/>
      <c r="NVR93" s="580"/>
      <c r="NVS93" s="580"/>
      <c r="NVT93" s="580"/>
      <c r="NVU93" s="580"/>
      <c r="NVV93" s="580"/>
      <c r="NVW93" s="580"/>
      <c r="NVX93" s="580"/>
      <c r="NVY93" s="580"/>
      <c r="NVZ93" s="580"/>
      <c r="NWA93" s="580"/>
      <c r="NWB93" s="580"/>
      <c r="NWC93" s="580"/>
      <c r="NWD93" s="580"/>
      <c r="NWE93" s="580"/>
      <c r="NWF93" s="580"/>
      <c r="NWG93" s="580"/>
      <c r="NWH93" s="580"/>
      <c r="NWI93" s="580"/>
      <c r="NWJ93" s="580"/>
      <c r="NWK93" s="580"/>
      <c r="NWL93" s="580"/>
      <c r="NWM93" s="580"/>
      <c r="NWN93" s="580"/>
      <c r="NWO93" s="580"/>
      <c r="NWP93" s="580"/>
      <c r="NWQ93" s="580"/>
      <c r="NWR93" s="580"/>
      <c r="NWS93" s="580"/>
      <c r="NWT93" s="580"/>
      <c r="NWU93" s="580"/>
      <c r="NWV93" s="580"/>
      <c r="NWW93" s="580"/>
      <c r="NWX93" s="580"/>
      <c r="NWY93" s="580"/>
      <c r="NWZ93" s="580"/>
      <c r="NXA93" s="580"/>
      <c r="NXB93" s="580"/>
      <c r="NXC93" s="580"/>
      <c r="NXD93" s="580"/>
      <c r="NXE93" s="580"/>
      <c r="NXF93" s="580"/>
      <c r="NXG93" s="580"/>
      <c r="NXH93" s="580"/>
      <c r="NXI93" s="580"/>
      <c r="NXJ93" s="580"/>
      <c r="NXK93" s="580"/>
      <c r="NXL93" s="580"/>
      <c r="NXM93" s="580"/>
      <c r="NXN93" s="580"/>
      <c r="NXO93" s="580"/>
      <c r="NXP93" s="580"/>
      <c r="NXQ93" s="580"/>
      <c r="NXR93" s="580"/>
      <c r="NXS93" s="580"/>
      <c r="NXT93" s="580"/>
      <c r="NXU93" s="580"/>
      <c r="NXV93" s="580"/>
      <c r="NXW93" s="580"/>
      <c r="NXX93" s="580"/>
      <c r="NXY93" s="580"/>
      <c r="NXZ93" s="580"/>
      <c r="NYA93" s="580"/>
      <c r="NYB93" s="580"/>
      <c r="NYC93" s="580"/>
      <c r="NYD93" s="580"/>
      <c r="NYE93" s="580"/>
      <c r="NYF93" s="580"/>
      <c r="NYG93" s="580"/>
      <c r="NYH93" s="580"/>
      <c r="NYI93" s="580"/>
      <c r="NYJ93" s="580"/>
      <c r="NYK93" s="580"/>
      <c r="NYL93" s="580"/>
      <c r="NYM93" s="580"/>
      <c r="NYN93" s="580"/>
      <c r="NYO93" s="580"/>
      <c r="NYP93" s="580"/>
      <c r="NYQ93" s="580"/>
      <c r="NYR93" s="580"/>
      <c r="NYS93" s="580"/>
      <c r="NYT93" s="580"/>
      <c r="NYU93" s="580"/>
      <c r="NYV93" s="580"/>
      <c r="NYW93" s="580"/>
      <c r="NYX93" s="580"/>
      <c r="NYY93" s="580"/>
      <c r="NYZ93" s="580"/>
      <c r="NZA93" s="580"/>
      <c r="NZB93" s="580"/>
      <c r="NZC93" s="580"/>
      <c r="NZD93" s="580"/>
      <c r="NZE93" s="580"/>
      <c r="NZF93" s="580"/>
      <c r="NZG93" s="580"/>
      <c r="NZH93" s="580"/>
      <c r="NZI93" s="580"/>
      <c r="NZJ93" s="580"/>
      <c r="NZK93" s="580"/>
      <c r="NZL93" s="580"/>
      <c r="NZM93" s="580"/>
      <c r="NZN93" s="580"/>
      <c r="NZO93" s="580"/>
      <c r="NZP93" s="580"/>
      <c r="NZQ93" s="580"/>
      <c r="NZR93" s="580"/>
      <c r="NZS93" s="580"/>
      <c r="NZT93" s="580"/>
      <c r="NZU93" s="580"/>
      <c r="NZV93" s="580"/>
      <c r="NZW93" s="580"/>
      <c r="NZX93" s="580"/>
      <c r="NZY93" s="580"/>
      <c r="NZZ93" s="580"/>
      <c r="OAA93" s="580"/>
      <c r="OAB93" s="580"/>
      <c r="OAC93" s="580"/>
      <c r="OAD93" s="580"/>
      <c r="OAE93" s="580"/>
      <c r="OAF93" s="580"/>
      <c r="OAG93" s="580"/>
      <c r="OAH93" s="580"/>
      <c r="OAI93" s="580"/>
      <c r="OAJ93" s="580"/>
      <c r="OAK93" s="580"/>
      <c r="OAL93" s="580"/>
      <c r="OAM93" s="580"/>
      <c r="OAN93" s="580"/>
      <c r="OAO93" s="580"/>
      <c r="OAP93" s="580"/>
      <c r="OAQ93" s="580"/>
      <c r="OAR93" s="580"/>
      <c r="OAS93" s="580"/>
      <c r="OAT93" s="580"/>
      <c r="OAU93" s="580"/>
      <c r="OAV93" s="580"/>
      <c r="OAW93" s="580"/>
      <c r="OAX93" s="580"/>
      <c r="OAY93" s="580"/>
      <c r="OAZ93" s="580"/>
      <c r="OBA93" s="580"/>
      <c r="OBB93" s="580"/>
      <c r="OBC93" s="580"/>
      <c r="OBD93" s="580"/>
      <c r="OBE93" s="580"/>
      <c r="OBF93" s="580"/>
      <c r="OBG93" s="580"/>
      <c r="OBH93" s="580"/>
      <c r="OBI93" s="580"/>
      <c r="OBJ93" s="580"/>
      <c r="OBK93" s="580"/>
      <c r="OBL93" s="580"/>
      <c r="OBM93" s="580"/>
      <c r="OBN93" s="580"/>
      <c r="OBO93" s="580"/>
      <c r="OBP93" s="580"/>
      <c r="OBQ93" s="580"/>
      <c r="OBR93" s="580"/>
      <c r="OBS93" s="580"/>
      <c r="OBT93" s="580"/>
      <c r="OBU93" s="580"/>
      <c r="OBV93" s="580"/>
      <c r="OBW93" s="580"/>
      <c r="OBX93" s="580"/>
      <c r="OBY93" s="580"/>
      <c r="OBZ93" s="580"/>
      <c r="OCA93" s="580"/>
      <c r="OCB93" s="580"/>
      <c r="OCC93" s="580"/>
      <c r="OCD93" s="580"/>
      <c r="OCE93" s="580"/>
      <c r="OCF93" s="580"/>
      <c r="OCG93" s="580"/>
      <c r="OCH93" s="580"/>
      <c r="OCI93" s="580"/>
      <c r="OCJ93" s="580"/>
      <c r="OCK93" s="580"/>
      <c r="OCL93" s="580"/>
      <c r="OCM93" s="580"/>
      <c r="OCN93" s="580"/>
      <c r="OCO93" s="580"/>
      <c r="OCP93" s="580"/>
      <c r="OCQ93" s="580"/>
      <c r="OCR93" s="580"/>
      <c r="OCS93" s="580"/>
      <c r="OCT93" s="580"/>
      <c r="OCU93" s="580"/>
      <c r="OCV93" s="580"/>
      <c r="OCW93" s="580"/>
      <c r="OCX93" s="580"/>
      <c r="OCY93" s="580"/>
      <c r="OCZ93" s="580"/>
      <c r="ODA93" s="580"/>
      <c r="ODB93" s="580"/>
      <c r="ODC93" s="580"/>
      <c r="ODD93" s="580"/>
      <c r="ODE93" s="580"/>
      <c r="ODF93" s="580"/>
      <c r="ODG93" s="580"/>
      <c r="ODH93" s="580"/>
      <c r="ODI93" s="580"/>
      <c r="ODJ93" s="580"/>
      <c r="ODK93" s="580"/>
      <c r="ODL93" s="580"/>
      <c r="ODM93" s="580"/>
      <c r="ODN93" s="580"/>
      <c r="ODO93" s="580"/>
      <c r="ODP93" s="580"/>
      <c r="ODQ93" s="580"/>
      <c r="ODR93" s="580"/>
      <c r="ODS93" s="580"/>
      <c r="ODT93" s="580"/>
      <c r="ODU93" s="580"/>
      <c r="ODV93" s="580"/>
      <c r="ODW93" s="580"/>
      <c r="ODX93" s="580"/>
      <c r="ODY93" s="580"/>
      <c r="ODZ93" s="580"/>
      <c r="OEA93" s="580"/>
      <c r="OEB93" s="580"/>
      <c r="OEC93" s="580"/>
      <c r="OED93" s="580"/>
      <c r="OEE93" s="580"/>
      <c r="OEF93" s="580"/>
      <c r="OEG93" s="580"/>
      <c r="OEH93" s="580"/>
      <c r="OEI93" s="580"/>
      <c r="OEJ93" s="580"/>
      <c r="OEK93" s="580"/>
      <c r="OEL93" s="580"/>
      <c r="OEM93" s="580"/>
      <c r="OEN93" s="580"/>
      <c r="OEO93" s="580"/>
      <c r="OEP93" s="580"/>
      <c r="OEQ93" s="580"/>
      <c r="OER93" s="580"/>
      <c r="OES93" s="580"/>
      <c r="OET93" s="580"/>
      <c r="OEU93" s="580"/>
      <c r="OEV93" s="580"/>
      <c r="OEW93" s="580"/>
      <c r="OEX93" s="580"/>
      <c r="OEY93" s="580"/>
      <c r="OEZ93" s="580"/>
      <c r="OFA93" s="580"/>
      <c r="OFB93" s="580"/>
      <c r="OFC93" s="580"/>
      <c r="OFD93" s="580"/>
      <c r="OFE93" s="580"/>
      <c r="OFF93" s="580"/>
      <c r="OFG93" s="580"/>
      <c r="OFH93" s="580"/>
      <c r="OFI93" s="580"/>
      <c r="OFJ93" s="580"/>
      <c r="OFK93" s="580"/>
      <c r="OFL93" s="580"/>
      <c r="OFM93" s="580"/>
      <c r="OFN93" s="580"/>
      <c r="OFO93" s="580"/>
      <c r="OFP93" s="580"/>
      <c r="OFQ93" s="580"/>
      <c r="OFR93" s="580"/>
      <c r="OFS93" s="580"/>
      <c r="OFT93" s="580"/>
      <c r="OFU93" s="580"/>
      <c r="OFV93" s="580"/>
      <c r="OFW93" s="580"/>
      <c r="OFX93" s="580"/>
      <c r="OFY93" s="580"/>
      <c r="OFZ93" s="580"/>
      <c r="OGA93" s="580"/>
      <c r="OGB93" s="580"/>
      <c r="OGC93" s="580"/>
      <c r="OGD93" s="580"/>
      <c r="OGE93" s="580"/>
      <c r="OGF93" s="580"/>
      <c r="OGG93" s="580"/>
      <c r="OGH93" s="580"/>
      <c r="OGI93" s="580"/>
      <c r="OGJ93" s="580"/>
      <c r="OGK93" s="580"/>
      <c r="OGL93" s="580"/>
      <c r="OGM93" s="580"/>
      <c r="OGN93" s="580"/>
      <c r="OGO93" s="580"/>
      <c r="OGP93" s="580"/>
      <c r="OGQ93" s="580"/>
      <c r="OGR93" s="580"/>
      <c r="OGS93" s="580"/>
      <c r="OGT93" s="580"/>
      <c r="OGU93" s="580"/>
      <c r="OGV93" s="580"/>
      <c r="OGW93" s="580"/>
      <c r="OGX93" s="580"/>
      <c r="OGY93" s="580"/>
      <c r="OGZ93" s="580"/>
      <c r="OHA93" s="580"/>
      <c r="OHB93" s="580"/>
      <c r="OHC93" s="580"/>
      <c r="OHD93" s="580"/>
      <c r="OHE93" s="580"/>
      <c r="OHF93" s="580"/>
      <c r="OHG93" s="580"/>
      <c r="OHH93" s="580"/>
      <c r="OHI93" s="580"/>
      <c r="OHJ93" s="580"/>
      <c r="OHK93" s="580"/>
      <c r="OHL93" s="580"/>
      <c r="OHM93" s="580"/>
      <c r="OHN93" s="580"/>
      <c r="OHO93" s="580"/>
      <c r="OHP93" s="580"/>
      <c r="OHQ93" s="580"/>
      <c r="OHR93" s="580"/>
      <c r="OHS93" s="580"/>
      <c r="OHT93" s="580"/>
      <c r="OHU93" s="580"/>
      <c r="OHV93" s="580"/>
      <c r="OHW93" s="580"/>
      <c r="OHX93" s="580"/>
      <c r="OHY93" s="580"/>
      <c r="OHZ93" s="580"/>
      <c r="OIA93" s="580"/>
      <c r="OIB93" s="580"/>
      <c r="OIC93" s="580"/>
      <c r="OID93" s="580"/>
      <c r="OIE93" s="580"/>
      <c r="OIF93" s="580"/>
      <c r="OIG93" s="580"/>
      <c r="OIH93" s="580"/>
      <c r="OII93" s="580"/>
      <c r="OIJ93" s="580"/>
      <c r="OIK93" s="580"/>
      <c r="OIL93" s="580"/>
      <c r="OIM93" s="580"/>
      <c r="OIN93" s="580"/>
      <c r="OIO93" s="580"/>
      <c r="OIP93" s="580"/>
      <c r="OIQ93" s="580"/>
      <c r="OIR93" s="580"/>
      <c r="OIS93" s="580"/>
      <c r="OIT93" s="580"/>
      <c r="OIU93" s="580"/>
      <c r="OIV93" s="580"/>
      <c r="OIW93" s="580"/>
      <c r="OIX93" s="580"/>
      <c r="OIY93" s="580"/>
      <c r="OIZ93" s="580"/>
      <c r="OJA93" s="580"/>
      <c r="OJB93" s="580"/>
      <c r="OJC93" s="580"/>
      <c r="OJD93" s="580"/>
      <c r="OJE93" s="580"/>
      <c r="OJF93" s="580"/>
      <c r="OJG93" s="580"/>
      <c r="OJH93" s="580"/>
      <c r="OJI93" s="580"/>
      <c r="OJJ93" s="580"/>
      <c r="OJK93" s="580"/>
      <c r="OJL93" s="580"/>
      <c r="OJM93" s="580"/>
      <c r="OJN93" s="580"/>
      <c r="OJO93" s="580"/>
      <c r="OJP93" s="580"/>
      <c r="OJQ93" s="580"/>
      <c r="OJR93" s="580"/>
      <c r="OJS93" s="580"/>
      <c r="OJT93" s="580"/>
      <c r="OJU93" s="580"/>
      <c r="OJV93" s="580"/>
      <c r="OJW93" s="580"/>
      <c r="OJX93" s="580"/>
      <c r="OJY93" s="580"/>
      <c r="OJZ93" s="580"/>
      <c r="OKA93" s="580"/>
      <c r="OKB93" s="580"/>
      <c r="OKC93" s="580"/>
      <c r="OKD93" s="580"/>
      <c r="OKE93" s="580"/>
      <c r="OKF93" s="580"/>
      <c r="OKG93" s="580"/>
      <c r="OKH93" s="580"/>
      <c r="OKI93" s="580"/>
      <c r="OKJ93" s="580"/>
      <c r="OKK93" s="580"/>
      <c r="OKL93" s="580"/>
      <c r="OKM93" s="580"/>
      <c r="OKN93" s="580"/>
      <c r="OKO93" s="580"/>
      <c r="OKP93" s="580"/>
      <c r="OKQ93" s="580"/>
      <c r="OKR93" s="580"/>
      <c r="OKS93" s="580"/>
      <c r="OKT93" s="580"/>
      <c r="OKU93" s="580"/>
      <c r="OKV93" s="580"/>
      <c r="OKW93" s="580"/>
      <c r="OKX93" s="580"/>
      <c r="OKY93" s="580"/>
      <c r="OKZ93" s="580"/>
      <c r="OLA93" s="580"/>
      <c r="OLB93" s="580"/>
      <c r="OLC93" s="580"/>
      <c r="OLD93" s="580"/>
      <c r="OLE93" s="580"/>
      <c r="OLF93" s="580"/>
      <c r="OLG93" s="580"/>
      <c r="OLH93" s="580"/>
      <c r="OLI93" s="580"/>
      <c r="OLJ93" s="580"/>
      <c r="OLK93" s="580"/>
      <c r="OLL93" s="580"/>
      <c r="OLM93" s="580"/>
      <c r="OLN93" s="580"/>
      <c r="OLO93" s="580"/>
      <c r="OLP93" s="580"/>
      <c r="OLQ93" s="580"/>
      <c r="OLR93" s="580"/>
      <c r="OLS93" s="580"/>
      <c r="OLT93" s="580"/>
      <c r="OLU93" s="580"/>
      <c r="OLV93" s="580"/>
      <c r="OLW93" s="580"/>
      <c r="OLX93" s="580"/>
      <c r="OLY93" s="580"/>
      <c r="OLZ93" s="580"/>
      <c r="OMA93" s="580"/>
      <c r="OMB93" s="580"/>
      <c r="OMC93" s="580"/>
      <c r="OMD93" s="580"/>
      <c r="OME93" s="580"/>
      <c r="OMF93" s="580"/>
      <c r="OMG93" s="580"/>
      <c r="OMH93" s="580"/>
      <c r="OMI93" s="580"/>
      <c r="OMJ93" s="580"/>
      <c r="OMK93" s="580"/>
      <c r="OML93" s="580"/>
      <c r="OMM93" s="580"/>
      <c r="OMN93" s="580"/>
      <c r="OMO93" s="580"/>
      <c r="OMP93" s="580"/>
      <c r="OMQ93" s="580"/>
      <c r="OMR93" s="580"/>
      <c r="OMS93" s="580"/>
      <c r="OMT93" s="580"/>
      <c r="OMU93" s="580"/>
      <c r="OMV93" s="580"/>
      <c r="OMW93" s="580"/>
      <c r="OMX93" s="580"/>
      <c r="OMY93" s="580"/>
      <c r="OMZ93" s="580"/>
      <c r="ONA93" s="580"/>
      <c r="ONB93" s="580"/>
      <c r="ONC93" s="580"/>
      <c r="OND93" s="580"/>
      <c r="ONE93" s="580"/>
      <c r="ONF93" s="580"/>
      <c r="ONG93" s="580"/>
      <c r="ONH93" s="580"/>
      <c r="ONI93" s="580"/>
      <c r="ONJ93" s="580"/>
      <c r="ONK93" s="580"/>
      <c r="ONL93" s="580"/>
      <c r="ONM93" s="580"/>
      <c r="ONN93" s="580"/>
      <c r="ONO93" s="580"/>
      <c r="ONP93" s="580"/>
      <c r="ONQ93" s="580"/>
      <c r="ONR93" s="580"/>
      <c r="ONS93" s="580"/>
      <c r="ONT93" s="580"/>
      <c r="ONU93" s="580"/>
      <c r="ONV93" s="580"/>
      <c r="ONW93" s="580"/>
      <c r="ONX93" s="580"/>
      <c r="ONY93" s="580"/>
      <c r="ONZ93" s="580"/>
      <c r="OOA93" s="580"/>
      <c r="OOB93" s="580"/>
      <c r="OOC93" s="580"/>
      <c r="OOD93" s="580"/>
      <c r="OOE93" s="580"/>
      <c r="OOF93" s="580"/>
      <c r="OOG93" s="580"/>
      <c r="OOH93" s="580"/>
      <c r="OOI93" s="580"/>
      <c r="OOJ93" s="580"/>
      <c r="OOK93" s="580"/>
      <c r="OOL93" s="580"/>
      <c r="OOM93" s="580"/>
      <c r="OON93" s="580"/>
      <c r="OOO93" s="580"/>
      <c r="OOP93" s="580"/>
      <c r="OOQ93" s="580"/>
      <c r="OOR93" s="580"/>
      <c r="OOS93" s="580"/>
      <c r="OOT93" s="580"/>
      <c r="OOU93" s="580"/>
      <c r="OOV93" s="580"/>
      <c r="OOW93" s="580"/>
      <c r="OOX93" s="580"/>
      <c r="OOY93" s="580"/>
      <c r="OOZ93" s="580"/>
      <c r="OPA93" s="580"/>
      <c r="OPB93" s="580"/>
      <c r="OPC93" s="580"/>
      <c r="OPD93" s="580"/>
      <c r="OPE93" s="580"/>
      <c r="OPF93" s="580"/>
      <c r="OPG93" s="580"/>
      <c r="OPH93" s="580"/>
      <c r="OPI93" s="580"/>
      <c r="OPJ93" s="580"/>
      <c r="OPK93" s="580"/>
      <c r="OPL93" s="580"/>
      <c r="OPM93" s="580"/>
      <c r="OPN93" s="580"/>
      <c r="OPO93" s="580"/>
      <c r="OPP93" s="580"/>
      <c r="OPQ93" s="580"/>
      <c r="OPR93" s="580"/>
      <c r="OPS93" s="580"/>
      <c r="OPT93" s="580"/>
      <c r="OPU93" s="580"/>
      <c r="OPV93" s="580"/>
      <c r="OPW93" s="580"/>
      <c r="OPX93" s="580"/>
      <c r="OPY93" s="580"/>
      <c r="OPZ93" s="580"/>
      <c r="OQA93" s="580"/>
      <c r="OQB93" s="580"/>
      <c r="OQC93" s="580"/>
      <c r="OQD93" s="580"/>
      <c r="OQE93" s="580"/>
      <c r="OQF93" s="580"/>
      <c r="OQG93" s="580"/>
      <c r="OQH93" s="580"/>
      <c r="OQI93" s="580"/>
      <c r="OQJ93" s="580"/>
      <c r="OQK93" s="580"/>
      <c r="OQL93" s="580"/>
      <c r="OQM93" s="580"/>
      <c r="OQN93" s="580"/>
      <c r="OQO93" s="580"/>
      <c r="OQP93" s="580"/>
      <c r="OQQ93" s="580"/>
      <c r="OQR93" s="580"/>
      <c r="OQS93" s="580"/>
      <c r="OQT93" s="580"/>
      <c r="OQU93" s="580"/>
      <c r="OQV93" s="580"/>
      <c r="OQW93" s="580"/>
      <c r="OQX93" s="580"/>
      <c r="OQY93" s="580"/>
      <c r="OQZ93" s="580"/>
      <c r="ORA93" s="580"/>
      <c r="ORB93" s="580"/>
      <c r="ORC93" s="580"/>
      <c r="ORD93" s="580"/>
      <c r="ORE93" s="580"/>
      <c r="ORF93" s="580"/>
      <c r="ORG93" s="580"/>
      <c r="ORH93" s="580"/>
      <c r="ORI93" s="580"/>
      <c r="ORJ93" s="580"/>
      <c r="ORK93" s="580"/>
      <c r="ORL93" s="580"/>
      <c r="ORM93" s="580"/>
      <c r="ORN93" s="580"/>
      <c r="ORO93" s="580"/>
      <c r="ORP93" s="580"/>
      <c r="ORQ93" s="580"/>
      <c r="ORR93" s="580"/>
      <c r="ORS93" s="580"/>
      <c r="ORT93" s="580"/>
      <c r="ORU93" s="580"/>
      <c r="ORV93" s="580"/>
      <c r="ORW93" s="580"/>
      <c r="ORX93" s="580"/>
      <c r="ORY93" s="580"/>
      <c r="ORZ93" s="580"/>
      <c r="OSA93" s="580"/>
      <c r="OSB93" s="580"/>
      <c r="OSC93" s="580"/>
      <c r="OSD93" s="580"/>
      <c r="OSE93" s="580"/>
      <c r="OSF93" s="580"/>
      <c r="OSG93" s="580"/>
      <c r="OSH93" s="580"/>
      <c r="OSI93" s="580"/>
      <c r="OSJ93" s="580"/>
      <c r="OSK93" s="580"/>
      <c r="OSL93" s="580"/>
      <c r="OSM93" s="580"/>
      <c r="OSN93" s="580"/>
      <c r="OSO93" s="580"/>
      <c r="OSP93" s="580"/>
      <c r="OSQ93" s="580"/>
      <c r="OSR93" s="580"/>
      <c r="OSS93" s="580"/>
      <c r="OST93" s="580"/>
      <c r="OSU93" s="580"/>
      <c r="OSV93" s="580"/>
      <c r="OSW93" s="580"/>
      <c r="OSX93" s="580"/>
      <c r="OSY93" s="580"/>
      <c r="OSZ93" s="580"/>
      <c r="OTA93" s="580"/>
      <c r="OTB93" s="580"/>
      <c r="OTC93" s="580"/>
      <c r="OTD93" s="580"/>
      <c r="OTE93" s="580"/>
      <c r="OTF93" s="580"/>
      <c r="OTG93" s="580"/>
      <c r="OTH93" s="580"/>
      <c r="OTI93" s="580"/>
      <c r="OTJ93" s="580"/>
      <c r="OTK93" s="580"/>
      <c r="OTL93" s="580"/>
      <c r="OTM93" s="580"/>
      <c r="OTN93" s="580"/>
      <c r="OTO93" s="580"/>
      <c r="OTP93" s="580"/>
      <c r="OTQ93" s="580"/>
      <c r="OTR93" s="580"/>
      <c r="OTS93" s="580"/>
      <c r="OTT93" s="580"/>
      <c r="OTU93" s="580"/>
      <c r="OTV93" s="580"/>
      <c r="OTW93" s="580"/>
      <c r="OTX93" s="580"/>
      <c r="OTY93" s="580"/>
      <c r="OTZ93" s="580"/>
      <c r="OUA93" s="580"/>
      <c r="OUB93" s="580"/>
      <c r="OUC93" s="580"/>
      <c r="OUD93" s="580"/>
      <c r="OUE93" s="580"/>
      <c r="OUF93" s="580"/>
      <c r="OUG93" s="580"/>
      <c r="OUH93" s="580"/>
      <c r="OUI93" s="580"/>
      <c r="OUJ93" s="580"/>
      <c r="OUK93" s="580"/>
      <c r="OUL93" s="580"/>
      <c r="OUM93" s="580"/>
      <c r="OUN93" s="580"/>
      <c r="OUO93" s="580"/>
      <c r="OUP93" s="580"/>
      <c r="OUQ93" s="580"/>
      <c r="OUR93" s="580"/>
      <c r="OUS93" s="580"/>
      <c r="OUT93" s="580"/>
      <c r="OUU93" s="580"/>
      <c r="OUV93" s="580"/>
      <c r="OUW93" s="580"/>
      <c r="OUX93" s="580"/>
      <c r="OUY93" s="580"/>
      <c r="OUZ93" s="580"/>
      <c r="OVA93" s="580"/>
      <c r="OVB93" s="580"/>
      <c r="OVC93" s="580"/>
      <c r="OVD93" s="580"/>
      <c r="OVE93" s="580"/>
      <c r="OVF93" s="580"/>
      <c r="OVG93" s="580"/>
      <c r="OVH93" s="580"/>
      <c r="OVI93" s="580"/>
      <c r="OVJ93" s="580"/>
      <c r="OVK93" s="580"/>
      <c r="OVL93" s="580"/>
      <c r="OVM93" s="580"/>
      <c r="OVN93" s="580"/>
      <c r="OVO93" s="580"/>
      <c r="OVP93" s="580"/>
      <c r="OVQ93" s="580"/>
      <c r="OVR93" s="580"/>
      <c r="OVS93" s="580"/>
      <c r="OVT93" s="580"/>
      <c r="OVU93" s="580"/>
      <c r="OVV93" s="580"/>
      <c r="OVW93" s="580"/>
      <c r="OVX93" s="580"/>
      <c r="OVY93" s="580"/>
      <c r="OVZ93" s="580"/>
      <c r="OWA93" s="580"/>
      <c r="OWB93" s="580"/>
      <c r="OWC93" s="580"/>
      <c r="OWD93" s="580"/>
      <c r="OWE93" s="580"/>
      <c r="OWF93" s="580"/>
      <c r="OWG93" s="580"/>
      <c r="OWH93" s="580"/>
      <c r="OWI93" s="580"/>
      <c r="OWJ93" s="580"/>
      <c r="OWK93" s="580"/>
      <c r="OWL93" s="580"/>
      <c r="OWM93" s="580"/>
      <c r="OWN93" s="580"/>
      <c r="OWO93" s="580"/>
      <c r="OWP93" s="580"/>
      <c r="OWQ93" s="580"/>
      <c r="OWR93" s="580"/>
      <c r="OWS93" s="580"/>
      <c r="OWT93" s="580"/>
      <c r="OWU93" s="580"/>
      <c r="OWV93" s="580"/>
      <c r="OWW93" s="580"/>
      <c r="OWX93" s="580"/>
      <c r="OWY93" s="580"/>
      <c r="OWZ93" s="580"/>
      <c r="OXA93" s="580"/>
      <c r="OXB93" s="580"/>
      <c r="OXC93" s="580"/>
      <c r="OXD93" s="580"/>
      <c r="OXE93" s="580"/>
      <c r="OXF93" s="580"/>
      <c r="OXG93" s="580"/>
      <c r="OXH93" s="580"/>
      <c r="OXI93" s="580"/>
      <c r="OXJ93" s="580"/>
      <c r="OXK93" s="580"/>
      <c r="OXL93" s="580"/>
      <c r="OXM93" s="580"/>
      <c r="OXN93" s="580"/>
      <c r="OXO93" s="580"/>
      <c r="OXP93" s="580"/>
      <c r="OXQ93" s="580"/>
      <c r="OXR93" s="580"/>
      <c r="OXS93" s="580"/>
      <c r="OXT93" s="580"/>
      <c r="OXU93" s="580"/>
      <c r="OXV93" s="580"/>
      <c r="OXW93" s="580"/>
      <c r="OXX93" s="580"/>
      <c r="OXY93" s="580"/>
      <c r="OXZ93" s="580"/>
      <c r="OYA93" s="580"/>
      <c r="OYB93" s="580"/>
      <c r="OYC93" s="580"/>
      <c r="OYD93" s="580"/>
      <c r="OYE93" s="580"/>
      <c r="OYF93" s="580"/>
      <c r="OYG93" s="580"/>
      <c r="OYH93" s="580"/>
      <c r="OYI93" s="580"/>
      <c r="OYJ93" s="580"/>
      <c r="OYK93" s="580"/>
      <c r="OYL93" s="580"/>
      <c r="OYM93" s="580"/>
      <c r="OYN93" s="580"/>
      <c r="OYO93" s="580"/>
      <c r="OYP93" s="580"/>
      <c r="OYQ93" s="580"/>
      <c r="OYR93" s="580"/>
      <c r="OYS93" s="580"/>
      <c r="OYT93" s="580"/>
      <c r="OYU93" s="580"/>
      <c r="OYV93" s="580"/>
      <c r="OYW93" s="580"/>
      <c r="OYX93" s="580"/>
      <c r="OYY93" s="580"/>
      <c r="OYZ93" s="580"/>
      <c r="OZA93" s="580"/>
      <c r="OZB93" s="580"/>
      <c r="OZC93" s="580"/>
      <c r="OZD93" s="580"/>
      <c r="OZE93" s="580"/>
      <c r="OZF93" s="580"/>
      <c r="OZG93" s="580"/>
      <c r="OZH93" s="580"/>
      <c r="OZI93" s="580"/>
      <c r="OZJ93" s="580"/>
      <c r="OZK93" s="580"/>
      <c r="OZL93" s="580"/>
      <c r="OZM93" s="580"/>
      <c r="OZN93" s="580"/>
      <c r="OZO93" s="580"/>
      <c r="OZP93" s="580"/>
      <c r="OZQ93" s="580"/>
      <c r="OZR93" s="580"/>
      <c r="OZS93" s="580"/>
      <c r="OZT93" s="580"/>
      <c r="OZU93" s="580"/>
      <c r="OZV93" s="580"/>
      <c r="OZW93" s="580"/>
      <c r="OZX93" s="580"/>
      <c r="OZY93" s="580"/>
      <c r="OZZ93" s="580"/>
      <c r="PAA93" s="580"/>
      <c r="PAB93" s="580"/>
      <c r="PAC93" s="580"/>
      <c r="PAD93" s="580"/>
      <c r="PAE93" s="580"/>
      <c r="PAF93" s="580"/>
      <c r="PAG93" s="580"/>
      <c r="PAH93" s="580"/>
      <c r="PAI93" s="580"/>
      <c r="PAJ93" s="580"/>
      <c r="PAK93" s="580"/>
      <c r="PAL93" s="580"/>
      <c r="PAM93" s="580"/>
      <c r="PAN93" s="580"/>
      <c r="PAO93" s="580"/>
      <c r="PAP93" s="580"/>
      <c r="PAQ93" s="580"/>
      <c r="PAR93" s="580"/>
      <c r="PAS93" s="580"/>
      <c r="PAT93" s="580"/>
      <c r="PAU93" s="580"/>
      <c r="PAV93" s="580"/>
      <c r="PAW93" s="580"/>
      <c r="PAX93" s="580"/>
      <c r="PAY93" s="580"/>
      <c r="PAZ93" s="580"/>
      <c r="PBA93" s="580"/>
      <c r="PBB93" s="580"/>
      <c r="PBC93" s="580"/>
      <c r="PBD93" s="580"/>
      <c r="PBE93" s="580"/>
      <c r="PBF93" s="580"/>
      <c r="PBG93" s="580"/>
      <c r="PBH93" s="580"/>
      <c r="PBI93" s="580"/>
      <c r="PBJ93" s="580"/>
      <c r="PBK93" s="580"/>
      <c r="PBL93" s="580"/>
      <c r="PBM93" s="580"/>
      <c r="PBN93" s="580"/>
      <c r="PBO93" s="580"/>
      <c r="PBP93" s="580"/>
      <c r="PBQ93" s="580"/>
      <c r="PBR93" s="580"/>
      <c r="PBS93" s="580"/>
      <c r="PBT93" s="580"/>
      <c r="PBU93" s="580"/>
      <c r="PBV93" s="580"/>
      <c r="PBW93" s="580"/>
      <c r="PBX93" s="580"/>
      <c r="PBY93" s="580"/>
      <c r="PBZ93" s="580"/>
      <c r="PCA93" s="580"/>
      <c r="PCB93" s="580"/>
      <c r="PCC93" s="580"/>
      <c r="PCD93" s="580"/>
      <c r="PCE93" s="580"/>
      <c r="PCF93" s="580"/>
      <c r="PCG93" s="580"/>
      <c r="PCH93" s="580"/>
      <c r="PCI93" s="580"/>
      <c r="PCJ93" s="580"/>
      <c r="PCK93" s="580"/>
      <c r="PCL93" s="580"/>
      <c r="PCM93" s="580"/>
      <c r="PCN93" s="580"/>
      <c r="PCO93" s="580"/>
      <c r="PCP93" s="580"/>
      <c r="PCQ93" s="580"/>
      <c r="PCR93" s="580"/>
      <c r="PCS93" s="580"/>
      <c r="PCT93" s="580"/>
      <c r="PCU93" s="580"/>
      <c r="PCV93" s="580"/>
      <c r="PCW93" s="580"/>
      <c r="PCX93" s="580"/>
      <c r="PCY93" s="580"/>
      <c r="PCZ93" s="580"/>
      <c r="PDA93" s="580"/>
      <c r="PDB93" s="580"/>
      <c r="PDC93" s="580"/>
      <c r="PDD93" s="580"/>
      <c r="PDE93" s="580"/>
      <c r="PDF93" s="580"/>
      <c r="PDG93" s="580"/>
      <c r="PDH93" s="580"/>
      <c r="PDI93" s="580"/>
      <c r="PDJ93" s="580"/>
      <c r="PDK93" s="580"/>
      <c r="PDL93" s="580"/>
      <c r="PDM93" s="580"/>
      <c r="PDN93" s="580"/>
      <c r="PDO93" s="580"/>
      <c r="PDP93" s="580"/>
      <c r="PDQ93" s="580"/>
      <c r="PDR93" s="580"/>
      <c r="PDS93" s="580"/>
      <c r="PDT93" s="580"/>
      <c r="PDU93" s="580"/>
      <c r="PDV93" s="580"/>
      <c r="PDW93" s="580"/>
      <c r="PDX93" s="580"/>
      <c r="PDY93" s="580"/>
      <c r="PDZ93" s="580"/>
      <c r="PEA93" s="580"/>
      <c r="PEB93" s="580"/>
      <c r="PEC93" s="580"/>
      <c r="PED93" s="580"/>
      <c r="PEE93" s="580"/>
      <c r="PEF93" s="580"/>
      <c r="PEG93" s="580"/>
      <c r="PEH93" s="580"/>
      <c r="PEI93" s="580"/>
      <c r="PEJ93" s="580"/>
      <c r="PEK93" s="580"/>
      <c r="PEL93" s="580"/>
      <c r="PEM93" s="580"/>
      <c r="PEN93" s="580"/>
      <c r="PEO93" s="580"/>
      <c r="PEP93" s="580"/>
      <c r="PEQ93" s="580"/>
      <c r="PER93" s="580"/>
      <c r="PES93" s="580"/>
      <c r="PET93" s="580"/>
      <c r="PEU93" s="580"/>
      <c r="PEV93" s="580"/>
      <c r="PEW93" s="580"/>
      <c r="PEX93" s="580"/>
      <c r="PEY93" s="580"/>
      <c r="PEZ93" s="580"/>
      <c r="PFA93" s="580"/>
      <c r="PFB93" s="580"/>
      <c r="PFC93" s="580"/>
      <c r="PFD93" s="580"/>
      <c r="PFE93" s="580"/>
      <c r="PFF93" s="580"/>
      <c r="PFG93" s="580"/>
      <c r="PFH93" s="580"/>
      <c r="PFI93" s="580"/>
      <c r="PFJ93" s="580"/>
      <c r="PFK93" s="580"/>
      <c r="PFL93" s="580"/>
      <c r="PFM93" s="580"/>
      <c r="PFN93" s="580"/>
      <c r="PFO93" s="580"/>
      <c r="PFP93" s="580"/>
      <c r="PFQ93" s="580"/>
      <c r="PFR93" s="580"/>
      <c r="PFS93" s="580"/>
      <c r="PFT93" s="580"/>
      <c r="PFU93" s="580"/>
      <c r="PFV93" s="580"/>
      <c r="PFW93" s="580"/>
      <c r="PFX93" s="580"/>
      <c r="PFY93" s="580"/>
      <c r="PFZ93" s="580"/>
      <c r="PGA93" s="580"/>
      <c r="PGB93" s="580"/>
      <c r="PGC93" s="580"/>
      <c r="PGD93" s="580"/>
      <c r="PGE93" s="580"/>
      <c r="PGF93" s="580"/>
      <c r="PGG93" s="580"/>
      <c r="PGH93" s="580"/>
      <c r="PGI93" s="580"/>
      <c r="PGJ93" s="580"/>
      <c r="PGK93" s="580"/>
      <c r="PGL93" s="580"/>
      <c r="PGM93" s="580"/>
      <c r="PGN93" s="580"/>
      <c r="PGO93" s="580"/>
      <c r="PGP93" s="580"/>
      <c r="PGQ93" s="580"/>
      <c r="PGR93" s="580"/>
      <c r="PGS93" s="580"/>
      <c r="PGT93" s="580"/>
      <c r="PGU93" s="580"/>
      <c r="PGV93" s="580"/>
      <c r="PGW93" s="580"/>
      <c r="PGX93" s="580"/>
      <c r="PGY93" s="580"/>
      <c r="PGZ93" s="580"/>
      <c r="PHA93" s="580"/>
      <c r="PHB93" s="580"/>
      <c r="PHC93" s="580"/>
      <c r="PHD93" s="580"/>
      <c r="PHE93" s="580"/>
      <c r="PHF93" s="580"/>
      <c r="PHG93" s="580"/>
      <c r="PHH93" s="580"/>
      <c r="PHI93" s="580"/>
      <c r="PHJ93" s="580"/>
      <c r="PHK93" s="580"/>
      <c r="PHL93" s="580"/>
      <c r="PHM93" s="580"/>
      <c r="PHN93" s="580"/>
      <c r="PHO93" s="580"/>
      <c r="PHP93" s="580"/>
      <c r="PHQ93" s="580"/>
      <c r="PHR93" s="580"/>
      <c r="PHS93" s="580"/>
      <c r="PHT93" s="580"/>
      <c r="PHU93" s="580"/>
      <c r="PHV93" s="580"/>
      <c r="PHW93" s="580"/>
      <c r="PHX93" s="580"/>
      <c r="PHY93" s="580"/>
      <c r="PHZ93" s="580"/>
      <c r="PIA93" s="580"/>
      <c r="PIB93" s="580"/>
      <c r="PIC93" s="580"/>
      <c r="PID93" s="580"/>
      <c r="PIE93" s="580"/>
      <c r="PIF93" s="580"/>
      <c r="PIG93" s="580"/>
      <c r="PIH93" s="580"/>
      <c r="PII93" s="580"/>
      <c r="PIJ93" s="580"/>
      <c r="PIK93" s="580"/>
      <c r="PIL93" s="580"/>
      <c r="PIM93" s="580"/>
      <c r="PIN93" s="580"/>
      <c r="PIO93" s="580"/>
      <c r="PIP93" s="580"/>
      <c r="PIQ93" s="580"/>
      <c r="PIR93" s="580"/>
      <c r="PIS93" s="580"/>
      <c r="PIT93" s="580"/>
      <c r="PIU93" s="580"/>
      <c r="PIV93" s="580"/>
      <c r="PIW93" s="580"/>
      <c r="PIX93" s="580"/>
      <c r="PIY93" s="580"/>
      <c r="PIZ93" s="580"/>
      <c r="PJA93" s="580"/>
      <c r="PJB93" s="580"/>
      <c r="PJC93" s="580"/>
      <c r="PJD93" s="580"/>
      <c r="PJE93" s="580"/>
      <c r="PJF93" s="580"/>
      <c r="PJG93" s="580"/>
      <c r="PJH93" s="580"/>
      <c r="PJI93" s="580"/>
      <c r="PJJ93" s="580"/>
      <c r="PJK93" s="580"/>
      <c r="PJL93" s="580"/>
      <c r="PJM93" s="580"/>
      <c r="PJN93" s="580"/>
      <c r="PJO93" s="580"/>
      <c r="PJP93" s="580"/>
      <c r="PJQ93" s="580"/>
      <c r="PJR93" s="580"/>
      <c r="PJS93" s="580"/>
      <c r="PJT93" s="580"/>
      <c r="PJU93" s="580"/>
      <c r="PJV93" s="580"/>
      <c r="PJW93" s="580"/>
      <c r="PJX93" s="580"/>
      <c r="PJY93" s="580"/>
      <c r="PJZ93" s="580"/>
      <c r="PKA93" s="580"/>
      <c r="PKB93" s="580"/>
      <c r="PKC93" s="580"/>
      <c r="PKD93" s="580"/>
      <c r="PKE93" s="580"/>
      <c r="PKF93" s="580"/>
      <c r="PKG93" s="580"/>
      <c r="PKH93" s="580"/>
      <c r="PKI93" s="580"/>
      <c r="PKJ93" s="580"/>
      <c r="PKK93" s="580"/>
      <c r="PKL93" s="580"/>
      <c r="PKM93" s="580"/>
      <c r="PKN93" s="580"/>
      <c r="PKO93" s="580"/>
      <c r="PKP93" s="580"/>
      <c r="PKQ93" s="580"/>
      <c r="PKR93" s="580"/>
      <c r="PKS93" s="580"/>
      <c r="PKT93" s="580"/>
      <c r="PKU93" s="580"/>
      <c r="PKV93" s="580"/>
      <c r="PKW93" s="580"/>
      <c r="PKX93" s="580"/>
      <c r="PKY93" s="580"/>
      <c r="PKZ93" s="580"/>
      <c r="PLA93" s="580"/>
      <c r="PLB93" s="580"/>
      <c r="PLC93" s="580"/>
      <c r="PLD93" s="580"/>
      <c r="PLE93" s="580"/>
      <c r="PLF93" s="580"/>
      <c r="PLG93" s="580"/>
      <c r="PLH93" s="580"/>
      <c r="PLI93" s="580"/>
      <c r="PLJ93" s="580"/>
      <c r="PLK93" s="580"/>
      <c r="PLL93" s="580"/>
      <c r="PLM93" s="580"/>
      <c r="PLN93" s="580"/>
      <c r="PLO93" s="580"/>
      <c r="PLP93" s="580"/>
      <c r="PLQ93" s="580"/>
      <c r="PLR93" s="580"/>
      <c r="PLS93" s="580"/>
      <c r="PLT93" s="580"/>
      <c r="PLU93" s="580"/>
      <c r="PLV93" s="580"/>
      <c r="PLW93" s="580"/>
      <c r="PLX93" s="580"/>
      <c r="PLY93" s="580"/>
      <c r="PLZ93" s="580"/>
      <c r="PMA93" s="580"/>
      <c r="PMB93" s="580"/>
      <c r="PMC93" s="580"/>
      <c r="PMD93" s="580"/>
      <c r="PME93" s="580"/>
      <c r="PMF93" s="580"/>
      <c r="PMG93" s="580"/>
      <c r="PMH93" s="580"/>
      <c r="PMI93" s="580"/>
      <c r="PMJ93" s="580"/>
      <c r="PMK93" s="580"/>
      <c r="PML93" s="580"/>
      <c r="PMM93" s="580"/>
      <c r="PMN93" s="580"/>
      <c r="PMO93" s="580"/>
      <c r="PMP93" s="580"/>
      <c r="PMQ93" s="580"/>
      <c r="PMR93" s="580"/>
      <c r="PMS93" s="580"/>
      <c r="PMT93" s="580"/>
      <c r="PMU93" s="580"/>
      <c r="PMV93" s="580"/>
      <c r="PMW93" s="580"/>
      <c r="PMX93" s="580"/>
      <c r="PMY93" s="580"/>
      <c r="PMZ93" s="580"/>
      <c r="PNA93" s="580"/>
      <c r="PNB93" s="580"/>
      <c r="PNC93" s="580"/>
      <c r="PND93" s="580"/>
      <c r="PNE93" s="580"/>
      <c r="PNF93" s="580"/>
      <c r="PNG93" s="580"/>
      <c r="PNH93" s="580"/>
      <c r="PNI93" s="580"/>
      <c r="PNJ93" s="580"/>
      <c r="PNK93" s="580"/>
      <c r="PNL93" s="580"/>
      <c r="PNM93" s="580"/>
      <c r="PNN93" s="580"/>
      <c r="PNO93" s="580"/>
      <c r="PNP93" s="580"/>
      <c r="PNQ93" s="580"/>
      <c r="PNR93" s="580"/>
      <c r="PNS93" s="580"/>
      <c r="PNT93" s="580"/>
      <c r="PNU93" s="580"/>
      <c r="PNV93" s="580"/>
      <c r="PNW93" s="580"/>
      <c r="PNX93" s="580"/>
      <c r="PNY93" s="580"/>
      <c r="PNZ93" s="580"/>
      <c r="POA93" s="580"/>
      <c r="POB93" s="580"/>
      <c r="POC93" s="580"/>
      <c r="POD93" s="580"/>
      <c r="POE93" s="580"/>
      <c r="POF93" s="580"/>
      <c r="POG93" s="580"/>
      <c r="POH93" s="580"/>
      <c r="POI93" s="580"/>
      <c r="POJ93" s="580"/>
      <c r="POK93" s="580"/>
      <c r="POL93" s="580"/>
      <c r="POM93" s="580"/>
      <c r="PON93" s="580"/>
      <c r="POO93" s="580"/>
      <c r="POP93" s="580"/>
      <c r="POQ93" s="580"/>
      <c r="POR93" s="580"/>
      <c r="POS93" s="580"/>
      <c r="POT93" s="580"/>
      <c r="POU93" s="580"/>
      <c r="POV93" s="580"/>
      <c r="POW93" s="580"/>
      <c r="POX93" s="580"/>
      <c r="POY93" s="580"/>
      <c r="POZ93" s="580"/>
      <c r="PPA93" s="580"/>
      <c r="PPB93" s="580"/>
      <c r="PPC93" s="580"/>
      <c r="PPD93" s="580"/>
      <c r="PPE93" s="580"/>
      <c r="PPF93" s="580"/>
      <c r="PPG93" s="580"/>
      <c r="PPH93" s="580"/>
      <c r="PPI93" s="580"/>
      <c r="PPJ93" s="580"/>
      <c r="PPK93" s="580"/>
      <c r="PPL93" s="580"/>
      <c r="PPM93" s="580"/>
      <c r="PPN93" s="580"/>
      <c r="PPO93" s="580"/>
      <c r="PPP93" s="580"/>
      <c r="PPQ93" s="580"/>
      <c r="PPR93" s="580"/>
      <c r="PPS93" s="580"/>
      <c r="PPT93" s="580"/>
      <c r="PPU93" s="580"/>
      <c r="PPV93" s="580"/>
      <c r="PPW93" s="580"/>
      <c r="PPX93" s="580"/>
      <c r="PPY93" s="580"/>
      <c r="PPZ93" s="580"/>
      <c r="PQA93" s="580"/>
      <c r="PQB93" s="580"/>
      <c r="PQC93" s="580"/>
      <c r="PQD93" s="580"/>
      <c r="PQE93" s="580"/>
      <c r="PQF93" s="580"/>
      <c r="PQG93" s="580"/>
      <c r="PQH93" s="580"/>
      <c r="PQI93" s="580"/>
      <c r="PQJ93" s="580"/>
      <c r="PQK93" s="580"/>
      <c r="PQL93" s="580"/>
      <c r="PQM93" s="580"/>
      <c r="PQN93" s="580"/>
      <c r="PQO93" s="580"/>
      <c r="PQP93" s="580"/>
      <c r="PQQ93" s="580"/>
      <c r="PQR93" s="580"/>
      <c r="PQS93" s="580"/>
      <c r="PQT93" s="580"/>
      <c r="PQU93" s="580"/>
      <c r="PQV93" s="580"/>
      <c r="PQW93" s="580"/>
      <c r="PQX93" s="580"/>
      <c r="PQY93" s="580"/>
      <c r="PQZ93" s="580"/>
      <c r="PRA93" s="580"/>
      <c r="PRB93" s="580"/>
      <c r="PRC93" s="580"/>
      <c r="PRD93" s="580"/>
      <c r="PRE93" s="580"/>
      <c r="PRF93" s="580"/>
      <c r="PRG93" s="580"/>
      <c r="PRH93" s="580"/>
      <c r="PRI93" s="580"/>
      <c r="PRJ93" s="580"/>
      <c r="PRK93" s="580"/>
      <c r="PRL93" s="580"/>
      <c r="PRM93" s="580"/>
      <c r="PRN93" s="580"/>
      <c r="PRO93" s="580"/>
      <c r="PRP93" s="580"/>
      <c r="PRQ93" s="580"/>
      <c r="PRR93" s="580"/>
      <c r="PRS93" s="580"/>
      <c r="PRT93" s="580"/>
      <c r="PRU93" s="580"/>
      <c r="PRV93" s="580"/>
      <c r="PRW93" s="580"/>
      <c r="PRX93" s="580"/>
      <c r="PRY93" s="580"/>
      <c r="PRZ93" s="580"/>
      <c r="PSA93" s="580"/>
      <c r="PSB93" s="580"/>
      <c r="PSC93" s="580"/>
      <c r="PSD93" s="580"/>
      <c r="PSE93" s="580"/>
      <c r="PSF93" s="580"/>
      <c r="PSG93" s="580"/>
      <c r="PSH93" s="580"/>
      <c r="PSI93" s="580"/>
      <c r="PSJ93" s="580"/>
      <c r="PSK93" s="580"/>
      <c r="PSL93" s="580"/>
      <c r="PSM93" s="580"/>
      <c r="PSN93" s="580"/>
      <c r="PSO93" s="580"/>
      <c r="PSP93" s="580"/>
      <c r="PSQ93" s="580"/>
      <c r="PSR93" s="580"/>
      <c r="PSS93" s="580"/>
      <c r="PST93" s="580"/>
      <c r="PSU93" s="580"/>
      <c r="PSV93" s="580"/>
      <c r="PSW93" s="580"/>
      <c r="PSX93" s="580"/>
      <c r="PSY93" s="580"/>
      <c r="PSZ93" s="580"/>
      <c r="PTA93" s="580"/>
      <c r="PTB93" s="580"/>
      <c r="PTC93" s="580"/>
      <c r="PTD93" s="580"/>
      <c r="PTE93" s="580"/>
      <c r="PTF93" s="580"/>
      <c r="PTG93" s="580"/>
      <c r="PTH93" s="580"/>
      <c r="PTI93" s="580"/>
      <c r="PTJ93" s="580"/>
      <c r="PTK93" s="580"/>
      <c r="PTL93" s="580"/>
      <c r="PTM93" s="580"/>
      <c r="PTN93" s="580"/>
      <c r="PTO93" s="580"/>
      <c r="PTP93" s="580"/>
      <c r="PTQ93" s="580"/>
      <c r="PTR93" s="580"/>
      <c r="PTS93" s="580"/>
      <c r="PTT93" s="580"/>
      <c r="PTU93" s="580"/>
      <c r="PTV93" s="580"/>
      <c r="PTW93" s="580"/>
      <c r="PTX93" s="580"/>
      <c r="PTY93" s="580"/>
      <c r="PTZ93" s="580"/>
      <c r="PUA93" s="580"/>
      <c r="PUB93" s="580"/>
      <c r="PUC93" s="580"/>
      <c r="PUD93" s="580"/>
      <c r="PUE93" s="580"/>
      <c r="PUF93" s="580"/>
      <c r="PUG93" s="580"/>
      <c r="PUH93" s="580"/>
      <c r="PUI93" s="580"/>
      <c r="PUJ93" s="580"/>
      <c r="PUK93" s="580"/>
      <c r="PUL93" s="580"/>
      <c r="PUM93" s="580"/>
      <c r="PUN93" s="580"/>
      <c r="PUO93" s="580"/>
      <c r="PUP93" s="580"/>
      <c r="PUQ93" s="580"/>
      <c r="PUR93" s="580"/>
      <c r="PUS93" s="580"/>
      <c r="PUT93" s="580"/>
      <c r="PUU93" s="580"/>
      <c r="PUV93" s="580"/>
      <c r="PUW93" s="580"/>
      <c r="PUX93" s="580"/>
      <c r="PUY93" s="580"/>
      <c r="PUZ93" s="580"/>
      <c r="PVA93" s="580"/>
      <c r="PVB93" s="580"/>
      <c r="PVC93" s="580"/>
      <c r="PVD93" s="580"/>
      <c r="PVE93" s="580"/>
      <c r="PVF93" s="580"/>
      <c r="PVG93" s="580"/>
      <c r="PVH93" s="580"/>
      <c r="PVI93" s="580"/>
      <c r="PVJ93" s="580"/>
      <c r="PVK93" s="580"/>
      <c r="PVL93" s="580"/>
      <c r="PVM93" s="580"/>
      <c r="PVN93" s="580"/>
      <c r="PVO93" s="580"/>
      <c r="PVP93" s="580"/>
      <c r="PVQ93" s="580"/>
      <c r="PVR93" s="580"/>
      <c r="PVS93" s="580"/>
      <c r="PVT93" s="580"/>
      <c r="PVU93" s="580"/>
      <c r="PVV93" s="580"/>
      <c r="PVW93" s="580"/>
      <c r="PVX93" s="580"/>
      <c r="PVY93" s="580"/>
      <c r="PVZ93" s="580"/>
      <c r="PWA93" s="580"/>
      <c r="PWB93" s="580"/>
      <c r="PWC93" s="580"/>
      <c r="PWD93" s="580"/>
      <c r="PWE93" s="580"/>
      <c r="PWF93" s="580"/>
      <c r="PWG93" s="580"/>
      <c r="PWH93" s="580"/>
      <c r="PWI93" s="580"/>
      <c r="PWJ93" s="580"/>
      <c r="PWK93" s="580"/>
      <c r="PWL93" s="580"/>
      <c r="PWM93" s="580"/>
      <c r="PWN93" s="580"/>
      <c r="PWO93" s="580"/>
      <c r="PWP93" s="580"/>
      <c r="PWQ93" s="580"/>
      <c r="PWR93" s="580"/>
      <c r="PWS93" s="580"/>
      <c r="PWT93" s="580"/>
      <c r="PWU93" s="580"/>
      <c r="PWV93" s="580"/>
      <c r="PWW93" s="580"/>
      <c r="PWX93" s="580"/>
      <c r="PWY93" s="580"/>
      <c r="PWZ93" s="580"/>
      <c r="PXA93" s="580"/>
      <c r="PXB93" s="580"/>
      <c r="PXC93" s="580"/>
      <c r="PXD93" s="580"/>
      <c r="PXE93" s="580"/>
      <c r="PXF93" s="580"/>
      <c r="PXG93" s="580"/>
      <c r="PXH93" s="580"/>
      <c r="PXI93" s="580"/>
      <c r="PXJ93" s="580"/>
      <c r="PXK93" s="580"/>
      <c r="PXL93" s="580"/>
      <c r="PXM93" s="580"/>
      <c r="PXN93" s="580"/>
      <c r="PXO93" s="580"/>
      <c r="PXP93" s="580"/>
      <c r="PXQ93" s="580"/>
      <c r="PXR93" s="580"/>
      <c r="PXS93" s="580"/>
      <c r="PXT93" s="580"/>
      <c r="PXU93" s="580"/>
      <c r="PXV93" s="580"/>
      <c r="PXW93" s="580"/>
      <c r="PXX93" s="580"/>
      <c r="PXY93" s="580"/>
      <c r="PXZ93" s="580"/>
      <c r="PYA93" s="580"/>
      <c r="PYB93" s="580"/>
      <c r="PYC93" s="580"/>
      <c r="PYD93" s="580"/>
      <c r="PYE93" s="580"/>
      <c r="PYF93" s="580"/>
      <c r="PYG93" s="580"/>
      <c r="PYH93" s="580"/>
      <c r="PYI93" s="580"/>
      <c r="PYJ93" s="580"/>
      <c r="PYK93" s="580"/>
      <c r="PYL93" s="580"/>
      <c r="PYM93" s="580"/>
      <c r="PYN93" s="580"/>
      <c r="PYO93" s="580"/>
      <c r="PYP93" s="580"/>
      <c r="PYQ93" s="580"/>
      <c r="PYR93" s="580"/>
      <c r="PYS93" s="580"/>
      <c r="PYT93" s="580"/>
      <c r="PYU93" s="580"/>
      <c r="PYV93" s="580"/>
      <c r="PYW93" s="580"/>
      <c r="PYX93" s="580"/>
      <c r="PYY93" s="580"/>
      <c r="PYZ93" s="580"/>
      <c r="PZA93" s="580"/>
      <c r="PZB93" s="580"/>
      <c r="PZC93" s="580"/>
      <c r="PZD93" s="580"/>
      <c r="PZE93" s="580"/>
      <c r="PZF93" s="580"/>
      <c r="PZG93" s="580"/>
      <c r="PZH93" s="580"/>
      <c r="PZI93" s="580"/>
      <c r="PZJ93" s="580"/>
      <c r="PZK93" s="580"/>
      <c r="PZL93" s="580"/>
      <c r="PZM93" s="580"/>
      <c r="PZN93" s="580"/>
      <c r="PZO93" s="580"/>
      <c r="PZP93" s="580"/>
      <c r="PZQ93" s="580"/>
      <c r="PZR93" s="580"/>
      <c r="PZS93" s="580"/>
      <c r="PZT93" s="580"/>
      <c r="PZU93" s="580"/>
      <c r="PZV93" s="580"/>
      <c r="PZW93" s="580"/>
      <c r="PZX93" s="580"/>
      <c r="PZY93" s="580"/>
      <c r="PZZ93" s="580"/>
      <c r="QAA93" s="580"/>
      <c r="QAB93" s="580"/>
      <c r="QAC93" s="580"/>
      <c r="QAD93" s="580"/>
      <c r="QAE93" s="580"/>
      <c r="QAF93" s="580"/>
      <c r="QAG93" s="580"/>
      <c r="QAH93" s="580"/>
      <c r="QAI93" s="580"/>
      <c r="QAJ93" s="580"/>
      <c r="QAK93" s="580"/>
      <c r="QAL93" s="580"/>
      <c r="QAM93" s="580"/>
      <c r="QAN93" s="580"/>
      <c r="QAO93" s="580"/>
      <c r="QAP93" s="580"/>
      <c r="QAQ93" s="580"/>
      <c r="QAR93" s="580"/>
      <c r="QAS93" s="580"/>
      <c r="QAT93" s="580"/>
      <c r="QAU93" s="580"/>
      <c r="QAV93" s="580"/>
      <c r="QAW93" s="580"/>
      <c r="QAX93" s="580"/>
      <c r="QAY93" s="580"/>
      <c r="QAZ93" s="580"/>
      <c r="QBA93" s="580"/>
      <c r="QBB93" s="580"/>
      <c r="QBC93" s="580"/>
      <c r="QBD93" s="580"/>
      <c r="QBE93" s="580"/>
      <c r="QBF93" s="580"/>
      <c r="QBG93" s="580"/>
      <c r="QBH93" s="580"/>
      <c r="QBI93" s="580"/>
      <c r="QBJ93" s="580"/>
      <c r="QBK93" s="580"/>
      <c r="QBL93" s="580"/>
      <c r="QBM93" s="580"/>
      <c r="QBN93" s="580"/>
      <c r="QBO93" s="580"/>
      <c r="QBP93" s="580"/>
      <c r="QBQ93" s="580"/>
      <c r="QBR93" s="580"/>
      <c r="QBS93" s="580"/>
      <c r="QBT93" s="580"/>
      <c r="QBU93" s="580"/>
      <c r="QBV93" s="580"/>
      <c r="QBW93" s="580"/>
      <c r="QBX93" s="580"/>
      <c r="QBY93" s="580"/>
      <c r="QBZ93" s="580"/>
      <c r="QCA93" s="580"/>
      <c r="QCB93" s="580"/>
      <c r="QCC93" s="580"/>
      <c r="QCD93" s="580"/>
      <c r="QCE93" s="580"/>
      <c r="QCF93" s="580"/>
      <c r="QCG93" s="580"/>
      <c r="QCH93" s="580"/>
      <c r="QCI93" s="580"/>
      <c r="QCJ93" s="580"/>
      <c r="QCK93" s="580"/>
      <c r="QCL93" s="580"/>
      <c r="QCM93" s="580"/>
      <c r="QCN93" s="580"/>
      <c r="QCO93" s="580"/>
      <c r="QCP93" s="580"/>
      <c r="QCQ93" s="580"/>
      <c r="QCR93" s="580"/>
      <c r="QCS93" s="580"/>
      <c r="QCT93" s="580"/>
      <c r="QCU93" s="580"/>
      <c r="QCV93" s="580"/>
      <c r="QCW93" s="580"/>
      <c r="QCX93" s="580"/>
      <c r="QCY93" s="580"/>
      <c r="QCZ93" s="580"/>
      <c r="QDA93" s="580"/>
      <c r="QDB93" s="580"/>
      <c r="QDC93" s="580"/>
      <c r="QDD93" s="580"/>
      <c r="QDE93" s="580"/>
      <c r="QDF93" s="580"/>
      <c r="QDG93" s="580"/>
      <c r="QDH93" s="580"/>
      <c r="QDI93" s="580"/>
      <c r="QDJ93" s="580"/>
      <c r="QDK93" s="580"/>
      <c r="QDL93" s="580"/>
      <c r="QDM93" s="580"/>
      <c r="QDN93" s="580"/>
      <c r="QDO93" s="580"/>
      <c r="QDP93" s="580"/>
      <c r="QDQ93" s="580"/>
      <c r="QDR93" s="580"/>
      <c r="QDS93" s="580"/>
      <c r="QDT93" s="580"/>
      <c r="QDU93" s="580"/>
      <c r="QDV93" s="580"/>
      <c r="QDW93" s="580"/>
      <c r="QDX93" s="580"/>
      <c r="QDY93" s="580"/>
      <c r="QDZ93" s="580"/>
      <c r="QEA93" s="580"/>
      <c r="QEB93" s="580"/>
      <c r="QEC93" s="580"/>
      <c r="QED93" s="580"/>
      <c r="QEE93" s="580"/>
      <c r="QEF93" s="580"/>
      <c r="QEG93" s="580"/>
      <c r="QEH93" s="580"/>
      <c r="QEI93" s="580"/>
      <c r="QEJ93" s="580"/>
      <c r="QEK93" s="580"/>
      <c r="QEL93" s="580"/>
      <c r="QEM93" s="580"/>
      <c r="QEN93" s="580"/>
      <c r="QEO93" s="580"/>
      <c r="QEP93" s="580"/>
      <c r="QEQ93" s="580"/>
      <c r="QER93" s="580"/>
      <c r="QES93" s="580"/>
      <c r="QET93" s="580"/>
      <c r="QEU93" s="580"/>
      <c r="QEV93" s="580"/>
      <c r="QEW93" s="580"/>
      <c r="QEX93" s="580"/>
      <c r="QEY93" s="580"/>
      <c r="QEZ93" s="580"/>
      <c r="QFA93" s="580"/>
      <c r="QFB93" s="580"/>
      <c r="QFC93" s="580"/>
      <c r="QFD93" s="580"/>
      <c r="QFE93" s="580"/>
      <c r="QFF93" s="580"/>
      <c r="QFG93" s="580"/>
      <c r="QFH93" s="580"/>
      <c r="QFI93" s="580"/>
      <c r="QFJ93" s="580"/>
      <c r="QFK93" s="580"/>
      <c r="QFL93" s="580"/>
      <c r="QFM93" s="580"/>
      <c r="QFN93" s="580"/>
      <c r="QFO93" s="580"/>
      <c r="QFP93" s="580"/>
      <c r="QFQ93" s="580"/>
      <c r="QFR93" s="580"/>
      <c r="QFS93" s="580"/>
      <c r="QFT93" s="580"/>
      <c r="QFU93" s="580"/>
      <c r="QFV93" s="580"/>
      <c r="QFW93" s="580"/>
      <c r="QFX93" s="580"/>
      <c r="QFY93" s="580"/>
      <c r="QFZ93" s="580"/>
      <c r="QGA93" s="580"/>
      <c r="QGB93" s="580"/>
      <c r="QGC93" s="580"/>
      <c r="QGD93" s="580"/>
      <c r="QGE93" s="580"/>
      <c r="QGF93" s="580"/>
      <c r="QGG93" s="580"/>
      <c r="QGH93" s="580"/>
      <c r="QGI93" s="580"/>
      <c r="QGJ93" s="580"/>
      <c r="QGK93" s="580"/>
      <c r="QGL93" s="580"/>
      <c r="QGM93" s="580"/>
      <c r="QGN93" s="580"/>
      <c r="QGO93" s="580"/>
      <c r="QGP93" s="580"/>
      <c r="QGQ93" s="580"/>
      <c r="QGR93" s="580"/>
      <c r="QGS93" s="580"/>
      <c r="QGT93" s="580"/>
      <c r="QGU93" s="580"/>
      <c r="QGV93" s="580"/>
      <c r="QGW93" s="580"/>
      <c r="QGX93" s="580"/>
      <c r="QGY93" s="580"/>
      <c r="QGZ93" s="580"/>
      <c r="QHA93" s="580"/>
      <c r="QHB93" s="580"/>
      <c r="QHC93" s="580"/>
      <c r="QHD93" s="580"/>
      <c r="QHE93" s="580"/>
      <c r="QHF93" s="580"/>
      <c r="QHG93" s="580"/>
      <c r="QHH93" s="580"/>
      <c r="QHI93" s="580"/>
      <c r="QHJ93" s="580"/>
      <c r="QHK93" s="580"/>
      <c r="QHL93" s="580"/>
      <c r="QHM93" s="580"/>
      <c r="QHN93" s="580"/>
      <c r="QHO93" s="580"/>
      <c r="QHP93" s="580"/>
      <c r="QHQ93" s="580"/>
      <c r="QHR93" s="580"/>
      <c r="QHS93" s="580"/>
      <c r="QHT93" s="580"/>
      <c r="QHU93" s="580"/>
      <c r="QHV93" s="580"/>
      <c r="QHW93" s="580"/>
      <c r="QHX93" s="580"/>
      <c r="QHY93" s="580"/>
      <c r="QHZ93" s="580"/>
      <c r="QIA93" s="580"/>
      <c r="QIB93" s="580"/>
      <c r="QIC93" s="580"/>
      <c r="QID93" s="580"/>
      <c r="QIE93" s="580"/>
      <c r="QIF93" s="580"/>
      <c r="QIG93" s="580"/>
      <c r="QIH93" s="580"/>
      <c r="QII93" s="580"/>
      <c r="QIJ93" s="580"/>
      <c r="QIK93" s="580"/>
      <c r="QIL93" s="580"/>
      <c r="QIM93" s="580"/>
      <c r="QIN93" s="580"/>
      <c r="QIO93" s="580"/>
      <c r="QIP93" s="580"/>
      <c r="QIQ93" s="580"/>
      <c r="QIR93" s="580"/>
      <c r="QIS93" s="580"/>
      <c r="QIT93" s="580"/>
      <c r="QIU93" s="580"/>
      <c r="QIV93" s="580"/>
      <c r="QIW93" s="580"/>
      <c r="QIX93" s="580"/>
      <c r="QIY93" s="580"/>
      <c r="QIZ93" s="580"/>
      <c r="QJA93" s="580"/>
      <c r="QJB93" s="580"/>
      <c r="QJC93" s="580"/>
      <c r="QJD93" s="580"/>
      <c r="QJE93" s="580"/>
      <c r="QJF93" s="580"/>
      <c r="QJG93" s="580"/>
      <c r="QJH93" s="580"/>
      <c r="QJI93" s="580"/>
      <c r="QJJ93" s="580"/>
      <c r="QJK93" s="580"/>
      <c r="QJL93" s="580"/>
      <c r="QJM93" s="580"/>
      <c r="QJN93" s="580"/>
      <c r="QJO93" s="580"/>
      <c r="QJP93" s="580"/>
      <c r="QJQ93" s="580"/>
      <c r="QJR93" s="580"/>
      <c r="QJS93" s="580"/>
      <c r="QJT93" s="580"/>
      <c r="QJU93" s="580"/>
      <c r="QJV93" s="580"/>
      <c r="QJW93" s="580"/>
      <c r="QJX93" s="580"/>
      <c r="QJY93" s="580"/>
      <c r="QJZ93" s="580"/>
      <c r="QKA93" s="580"/>
      <c r="QKB93" s="580"/>
      <c r="QKC93" s="580"/>
      <c r="QKD93" s="580"/>
      <c r="QKE93" s="580"/>
      <c r="QKF93" s="580"/>
      <c r="QKG93" s="580"/>
      <c r="QKH93" s="580"/>
      <c r="QKI93" s="580"/>
      <c r="QKJ93" s="580"/>
      <c r="QKK93" s="580"/>
      <c r="QKL93" s="580"/>
      <c r="QKM93" s="580"/>
      <c r="QKN93" s="580"/>
      <c r="QKO93" s="580"/>
      <c r="QKP93" s="580"/>
      <c r="QKQ93" s="580"/>
      <c r="QKR93" s="580"/>
      <c r="QKS93" s="580"/>
      <c r="QKT93" s="580"/>
      <c r="QKU93" s="580"/>
      <c r="QKV93" s="580"/>
      <c r="QKW93" s="580"/>
      <c r="QKX93" s="580"/>
      <c r="QKY93" s="580"/>
      <c r="QKZ93" s="580"/>
      <c r="QLA93" s="580"/>
      <c r="QLB93" s="580"/>
      <c r="QLC93" s="580"/>
      <c r="QLD93" s="580"/>
      <c r="QLE93" s="580"/>
      <c r="QLF93" s="580"/>
      <c r="QLG93" s="580"/>
      <c r="QLH93" s="580"/>
      <c r="QLI93" s="580"/>
      <c r="QLJ93" s="580"/>
      <c r="QLK93" s="580"/>
      <c r="QLL93" s="580"/>
      <c r="QLM93" s="580"/>
      <c r="QLN93" s="580"/>
      <c r="QLO93" s="580"/>
      <c r="QLP93" s="580"/>
      <c r="QLQ93" s="580"/>
      <c r="QLR93" s="580"/>
      <c r="QLS93" s="580"/>
      <c r="QLT93" s="580"/>
      <c r="QLU93" s="580"/>
      <c r="QLV93" s="580"/>
      <c r="QLW93" s="580"/>
      <c r="QLX93" s="580"/>
      <c r="QLY93" s="580"/>
      <c r="QLZ93" s="580"/>
      <c r="QMA93" s="580"/>
      <c r="QMB93" s="580"/>
      <c r="QMC93" s="580"/>
      <c r="QMD93" s="580"/>
      <c r="QME93" s="580"/>
      <c r="QMF93" s="580"/>
      <c r="QMG93" s="580"/>
      <c r="QMH93" s="580"/>
      <c r="QMI93" s="580"/>
      <c r="QMJ93" s="580"/>
      <c r="QMK93" s="580"/>
      <c r="QML93" s="580"/>
      <c r="QMM93" s="580"/>
      <c r="QMN93" s="580"/>
      <c r="QMO93" s="580"/>
      <c r="QMP93" s="580"/>
      <c r="QMQ93" s="580"/>
      <c r="QMR93" s="580"/>
      <c r="QMS93" s="580"/>
      <c r="QMT93" s="580"/>
      <c r="QMU93" s="580"/>
      <c r="QMV93" s="580"/>
      <c r="QMW93" s="580"/>
      <c r="QMX93" s="580"/>
      <c r="QMY93" s="580"/>
      <c r="QMZ93" s="580"/>
      <c r="QNA93" s="580"/>
      <c r="QNB93" s="580"/>
      <c r="QNC93" s="580"/>
      <c r="QND93" s="580"/>
      <c r="QNE93" s="580"/>
      <c r="QNF93" s="580"/>
      <c r="QNG93" s="580"/>
      <c r="QNH93" s="580"/>
      <c r="QNI93" s="580"/>
      <c r="QNJ93" s="580"/>
      <c r="QNK93" s="580"/>
      <c r="QNL93" s="580"/>
      <c r="QNM93" s="580"/>
      <c r="QNN93" s="580"/>
      <c r="QNO93" s="580"/>
      <c r="QNP93" s="580"/>
      <c r="QNQ93" s="580"/>
      <c r="QNR93" s="580"/>
      <c r="QNS93" s="580"/>
      <c r="QNT93" s="580"/>
      <c r="QNU93" s="580"/>
      <c r="QNV93" s="580"/>
      <c r="QNW93" s="580"/>
      <c r="QNX93" s="580"/>
      <c r="QNY93" s="580"/>
      <c r="QNZ93" s="580"/>
      <c r="QOA93" s="580"/>
      <c r="QOB93" s="580"/>
      <c r="QOC93" s="580"/>
      <c r="QOD93" s="580"/>
      <c r="QOE93" s="580"/>
      <c r="QOF93" s="580"/>
      <c r="QOG93" s="580"/>
      <c r="QOH93" s="580"/>
      <c r="QOI93" s="580"/>
      <c r="QOJ93" s="580"/>
      <c r="QOK93" s="580"/>
      <c r="QOL93" s="580"/>
      <c r="QOM93" s="580"/>
      <c r="QON93" s="580"/>
      <c r="QOO93" s="580"/>
      <c r="QOP93" s="580"/>
      <c r="QOQ93" s="580"/>
      <c r="QOR93" s="580"/>
      <c r="QOS93" s="580"/>
      <c r="QOT93" s="580"/>
      <c r="QOU93" s="580"/>
      <c r="QOV93" s="580"/>
      <c r="QOW93" s="580"/>
      <c r="QOX93" s="580"/>
      <c r="QOY93" s="580"/>
      <c r="QOZ93" s="580"/>
      <c r="QPA93" s="580"/>
      <c r="QPB93" s="580"/>
      <c r="QPC93" s="580"/>
      <c r="QPD93" s="580"/>
      <c r="QPE93" s="580"/>
      <c r="QPF93" s="580"/>
      <c r="QPG93" s="580"/>
      <c r="QPH93" s="580"/>
      <c r="QPI93" s="580"/>
      <c r="QPJ93" s="580"/>
      <c r="QPK93" s="580"/>
      <c r="QPL93" s="580"/>
      <c r="QPM93" s="580"/>
      <c r="QPN93" s="580"/>
      <c r="QPO93" s="580"/>
      <c r="QPP93" s="580"/>
      <c r="QPQ93" s="580"/>
      <c r="QPR93" s="580"/>
      <c r="QPS93" s="580"/>
      <c r="QPT93" s="580"/>
      <c r="QPU93" s="580"/>
      <c r="QPV93" s="580"/>
      <c r="QPW93" s="580"/>
      <c r="QPX93" s="580"/>
      <c r="QPY93" s="580"/>
      <c r="QPZ93" s="580"/>
      <c r="QQA93" s="580"/>
      <c r="QQB93" s="580"/>
      <c r="QQC93" s="580"/>
      <c r="QQD93" s="580"/>
      <c r="QQE93" s="580"/>
      <c r="QQF93" s="580"/>
      <c r="QQG93" s="580"/>
      <c r="QQH93" s="580"/>
      <c r="QQI93" s="580"/>
      <c r="QQJ93" s="580"/>
      <c r="QQK93" s="580"/>
      <c r="QQL93" s="580"/>
      <c r="QQM93" s="580"/>
      <c r="QQN93" s="580"/>
      <c r="QQO93" s="580"/>
      <c r="QQP93" s="580"/>
      <c r="QQQ93" s="580"/>
      <c r="QQR93" s="580"/>
      <c r="QQS93" s="580"/>
      <c r="QQT93" s="580"/>
      <c r="QQU93" s="580"/>
      <c r="QQV93" s="580"/>
      <c r="QQW93" s="580"/>
      <c r="QQX93" s="580"/>
      <c r="QQY93" s="580"/>
      <c r="QQZ93" s="580"/>
      <c r="QRA93" s="580"/>
      <c r="QRB93" s="580"/>
      <c r="QRC93" s="580"/>
      <c r="QRD93" s="580"/>
      <c r="QRE93" s="580"/>
      <c r="QRF93" s="580"/>
      <c r="QRG93" s="580"/>
      <c r="QRH93" s="580"/>
      <c r="QRI93" s="580"/>
      <c r="QRJ93" s="580"/>
      <c r="QRK93" s="580"/>
      <c r="QRL93" s="580"/>
      <c r="QRM93" s="580"/>
      <c r="QRN93" s="580"/>
      <c r="QRO93" s="580"/>
      <c r="QRP93" s="580"/>
      <c r="QRQ93" s="580"/>
      <c r="QRR93" s="580"/>
      <c r="QRS93" s="580"/>
      <c r="QRT93" s="580"/>
      <c r="QRU93" s="580"/>
      <c r="QRV93" s="580"/>
      <c r="QRW93" s="580"/>
      <c r="QRX93" s="580"/>
      <c r="QRY93" s="580"/>
      <c r="QRZ93" s="580"/>
      <c r="QSA93" s="580"/>
      <c r="QSB93" s="580"/>
      <c r="QSC93" s="580"/>
      <c r="QSD93" s="580"/>
      <c r="QSE93" s="580"/>
      <c r="QSF93" s="580"/>
      <c r="QSG93" s="580"/>
      <c r="QSH93" s="580"/>
      <c r="QSI93" s="580"/>
      <c r="QSJ93" s="580"/>
      <c r="QSK93" s="580"/>
      <c r="QSL93" s="580"/>
      <c r="QSM93" s="580"/>
      <c r="QSN93" s="580"/>
      <c r="QSO93" s="580"/>
      <c r="QSP93" s="580"/>
      <c r="QSQ93" s="580"/>
      <c r="QSR93" s="580"/>
      <c r="QSS93" s="580"/>
      <c r="QST93" s="580"/>
      <c r="QSU93" s="580"/>
      <c r="QSV93" s="580"/>
      <c r="QSW93" s="580"/>
      <c r="QSX93" s="580"/>
      <c r="QSY93" s="580"/>
      <c r="QSZ93" s="580"/>
      <c r="QTA93" s="580"/>
      <c r="QTB93" s="580"/>
      <c r="QTC93" s="580"/>
      <c r="QTD93" s="580"/>
      <c r="QTE93" s="580"/>
      <c r="QTF93" s="580"/>
      <c r="QTG93" s="580"/>
      <c r="QTH93" s="580"/>
      <c r="QTI93" s="580"/>
      <c r="QTJ93" s="580"/>
      <c r="QTK93" s="580"/>
      <c r="QTL93" s="580"/>
      <c r="QTM93" s="580"/>
      <c r="QTN93" s="580"/>
      <c r="QTO93" s="580"/>
      <c r="QTP93" s="580"/>
      <c r="QTQ93" s="580"/>
      <c r="QTR93" s="580"/>
      <c r="QTS93" s="580"/>
      <c r="QTT93" s="580"/>
      <c r="QTU93" s="580"/>
      <c r="QTV93" s="580"/>
      <c r="QTW93" s="580"/>
      <c r="QTX93" s="580"/>
      <c r="QTY93" s="580"/>
      <c r="QTZ93" s="580"/>
      <c r="QUA93" s="580"/>
      <c r="QUB93" s="580"/>
      <c r="QUC93" s="580"/>
      <c r="QUD93" s="580"/>
      <c r="QUE93" s="580"/>
      <c r="QUF93" s="580"/>
      <c r="QUG93" s="580"/>
      <c r="QUH93" s="580"/>
      <c r="QUI93" s="580"/>
      <c r="QUJ93" s="580"/>
      <c r="QUK93" s="580"/>
      <c r="QUL93" s="580"/>
      <c r="QUM93" s="580"/>
      <c r="QUN93" s="580"/>
      <c r="QUO93" s="580"/>
      <c r="QUP93" s="580"/>
      <c r="QUQ93" s="580"/>
      <c r="QUR93" s="580"/>
      <c r="QUS93" s="580"/>
      <c r="QUT93" s="580"/>
      <c r="QUU93" s="580"/>
      <c r="QUV93" s="580"/>
      <c r="QUW93" s="580"/>
      <c r="QUX93" s="580"/>
      <c r="QUY93" s="580"/>
      <c r="QUZ93" s="580"/>
      <c r="QVA93" s="580"/>
      <c r="QVB93" s="580"/>
      <c r="QVC93" s="580"/>
      <c r="QVD93" s="580"/>
      <c r="QVE93" s="580"/>
      <c r="QVF93" s="580"/>
      <c r="QVG93" s="580"/>
      <c r="QVH93" s="580"/>
      <c r="QVI93" s="580"/>
      <c r="QVJ93" s="580"/>
      <c r="QVK93" s="580"/>
      <c r="QVL93" s="580"/>
      <c r="QVM93" s="580"/>
      <c r="QVN93" s="580"/>
      <c r="QVO93" s="580"/>
      <c r="QVP93" s="580"/>
      <c r="QVQ93" s="580"/>
      <c r="QVR93" s="580"/>
      <c r="QVS93" s="580"/>
      <c r="QVT93" s="580"/>
      <c r="QVU93" s="580"/>
      <c r="QVV93" s="580"/>
      <c r="QVW93" s="580"/>
      <c r="QVX93" s="580"/>
      <c r="QVY93" s="580"/>
      <c r="QVZ93" s="580"/>
      <c r="QWA93" s="580"/>
      <c r="QWB93" s="580"/>
      <c r="QWC93" s="580"/>
      <c r="QWD93" s="580"/>
      <c r="QWE93" s="580"/>
      <c r="QWF93" s="580"/>
      <c r="QWG93" s="580"/>
      <c r="QWH93" s="580"/>
      <c r="QWI93" s="580"/>
      <c r="QWJ93" s="580"/>
      <c r="QWK93" s="580"/>
      <c r="QWL93" s="580"/>
      <c r="QWM93" s="580"/>
      <c r="QWN93" s="580"/>
      <c r="QWO93" s="580"/>
      <c r="QWP93" s="580"/>
      <c r="QWQ93" s="580"/>
      <c r="QWR93" s="580"/>
      <c r="QWS93" s="580"/>
      <c r="QWT93" s="580"/>
      <c r="QWU93" s="580"/>
      <c r="QWV93" s="580"/>
      <c r="QWW93" s="580"/>
      <c r="QWX93" s="580"/>
      <c r="QWY93" s="580"/>
      <c r="QWZ93" s="580"/>
      <c r="QXA93" s="580"/>
      <c r="QXB93" s="580"/>
      <c r="QXC93" s="580"/>
      <c r="QXD93" s="580"/>
      <c r="QXE93" s="580"/>
      <c r="QXF93" s="580"/>
      <c r="QXG93" s="580"/>
      <c r="QXH93" s="580"/>
      <c r="QXI93" s="580"/>
      <c r="QXJ93" s="580"/>
      <c r="QXK93" s="580"/>
      <c r="QXL93" s="580"/>
      <c r="QXM93" s="580"/>
      <c r="QXN93" s="580"/>
      <c r="QXO93" s="580"/>
      <c r="QXP93" s="580"/>
      <c r="QXQ93" s="580"/>
      <c r="QXR93" s="580"/>
      <c r="QXS93" s="580"/>
      <c r="QXT93" s="580"/>
      <c r="QXU93" s="580"/>
      <c r="QXV93" s="580"/>
      <c r="QXW93" s="580"/>
      <c r="QXX93" s="580"/>
      <c r="QXY93" s="580"/>
      <c r="QXZ93" s="580"/>
      <c r="QYA93" s="580"/>
      <c r="QYB93" s="580"/>
      <c r="QYC93" s="580"/>
      <c r="QYD93" s="580"/>
      <c r="QYE93" s="580"/>
      <c r="QYF93" s="580"/>
      <c r="QYG93" s="580"/>
      <c r="QYH93" s="580"/>
      <c r="QYI93" s="580"/>
      <c r="QYJ93" s="580"/>
      <c r="QYK93" s="580"/>
      <c r="QYL93" s="580"/>
      <c r="QYM93" s="580"/>
      <c r="QYN93" s="580"/>
      <c r="QYO93" s="580"/>
      <c r="QYP93" s="580"/>
      <c r="QYQ93" s="580"/>
      <c r="QYR93" s="580"/>
      <c r="QYS93" s="580"/>
      <c r="QYT93" s="580"/>
      <c r="QYU93" s="580"/>
      <c r="QYV93" s="580"/>
      <c r="QYW93" s="580"/>
      <c r="QYX93" s="580"/>
      <c r="QYY93" s="580"/>
      <c r="QYZ93" s="580"/>
      <c r="QZA93" s="580"/>
      <c r="QZB93" s="580"/>
      <c r="QZC93" s="580"/>
      <c r="QZD93" s="580"/>
      <c r="QZE93" s="580"/>
      <c r="QZF93" s="580"/>
      <c r="QZG93" s="580"/>
      <c r="QZH93" s="580"/>
      <c r="QZI93" s="580"/>
      <c r="QZJ93" s="580"/>
      <c r="QZK93" s="580"/>
      <c r="QZL93" s="580"/>
      <c r="QZM93" s="580"/>
      <c r="QZN93" s="580"/>
      <c r="QZO93" s="580"/>
      <c r="QZP93" s="580"/>
      <c r="QZQ93" s="580"/>
      <c r="QZR93" s="580"/>
      <c r="QZS93" s="580"/>
      <c r="QZT93" s="580"/>
      <c r="QZU93" s="580"/>
      <c r="QZV93" s="580"/>
      <c r="QZW93" s="580"/>
      <c r="QZX93" s="580"/>
      <c r="QZY93" s="580"/>
      <c r="QZZ93" s="580"/>
      <c r="RAA93" s="580"/>
      <c r="RAB93" s="580"/>
      <c r="RAC93" s="580"/>
      <c r="RAD93" s="580"/>
      <c r="RAE93" s="580"/>
      <c r="RAF93" s="580"/>
      <c r="RAG93" s="580"/>
      <c r="RAH93" s="580"/>
      <c r="RAI93" s="580"/>
      <c r="RAJ93" s="580"/>
      <c r="RAK93" s="580"/>
      <c r="RAL93" s="580"/>
      <c r="RAM93" s="580"/>
      <c r="RAN93" s="580"/>
      <c r="RAO93" s="580"/>
      <c r="RAP93" s="580"/>
      <c r="RAQ93" s="580"/>
      <c r="RAR93" s="580"/>
      <c r="RAS93" s="580"/>
      <c r="RAT93" s="580"/>
      <c r="RAU93" s="580"/>
      <c r="RAV93" s="580"/>
      <c r="RAW93" s="580"/>
      <c r="RAX93" s="580"/>
      <c r="RAY93" s="580"/>
      <c r="RAZ93" s="580"/>
      <c r="RBA93" s="580"/>
      <c r="RBB93" s="580"/>
      <c r="RBC93" s="580"/>
      <c r="RBD93" s="580"/>
      <c r="RBE93" s="580"/>
      <c r="RBF93" s="580"/>
      <c r="RBG93" s="580"/>
      <c r="RBH93" s="580"/>
      <c r="RBI93" s="580"/>
      <c r="RBJ93" s="580"/>
      <c r="RBK93" s="580"/>
      <c r="RBL93" s="580"/>
      <c r="RBM93" s="580"/>
      <c r="RBN93" s="580"/>
      <c r="RBO93" s="580"/>
      <c r="RBP93" s="580"/>
      <c r="RBQ93" s="580"/>
      <c r="RBR93" s="580"/>
      <c r="RBS93" s="580"/>
      <c r="RBT93" s="580"/>
      <c r="RBU93" s="580"/>
      <c r="RBV93" s="580"/>
      <c r="RBW93" s="580"/>
      <c r="RBX93" s="580"/>
      <c r="RBY93" s="580"/>
      <c r="RBZ93" s="580"/>
      <c r="RCA93" s="580"/>
      <c r="RCB93" s="580"/>
      <c r="RCC93" s="580"/>
      <c r="RCD93" s="580"/>
      <c r="RCE93" s="580"/>
      <c r="RCF93" s="580"/>
      <c r="RCG93" s="580"/>
      <c r="RCH93" s="580"/>
      <c r="RCI93" s="580"/>
      <c r="RCJ93" s="580"/>
      <c r="RCK93" s="580"/>
      <c r="RCL93" s="580"/>
      <c r="RCM93" s="580"/>
      <c r="RCN93" s="580"/>
      <c r="RCO93" s="580"/>
      <c r="RCP93" s="580"/>
      <c r="RCQ93" s="580"/>
      <c r="RCR93" s="580"/>
      <c r="RCS93" s="580"/>
      <c r="RCT93" s="580"/>
      <c r="RCU93" s="580"/>
      <c r="RCV93" s="580"/>
      <c r="RCW93" s="580"/>
      <c r="RCX93" s="580"/>
      <c r="RCY93" s="580"/>
      <c r="RCZ93" s="580"/>
      <c r="RDA93" s="580"/>
      <c r="RDB93" s="580"/>
      <c r="RDC93" s="580"/>
      <c r="RDD93" s="580"/>
      <c r="RDE93" s="580"/>
      <c r="RDF93" s="580"/>
      <c r="RDG93" s="580"/>
      <c r="RDH93" s="580"/>
      <c r="RDI93" s="580"/>
      <c r="RDJ93" s="580"/>
      <c r="RDK93" s="580"/>
      <c r="RDL93" s="580"/>
      <c r="RDM93" s="580"/>
      <c r="RDN93" s="580"/>
      <c r="RDO93" s="580"/>
      <c r="RDP93" s="580"/>
      <c r="RDQ93" s="580"/>
      <c r="RDR93" s="580"/>
      <c r="RDS93" s="580"/>
      <c r="RDT93" s="580"/>
      <c r="RDU93" s="580"/>
      <c r="RDV93" s="580"/>
      <c r="RDW93" s="580"/>
      <c r="RDX93" s="580"/>
      <c r="RDY93" s="580"/>
      <c r="RDZ93" s="580"/>
      <c r="REA93" s="580"/>
      <c r="REB93" s="580"/>
      <c r="REC93" s="580"/>
      <c r="RED93" s="580"/>
      <c r="REE93" s="580"/>
      <c r="REF93" s="580"/>
      <c r="REG93" s="580"/>
      <c r="REH93" s="580"/>
      <c r="REI93" s="580"/>
      <c r="REJ93" s="580"/>
      <c r="REK93" s="580"/>
      <c r="REL93" s="580"/>
      <c r="REM93" s="580"/>
      <c r="REN93" s="580"/>
      <c r="REO93" s="580"/>
      <c r="REP93" s="580"/>
      <c r="REQ93" s="580"/>
      <c r="RER93" s="580"/>
      <c r="RES93" s="580"/>
      <c r="RET93" s="580"/>
      <c r="REU93" s="580"/>
      <c r="REV93" s="580"/>
      <c r="REW93" s="580"/>
      <c r="REX93" s="580"/>
      <c r="REY93" s="580"/>
      <c r="REZ93" s="580"/>
      <c r="RFA93" s="580"/>
      <c r="RFB93" s="580"/>
      <c r="RFC93" s="580"/>
      <c r="RFD93" s="580"/>
      <c r="RFE93" s="580"/>
      <c r="RFF93" s="580"/>
      <c r="RFG93" s="580"/>
      <c r="RFH93" s="580"/>
      <c r="RFI93" s="580"/>
      <c r="RFJ93" s="580"/>
      <c r="RFK93" s="580"/>
      <c r="RFL93" s="580"/>
      <c r="RFM93" s="580"/>
      <c r="RFN93" s="580"/>
      <c r="RFO93" s="580"/>
      <c r="RFP93" s="580"/>
      <c r="RFQ93" s="580"/>
      <c r="RFR93" s="580"/>
      <c r="RFS93" s="580"/>
      <c r="RFT93" s="580"/>
      <c r="RFU93" s="580"/>
      <c r="RFV93" s="580"/>
      <c r="RFW93" s="580"/>
      <c r="RFX93" s="580"/>
      <c r="RFY93" s="580"/>
      <c r="RFZ93" s="580"/>
      <c r="RGA93" s="580"/>
      <c r="RGB93" s="580"/>
      <c r="RGC93" s="580"/>
      <c r="RGD93" s="580"/>
      <c r="RGE93" s="580"/>
      <c r="RGF93" s="580"/>
      <c r="RGG93" s="580"/>
      <c r="RGH93" s="580"/>
      <c r="RGI93" s="580"/>
      <c r="RGJ93" s="580"/>
      <c r="RGK93" s="580"/>
      <c r="RGL93" s="580"/>
      <c r="RGM93" s="580"/>
      <c r="RGN93" s="580"/>
      <c r="RGO93" s="580"/>
      <c r="RGP93" s="580"/>
      <c r="RGQ93" s="580"/>
      <c r="RGR93" s="580"/>
      <c r="RGS93" s="580"/>
      <c r="RGT93" s="580"/>
      <c r="RGU93" s="580"/>
      <c r="RGV93" s="580"/>
      <c r="RGW93" s="580"/>
      <c r="RGX93" s="580"/>
      <c r="RGY93" s="580"/>
      <c r="RGZ93" s="580"/>
      <c r="RHA93" s="580"/>
      <c r="RHB93" s="580"/>
      <c r="RHC93" s="580"/>
      <c r="RHD93" s="580"/>
      <c r="RHE93" s="580"/>
      <c r="RHF93" s="580"/>
      <c r="RHG93" s="580"/>
      <c r="RHH93" s="580"/>
      <c r="RHI93" s="580"/>
      <c r="RHJ93" s="580"/>
      <c r="RHK93" s="580"/>
      <c r="RHL93" s="580"/>
      <c r="RHM93" s="580"/>
      <c r="RHN93" s="580"/>
      <c r="RHO93" s="580"/>
      <c r="RHP93" s="580"/>
      <c r="RHQ93" s="580"/>
      <c r="RHR93" s="580"/>
      <c r="RHS93" s="580"/>
      <c r="RHT93" s="580"/>
      <c r="RHU93" s="580"/>
      <c r="RHV93" s="580"/>
      <c r="RHW93" s="580"/>
      <c r="RHX93" s="580"/>
      <c r="RHY93" s="580"/>
      <c r="RHZ93" s="580"/>
      <c r="RIA93" s="580"/>
      <c r="RIB93" s="580"/>
      <c r="RIC93" s="580"/>
      <c r="RID93" s="580"/>
      <c r="RIE93" s="580"/>
      <c r="RIF93" s="580"/>
      <c r="RIG93" s="580"/>
      <c r="RIH93" s="580"/>
      <c r="RII93" s="580"/>
      <c r="RIJ93" s="580"/>
      <c r="RIK93" s="580"/>
      <c r="RIL93" s="580"/>
      <c r="RIM93" s="580"/>
      <c r="RIN93" s="580"/>
      <c r="RIO93" s="580"/>
      <c r="RIP93" s="580"/>
      <c r="RIQ93" s="580"/>
      <c r="RIR93" s="580"/>
      <c r="RIS93" s="580"/>
      <c r="RIT93" s="580"/>
      <c r="RIU93" s="580"/>
      <c r="RIV93" s="580"/>
      <c r="RIW93" s="580"/>
      <c r="RIX93" s="580"/>
      <c r="RIY93" s="580"/>
      <c r="RIZ93" s="580"/>
      <c r="RJA93" s="580"/>
      <c r="RJB93" s="580"/>
      <c r="RJC93" s="580"/>
      <c r="RJD93" s="580"/>
      <c r="RJE93" s="580"/>
      <c r="RJF93" s="580"/>
      <c r="RJG93" s="580"/>
      <c r="RJH93" s="580"/>
      <c r="RJI93" s="580"/>
      <c r="RJJ93" s="580"/>
      <c r="RJK93" s="580"/>
      <c r="RJL93" s="580"/>
      <c r="RJM93" s="580"/>
      <c r="RJN93" s="580"/>
      <c r="RJO93" s="580"/>
      <c r="RJP93" s="580"/>
      <c r="RJQ93" s="580"/>
      <c r="RJR93" s="580"/>
      <c r="RJS93" s="580"/>
      <c r="RJT93" s="580"/>
      <c r="RJU93" s="580"/>
      <c r="RJV93" s="580"/>
      <c r="RJW93" s="580"/>
      <c r="RJX93" s="580"/>
      <c r="RJY93" s="580"/>
      <c r="RJZ93" s="580"/>
      <c r="RKA93" s="580"/>
      <c r="RKB93" s="580"/>
      <c r="RKC93" s="580"/>
      <c r="RKD93" s="580"/>
      <c r="RKE93" s="580"/>
      <c r="RKF93" s="580"/>
      <c r="RKG93" s="580"/>
      <c r="RKH93" s="580"/>
      <c r="RKI93" s="580"/>
      <c r="RKJ93" s="580"/>
      <c r="RKK93" s="580"/>
      <c r="RKL93" s="580"/>
      <c r="RKM93" s="580"/>
      <c r="RKN93" s="580"/>
      <c r="RKO93" s="580"/>
      <c r="RKP93" s="580"/>
      <c r="RKQ93" s="580"/>
      <c r="RKR93" s="580"/>
      <c r="RKS93" s="580"/>
      <c r="RKT93" s="580"/>
      <c r="RKU93" s="580"/>
      <c r="RKV93" s="580"/>
      <c r="RKW93" s="580"/>
      <c r="RKX93" s="580"/>
      <c r="RKY93" s="580"/>
      <c r="RKZ93" s="580"/>
      <c r="RLA93" s="580"/>
      <c r="RLB93" s="580"/>
      <c r="RLC93" s="580"/>
      <c r="RLD93" s="580"/>
      <c r="RLE93" s="580"/>
      <c r="RLF93" s="580"/>
      <c r="RLG93" s="580"/>
      <c r="RLH93" s="580"/>
      <c r="RLI93" s="580"/>
      <c r="RLJ93" s="580"/>
      <c r="RLK93" s="580"/>
      <c r="RLL93" s="580"/>
      <c r="RLM93" s="580"/>
      <c r="RLN93" s="580"/>
      <c r="RLO93" s="580"/>
      <c r="RLP93" s="580"/>
      <c r="RLQ93" s="580"/>
      <c r="RLR93" s="580"/>
      <c r="RLS93" s="580"/>
      <c r="RLT93" s="580"/>
      <c r="RLU93" s="580"/>
      <c r="RLV93" s="580"/>
      <c r="RLW93" s="580"/>
      <c r="RLX93" s="580"/>
      <c r="RLY93" s="580"/>
      <c r="RLZ93" s="580"/>
      <c r="RMA93" s="580"/>
      <c r="RMB93" s="580"/>
      <c r="RMC93" s="580"/>
      <c r="RMD93" s="580"/>
      <c r="RME93" s="580"/>
      <c r="RMF93" s="580"/>
      <c r="RMG93" s="580"/>
      <c r="RMH93" s="580"/>
      <c r="RMI93" s="580"/>
      <c r="RMJ93" s="580"/>
      <c r="RMK93" s="580"/>
      <c r="RML93" s="580"/>
      <c r="RMM93" s="580"/>
      <c r="RMN93" s="580"/>
      <c r="RMO93" s="580"/>
      <c r="RMP93" s="580"/>
      <c r="RMQ93" s="580"/>
      <c r="RMR93" s="580"/>
      <c r="RMS93" s="580"/>
      <c r="RMT93" s="580"/>
      <c r="RMU93" s="580"/>
      <c r="RMV93" s="580"/>
      <c r="RMW93" s="580"/>
      <c r="RMX93" s="580"/>
      <c r="RMY93" s="580"/>
      <c r="RMZ93" s="580"/>
      <c r="RNA93" s="580"/>
      <c r="RNB93" s="580"/>
      <c r="RNC93" s="580"/>
      <c r="RND93" s="580"/>
      <c r="RNE93" s="580"/>
      <c r="RNF93" s="580"/>
      <c r="RNG93" s="580"/>
      <c r="RNH93" s="580"/>
      <c r="RNI93" s="580"/>
      <c r="RNJ93" s="580"/>
      <c r="RNK93" s="580"/>
      <c r="RNL93" s="580"/>
      <c r="RNM93" s="580"/>
      <c r="RNN93" s="580"/>
      <c r="RNO93" s="580"/>
      <c r="RNP93" s="580"/>
      <c r="RNQ93" s="580"/>
      <c r="RNR93" s="580"/>
      <c r="RNS93" s="580"/>
      <c r="RNT93" s="580"/>
      <c r="RNU93" s="580"/>
      <c r="RNV93" s="580"/>
      <c r="RNW93" s="580"/>
      <c r="RNX93" s="580"/>
      <c r="RNY93" s="580"/>
      <c r="RNZ93" s="580"/>
      <c r="ROA93" s="580"/>
      <c r="ROB93" s="580"/>
      <c r="ROC93" s="580"/>
      <c r="ROD93" s="580"/>
      <c r="ROE93" s="580"/>
      <c r="ROF93" s="580"/>
      <c r="ROG93" s="580"/>
      <c r="ROH93" s="580"/>
      <c r="ROI93" s="580"/>
      <c r="ROJ93" s="580"/>
      <c r="ROK93" s="580"/>
      <c r="ROL93" s="580"/>
      <c r="ROM93" s="580"/>
      <c r="RON93" s="580"/>
      <c r="ROO93" s="580"/>
      <c r="ROP93" s="580"/>
      <c r="ROQ93" s="580"/>
      <c r="ROR93" s="580"/>
      <c r="ROS93" s="580"/>
      <c r="ROT93" s="580"/>
      <c r="ROU93" s="580"/>
      <c r="ROV93" s="580"/>
      <c r="ROW93" s="580"/>
      <c r="ROX93" s="580"/>
      <c r="ROY93" s="580"/>
      <c r="ROZ93" s="580"/>
      <c r="RPA93" s="580"/>
      <c r="RPB93" s="580"/>
      <c r="RPC93" s="580"/>
      <c r="RPD93" s="580"/>
      <c r="RPE93" s="580"/>
      <c r="RPF93" s="580"/>
      <c r="RPG93" s="580"/>
      <c r="RPH93" s="580"/>
      <c r="RPI93" s="580"/>
      <c r="RPJ93" s="580"/>
      <c r="RPK93" s="580"/>
      <c r="RPL93" s="580"/>
      <c r="RPM93" s="580"/>
      <c r="RPN93" s="580"/>
      <c r="RPO93" s="580"/>
      <c r="RPP93" s="580"/>
      <c r="RPQ93" s="580"/>
      <c r="RPR93" s="580"/>
      <c r="RPS93" s="580"/>
      <c r="RPT93" s="580"/>
      <c r="RPU93" s="580"/>
      <c r="RPV93" s="580"/>
      <c r="RPW93" s="580"/>
      <c r="RPX93" s="580"/>
      <c r="RPY93" s="580"/>
      <c r="RPZ93" s="580"/>
      <c r="RQA93" s="580"/>
      <c r="RQB93" s="580"/>
      <c r="RQC93" s="580"/>
      <c r="RQD93" s="580"/>
      <c r="RQE93" s="580"/>
      <c r="RQF93" s="580"/>
      <c r="RQG93" s="580"/>
      <c r="RQH93" s="580"/>
      <c r="RQI93" s="580"/>
      <c r="RQJ93" s="580"/>
      <c r="RQK93" s="580"/>
      <c r="RQL93" s="580"/>
      <c r="RQM93" s="580"/>
      <c r="RQN93" s="580"/>
      <c r="RQO93" s="580"/>
      <c r="RQP93" s="580"/>
      <c r="RQQ93" s="580"/>
      <c r="RQR93" s="580"/>
      <c r="RQS93" s="580"/>
      <c r="RQT93" s="580"/>
      <c r="RQU93" s="580"/>
      <c r="RQV93" s="580"/>
      <c r="RQW93" s="580"/>
      <c r="RQX93" s="580"/>
      <c r="RQY93" s="580"/>
      <c r="RQZ93" s="580"/>
      <c r="RRA93" s="580"/>
      <c r="RRB93" s="580"/>
      <c r="RRC93" s="580"/>
      <c r="RRD93" s="580"/>
      <c r="RRE93" s="580"/>
      <c r="RRF93" s="580"/>
      <c r="RRG93" s="580"/>
      <c r="RRH93" s="580"/>
      <c r="RRI93" s="580"/>
      <c r="RRJ93" s="580"/>
      <c r="RRK93" s="580"/>
      <c r="RRL93" s="580"/>
      <c r="RRM93" s="580"/>
      <c r="RRN93" s="580"/>
      <c r="RRO93" s="580"/>
      <c r="RRP93" s="580"/>
      <c r="RRQ93" s="580"/>
      <c r="RRR93" s="580"/>
      <c r="RRS93" s="580"/>
      <c r="RRT93" s="580"/>
      <c r="RRU93" s="580"/>
      <c r="RRV93" s="580"/>
      <c r="RRW93" s="580"/>
      <c r="RRX93" s="580"/>
      <c r="RRY93" s="580"/>
      <c r="RRZ93" s="580"/>
      <c r="RSA93" s="580"/>
      <c r="RSB93" s="580"/>
      <c r="RSC93" s="580"/>
      <c r="RSD93" s="580"/>
      <c r="RSE93" s="580"/>
      <c r="RSF93" s="580"/>
      <c r="RSG93" s="580"/>
      <c r="RSH93" s="580"/>
      <c r="RSI93" s="580"/>
      <c r="RSJ93" s="580"/>
      <c r="RSK93" s="580"/>
      <c r="RSL93" s="580"/>
      <c r="RSM93" s="580"/>
      <c r="RSN93" s="580"/>
      <c r="RSO93" s="580"/>
      <c r="RSP93" s="580"/>
      <c r="RSQ93" s="580"/>
      <c r="RSR93" s="580"/>
      <c r="RSS93" s="580"/>
      <c r="RST93" s="580"/>
      <c r="RSU93" s="580"/>
      <c r="RSV93" s="580"/>
      <c r="RSW93" s="580"/>
      <c r="RSX93" s="580"/>
      <c r="RSY93" s="580"/>
      <c r="RSZ93" s="580"/>
      <c r="RTA93" s="580"/>
      <c r="RTB93" s="580"/>
      <c r="RTC93" s="580"/>
      <c r="RTD93" s="580"/>
      <c r="RTE93" s="580"/>
      <c r="RTF93" s="580"/>
      <c r="RTG93" s="580"/>
      <c r="RTH93" s="580"/>
      <c r="RTI93" s="580"/>
      <c r="RTJ93" s="580"/>
      <c r="RTK93" s="580"/>
      <c r="RTL93" s="580"/>
      <c r="RTM93" s="580"/>
      <c r="RTN93" s="580"/>
      <c r="RTO93" s="580"/>
      <c r="RTP93" s="580"/>
      <c r="RTQ93" s="580"/>
      <c r="RTR93" s="580"/>
      <c r="RTS93" s="580"/>
      <c r="RTT93" s="580"/>
      <c r="RTU93" s="580"/>
      <c r="RTV93" s="580"/>
      <c r="RTW93" s="580"/>
      <c r="RTX93" s="580"/>
      <c r="RTY93" s="580"/>
      <c r="RTZ93" s="580"/>
      <c r="RUA93" s="580"/>
      <c r="RUB93" s="580"/>
      <c r="RUC93" s="580"/>
      <c r="RUD93" s="580"/>
      <c r="RUE93" s="580"/>
      <c r="RUF93" s="580"/>
      <c r="RUG93" s="580"/>
      <c r="RUH93" s="580"/>
      <c r="RUI93" s="580"/>
      <c r="RUJ93" s="580"/>
      <c r="RUK93" s="580"/>
      <c r="RUL93" s="580"/>
      <c r="RUM93" s="580"/>
      <c r="RUN93" s="580"/>
      <c r="RUO93" s="580"/>
      <c r="RUP93" s="580"/>
      <c r="RUQ93" s="580"/>
      <c r="RUR93" s="580"/>
      <c r="RUS93" s="580"/>
      <c r="RUT93" s="580"/>
      <c r="RUU93" s="580"/>
      <c r="RUV93" s="580"/>
      <c r="RUW93" s="580"/>
      <c r="RUX93" s="580"/>
      <c r="RUY93" s="580"/>
      <c r="RUZ93" s="580"/>
      <c r="RVA93" s="580"/>
      <c r="RVB93" s="580"/>
      <c r="RVC93" s="580"/>
      <c r="RVD93" s="580"/>
      <c r="RVE93" s="580"/>
      <c r="RVF93" s="580"/>
      <c r="RVG93" s="580"/>
      <c r="RVH93" s="580"/>
      <c r="RVI93" s="580"/>
      <c r="RVJ93" s="580"/>
      <c r="RVK93" s="580"/>
      <c r="RVL93" s="580"/>
      <c r="RVM93" s="580"/>
      <c r="RVN93" s="580"/>
      <c r="RVO93" s="580"/>
      <c r="RVP93" s="580"/>
      <c r="RVQ93" s="580"/>
      <c r="RVR93" s="580"/>
      <c r="RVS93" s="580"/>
      <c r="RVT93" s="580"/>
      <c r="RVU93" s="580"/>
      <c r="RVV93" s="580"/>
      <c r="RVW93" s="580"/>
      <c r="RVX93" s="580"/>
      <c r="RVY93" s="580"/>
      <c r="RVZ93" s="580"/>
      <c r="RWA93" s="580"/>
      <c r="RWB93" s="580"/>
      <c r="RWC93" s="580"/>
      <c r="RWD93" s="580"/>
      <c r="RWE93" s="580"/>
      <c r="RWF93" s="580"/>
      <c r="RWG93" s="580"/>
      <c r="RWH93" s="580"/>
      <c r="RWI93" s="580"/>
      <c r="RWJ93" s="580"/>
      <c r="RWK93" s="580"/>
      <c r="RWL93" s="580"/>
      <c r="RWM93" s="580"/>
      <c r="RWN93" s="580"/>
      <c r="RWO93" s="580"/>
      <c r="RWP93" s="580"/>
      <c r="RWQ93" s="580"/>
      <c r="RWR93" s="580"/>
      <c r="RWS93" s="580"/>
      <c r="RWT93" s="580"/>
      <c r="RWU93" s="580"/>
      <c r="RWV93" s="580"/>
      <c r="RWW93" s="580"/>
      <c r="RWX93" s="580"/>
      <c r="RWY93" s="580"/>
      <c r="RWZ93" s="580"/>
      <c r="RXA93" s="580"/>
      <c r="RXB93" s="580"/>
      <c r="RXC93" s="580"/>
      <c r="RXD93" s="580"/>
      <c r="RXE93" s="580"/>
      <c r="RXF93" s="580"/>
      <c r="RXG93" s="580"/>
      <c r="RXH93" s="580"/>
      <c r="RXI93" s="580"/>
      <c r="RXJ93" s="580"/>
      <c r="RXK93" s="580"/>
      <c r="RXL93" s="580"/>
      <c r="RXM93" s="580"/>
      <c r="RXN93" s="580"/>
      <c r="RXO93" s="580"/>
      <c r="RXP93" s="580"/>
      <c r="RXQ93" s="580"/>
      <c r="RXR93" s="580"/>
      <c r="RXS93" s="580"/>
      <c r="RXT93" s="580"/>
      <c r="RXU93" s="580"/>
      <c r="RXV93" s="580"/>
      <c r="RXW93" s="580"/>
      <c r="RXX93" s="580"/>
      <c r="RXY93" s="580"/>
      <c r="RXZ93" s="580"/>
      <c r="RYA93" s="580"/>
      <c r="RYB93" s="580"/>
      <c r="RYC93" s="580"/>
      <c r="RYD93" s="580"/>
      <c r="RYE93" s="580"/>
      <c r="RYF93" s="580"/>
      <c r="RYG93" s="580"/>
      <c r="RYH93" s="580"/>
      <c r="RYI93" s="580"/>
      <c r="RYJ93" s="580"/>
      <c r="RYK93" s="580"/>
      <c r="RYL93" s="580"/>
      <c r="RYM93" s="580"/>
      <c r="RYN93" s="580"/>
      <c r="RYO93" s="580"/>
      <c r="RYP93" s="580"/>
      <c r="RYQ93" s="580"/>
      <c r="RYR93" s="580"/>
      <c r="RYS93" s="580"/>
      <c r="RYT93" s="580"/>
      <c r="RYU93" s="580"/>
      <c r="RYV93" s="580"/>
      <c r="RYW93" s="580"/>
      <c r="RYX93" s="580"/>
      <c r="RYY93" s="580"/>
      <c r="RYZ93" s="580"/>
      <c r="RZA93" s="580"/>
      <c r="RZB93" s="580"/>
      <c r="RZC93" s="580"/>
      <c r="RZD93" s="580"/>
      <c r="RZE93" s="580"/>
      <c r="RZF93" s="580"/>
      <c r="RZG93" s="580"/>
      <c r="RZH93" s="580"/>
      <c r="RZI93" s="580"/>
      <c r="RZJ93" s="580"/>
      <c r="RZK93" s="580"/>
      <c r="RZL93" s="580"/>
      <c r="RZM93" s="580"/>
      <c r="RZN93" s="580"/>
      <c r="RZO93" s="580"/>
      <c r="RZP93" s="580"/>
      <c r="RZQ93" s="580"/>
      <c r="RZR93" s="580"/>
      <c r="RZS93" s="580"/>
      <c r="RZT93" s="580"/>
      <c r="RZU93" s="580"/>
      <c r="RZV93" s="580"/>
      <c r="RZW93" s="580"/>
      <c r="RZX93" s="580"/>
      <c r="RZY93" s="580"/>
      <c r="RZZ93" s="580"/>
      <c r="SAA93" s="580"/>
      <c r="SAB93" s="580"/>
      <c r="SAC93" s="580"/>
      <c r="SAD93" s="580"/>
      <c r="SAE93" s="580"/>
      <c r="SAF93" s="580"/>
      <c r="SAG93" s="580"/>
      <c r="SAH93" s="580"/>
      <c r="SAI93" s="580"/>
      <c r="SAJ93" s="580"/>
      <c r="SAK93" s="580"/>
      <c r="SAL93" s="580"/>
      <c r="SAM93" s="580"/>
      <c r="SAN93" s="580"/>
      <c r="SAO93" s="580"/>
      <c r="SAP93" s="580"/>
      <c r="SAQ93" s="580"/>
      <c r="SAR93" s="580"/>
      <c r="SAS93" s="580"/>
      <c r="SAT93" s="580"/>
      <c r="SAU93" s="580"/>
      <c r="SAV93" s="580"/>
      <c r="SAW93" s="580"/>
      <c r="SAX93" s="580"/>
      <c r="SAY93" s="580"/>
      <c r="SAZ93" s="580"/>
      <c r="SBA93" s="580"/>
      <c r="SBB93" s="580"/>
      <c r="SBC93" s="580"/>
      <c r="SBD93" s="580"/>
      <c r="SBE93" s="580"/>
      <c r="SBF93" s="580"/>
      <c r="SBG93" s="580"/>
      <c r="SBH93" s="580"/>
      <c r="SBI93" s="580"/>
      <c r="SBJ93" s="580"/>
      <c r="SBK93" s="580"/>
      <c r="SBL93" s="580"/>
      <c r="SBM93" s="580"/>
      <c r="SBN93" s="580"/>
      <c r="SBO93" s="580"/>
      <c r="SBP93" s="580"/>
      <c r="SBQ93" s="580"/>
      <c r="SBR93" s="580"/>
      <c r="SBS93" s="580"/>
      <c r="SBT93" s="580"/>
      <c r="SBU93" s="580"/>
      <c r="SBV93" s="580"/>
      <c r="SBW93" s="580"/>
      <c r="SBX93" s="580"/>
      <c r="SBY93" s="580"/>
      <c r="SBZ93" s="580"/>
      <c r="SCA93" s="580"/>
      <c r="SCB93" s="580"/>
      <c r="SCC93" s="580"/>
      <c r="SCD93" s="580"/>
      <c r="SCE93" s="580"/>
      <c r="SCF93" s="580"/>
      <c r="SCG93" s="580"/>
      <c r="SCH93" s="580"/>
      <c r="SCI93" s="580"/>
      <c r="SCJ93" s="580"/>
      <c r="SCK93" s="580"/>
      <c r="SCL93" s="580"/>
      <c r="SCM93" s="580"/>
      <c r="SCN93" s="580"/>
      <c r="SCO93" s="580"/>
      <c r="SCP93" s="580"/>
      <c r="SCQ93" s="580"/>
      <c r="SCR93" s="580"/>
      <c r="SCS93" s="580"/>
      <c r="SCT93" s="580"/>
      <c r="SCU93" s="580"/>
      <c r="SCV93" s="580"/>
      <c r="SCW93" s="580"/>
      <c r="SCX93" s="580"/>
      <c r="SCY93" s="580"/>
      <c r="SCZ93" s="580"/>
      <c r="SDA93" s="580"/>
      <c r="SDB93" s="580"/>
      <c r="SDC93" s="580"/>
      <c r="SDD93" s="580"/>
      <c r="SDE93" s="580"/>
      <c r="SDF93" s="580"/>
      <c r="SDG93" s="580"/>
      <c r="SDH93" s="580"/>
      <c r="SDI93" s="580"/>
      <c r="SDJ93" s="580"/>
      <c r="SDK93" s="580"/>
      <c r="SDL93" s="580"/>
      <c r="SDM93" s="580"/>
      <c r="SDN93" s="580"/>
      <c r="SDO93" s="580"/>
      <c r="SDP93" s="580"/>
      <c r="SDQ93" s="580"/>
      <c r="SDR93" s="580"/>
      <c r="SDS93" s="580"/>
      <c r="SDT93" s="580"/>
      <c r="SDU93" s="580"/>
      <c r="SDV93" s="580"/>
      <c r="SDW93" s="580"/>
      <c r="SDX93" s="580"/>
      <c r="SDY93" s="580"/>
      <c r="SDZ93" s="580"/>
      <c r="SEA93" s="580"/>
      <c r="SEB93" s="580"/>
      <c r="SEC93" s="580"/>
      <c r="SED93" s="580"/>
      <c r="SEE93" s="580"/>
      <c r="SEF93" s="580"/>
      <c r="SEG93" s="580"/>
      <c r="SEH93" s="580"/>
      <c r="SEI93" s="580"/>
      <c r="SEJ93" s="580"/>
      <c r="SEK93" s="580"/>
      <c r="SEL93" s="580"/>
      <c r="SEM93" s="580"/>
      <c r="SEN93" s="580"/>
      <c r="SEO93" s="580"/>
      <c r="SEP93" s="580"/>
      <c r="SEQ93" s="580"/>
      <c r="SER93" s="580"/>
      <c r="SES93" s="580"/>
      <c r="SET93" s="580"/>
      <c r="SEU93" s="580"/>
      <c r="SEV93" s="580"/>
      <c r="SEW93" s="580"/>
      <c r="SEX93" s="580"/>
      <c r="SEY93" s="580"/>
      <c r="SEZ93" s="580"/>
      <c r="SFA93" s="580"/>
      <c r="SFB93" s="580"/>
      <c r="SFC93" s="580"/>
      <c r="SFD93" s="580"/>
      <c r="SFE93" s="580"/>
      <c r="SFF93" s="580"/>
      <c r="SFG93" s="580"/>
      <c r="SFH93" s="580"/>
      <c r="SFI93" s="580"/>
      <c r="SFJ93" s="580"/>
      <c r="SFK93" s="580"/>
      <c r="SFL93" s="580"/>
      <c r="SFM93" s="580"/>
      <c r="SFN93" s="580"/>
      <c r="SFO93" s="580"/>
      <c r="SFP93" s="580"/>
      <c r="SFQ93" s="580"/>
      <c r="SFR93" s="580"/>
      <c r="SFS93" s="580"/>
      <c r="SFT93" s="580"/>
      <c r="SFU93" s="580"/>
      <c r="SFV93" s="580"/>
      <c r="SFW93" s="580"/>
      <c r="SFX93" s="580"/>
      <c r="SFY93" s="580"/>
      <c r="SFZ93" s="580"/>
      <c r="SGA93" s="580"/>
      <c r="SGB93" s="580"/>
      <c r="SGC93" s="580"/>
      <c r="SGD93" s="580"/>
      <c r="SGE93" s="580"/>
      <c r="SGF93" s="580"/>
      <c r="SGG93" s="580"/>
      <c r="SGH93" s="580"/>
      <c r="SGI93" s="580"/>
      <c r="SGJ93" s="580"/>
      <c r="SGK93" s="580"/>
      <c r="SGL93" s="580"/>
      <c r="SGM93" s="580"/>
      <c r="SGN93" s="580"/>
      <c r="SGO93" s="580"/>
      <c r="SGP93" s="580"/>
      <c r="SGQ93" s="580"/>
      <c r="SGR93" s="580"/>
      <c r="SGS93" s="580"/>
      <c r="SGT93" s="580"/>
      <c r="SGU93" s="580"/>
      <c r="SGV93" s="580"/>
      <c r="SGW93" s="580"/>
      <c r="SGX93" s="580"/>
      <c r="SGY93" s="580"/>
      <c r="SGZ93" s="580"/>
      <c r="SHA93" s="580"/>
      <c r="SHB93" s="580"/>
      <c r="SHC93" s="580"/>
      <c r="SHD93" s="580"/>
      <c r="SHE93" s="580"/>
      <c r="SHF93" s="580"/>
      <c r="SHG93" s="580"/>
      <c r="SHH93" s="580"/>
      <c r="SHI93" s="580"/>
      <c r="SHJ93" s="580"/>
      <c r="SHK93" s="580"/>
      <c r="SHL93" s="580"/>
      <c r="SHM93" s="580"/>
      <c r="SHN93" s="580"/>
      <c r="SHO93" s="580"/>
      <c r="SHP93" s="580"/>
      <c r="SHQ93" s="580"/>
      <c r="SHR93" s="580"/>
      <c r="SHS93" s="580"/>
      <c r="SHT93" s="580"/>
      <c r="SHU93" s="580"/>
      <c r="SHV93" s="580"/>
      <c r="SHW93" s="580"/>
      <c r="SHX93" s="580"/>
      <c r="SHY93" s="580"/>
      <c r="SHZ93" s="580"/>
      <c r="SIA93" s="580"/>
      <c r="SIB93" s="580"/>
      <c r="SIC93" s="580"/>
      <c r="SID93" s="580"/>
      <c r="SIE93" s="580"/>
      <c r="SIF93" s="580"/>
      <c r="SIG93" s="580"/>
      <c r="SIH93" s="580"/>
      <c r="SII93" s="580"/>
      <c r="SIJ93" s="580"/>
      <c r="SIK93" s="580"/>
      <c r="SIL93" s="580"/>
      <c r="SIM93" s="580"/>
      <c r="SIN93" s="580"/>
      <c r="SIO93" s="580"/>
      <c r="SIP93" s="580"/>
      <c r="SIQ93" s="580"/>
      <c r="SIR93" s="580"/>
      <c r="SIS93" s="580"/>
      <c r="SIT93" s="580"/>
      <c r="SIU93" s="580"/>
      <c r="SIV93" s="580"/>
      <c r="SIW93" s="580"/>
      <c r="SIX93" s="580"/>
      <c r="SIY93" s="580"/>
      <c r="SIZ93" s="580"/>
      <c r="SJA93" s="580"/>
      <c r="SJB93" s="580"/>
      <c r="SJC93" s="580"/>
      <c r="SJD93" s="580"/>
      <c r="SJE93" s="580"/>
      <c r="SJF93" s="580"/>
      <c r="SJG93" s="580"/>
      <c r="SJH93" s="580"/>
      <c r="SJI93" s="580"/>
      <c r="SJJ93" s="580"/>
      <c r="SJK93" s="580"/>
      <c r="SJL93" s="580"/>
      <c r="SJM93" s="580"/>
      <c r="SJN93" s="580"/>
      <c r="SJO93" s="580"/>
      <c r="SJP93" s="580"/>
      <c r="SJQ93" s="580"/>
      <c r="SJR93" s="580"/>
      <c r="SJS93" s="580"/>
      <c r="SJT93" s="580"/>
      <c r="SJU93" s="580"/>
      <c r="SJV93" s="580"/>
      <c r="SJW93" s="580"/>
      <c r="SJX93" s="580"/>
      <c r="SJY93" s="580"/>
      <c r="SJZ93" s="580"/>
      <c r="SKA93" s="580"/>
      <c r="SKB93" s="580"/>
      <c r="SKC93" s="580"/>
      <c r="SKD93" s="580"/>
      <c r="SKE93" s="580"/>
      <c r="SKF93" s="580"/>
      <c r="SKG93" s="580"/>
      <c r="SKH93" s="580"/>
      <c r="SKI93" s="580"/>
      <c r="SKJ93" s="580"/>
      <c r="SKK93" s="580"/>
      <c r="SKL93" s="580"/>
      <c r="SKM93" s="580"/>
      <c r="SKN93" s="580"/>
      <c r="SKO93" s="580"/>
      <c r="SKP93" s="580"/>
      <c r="SKQ93" s="580"/>
      <c r="SKR93" s="580"/>
      <c r="SKS93" s="580"/>
      <c r="SKT93" s="580"/>
      <c r="SKU93" s="580"/>
      <c r="SKV93" s="580"/>
      <c r="SKW93" s="580"/>
      <c r="SKX93" s="580"/>
      <c r="SKY93" s="580"/>
      <c r="SKZ93" s="580"/>
      <c r="SLA93" s="580"/>
      <c r="SLB93" s="580"/>
      <c r="SLC93" s="580"/>
      <c r="SLD93" s="580"/>
      <c r="SLE93" s="580"/>
      <c r="SLF93" s="580"/>
      <c r="SLG93" s="580"/>
      <c r="SLH93" s="580"/>
      <c r="SLI93" s="580"/>
      <c r="SLJ93" s="580"/>
      <c r="SLK93" s="580"/>
      <c r="SLL93" s="580"/>
      <c r="SLM93" s="580"/>
      <c r="SLN93" s="580"/>
      <c r="SLO93" s="580"/>
      <c r="SLP93" s="580"/>
      <c r="SLQ93" s="580"/>
      <c r="SLR93" s="580"/>
      <c r="SLS93" s="580"/>
      <c r="SLT93" s="580"/>
      <c r="SLU93" s="580"/>
      <c r="SLV93" s="580"/>
      <c r="SLW93" s="580"/>
      <c r="SLX93" s="580"/>
      <c r="SLY93" s="580"/>
      <c r="SLZ93" s="580"/>
      <c r="SMA93" s="580"/>
      <c r="SMB93" s="580"/>
      <c r="SMC93" s="580"/>
      <c r="SMD93" s="580"/>
      <c r="SME93" s="580"/>
      <c r="SMF93" s="580"/>
      <c r="SMG93" s="580"/>
      <c r="SMH93" s="580"/>
      <c r="SMI93" s="580"/>
      <c r="SMJ93" s="580"/>
      <c r="SMK93" s="580"/>
      <c r="SML93" s="580"/>
      <c r="SMM93" s="580"/>
      <c r="SMN93" s="580"/>
      <c r="SMO93" s="580"/>
      <c r="SMP93" s="580"/>
      <c r="SMQ93" s="580"/>
      <c r="SMR93" s="580"/>
      <c r="SMS93" s="580"/>
      <c r="SMT93" s="580"/>
      <c r="SMU93" s="580"/>
      <c r="SMV93" s="580"/>
      <c r="SMW93" s="580"/>
      <c r="SMX93" s="580"/>
      <c r="SMY93" s="580"/>
      <c r="SMZ93" s="580"/>
      <c r="SNA93" s="580"/>
      <c r="SNB93" s="580"/>
      <c r="SNC93" s="580"/>
      <c r="SND93" s="580"/>
      <c r="SNE93" s="580"/>
      <c r="SNF93" s="580"/>
      <c r="SNG93" s="580"/>
      <c r="SNH93" s="580"/>
      <c r="SNI93" s="580"/>
      <c r="SNJ93" s="580"/>
      <c r="SNK93" s="580"/>
      <c r="SNL93" s="580"/>
      <c r="SNM93" s="580"/>
      <c r="SNN93" s="580"/>
      <c r="SNO93" s="580"/>
      <c r="SNP93" s="580"/>
      <c r="SNQ93" s="580"/>
      <c r="SNR93" s="580"/>
      <c r="SNS93" s="580"/>
      <c r="SNT93" s="580"/>
      <c r="SNU93" s="580"/>
      <c r="SNV93" s="580"/>
      <c r="SNW93" s="580"/>
      <c r="SNX93" s="580"/>
      <c r="SNY93" s="580"/>
      <c r="SNZ93" s="580"/>
      <c r="SOA93" s="580"/>
      <c r="SOB93" s="580"/>
      <c r="SOC93" s="580"/>
      <c r="SOD93" s="580"/>
      <c r="SOE93" s="580"/>
      <c r="SOF93" s="580"/>
      <c r="SOG93" s="580"/>
      <c r="SOH93" s="580"/>
      <c r="SOI93" s="580"/>
      <c r="SOJ93" s="580"/>
      <c r="SOK93" s="580"/>
      <c r="SOL93" s="580"/>
      <c r="SOM93" s="580"/>
      <c r="SON93" s="580"/>
      <c r="SOO93" s="580"/>
      <c r="SOP93" s="580"/>
      <c r="SOQ93" s="580"/>
      <c r="SOR93" s="580"/>
      <c r="SOS93" s="580"/>
      <c r="SOT93" s="580"/>
      <c r="SOU93" s="580"/>
      <c r="SOV93" s="580"/>
      <c r="SOW93" s="580"/>
      <c r="SOX93" s="580"/>
      <c r="SOY93" s="580"/>
      <c r="SOZ93" s="580"/>
      <c r="SPA93" s="580"/>
      <c r="SPB93" s="580"/>
      <c r="SPC93" s="580"/>
      <c r="SPD93" s="580"/>
      <c r="SPE93" s="580"/>
      <c r="SPF93" s="580"/>
      <c r="SPG93" s="580"/>
      <c r="SPH93" s="580"/>
      <c r="SPI93" s="580"/>
      <c r="SPJ93" s="580"/>
      <c r="SPK93" s="580"/>
      <c r="SPL93" s="580"/>
      <c r="SPM93" s="580"/>
      <c r="SPN93" s="580"/>
      <c r="SPO93" s="580"/>
      <c r="SPP93" s="580"/>
      <c r="SPQ93" s="580"/>
      <c r="SPR93" s="580"/>
      <c r="SPS93" s="580"/>
      <c r="SPT93" s="580"/>
      <c r="SPU93" s="580"/>
      <c r="SPV93" s="580"/>
      <c r="SPW93" s="580"/>
      <c r="SPX93" s="580"/>
      <c r="SPY93" s="580"/>
      <c r="SPZ93" s="580"/>
      <c r="SQA93" s="580"/>
      <c r="SQB93" s="580"/>
      <c r="SQC93" s="580"/>
      <c r="SQD93" s="580"/>
      <c r="SQE93" s="580"/>
      <c r="SQF93" s="580"/>
      <c r="SQG93" s="580"/>
      <c r="SQH93" s="580"/>
      <c r="SQI93" s="580"/>
      <c r="SQJ93" s="580"/>
      <c r="SQK93" s="580"/>
      <c r="SQL93" s="580"/>
      <c r="SQM93" s="580"/>
      <c r="SQN93" s="580"/>
      <c r="SQO93" s="580"/>
      <c r="SQP93" s="580"/>
      <c r="SQQ93" s="580"/>
      <c r="SQR93" s="580"/>
      <c r="SQS93" s="580"/>
      <c r="SQT93" s="580"/>
      <c r="SQU93" s="580"/>
      <c r="SQV93" s="580"/>
      <c r="SQW93" s="580"/>
      <c r="SQX93" s="580"/>
      <c r="SQY93" s="580"/>
      <c r="SQZ93" s="580"/>
      <c r="SRA93" s="580"/>
      <c r="SRB93" s="580"/>
      <c r="SRC93" s="580"/>
      <c r="SRD93" s="580"/>
      <c r="SRE93" s="580"/>
      <c r="SRF93" s="580"/>
      <c r="SRG93" s="580"/>
      <c r="SRH93" s="580"/>
      <c r="SRI93" s="580"/>
      <c r="SRJ93" s="580"/>
      <c r="SRK93" s="580"/>
      <c r="SRL93" s="580"/>
      <c r="SRM93" s="580"/>
      <c r="SRN93" s="580"/>
      <c r="SRO93" s="580"/>
      <c r="SRP93" s="580"/>
      <c r="SRQ93" s="580"/>
      <c r="SRR93" s="580"/>
      <c r="SRS93" s="580"/>
      <c r="SRT93" s="580"/>
      <c r="SRU93" s="580"/>
      <c r="SRV93" s="580"/>
      <c r="SRW93" s="580"/>
      <c r="SRX93" s="580"/>
      <c r="SRY93" s="580"/>
      <c r="SRZ93" s="580"/>
      <c r="SSA93" s="580"/>
      <c r="SSB93" s="580"/>
      <c r="SSC93" s="580"/>
      <c r="SSD93" s="580"/>
      <c r="SSE93" s="580"/>
      <c r="SSF93" s="580"/>
      <c r="SSG93" s="580"/>
      <c r="SSH93" s="580"/>
      <c r="SSI93" s="580"/>
      <c r="SSJ93" s="580"/>
      <c r="SSK93" s="580"/>
      <c r="SSL93" s="580"/>
      <c r="SSM93" s="580"/>
      <c r="SSN93" s="580"/>
      <c r="SSO93" s="580"/>
      <c r="SSP93" s="580"/>
      <c r="SSQ93" s="580"/>
      <c r="SSR93" s="580"/>
      <c r="SSS93" s="580"/>
      <c r="SST93" s="580"/>
      <c r="SSU93" s="580"/>
      <c r="SSV93" s="580"/>
      <c r="SSW93" s="580"/>
      <c r="SSX93" s="580"/>
      <c r="SSY93" s="580"/>
      <c r="SSZ93" s="580"/>
      <c r="STA93" s="580"/>
      <c r="STB93" s="580"/>
      <c r="STC93" s="580"/>
      <c r="STD93" s="580"/>
      <c r="STE93" s="580"/>
      <c r="STF93" s="580"/>
      <c r="STG93" s="580"/>
      <c r="STH93" s="580"/>
      <c r="STI93" s="580"/>
      <c r="STJ93" s="580"/>
      <c r="STK93" s="580"/>
      <c r="STL93" s="580"/>
      <c r="STM93" s="580"/>
      <c r="STN93" s="580"/>
      <c r="STO93" s="580"/>
      <c r="STP93" s="580"/>
      <c r="STQ93" s="580"/>
      <c r="STR93" s="580"/>
      <c r="STS93" s="580"/>
      <c r="STT93" s="580"/>
      <c r="STU93" s="580"/>
      <c r="STV93" s="580"/>
      <c r="STW93" s="580"/>
      <c r="STX93" s="580"/>
      <c r="STY93" s="580"/>
      <c r="STZ93" s="580"/>
      <c r="SUA93" s="580"/>
      <c r="SUB93" s="580"/>
      <c r="SUC93" s="580"/>
      <c r="SUD93" s="580"/>
      <c r="SUE93" s="580"/>
      <c r="SUF93" s="580"/>
      <c r="SUG93" s="580"/>
      <c r="SUH93" s="580"/>
      <c r="SUI93" s="580"/>
      <c r="SUJ93" s="580"/>
      <c r="SUK93" s="580"/>
      <c r="SUL93" s="580"/>
      <c r="SUM93" s="580"/>
      <c r="SUN93" s="580"/>
      <c r="SUO93" s="580"/>
      <c r="SUP93" s="580"/>
      <c r="SUQ93" s="580"/>
      <c r="SUR93" s="580"/>
      <c r="SUS93" s="580"/>
      <c r="SUT93" s="580"/>
      <c r="SUU93" s="580"/>
      <c r="SUV93" s="580"/>
      <c r="SUW93" s="580"/>
      <c r="SUX93" s="580"/>
      <c r="SUY93" s="580"/>
      <c r="SUZ93" s="580"/>
      <c r="SVA93" s="580"/>
      <c r="SVB93" s="580"/>
      <c r="SVC93" s="580"/>
      <c r="SVD93" s="580"/>
      <c r="SVE93" s="580"/>
      <c r="SVF93" s="580"/>
      <c r="SVG93" s="580"/>
      <c r="SVH93" s="580"/>
      <c r="SVI93" s="580"/>
      <c r="SVJ93" s="580"/>
      <c r="SVK93" s="580"/>
      <c r="SVL93" s="580"/>
      <c r="SVM93" s="580"/>
      <c r="SVN93" s="580"/>
      <c r="SVO93" s="580"/>
      <c r="SVP93" s="580"/>
      <c r="SVQ93" s="580"/>
      <c r="SVR93" s="580"/>
      <c r="SVS93" s="580"/>
      <c r="SVT93" s="580"/>
      <c r="SVU93" s="580"/>
      <c r="SVV93" s="580"/>
      <c r="SVW93" s="580"/>
      <c r="SVX93" s="580"/>
      <c r="SVY93" s="580"/>
      <c r="SVZ93" s="580"/>
      <c r="SWA93" s="580"/>
      <c r="SWB93" s="580"/>
      <c r="SWC93" s="580"/>
      <c r="SWD93" s="580"/>
      <c r="SWE93" s="580"/>
      <c r="SWF93" s="580"/>
      <c r="SWG93" s="580"/>
      <c r="SWH93" s="580"/>
      <c r="SWI93" s="580"/>
      <c r="SWJ93" s="580"/>
      <c r="SWK93" s="580"/>
      <c r="SWL93" s="580"/>
      <c r="SWM93" s="580"/>
      <c r="SWN93" s="580"/>
      <c r="SWO93" s="580"/>
      <c r="SWP93" s="580"/>
      <c r="SWQ93" s="580"/>
      <c r="SWR93" s="580"/>
      <c r="SWS93" s="580"/>
      <c r="SWT93" s="580"/>
      <c r="SWU93" s="580"/>
      <c r="SWV93" s="580"/>
      <c r="SWW93" s="580"/>
      <c r="SWX93" s="580"/>
      <c r="SWY93" s="580"/>
      <c r="SWZ93" s="580"/>
      <c r="SXA93" s="580"/>
      <c r="SXB93" s="580"/>
      <c r="SXC93" s="580"/>
      <c r="SXD93" s="580"/>
      <c r="SXE93" s="580"/>
      <c r="SXF93" s="580"/>
      <c r="SXG93" s="580"/>
      <c r="SXH93" s="580"/>
      <c r="SXI93" s="580"/>
      <c r="SXJ93" s="580"/>
      <c r="SXK93" s="580"/>
      <c r="SXL93" s="580"/>
      <c r="SXM93" s="580"/>
      <c r="SXN93" s="580"/>
      <c r="SXO93" s="580"/>
      <c r="SXP93" s="580"/>
      <c r="SXQ93" s="580"/>
      <c r="SXR93" s="580"/>
      <c r="SXS93" s="580"/>
      <c r="SXT93" s="580"/>
      <c r="SXU93" s="580"/>
      <c r="SXV93" s="580"/>
      <c r="SXW93" s="580"/>
      <c r="SXX93" s="580"/>
      <c r="SXY93" s="580"/>
      <c r="SXZ93" s="580"/>
      <c r="SYA93" s="580"/>
      <c r="SYB93" s="580"/>
      <c r="SYC93" s="580"/>
      <c r="SYD93" s="580"/>
      <c r="SYE93" s="580"/>
      <c r="SYF93" s="580"/>
      <c r="SYG93" s="580"/>
      <c r="SYH93" s="580"/>
      <c r="SYI93" s="580"/>
      <c r="SYJ93" s="580"/>
      <c r="SYK93" s="580"/>
      <c r="SYL93" s="580"/>
      <c r="SYM93" s="580"/>
      <c r="SYN93" s="580"/>
      <c r="SYO93" s="580"/>
      <c r="SYP93" s="580"/>
      <c r="SYQ93" s="580"/>
      <c r="SYR93" s="580"/>
      <c r="SYS93" s="580"/>
      <c r="SYT93" s="580"/>
      <c r="SYU93" s="580"/>
      <c r="SYV93" s="580"/>
      <c r="SYW93" s="580"/>
      <c r="SYX93" s="580"/>
      <c r="SYY93" s="580"/>
      <c r="SYZ93" s="580"/>
      <c r="SZA93" s="580"/>
      <c r="SZB93" s="580"/>
      <c r="SZC93" s="580"/>
      <c r="SZD93" s="580"/>
      <c r="SZE93" s="580"/>
      <c r="SZF93" s="580"/>
      <c r="SZG93" s="580"/>
      <c r="SZH93" s="580"/>
      <c r="SZI93" s="580"/>
      <c r="SZJ93" s="580"/>
      <c r="SZK93" s="580"/>
      <c r="SZL93" s="580"/>
      <c r="SZM93" s="580"/>
      <c r="SZN93" s="580"/>
      <c r="SZO93" s="580"/>
      <c r="SZP93" s="580"/>
      <c r="SZQ93" s="580"/>
      <c r="SZR93" s="580"/>
      <c r="SZS93" s="580"/>
      <c r="SZT93" s="580"/>
      <c r="SZU93" s="580"/>
      <c r="SZV93" s="580"/>
      <c r="SZW93" s="580"/>
      <c r="SZX93" s="580"/>
      <c r="SZY93" s="580"/>
      <c r="SZZ93" s="580"/>
      <c r="TAA93" s="580"/>
      <c r="TAB93" s="580"/>
      <c r="TAC93" s="580"/>
      <c r="TAD93" s="580"/>
      <c r="TAE93" s="580"/>
      <c r="TAF93" s="580"/>
      <c r="TAG93" s="580"/>
      <c r="TAH93" s="580"/>
      <c r="TAI93" s="580"/>
      <c r="TAJ93" s="580"/>
      <c r="TAK93" s="580"/>
      <c r="TAL93" s="580"/>
      <c r="TAM93" s="580"/>
      <c r="TAN93" s="580"/>
      <c r="TAO93" s="580"/>
      <c r="TAP93" s="580"/>
      <c r="TAQ93" s="580"/>
      <c r="TAR93" s="580"/>
      <c r="TAS93" s="580"/>
      <c r="TAT93" s="580"/>
      <c r="TAU93" s="580"/>
      <c r="TAV93" s="580"/>
      <c r="TAW93" s="580"/>
      <c r="TAX93" s="580"/>
      <c r="TAY93" s="580"/>
      <c r="TAZ93" s="580"/>
      <c r="TBA93" s="580"/>
      <c r="TBB93" s="580"/>
      <c r="TBC93" s="580"/>
      <c r="TBD93" s="580"/>
      <c r="TBE93" s="580"/>
      <c r="TBF93" s="580"/>
      <c r="TBG93" s="580"/>
      <c r="TBH93" s="580"/>
      <c r="TBI93" s="580"/>
      <c r="TBJ93" s="580"/>
      <c r="TBK93" s="580"/>
      <c r="TBL93" s="580"/>
      <c r="TBM93" s="580"/>
      <c r="TBN93" s="580"/>
      <c r="TBO93" s="580"/>
      <c r="TBP93" s="580"/>
      <c r="TBQ93" s="580"/>
      <c r="TBR93" s="580"/>
      <c r="TBS93" s="580"/>
      <c r="TBT93" s="580"/>
      <c r="TBU93" s="580"/>
      <c r="TBV93" s="580"/>
      <c r="TBW93" s="580"/>
      <c r="TBX93" s="580"/>
      <c r="TBY93" s="580"/>
      <c r="TBZ93" s="580"/>
      <c r="TCA93" s="580"/>
      <c r="TCB93" s="580"/>
      <c r="TCC93" s="580"/>
      <c r="TCD93" s="580"/>
      <c r="TCE93" s="580"/>
      <c r="TCF93" s="580"/>
      <c r="TCG93" s="580"/>
      <c r="TCH93" s="580"/>
      <c r="TCI93" s="580"/>
      <c r="TCJ93" s="580"/>
      <c r="TCK93" s="580"/>
      <c r="TCL93" s="580"/>
      <c r="TCM93" s="580"/>
      <c r="TCN93" s="580"/>
      <c r="TCO93" s="580"/>
      <c r="TCP93" s="580"/>
      <c r="TCQ93" s="580"/>
      <c r="TCR93" s="580"/>
      <c r="TCS93" s="580"/>
      <c r="TCT93" s="580"/>
      <c r="TCU93" s="580"/>
      <c r="TCV93" s="580"/>
      <c r="TCW93" s="580"/>
      <c r="TCX93" s="580"/>
      <c r="TCY93" s="580"/>
      <c r="TCZ93" s="580"/>
      <c r="TDA93" s="580"/>
      <c r="TDB93" s="580"/>
      <c r="TDC93" s="580"/>
      <c r="TDD93" s="580"/>
      <c r="TDE93" s="580"/>
      <c r="TDF93" s="580"/>
      <c r="TDG93" s="580"/>
      <c r="TDH93" s="580"/>
      <c r="TDI93" s="580"/>
      <c r="TDJ93" s="580"/>
      <c r="TDK93" s="580"/>
      <c r="TDL93" s="580"/>
      <c r="TDM93" s="580"/>
      <c r="TDN93" s="580"/>
      <c r="TDO93" s="580"/>
      <c r="TDP93" s="580"/>
      <c r="TDQ93" s="580"/>
      <c r="TDR93" s="580"/>
      <c r="TDS93" s="580"/>
      <c r="TDT93" s="580"/>
      <c r="TDU93" s="580"/>
      <c r="TDV93" s="580"/>
      <c r="TDW93" s="580"/>
      <c r="TDX93" s="580"/>
      <c r="TDY93" s="580"/>
      <c r="TDZ93" s="580"/>
      <c r="TEA93" s="580"/>
      <c r="TEB93" s="580"/>
      <c r="TEC93" s="580"/>
      <c r="TED93" s="580"/>
      <c r="TEE93" s="580"/>
      <c r="TEF93" s="580"/>
      <c r="TEG93" s="580"/>
      <c r="TEH93" s="580"/>
      <c r="TEI93" s="580"/>
      <c r="TEJ93" s="580"/>
      <c r="TEK93" s="580"/>
      <c r="TEL93" s="580"/>
      <c r="TEM93" s="580"/>
      <c r="TEN93" s="580"/>
      <c r="TEO93" s="580"/>
      <c r="TEP93" s="580"/>
      <c r="TEQ93" s="580"/>
      <c r="TER93" s="580"/>
      <c r="TES93" s="580"/>
      <c r="TET93" s="580"/>
      <c r="TEU93" s="580"/>
      <c r="TEV93" s="580"/>
      <c r="TEW93" s="580"/>
      <c r="TEX93" s="580"/>
      <c r="TEY93" s="580"/>
      <c r="TEZ93" s="580"/>
      <c r="TFA93" s="580"/>
      <c r="TFB93" s="580"/>
      <c r="TFC93" s="580"/>
      <c r="TFD93" s="580"/>
      <c r="TFE93" s="580"/>
      <c r="TFF93" s="580"/>
      <c r="TFG93" s="580"/>
      <c r="TFH93" s="580"/>
      <c r="TFI93" s="580"/>
      <c r="TFJ93" s="580"/>
      <c r="TFK93" s="580"/>
      <c r="TFL93" s="580"/>
      <c r="TFM93" s="580"/>
      <c r="TFN93" s="580"/>
      <c r="TFO93" s="580"/>
      <c r="TFP93" s="580"/>
      <c r="TFQ93" s="580"/>
      <c r="TFR93" s="580"/>
      <c r="TFS93" s="580"/>
      <c r="TFT93" s="580"/>
      <c r="TFU93" s="580"/>
      <c r="TFV93" s="580"/>
      <c r="TFW93" s="580"/>
      <c r="TFX93" s="580"/>
      <c r="TFY93" s="580"/>
      <c r="TFZ93" s="580"/>
      <c r="TGA93" s="580"/>
      <c r="TGB93" s="580"/>
      <c r="TGC93" s="580"/>
      <c r="TGD93" s="580"/>
      <c r="TGE93" s="580"/>
      <c r="TGF93" s="580"/>
      <c r="TGG93" s="580"/>
      <c r="TGH93" s="580"/>
      <c r="TGI93" s="580"/>
      <c r="TGJ93" s="580"/>
      <c r="TGK93" s="580"/>
      <c r="TGL93" s="580"/>
      <c r="TGM93" s="580"/>
      <c r="TGN93" s="580"/>
      <c r="TGO93" s="580"/>
      <c r="TGP93" s="580"/>
      <c r="TGQ93" s="580"/>
      <c r="TGR93" s="580"/>
      <c r="TGS93" s="580"/>
      <c r="TGT93" s="580"/>
      <c r="TGU93" s="580"/>
      <c r="TGV93" s="580"/>
      <c r="TGW93" s="580"/>
      <c r="TGX93" s="580"/>
      <c r="TGY93" s="580"/>
      <c r="TGZ93" s="580"/>
      <c r="THA93" s="580"/>
      <c r="THB93" s="580"/>
      <c r="THC93" s="580"/>
      <c r="THD93" s="580"/>
      <c r="THE93" s="580"/>
      <c r="THF93" s="580"/>
      <c r="THG93" s="580"/>
      <c r="THH93" s="580"/>
      <c r="THI93" s="580"/>
      <c r="THJ93" s="580"/>
      <c r="THK93" s="580"/>
      <c r="THL93" s="580"/>
      <c r="THM93" s="580"/>
      <c r="THN93" s="580"/>
      <c r="THO93" s="580"/>
      <c r="THP93" s="580"/>
      <c r="THQ93" s="580"/>
      <c r="THR93" s="580"/>
      <c r="THS93" s="580"/>
      <c r="THT93" s="580"/>
      <c r="THU93" s="580"/>
      <c r="THV93" s="580"/>
      <c r="THW93" s="580"/>
      <c r="THX93" s="580"/>
      <c r="THY93" s="580"/>
      <c r="THZ93" s="580"/>
      <c r="TIA93" s="580"/>
      <c r="TIB93" s="580"/>
      <c r="TIC93" s="580"/>
      <c r="TID93" s="580"/>
      <c r="TIE93" s="580"/>
      <c r="TIF93" s="580"/>
      <c r="TIG93" s="580"/>
      <c r="TIH93" s="580"/>
      <c r="TII93" s="580"/>
      <c r="TIJ93" s="580"/>
      <c r="TIK93" s="580"/>
      <c r="TIL93" s="580"/>
      <c r="TIM93" s="580"/>
      <c r="TIN93" s="580"/>
      <c r="TIO93" s="580"/>
      <c r="TIP93" s="580"/>
      <c r="TIQ93" s="580"/>
      <c r="TIR93" s="580"/>
      <c r="TIS93" s="580"/>
      <c r="TIT93" s="580"/>
      <c r="TIU93" s="580"/>
      <c r="TIV93" s="580"/>
      <c r="TIW93" s="580"/>
      <c r="TIX93" s="580"/>
      <c r="TIY93" s="580"/>
      <c r="TIZ93" s="580"/>
      <c r="TJA93" s="580"/>
      <c r="TJB93" s="580"/>
      <c r="TJC93" s="580"/>
      <c r="TJD93" s="580"/>
      <c r="TJE93" s="580"/>
      <c r="TJF93" s="580"/>
      <c r="TJG93" s="580"/>
      <c r="TJH93" s="580"/>
      <c r="TJI93" s="580"/>
      <c r="TJJ93" s="580"/>
      <c r="TJK93" s="580"/>
      <c r="TJL93" s="580"/>
      <c r="TJM93" s="580"/>
      <c r="TJN93" s="580"/>
      <c r="TJO93" s="580"/>
      <c r="TJP93" s="580"/>
      <c r="TJQ93" s="580"/>
      <c r="TJR93" s="580"/>
      <c r="TJS93" s="580"/>
      <c r="TJT93" s="580"/>
      <c r="TJU93" s="580"/>
      <c r="TJV93" s="580"/>
      <c r="TJW93" s="580"/>
      <c r="TJX93" s="580"/>
      <c r="TJY93" s="580"/>
      <c r="TJZ93" s="580"/>
      <c r="TKA93" s="580"/>
      <c r="TKB93" s="580"/>
      <c r="TKC93" s="580"/>
      <c r="TKD93" s="580"/>
      <c r="TKE93" s="580"/>
      <c r="TKF93" s="580"/>
      <c r="TKG93" s="580"/>
      <c r="TKH93" s="580"/>
      <c r="TKI93" s="580"/>
      <c r="TKJ93" s="580"/>
      <c r="TKK93" s="580"/>
      <c r="TKL93" s="580"/>
      <c r="TKM93" s="580"/>
      <c r="TKN93" s="580"/>
      <c r="TKO93" s="580"/>
      <c r="TKP93" s="580"/>
      <c r="TKQ93" s="580"/>
      <c r="TKR93" s="580"/>
      <c r="TKS93" s="580"/>
      <c r="TKT93" s="580"/>
      <c r="TKU93" s="580"/>
      <c r="TKV93" s="580"/>
      <c r="TKW93" s="580"/>
      <c r="TKX93" s="580"/>
      <c r="TKY93" s="580"/>
      <c r="TKZ93" s="580"/>
      <c r="TLA93" s="580"/>
      <c r="TLB93" s="580"/>
      <c r="TLC93" s="580"/>
      <c r="TLD93" s="580"/>
      <c r="TLE93" s="580"/>
      <c r="TLF93" s="580"/>
      <c r="TLG93" s="580"/>
      <c r="TLH93" s="580"/>
      <c r="TLI93" s="580"/>
      <c r="TLJ93" s="580"/>
      <c r="TLK93" s="580"/>
      <c r="TLL93" s="580"/>
      <c r="TLM93" s="580"/>
      <c r="TLN93" s="580"/>
      <c r="TLO93" s="580"/>
      <c r="TLP93" s="580"/>
      <c r="TLQ93" s="580"/>
      <c r="TLR93" s="580"/>
      <c r="TLS93" s="580"/>
      <c r="TLT93" s="580"/>
      <c r="TLU93" s="580"/>
      <c r="TLV93" s="580"/>
      <c r="TLW93" s="580"/>
      <c r="TLX93" s="580"/>
      <c r="TLY93" s="580"/>
      <c r="TLZ93" s="580"/>
      <c r="TMA93" s="580"/>
      <c r="TMB93" s="580"/>
      <c r="TMC93" s="580"/>
      <c r="TMD93" s="580"/>
      <c r="TME93" s="580"/>
      <c r="TMF93" s="580"/>
      <c r="TMG93" s="580"/>
      <c r="TMH93" s="580"/>
      <c r="TMI93" s="580"/>
      <c r="TMJ93" s="580"/>
      <c r="TMK93" s="580"/>
      <c r="TML93" s="580"/>
      <c r="TMM93" s="580"/>
      <c r="TMN93" s="580"/>
      <c r="TMO93" s="580"/>
      <c r="TMP93" s="580"/>
      <c r="TMQ93" s="580"/>
      <c r="TMR93" s="580"/>
      <c r="TMS93" s="580"/>
      <c r="TMT93" s="580"/>
      <c r="TMU93" s="580"/>
      <c r="TMV93" s="580"/>
      <c r="TMW93" s="580"/>
      <c r="TMX93" s="580"/>
      <c r="TMY93" s="580"/>
      <c r="TMZ93" s="580"/>
      <c r="TNA93" s="580"/>
      <c r="TNB93" s="580"/>
      <c r="TNC93" s="580"/>
      <c r="TND93" s="580"/>
      <c r="TNE93" s="580"/>
      <c r="TNF93" s="580"/>
      <c r="TNG93" s="580"/>
      <c r="TNH93" s="580"/>
      <c r="TNI93" s="580"/>
      <c r="TNJ93" s="580"/>
      <c r="TNK93" s="580"/>
      <c r="TNL93" s="580"/>
      <c r="TNM93" s="580"/>
      <c r="TNN93" s="580"/>
      <c r="TNO93" s="580"/>
      <c r="TNP93" s="580"/>
      <c r="TNQ93" s="580"/>
      <c r="TNR93" s="580"/>
      <c r="TNS93" s="580"/>
      <c r="TNT93" s="580"/>
      <c r="TNU93" s="580"/>
      <c r="TNV93" s="580"/>
      <c r="TNW93" s="580"/>
      <c r="TNX93" s="580"/>
      <c r="TNY93" s="580"/>
      <c r="TNZ93" s="580"/>
      <c r="TOA93" s="580"/>
      <c r="TOB93" s="580"/>
      <c r="TOC93" s="580"/>
      <c r="TOD93" s="580"/>
      <c r="TOE93" s="580"/>
      <c r="TOF93" s="580"/>
      <c r="TOG93" s="580"/>
      <c r="TOH93" s="580"/>
      <c r="TOI93" s="580"/>
      <c r="TOJ93" s="580"/>
      <c r="TOK93" s="580"/>
      <c r="TOL93" s="580"/>
      <c r="TOM93" s="580"/>
      <c r="TON93" s="580"/>
      <c r="TOO93" s="580"/>
      <c r="TOP93" s="580"/>
      <c r="TOQ93" s="580"/>
      <c r="TOR93" s="580"/>
      <c r="TOS93" s="580"/>
      <c r="TOT93" s="580"/>
      <c r="TOU93" s="580"/>
      <c r="TOV93" s="580"/>
      <c r="TOW93" s="580"/>
      <c r="TOX93" s="580"/>
      <c r="TOY93" s="580"/>
      <c r="TOZ93" s="580"/>
      <c r="TPA93" s="580"/>
      <c r="TPB93" s="580"/>
      <c r="TPC93" s="580"/>
      <c r="TPD93" s="580"/>
      <c r="TPE93" s="580"/>
      <c r="TPF93" s="580"/>
      <c r="TPG93" s="580"/>
      <c r="TPH93" s="580"/>
      <c r="TPI93" s="580"/>
      <c r="TPJ93" s="580"/>
      <c r="TPK93" s="580"/>
      <c r="TPL93" s="580"/>
      <c r="TPM93" s="580"/>
      <c r="TPN93" s="580"/>
      <c r="TPO93" s="580"/>
      <c r="TPP93" s="580"/>
      <c r="TPQ93" s="580"/>
      <c r="TPR93" s="580"/>
      <c r="TPS93" s="580"/>
      <c r="TPT93" s="580"/>
      <c r="TPU93" s="580"/>
      <c r="TPV93" s="580"/>
      <c r="TPW93" s="580"/>
      <c r="TPX93" s="580"/>
      <c r="TPY93" s="580"/>
      <c r="TPZ93" s="580"/>
      <c r="TQA93" s="580"/>
      <c r="TQB93" s="580"/>
      <c r="TQC93" s="580"/>
      <c r="TQD93" s="580"/>
      <c r="TQE93" s="580"/>
      <c r="TQF93" s="580"/>
      <c r="TQG93" s="580"/>
      <c r="TQH93" s="580"/>
      <c r="TQI93" s="580"/>
      <c r="TQJ93" s="580"/>
      <c r="TQK93" s="580"/>
      <c r="TQL93" s="580"/>
      <c r="TQM93" s="580"/>
      <c r="TQN93" s="580"/>
      <c r="TQO93" s="580"/>
      <c r="TQP93" s="580"/>
      <c r="TQQ93" s="580"/>
      <c r="TQR93" s="580"/>
      <c r="TQS93" s="580"/>
      <c r="TQT93" s="580"/>
      <c r="TQU93" s="580"/>
      <c r="TQV93" s="580"/>
      <c r="TQW93" s="580"/>
      <c r="TQX93" s="580"/>
      <c r="TQY93" s="580"/>
      <c r="TQZ93" s="580"/>
      <c r="TRA93" s="580"/>
      <c r="TRB93" s="580"/>
      <c r="TRC93" s="580"/>
      <c r="TRD93" s="580"/>
      <c r="TRE93" s="580"/>
      <c r="TRF93" s="580"/>
      <c r="TRG93" s="580"/>
      <c r="TRH93" s="580"/>
      <c r="TRI93" s="580"/>
      <c r="TRJ93" s="580"/>
      <c r="TRK93" s="580"/>
      <c r="TRL93" s="580"/>
      <c r="TRM93" s="580"/>
      <c r="TRN93" s="580"/>
      <c r="TRO93" s="580"/>
      <c r="TRP93" s="580"/>
      <c r="TRQ93" s="580"/>
      <c r="TRR93" s="580"/>
      <c r="TRS93" s="580"/>
      <c r="TRT93" s="580"/>
      <c r="TRU93" s="580"/>
      <c r="TRV93" s="580"/>
      <c r="TRW93" s="580"/>
      <c r="TRX93" s="580"/>
      <c r="TRY93" s="580"/>
      <c r="TRZ93" s="580"/>
      <c r="TSA93" s="580"/>
      <c r="TSB93" s="580"/>
      <c r="TSC93" s="580"/>
      <c r="TSD93" s="580"/>
      <c r="TSE93" s="580"/>
      <c r="TSF93" s="580"/>
      <c r="TSG93" s="580"/>
      <c r="TSH93" s="580"/>
      <c r="TSI93" s="580"/>
      <c r="TSJ93" s="580"/>
      <c r="TSK93" s="580"/>
      <c r="TSL93" s="580"/>
      <c r="TSM93" s="580"/>
      <c r="TSN93" s="580"/>
      <c r="TSO93" s="580"/>
      <c r="TSP93" s="580"/>
      <c r="TSQ93" s="580"/>
      <c r="TSR93" s="580"/>
      <c r="TSS93" s="580"/>
      <c r="TST93" s="580"/>
      <c r="TSU93" s="580"/>
      <c r="TSV93" s="580"/>
      <c r="TSW93" s="580"/>
      <c r="TSX93" s="580"/>
      <c r="TSY93" s="580"/>
      <c r="TSZ93" s="580"/>
      <c r="TTA93" s="580"/>
      <c r="TTB93" s="580"/>
      <c r="TTC93" s="580"/>
      <c r="TTD93" s="580"/>
      <c r="TTE93" s="580"/>
      <c r="TTF93" s="580"/>
      <c r="TTG93" s="580"/>
      <c r="TTH93" s="580"/>
      <c r="TTI93" s="580"/>
      <c r="TTJ93" s="580"/>
      <c r="TTK93" s="580"/>
      <c r="TTL93" s="580"/>
      <c r="TTM93" s="580"/>
      <c r="TTN93" s="580"/>
      <c r="TTO93" s="580"/>
      <c r="TTP93" s="580"/>
      <c r="TTQ93" s="580"/>
      <c r="TTR93" s="580"/>
      <c r="TTS93" s="580"/>
      <c r="TTT93" s="580"/>
      <c r="TTU93" s="580"/>
      <c r="TTV93" s="580"/>
      <c r="TTW93" s="580"/>
      <c r="TTX93" s="580"/>
      <c r="TTY93" s="580"/>
      <c r="TTZ93" s="580"/>
      <c r="TUA93" s="580"/>
      <c r="TUB93" s="580"/>
      <c r="TUC93" s="580"/>
      <c r="TUD93" s="580"/>
      <c r="TUE93" s="580"/>
      <c r="TUF93" s="580"/>
      <c r="TUG93" s="580"/>
      <c r="TUH93" s="580"/>
      <c r="TUI93" s="580"/>
      <c r="TUJ93" s="580"/>
      <c r="TUK93" s="580"/>
      <c r="TUL93" s="580"/>
      <c r="TUM93" s="580"/>
      <c r="TUN93" s="580"/>
      <c r="TUO93" s="580"/>
      <c r="TUP93" s="580"/>
      <c r="TUQ93" s="580"/>
      <c r="TUR93" s="580"/>
      <c r="TUS93" s="580"/>
      <c r="TUT93" s="580"/>
      <c r="TUU93" s="580"/>
      <c r="TUV93" s="580"/>
      <c r="TUW93" s="580"/>
      <c r="TUX93" s="580"/>
      <c r="TUY93" s="580"/>
      <c r="TUZ93" s="580"/>
      <c r="TVA93" s="580"/>
      <c r="TVB93" s="580"/>
      <c r="TVC93" s="580"/>
      <c r="TVD93" s="580"/>
      <c r="TVE93" s="580"/>
      <c r="TVF93" s="580"/>
      <c r="TVG93" s="580"/>
      <c r="TVH93" s="580"/>
      <c r="TVI93" s="580"/>
      <c r="TVJ93" s="580"/>
      <c r="TVK93" s="580"/>
      <c r="TVL93" s="580"/>
      <c r="TVM93" s="580"/>
      <c r="TVN93" s="580"/>
      <c r="TVO93" s="580"/>
      <c r="TVP93" s="580"/>
      <c r="TVQ93" s="580"/>
      <c r="TVR93" s="580"/>
      <c r="TVS93" s="580"/>
      <c r="TVT93" s="580"/>
      <c r="TVU93" s="580"/>
      <c r="TVV93" s="580"/>
      <c r="TVW93" s="580"/>
      <c r="TVX93" s="580"/>
      <c r="TVY93" s="580"/>
      <c r="TVZ93" s="580"/>
      <c r="TWA93" s="580"/>
      <c r="TWB93" s="580"/>
      <c r="TWC93" s="580"/>
      <c r="TWD93" s="580"/>
      <c r="TWE93" s="580"/>
      <c r="TWF93" s="580"/>
      <c r="TWG93" s="580"/>
      <c r="TWH93" s="580"/>
      <c r="TWI93" s="580"/>
      <c r="TWJ93" s="580"/>
      <c r="TWK93" s="580"/>
      <c r="TWL93" s="580"/>
      <c r="TWM93" s="580"/>
      <c r="TWN93" s="580"/>
      <c r="TWO93" s="580"/>
      <c r="TWP93" s="580"/>
      <c r="TWQ93" s="580"/>
      <c r="TWR93" s="580"/>
      <c r="TWS93" s="580"/>
      <c r="TWT93" s="580"/>
      <c r="TWU93" s="580"/>
      <c r="TWV93" s="580"/>
      <c r="TWW93" s="580"/>
      <c r="TWX93" s="580"/>
      <c r="TWY93" s="580"/>
      <c r="TWZ93" s="580"/>
      <c r="TXA93" s="580"/>
      <c r="TXB93" s="580"/>
      <c r="TXC93" s="580"/>
      <c r="TXD93" s="580"/>
      <c r="TXE93" s="580"/>
      <c r="TXF93" s="580"/>
      <c r="TXG93" s="580"/>
      <c r="TXH93" s="580"/>
      <c r="TXI93" s="580"/>
      <c r="TXJ93" s="580"/>
      <c r="TXK93" s="580"/>
      <c r="TXL93" s="580"/>
      <c r="TXM93" s="580"/>
      <c r="TXN93" s="580"/>
      <c r="TXO93" s="580"/>
      <c r="TXP93" s="580"/>
      <c r="TXQ93" s="580"/>
      <c r="TXR93" s="580"/>
      <c r="TXS93" s="580"/>
      <c r="TXT93" s="580"/>
      <c r="TXU93" s="580"/>
      <c r="TXV93" s="580"/>
      <c r="TXW93" s="580"/>
      <c r="TXX93" s="580"/>
      <c r="TXY93" s="580"/>
      <c r="TXZ93" s="580"/>
      <c r="TYA93" s="580"/>
      <c r="TYB93" s="580"/>
      <c r="TYC93" s="580"/>
      <c r="TYD93" s="580"/>
      <c r="TYE93" s="580"/>
      <c r="TYF93" s="580"/>
      <c r="TYG93" s="580"/>
      <c r="TYH93" s="580"/>
      <c r="TYI93" s="580"/>
      <c r="TYJ93" s="580"/>
      <c r="TYK93" s="580"/>
      <c r="TYL93" s="580"/>
      <c r="TYM93" s="580"/>
      <c r="TYN93" s="580"/>
      <c r="TYO93" s="580"/>
      <c r="TYP93" s="580"/>
      <c r="TYQ93" s="580"/>
      <c r="TYR93" s="580"/>
      <c r="TYS93" s="580"/>
      <c r="TYT93" s="580"/>
      <c r="TYU93" s="580"/>
      <c r="TYV93" s="580"/>
      <c r="TYW93" s="580"/>
      <c r="TYX93" s="580"/>
      <c r="TYY93" s="580"/>
      <c r="TYZ93" s="580"/>
      <c r="TZA93" s="580"/>
      <c r="TZB93" s="580"/>
      <c r="TZC93" s="580"/>
      <c r="TZD93" s="580"/>
      <c r="TZE93" s="580"/>
      <c r="TZF93" s="580"/>
      <c r="TZG93" s="580"/>
      <c r="TZH93" s="580"/>
      <c r="TZI93" s="580"/>
      <c r="TZJ93" s="580"/>
      <c r="TZK93" s="580"/>
      <c r="TZL93" s="580"/>
      <c r="TZM93" s="580"/>
      <c r="TZN93" s="580"/>
      <c r="TZO93" s="580"/>
      <c r="TZP93" s="580"/>
      <c r="TZQ93" s="580"/>
      <c r="TZR93" s="580"/>
      <c r="TZS93" s="580"/>
      <c r="TZT93" s="580"/>
      <c r="TZU93" s="580"/>
      <c r="TZV93" s="580"/>
      <c r="TZW93" s="580"/>
      <c r="TZX93" s="580"/>
      <c r="TZY93" s="580"/>
      <c r="TZZ93" s="580"/>
      <c r="UAA93" s="580"/>
      <c r="UAB93" s="580"/>
      <c r="UAC93" s="580"/>
      <c r="UAD93" s="580"/>
      <c r="UAE93" s="580"/>
      <c r="UAF93" s="580"/>
      <c r="UAG93" s="580"/>
      <c r="UAH93" s="580"/>
      <c r="UAI93" s="580"/>
      <c r="UAJ93" s="580"/>
      <c r="UAK93" s="580"/>
      <c r="UAL93" s="580"/>
      <c r="UAM93" s="580"/>
      <c r="UAN93" s="580"/>
      <c r="UAO93" s="580"/>
      <c r="UAP93" s="580"/>
      <c r="UAQ93" s="580"/>
      <c r="UAR93" s="580"/>
      <c r="UAS93" s="580"/>
      <c r="UAT93" s="580"/>
      <c r="UAU93" s="580"/>
      <c r="UAV93" s="580"/>
      <c r="UAW93" s="580"/>
      <c r="UAX93" s="580"/>
      <c r="UAY93" s="580"/>
      <c r="UAZ93" s="580"/>
      <c r="UBA93" s="580"/>
      <c r="UBB93" s="580"/>
      <c r="UBC93" s="580"/>
      <c r="UBD93" s="580"/>
      <c r="UBE93" s="580"/>
      <c r="UBF93" s="580"/>
      <c r="UBG93" s="580"/>
      <c r="UBH93" s="580"/>
      <c r="UBI93" s="580"/>
      <c r="UBJ93" s="580"/>
      <c r="UBK93" s="580"/>
      <c r="UBL93" s="580"/>
      <c r="UBM93" s="580"/>
      <c r="UBN93" s="580"/>
      <c r="UBO93" s="580"/>
      <c r="UBP93" s="580"/>
      <c r="UBQ93" s="580"/>
      <c r="UBR93" s="580"/>
      <c r="UBS93" s="580"/>
      <c r="UBT93" s="580"/>
      <c r="UBU93" s="580"/>
      <c r="UBV93" s="580"/>
      <c r="UBW93" s="580"/>
      <c r="UBX93" s="580"/>
      <c r="UBY93" s="580"/>
      <c r="UBZ93" s="580"/>
      <c r="UCA93" s="580"/>
      <c r="UCB93" s="580"/>
      <c r="UCC93" s="580"/>
      <c r="UCD93" s="580"/>
      <c r="UCE93" s="580"/>
      <c r="UCF93" s="580"/>
      <c r="UCG93" s="580"/>
      <c r="UCH93" s="580"/>
      <c r="UCI93" s="580"/>
      <c r="UCJ93" s="580"/>
      <c r="UCK93" s="580"/>
      <c r="UCL93" s="580"/>
      <c r="UCM93" s="580"/>
      <c r="UCN93" s="580"/>
      <c r="UCO93" s="580"/>
      <c r="UCP93" s="580"/>
      <c r="UCQ93" s="580"/>
      <c r="UCR93" s="580"/>
      <c r="UCS93" s="580"/>
      <c r="UCT93" s="580"/>
      <c r="UCU93" s="580"/>
      <c r="UCV93" s="580"/>
      <c r="UCW93" s="580"/>
      <c r="UCX93" s="580"/>
      <c r="UCY93" s="580"/>
      <c r="UCZ93" s="580"/>
      <c r="UDA93" s="580"/>
      <c r="UDB93" s="580"/>
      <c r="UDC93" s="580"/>
      <c r="UDD93" s="580"/>
      <c r="UDE93" s="580"/>
      <c r="UDF93" s="580"/>
      <c r="UDG93" s="580"/>
      <c r="UDH93" s="580"/>
      <c r="UDI93" s="580"/>
      <c r="UDJ93" s="580"/>
      <c r="UDK93" s="580"/>
      <c r="UDL93" s="580"/>
      <c r="UDM93" s="580"/>
      <c r="UDN93" s="580"/>
      <c r="UDO93" s="580"/>
      <c r="UDP93" s="580"/>
      <c r="UDQ93" s="580"/>
      <c r="UDR93" s="580"/>
      <c r="UDS93" s="580"/>
      <c r="UDT93" s="580"/>
      <c r="UDU93" s="580"/>
      <c r="UDV93" s="580"/>
      <c r="UDW93" s="580"/>
      <c r="UDX93" s="580"/>
      <c r="UDY93" s="580"/>
      <c r="UDZ93" s="580"/>
      <c r="UEA93" s="580"/>
      <c r="UEB93" s="580"/>
      <c r="UEC93" s="580"/>
      <c r="UED93" s="580"/>
      <c r="UEE93" s="580"/>
      <c r="UEF93" s="580"/>
      <c r="UEG93" s="580"/>
      <c r="UEH93" s="580"/>
      <c r="UEI93" s="580"/>
      <c r="UEJ93" s="580"/>
      <c r="UEK93" s="580"/>
      <c r="UEL93" s="580"/>
      <c r="UEM93" s="580"/>
      <c r="UEN93" s="580"/>
      <c r="UEO93" s="580"/>
      <c r="UEP93" s="580"/>
      <c r="UEQ93" s="580"/>
      <c r="UER93" s="580"/>
      <c r="UES93" s="580"/>
      <c r="UET93" s="580"/>
      <c r="UEU93" s="580"/>
      <c r="UEV93" s="580"/>
      <c r="UEW93" s="580"/>
      <c r="UEX93" s="580"/>
      <c r="UEY93" s="580"/>
      <c r="UEZ93" s="580"/>
      <c r="UFA93" s="580"/>
      <c r="UFB93" s="580"/>
      <c r="UFC93" s="580"/>
      <c r="UFD93" s="580"/>
      <c r="UFE93" s="580"/>
      <c r="UFF93" s="580"/>
      <c r="UFG93" s="580"/>
      <c r="UFH93" s="580"/>
      <c r="UFI93" s="580"/>
      <c r="UFJ93" s="580"/>
      <c r="UFK93" s="580"/>
      <c r="UFL93" s="580"/>
      <c r="UFM93" s="580"/>
      <c r="UFN93" s="580"/>
      <c r="UFO93" s="580"/>
      <c r="UFP93" s="580"/>
      <c r="UFQ93" s="580"/>
      <c r="UFR93" s="580"/>
      <c r="UFS93" s="580"/>
      <c r="UFT93" s="580"/>
      <c r="UFU93" s="580"/>
      <c r="UFV93" s="580"/>
      <c r="UFW93" s="580"/>
      <c r="UFX93" s="580"/>
      <c r="UFY93" s="580"/>
      <c r="UFZ93" s="580"/>
      <c r="UGA93" s="580"/>
      <c r="UGB93" s="580"/>
      <c r="UGC93" s="580"/>
      <c r="UGD93" s="580"/>
      <c r="UGE93" s="580"/>
      <c r="UGF93" s="580"/>
      <c r="UGG93" s="580"/>
      <c r="UGH93" s="580"/>
      <c r="UGI93" s="580"/>
      <c r="UGJ93" s="580"/>
      <c r="UGK93" s="580"/>
      <c r="UGL93" s="580"/>
      <c r="UGM93" s="580"/>
      <c r="UGN93" s="580"/>
      <c r="UGO93" s="580"/>
      <c r="UGP93" s="580"/>
      <c r="UGQ93" s="580"/>
      <c r="UGR93" s="580"/>
      <c r="UGS93" s="580"/>
      <c r="UGT93" s="580"/>
      <c r="UGU93" s="580"/>
      <c r="UGV93" s="580"/>
      <c r="UGW93" s="580"/>
      <c r="UGX93" s="580"/>
      <c r="UGY93" s="580"/>
      <c r="UGZ93" s="580"/>
      <c r="UHA93" s="580"/>
      <c r="UHB93" s="580"/>
      <c r="UHC93" s="580"/>
      <c r="UHD93" s="580"/>
      <c r="UHE93" s="580"/>
      <c r="UHF93" s="580"/>
      <c r="UHG93" s="580"/>
      <c r="UHH93" s="580"/>
      <c r="UHI93" s="580"/>
      <c r="UHJ93" s="580"/>
      <c r="UHK93" s="580"/>
      <c r="UHL93" s="580"/>
      <c r="UHM93" s="580"/>
      <c r="UHN93" s="580"/>
      <c r="UHO93" s="580"/>
      <c r="UHP93" s="580"/>
      <c r="UHQ93" s="580"/>
      <c r="UHR93" s="580"/>
      <c r="UHS93" s="580"/>
      <c r="UHT93" s="580"/>
      <c r="UHU93" s="580"/>
      <c r="UHV93" s="580"/>
      <c r="UHW93" s="580"/>
      <c r="UHX93" s="580"/>
      <c r="UHY93" s="580"/>
      <c r="UHZ93" s="580"/>
      <c r="UIA93" s="580"/>
      <c r="UIB93" s="580"/>
      <c r="UIC93" s="580"/>
      <c r="UID93" s="580"/>
      <c r="UIE93" s="580"/>
      <c r="UIF93" s="580"/>
      <c r="UIG93" s="580"/>
      <c r="UIH93" s="580"/>
      <c r="UII93" s="580"/>
      <c r="UIJ93" s="580"/>
      <c r="UIK93" s="580"/>
      <c r="UIL93" s="580"/>
      <c r="UIM93" s="580"/>
      <c r="UIN93" s="580"/>
      <c r="UIO93" s="580"/>
      <c r="UIP93" s="580"/>
      <c r="UIQ93" s="580"/>
      <c r="UIR93" s="580"/>
      <c r="UIS93" s="580"/>
      <c r="UIT93" s="580"/>
      <c r="UIU93" s="580"/>
      <c r="UIV93" s="580"/>
      <c r="UIW93" s="580"/>
      <c r="UIX93" s="580"/>
      <c r="UIY93" s="580"/>
      <c r="UIZ93" s="580"/>
      <c r="UJA93" s="580"/>
      <c r="UJB93" s="580"/>
      <c r="UJC93" s="580"/>
      <c r="UJD93" s="580"/>
      <c r="UJE93" s="580"/>
      <c r="UJF93" s="580"/>
      <c r="UJG93" s="580"/>
      <c r="UJH93" s="580"/>
      <c r="UJI93" s="580"/>
      <c r="UJJ93" s="580"/>
      <c r="UJK93" s="580"/>
      <c r="UJL93" s="580"/>
      <c r="UJM93" s="580"/>
      <c r="UJN93" s="580"/>
      <c r="UJO93" s="580"/>
      <c r="UJP93" s="580"/>
      <c r="UJQ93" s="580"/>
      <c r="UJR93" s="580"/>
      <c r="UJS93" s="580"/>
      <c r="UJT93" s="580"/>
      <c r="UJU93" s="580"/>
      <c r="UJV93" s="580"/>
      <c r="UJW93" s="580"/>
      <c r="UJX93" s="580"/>
      <c r="UJY93" s="580"/>
      <c r="UJZ93" s="580"/>
      <c r="UKA93" s="580"/>
      <c r="UKB93" s="580"/>
      <c r="UKC93" s="580"/>
      <c r="UKD93" s="580"/>
      <c r="UKE93" s="580"/>
      <c r="UKF93" s="580"/>
      <c r="UKG93" s="580"/>
      <c r="UKH93" s="580"/>
      <c r="UKI93" s="580"/>
      <c r="UKJ93" s="580"/>
      <c r="UKK93" s="580"/>
      <c r="UKL93" s="580"/>
      <c r="UKM93" s="580"/>
      <c r="UKN93" s="580"/>
      <c r="UKO93" s="580"/>
      <c r="UKP93" s="580"/>
      <c r="UKQ93" s="580"/>
      <c r="UKR93" s="580"/>
      <c r="UKS93" s="580"/>
      <c r="UKT93" s="580"/>
      <c r="UKU93" s="580"/>
      <c r="UKV93" s="580"/>
      <c r="UKW93" s="580"/>
      <c r="UKX93" s="580"/>
      <c r="UKY93" s="580"/>
      <c r="UKZ93" s="580"/>
      <c r="ULA93" s="580"/>
      <c r="ULB93" s="580"/>
      <c r="ULC93" s="580"/>
      <c r="ULD93" s="580"/>
      <c r="ULE93" s="580"/>
      <c r="ULF93" s="580"/>
      <c r="ULG93" s="580"/>
      <c r="ULH93" s="580"/>
      <c r="ULI93" s="580"/>
      <c r="ULJ93" s="580"/>
      <c r="ULK93" s="580"/>
      <c r="ULL93" s="580"/>
      <c r="ULM93" s="580"/>
      <c r="ULN93" s="580"/>
      <c r="ULO93" s="580"/>
      <c r="ULP93" s="580"/>
      <c r="ULQ93" s="580"/>
      <c r="ULR93" s="580"/>
      <c r="ULS93" s="580"/>
      <c r="ULT93" s="580"/>
      <c r="ULU93" s="580"/>
      <c r="ULV93" s="580"/>
      <c r="ULW93" s="580"/>
      <c r="ULX93" s="580"/>
      <c r="ULY93" s="580"/>
      <c r="ULZ93" s="580"/>
      <c r="UMA93" s="580"/>
      <c r="UMB93" s="580"/>
      <c r="UMC93" s="580"/>
      <c r="UMD93" s="580"/>
      <c r="UME93" s="580"/>
      <c r="UMF93" s="580"/>
      <c r="UMG93" s="580"/>
      <c r="UMH93" s="580"/>
      <c r="UMI93" s="580"/>
      <c r="UMJ93" s="580"/>
      <c r="UMK93" s="580"/>
      <c r="UML93" s="580"/>
      <c r="UMM93" s="580"/>
      <c r="UMN93" s="580"/>
      <c r="UMO93" s="580"/>
      <c r="UMP93" s="580"/>
      <c r="UMQ93" s="580"/>
      <c r="UMR93" s="580"/>
      <c r="UMS93" s="580"/>
      <c r="UMT93" s="580"/>
      <c r="UMU93" s="580"/>
      <c r="UMV93" s="580"/>
      <c r="UMW93" s="580"/>
      <c r="UMX93" s="580"/>
      <c r="UMY93" s="580"/>
      <c r="UMZ93" s="580"/>
      <c r="UNA93" s="580"/>
      <c r="UNB93" s="580"/>
      <c r="UNC93" s="580"/>
      <c r="UND93" s="580"/>
      <c r="UNE93" s="580"/>
      <c r="UNF93" s="580"/>
      <c r="UNG93" s="580"/>
      <c r="UNH93" s="580"/>
      <c r="UNI93" s="580"/>
      <c r="UNJ93" s="580"/>
      <c r="UNK93" s="580"/>
      <c r="UNL93" s="580"/>
      <c r="UNM93" s="580"/>
      <c r="UNN93" s="580"/>
      <c r="UNO93" s="580"/>
      <c r="UNP93" s="580"/>
      <c r="UNQ93" s="580"/>
      <c r="UNR93" s="580"/>
      <c r="UNS93" s="580"/>
      <c r="UNT93" s="580"/>
      <c r="UNU93" s="580"/>
      <c r="UNV93" s="580"/>
      <c r="UNW93" s="580"/>
      <c r="UNX93" s="580"/>
      <c r="UNY93" s="580"/>
      <c r="UNZ93" s="580"/>
      <c r="UOA93" s="580"/>
      <c r="UOB93" s="580"/>
      <c r="UOC93" s="580"/>
      <c r="UOD93" s="580"/>
      <c r="UOE93" s="580"/>
      <c r="UOF93" s="580"/>
      <c r="UOG93" s="580"/>
      <c r="UOH93" s="580"/>
      <c r="UOI93" s="580"/>
      <c r="UOJ93" s="580"/>
      <c r="UOK93" s="580"/>
      <c r="UOL93" s="580"/>
      <c r="UOM93" s="580"/>
      <c r="UON93" s="580"/>
      <c r="UOO93" s="580"/>
      <c r="UOP93" s="580"/>
      <c r="UOQ93" s="580"/>
      <c r="UOR93" s="580"/>
      <c r="UOS93" s="580"/>
      <c r="UOT93" s="580"/>
      <c r="UOU93" s="580"/>
      <c r="UOV93" s="580"/>
      <c r="UOW93" s="580"/>
      <c r="UOX93" s="580"/>
      <c r="UOY93" s="580"/>
      <c r="UOZ93" s="580"/>
      <c r="UPA93" s="580"/>
      <c r="UPB93" s="580"/>
      <c r="UPC93" s="580"/>
      <c r="UPD93" s="580"/>
      <c r="UPE93" s="580"/>
      <c r="UPF93" s="580"/>
      <c r="UPG93" s="580"/>
      <c r="UPH93" s="580"/>
      <c r="UPI93" s="580"/>
      <c r="UPJ93" s="580"/>
      <c r="UPK93" s="580"/>
      <c r="UPL93" s="580"/>
      <c r="UPM93" s="580"/>
      <c r="UPN93" s="580"/>
      <c r="UPO93" s="580"/>
      <c r="UPP93" s="580"/>
      <c r="UPQ93" s="580"/>
      <c r="UPR93" s="580"/>
      <c r="UPS93" s="580"/>
      <c r="UPT93" s="580"/>
      <c r="UPU93" s="580"/>
      <c r="UPV93" s="580"/>
      <c r="UPW93" s="580"/>
      <c r="UPX93" s="580"/>
      <c r="UPY93" s="580"/>
      <c r="UPZ93" s="580"/>
      <c r="UQA93" s="580"/>
      <c r="UQB93" s="580"/>
      <c r="UQC93" s="580"/>
      <c r="UQD93" s="580"/>
      <c r="UQE93" s="580"/>
      <c r="UQF93" s="580"/>
      <c r="UQG93" s="580"/>
      <c r="UQH93" s="580"/>
      <c r="UQI93" s="580"/>
      <c r="UQJ93" s="580"/>
      <c r="UQK93" s="580"/>
      <c r="UQL93" s="580"/>
      <c r="UQM93" s="580"/>
      <c r="UQN93" s="580"/>
      <c r="UQO93" s="580"/>
      <c r="UQP93" s="580"/>
      <c r="UQQ93" s="580"/>
      <c r="UQR93" s="580"/>
      <c r="UQS93" s="580"/>
      <c r="UQT93" s="580"/>
      <c r="UQU93" s="580"/>
      <c r="UQV93" s="580"/>
      <c r="UQW93" s="580"/>
      <c r="UQX93" s="580"/>
      <c r="UQY93" s="580"/>
      <c r="UQZ93" s="580"/>
      <c r="URA93" s="580"/>
      <c r="URB93" s="580"/>
      <c r="URC93" s="580"/>
      <c r="URD93" s="580"/>
      <c r="URE93" s="580"/>
      <c r="URF93" s="580"/>
      <c r="URG93" s="580"/>
      <c r="URH93" s="580"/>
      <c r="URI93" s="580"/>
      <c r="URJ93" s="580"/>
      <c r="URK93" s="580"/>
      <c r="URL93" s="580"/>
      <c r="URM93" s="580"/>
      <c r="URN93" s="580"/>
      <c r="URO93" s="580"/>
      <c r="URP93" s="580"/>
      <c r="URQ93" s="580"/>
      <c r="URR93" s="580"/>
      <c r="URS93" s="580"/>
      <c r="URT93" s="580"/>
      <c r="URU93" s="580"/>
      <c r="URV93" s="580"/>
      <c r="URW93" s="580"/>
      <c r="URX93" s="580"/>
      <c r="URY93" s="580"/>
      <c r="URZ93" s="580"/>
      <c r="USA93" s="580"/>
      <c r="USB93" s="580"/>
      <c r="USC93" s="580"/>
      <c r="USD93" s="580"/>
      <c r="USE93" s="580"/>
      <c r="USF93" s="580"/>
      <c r="USG93" s="580"/>
      <c r="USH93" s="580"/>
      <c r="USI93" s="580"/>
      <c r="USJ93" s="580"/>
      <c r="USK93" s="580"/>
      <c r="USL93" s="580"/>
      <c r="USM93" s="580"/>
      <c r="USN93" s="580"/>
      <c r="USO93" s="580"/>
      <c r="USP93" s="580"/>
      <c r="USQ93" s="580"/>
      <c r="USR93" s="580"/>
      <c r="USS93" s="580"/>
      <c r="UST93" s="580"/>
      <c r="USU93" s="580"/>
      <c r="USV93" s="580"/>
      <c r="USW93" s="580"/>
      <c r="USX93" s="580"/>
      <c r="USY93" s="580"/>
      <c r="USZ93" s="580"/>
      <c r="UTA93" s="580"/>
      <c r="UTB93" s="580"/>
      <c r="UTC93" s="580"/>
      <c r="UTD93" s="580"/>
      <c r="UTE93" s="580"/>
      <c r="UTF93" s="580"/>
      <c r="UTG93" s="580"/>
      <c r="UTH93" s="580"/>
      <c r="UTI93" s="580"/>
      <c r="UTJ93" s="580"/>
      <c r="UTK93" s="580"/>
      <c r="UTL93" s="580"/>
      <c r="UTM93" s="580"/>
      <c r="UTN93" s="580"/>
      <c r="UTO93" s="580"/>
      <c r="UTP93" s="580"/>
      <c r="UTQ93" s="580"/>
      <c r="UTR93" s="580"/>
      <c r="UTS93" s="580"/>
      <c r="UTT93" s="580"/>
      <c r="UTU93" s="580"/>
      <c r="UTV93" s="580"/>
      <c r="UTW93" s="580"/>
      <c r="UTX93" s="580"/>
      <c r="UTY93" s="580"/>
      <c r="UTZ93" s="580"/>
      <c r="UUA93" s="580"/>
      <c r="UUB93" s="580"/>
      <c r="UUC93" s="580"/>
      <c r="UUD93" s="580"/>
      <c r="UUE93" s="580"/>
      <c r="UUF93" s="580"/>
      <c r="UUG93" s="580"/>
      <c r="UUH93" s="580"/>
      <c r="UUI93" s="580"/>
      <c r="UUJ93" s="580"/>
      <c r="UUK93" s="580"/>
      <c r="UUL93" s="580"/>
      <c r="UUM93" s="580"/>
      <c r="UUN93" s="580"/>
      <c r="UUO93" s="580"/>
      <c r="UUP93" s="580"/>
      <c r="UUQ93" s="580"/>
      <c r="UUR93" s="580"/>
      <c r="UUS93" s="580"/>
      <c r="UUT93" s="580"/>
      <c r="UUU93" s="580"/>
      <c r="UUV93" s="580"/>
      <c r="UUW93" s="580"/>
      <c r="UUX93" s="580"/>
      <c r="UUY93" s="580"/>
      <c r="UUZ93" s="580"/>
      <c r="UVA93" s="580"/>
      <c r="UVB93" s="580"/>
      <c r="UVC93" s="580"/>
      <c r="UVD93" s="580"/>
      <c r="UVE93" s="580"/>
      <c r="UVF93" s="580"/>
      <c r="UVG93" s="580"/>
      <c r="UVH93" s="580"/>
      <c r="UVI93" s="580"/>
      <c r="UVJ93" s="580"/>
      <c r="UVK93" s="580"/>
      <c r="UVL93" s="580"/>
      <c r="UVM93" s="580"/>
      <c r="UVN93" s="580"/>
      <c r="UVO93" s="580"/>
      <c r="UVP93" s="580"/>
      <c r="UVQ93" s="580"/>
      <c r="UVR93" s="580"/>
      <c r="UVS93" s="580"/>
      <c r="UVT93" s="580"/>
      <c r="UVU93" s="580"/>
      <c r="UVV93" s="580"/>
      <c r="UVW93" s="580"/>
      <c r="UVX93" s="580"/>
      <c r="UVY93" s="580"/>
      <c r="UVZ93" s="580"/>
      <c r="UWA93" s="580"/>
      <c r="UWB93" s="580"/>
      <c r="UWC93" s="580"/>
      <c r="UWD93" s="580"/>
      <c r="UWE93" s="580"/>
      <c r="UWF93" s="580"/>
      <c r="UWG93" s="580"/>
      <c r="UWH93" s="580"/>
      <c r="UWI93" s="580"/>
      <c r="UWJ93" s="580"/>
      <c r="UWK93" s="580"/>
      <c r="UWL93" s="580"/>
      <c r="UWM93" s="580"/>
      <c r="UWN93" s="580"/>
      <c r="UWO93" s="580"/>
      <c r="UWP93" s="580"/>
      <c r="UWQ93" s="580"/>
      <c r="UWR93" s="580"/>
      <c r="UWS93" s="580"/>
      <c r="UWT93" s="580"/>
      <c r="UWU93" s="580"/>
      <c r="UWV93" s="580"/>
      <c r="UWW93" s="580"/>
      <c r="UWX93" s="580"/>
      <c r="UWY93" s="580"/>
      <c r="UWZ93" s="580"/>
      <c r="UXA93" s="580"/>
      <c r="UXB93" s="580"/>
      <c r="UXC93" s="580"/>
      <c r="UXD93" s="580"/>
      <c r="UXE93" s="580"/>
      <c r="UXF93" s="580"/>
      <c r="UXG93" s="580"/>
      <c r="UXH93" s="580"/>
      <c r="UXI93" s="580"/>
      <c r="UXJ93" s="580"/>
      <c r="UXK93" s="580"/>
      <c r="UXL93" s="580"/>
      <c r="UXM93" s="580"/>
      <c r="UXN93" s="580"/>
      <c r="UXO93" s="580"/>
      <c r="UXP93" s="580"/>
      <c r="UXQ93" s="580"/>
      <c r="UXR93" s="580"/>
      <c r="UXS93" s="580"/>
      <c r="UXT93" s="580"/>
      <c r="UXU93" s="580"/>
      <c r="UXV93" s="580"/>
      <c r="UXW93" s="580"/>
      <c r="UXX93" s="580"/>
      <c r="UXY93" s="580"/>
      <c r="UXZ93" s="580"/>
      <c r="UYA93" s="580"/>
      <c r="UYB93" s="580"/>
      <c r="UYC93" s="580"/>
      <c r="UYD93" s="580"/>
      <c r="UYE93" s="580"/>
      <c r="UYF93" s="580"/>
      <c r="UYG93" s="580"/>
      <c r="UYH93" s="580"/>
      <c r="UYI93" s="580"/>
      <c r="UYJ93" s="580"/>
      <c r="UYK93" s="580"/>
      <c r="UYL93" s="580"/>
      <c r="UYM93" s="580"/>
      <c r="UYN93" s="580"/>
      <c r="UYO93" s="580"/>
      <c r="UYP93" s="580"/>
      <c r="UYQ93" s="580"/>
      <c r="UYR93" s="580"/>
      <c r="UYS93" s="580"/>
      <c r="UYT93" s="580"/>
      <c r="UYU93" s="580"/>
      <c r="UYV93" s="580"/>
      <c r="UYW93" s="580"/>
      <c r="UYX93" s="580"/>
      <c r="UYY93" s="580"/>
      <c r="UYZ93" s="580"/>
      <c r="UZA93" s="580"/>
      <c r="UZB93" s="580"/>
      <c r="UZC93" s="580"/>
      <c r="UZD93" s="580"/>
      <c r="UZE93" s="580"/>
      <c r="UZF93" s="580"/>
      <c r="UZG93" s="580"/>
      <c r="UZH93" s="580"/>
      <c r="UZI93" s="580"/>
      <c r="UZJ93" s="580"/>
      <c r="UZK93" s="580"/>
      <c r="UZL93" s="580"/>
      <c r="UZM93" s="580"/>
      <c r="UZN93" s="580"/>
      <c r="UZO93" s="580"/>
      <c r="UZP93" s="580"/>
      <c r="UZQ93" s="580"/>
      <c r="UZR93" s="580"/>
      <c r="UZS93" s="580"/>
      <c r="UZT93" s="580"/>
      <c r="UZU93" s="580"/>
      <c r="UZV93" s="580"/>
      <c r="UZW93" s="580"/>
      <c r="UZX93" s="580"/>
      <c r="UZY93" s="580"/>
      <c r="UZZ93" s="580"/>
      <c r="VAA93" s="580"/>
      <c r="VAB93" s="580"/>
      <c r="VAC93" s="580"/>
      <c r="VAD93" s="580"/>
      <c r="VAE93" s="580"/>
      <c r="VAF93" s="580"/>
      <c r="VAG93" s="580"/>
      <c r="VAH93" s="580"/>
      <c r="VAI93" s="580"/>
      <c r="VAJ93" s="580"/>
      <c r="VAK93" s="580"/>
      <c r="VAL93" s="580"/>
      <c r="VAM93" s="580"/>
      <c r="VAN93" s="580"/>
      <c r="VAO93" s="580"/>
      <c r="VAP93" s="580"/>
      <c r="VAQ93" s="580"/>
      <c r="VAR93" s="580"/>
      <c r="VAS93" s="580"/>
      <c r="VAT93" s="580"/>
      <c r="VAU93" s="580"/>
      <c r="VAV93" s="580"/>
      <c r="VAW93" s="580"/>
      <c r="VAX93" s="580"/>
      <c r="VAY93" s="580"/>
      <c r="VAZ93" s="580"/>
      <c r="VBA93" s="580"/>
      <c r="VBB93" s="580"/>
      <c r="VBC93" s="580"/>
      <c r="VBD93" s="580"/>
      <c r="VBE93" s="580"/>
      <c r="VBF93" s="580"/>
      <c r="VBG93" s="580"/>
      <c r="VBH93" s="580"/>
      <c r="VBI93" s="580"/>
      <c r="VBJ93" s="580"/>
      <c r="VBK93" s="580"/>
      <c r="VBL93" s="580"/>
      <c r="VBM93" s="580"/>
      <c r="VBN93" s="580"/>
      <c r="VBO93" s="580"/>
      <c r="VBP93" s="580"/>
      <c r="VBQ93" s="580"/>
      <c r="VBR93" s="580"/>
      <c r="VBS93" s="580"/>
      <c r="VBT93" s="580"/>
      <c r="VBU93" s="580"/>
      <c r="VBV93" s="580"/>
      <c r="VBW93" s="580"/>
      <c r="VBX93" s="580"/>
      <c r="VBY93" s="580"/>
      <c r="VBZ93" s="580"/>
      <c r="VCA93" s="580"/>
      <c r="VCB93" s="580"/>
      <c r="VCC93" s="580"/>
      <c r="VCD93" s="580"/>
      <c r="VCE93" s="580"/>
      <c r="VCF93" s="580"/>
      <c r="VCG93" s="580"/>
      <c r="VCH93" s="580"/>
      <c r="VCI93" s="580"/>
      <c r="VCJ93" s="580"/>
      <c r="VCK93" s="580"/>
      <c r="VCL93" s="580"/>
      <c r="VCM93" s="580"/>
      <c r="VCN93" s="580"/>
      <c r="VCO93" s="580"/>
      <c r="VCP93" s="580"/>
      <c r="VCQ93" s="580"/>
      <c r="VCR93" s="580"/>
      <c r="VCS93" s="580"/>
      <c r="VCT93" s="580"/>
      <c r="VCU93" s="580"/>
      <c r="VCV93" s="580"/>
      <c r="VCW93" s="580"/>
      <c r="VCX93" s="580"/>
      <c r="VCY93" s="580"/>
      <c r="VCZ93" s="580"/>
      <c r="VDA93" s="580"/>
      <c r="VDB93" s="580"/>
      <c r="VDC93" s="580"/>
      <c r="VDD93" s="580"/>
      <c r="VDE93" s="580"/>
      <c r="VDF93" s="580"/>
      <c r="VDG93" s="580"/>
      <c r="VDH93" s="580"/>
      <c r="VDI93" s="580"/>
      <c r="VDJ93" s="580"/>
      <c r="VDK93" s="580"/>
      <c r="VDL93" s="580"/>
      <c r="VDM93" s="580"/>
      <c r="VDN93" s="580"/>
      <c r="VDO93" s="580"/>
      <c r="VDP93" s="580"/>
      <c r="VDQ93" s="580"/>
      <c r="VDR93" s="580"/>
      <c r="VDS93" s="580"/>
      <c r="VDT93" s="580"/>
      <c r="VDU93" s="580"/>
      <c r="VDV93" s="580"/>
      <c r="VDW93" s="580"/>
      <c r="VDX93" s="580"/>
      <c r="VDY93" s="580"/>
      <c r="VDZ93" s="580"/>
      <c r="VEA93" s="580"/>
      <c r="VEB93" s="580"/>
      <c r="VEC93" s="580"/>
      <c r="VED93" s="580"/>
      <c r="VEE93" s="580"/>
      <c r="VEF93" s="580"/>
      <c r="VEG93" s="580"/>
      <c r="VEH93" s="580"/>
      <c r="VEI93" s="580"/>
      <c r="VEJ93" s="580"/>
      <c r="VEK93" s="580"/>
      <c r="VEL93" s="580"/>
      <c r="VEM93" s="580"/>
      <c r="VEN93" s="580"/>
      <c r="VEO93" s="580"/>
      <c r="VEP93" s="580"/>
      <c r="VEQ93" s="580"/>
      <c r="VER93" s="580"/>
      <c r="VES93" s="580"/>
      <c r="VET93" s="580"/>
      <c r="VEU93" s="580"/>
      <c r="VEV93" s="580"/>
      <c r="VEW93" s="580"/>
      <c r="VEX93" s="580"/>
      <c r="VEY93" s="580"/>
      <c r="VEZ93" s="580"/>
      <c r="VFA93" s="580"/>
      <c r="VFB93" s="580"/>
      <c r="VFC93" s="580"/>
      <c r="VFD93" s="580"/>
      <c r="VFE93" s="580"/>
      <c r="VFF93" s="580"/>
      <c r="VFG93" s="580"/>
      <c r="VFH93" s="580"/>
      <c r="VFI93" s="580"/>
      <c r="VFJ93" s="580"/>
      <c r="VFK93" s="580"/>
      <c r="VFL93" s="580"/>
      <c r="VFM93" s="580"/>
      <c r="VFN93" s="580"/>
      <c r="VFO93" s="580"/>
      <c r="VFP93" s="580"/>
      <c r="VFQ93" s="580"/>
      <c r="VFR93" s="580"/>
      <c r="VFS93" s="580"/>
      <c r="VFT93" s="580"/>
      <c r="VFU93" s="580"/>
      <c r="VFV93" s="580"/>
      <c r="VFW93" s="580"/>
      <c r="VFX93" s="580"/>
      <c r="VFY93" s="580"/>
      <c r="VFZ93" s="580"/>
      <c r="VGA93" s="580"/>
      <c r="VGB93" s="580"/>
      <c r="VGC93" s="580"/>
      <c r="VGD93" s="580"/>
      <c r="VGE93" s="580"/>
      <c r="VGF93" s="580"/>
      <c r="VGG93" s="580"/>
      <c r="VGH93" s="580"/>
      <c r="VGI93" s="580"/>
      <c r="VGJ93" s="580"/>
      <c r="VGK93" s="580"/>
      <c r="VGL93" s="580"/>
      <c r="VGM93" s="580"/>
      <c r="VGN93" s="580"/>
      <c r="VGO93" s="580"/>
      <c r="VGP93" s="580"/>
      <c r="VGQ93" s="580"/>
      <c r="VGR93" s="580"/>
      <c r="VGS93" s="580"/>
      <c r="VGT93" s="580"/>
      <c r="VGU93" s="580"/>
      <c r="VGV93" s="580"/>
      <c r="VGW93" s="580"/>
      <c r="VGX93" s="580"/>
      <c r="VGY93" s="580"/>
      <c r="VGZ93" s="580"/>
      <c r="VHA93" s="580"/>
      <c r="VHB93" s="580"/>
      <c r="VHC93" s="580"/>
      <c r="VHD93" s="580"/>
      <c r="VHE93" s="580"/>
      <c r="VHF93" s="580"/>
      <c r="VHG93" s="580"/>
      <c r="VHH93" s="580"/>
      <c r="VHI93" s="580"/>
      <c r="VHJ93" s="580"/>
      <c r="VHK93" s="580"/>
      <c r="VHL93" s="580"/>
      <c r="VHM93" s="580"/>
      <c r="VHN93" s="580"/>
      <c r="VHO93" s="580"/>
      <c r="VHP93" s="580"/>
      <c r="VHQ93" s="580"/>
      <c r="VHR93" s="580"/>
      <c r="VHS93" s="580"/>
      <c r="VHT93" s="580"/>
      <c r="VHU93" s="580"/>
      <c r="VHV93" s="580"/>
      <c r="VHW93" s="580"/>
      <c r="VHX93" s="580"/>
      <c r="VHY93" s="580"/>
      <c r="VHZ93" s="580"/>
      <c r="VIA93" s="580"/>
      <c r="VIB93" s="580"/>
      <c r="VIC93" s="580"/>
      <c r="VID93" s="580"/>
      <c r="VIE93" s="580"/>
      <c r="VIF93" s="580"/>
      <c r="VIG93" s="580"/>
      <c r="VIH93" s="580"/>
      <c r="VII93" s="580"/>
      <c r="VIJ93" s="580"/>
      <c r="VIK93" s="580"/>
      <c r="VIL93" s="580"/>
      <c r="VIM93" s="580"/>
      <c r="VIN93" s="580"/>
      <c r="VIO93" s="580"/>
      <c r="VIP93" s="580"/>
      <c r="VIQ93" s="580"/>
      <c r="VIR93" s="580"/>
      <c r="VIS93" s="580"/>
      <c r="VIT93" s="580"/>
      <c r="VIU93" s="580"/>
      <c r="VIV93" s="580"/>
      <c r="VIW93" s="580"/>
      <c r="VIX93" s="580"/>
      <c r="VIY93" s="580"/>
      <c r="VIZ93" s="580"/>
      <c r="VJA93" s="580"/>
      <c r="VJB93" s="580"/>
      <c r="VJC93" s="580"/>
      <c r="VJD93" s="580"/>
      <c r="VJE93" s="580"/>
      <c r="VJF93" s="580"/>
      <c r="VJG93" s="580"/>
      <c r="VJH93" s="580"/>
      <c r="VJI93" s="580"/>
      <c r="VJJ93" s="580"/>
      <c r="VJK93" s="580"/>
      <c r="VJL93" s="580"/>
      <c r="VJM93" s="580"/>
      <c r="VJN93" s="580"/>
      <c r="VJO93" s="580"/>
      <c r="VJP93" s="580"/>
      <c r="VJQ93" s="580"/>
      <c r="VJR93" s="580"/>
      <c r="VJS93" s="580"/>
      <c r="VJT93" s="580"/>
      <c r="VJU93" s="580"/>
      <c r="VJV93" s="580"/>
      <c r="VJW93" s="580"/>
      <c r="VJX93" s="580"/>
      <c r="VJY93" s="580"/>
      <c r="VJZ93" s="580"/>
      <c r="VKA93" s="580"/>
      <c r="VKB93" s="580"/>
      <c r="VKC93" s="580"/>
      <c r="VKD93" s="580"/>
      <c r="VKE93" s="580"/>
      <c r="VKF93" s="580"/>
      <c r="VKG93" s="580"/>
      <c r="VKH93" s="580"/>
      <c r="VKI93" s="580"/>
      <c r="VKJ93" s="580"/>
      <c r="VKK93" s="580"/>
      <c r="VKL93" s="580"/>
      <c r="VKM93" s="580"/>
      <c r="VKN93" s="580"/>
      <c r="VKO93" s="580"/>
      <c r="VKP93" s="580"/>
      <c r="VKQ93" s="580"/>
      <c r="VKR93" s="580"/>
      <c r="VKS93" s="580"/>
      <c r="VKT93" s="580"/>
      <c r="VKU93" s="580"/>
      <c r="VKV93" s="580"/>
      <c r="VKW93" s="580"/>
      <c r="VKX93" s="580"/>
      <c r="VKY93" s="580"/>
      <c r="VKZ93" s="580"/>
      <c r="VLA93" s="580"/>
      <c r="VLB93" s="580"/>
      <c r="VLC93" s="580"/>
      <c r="VLD93" s="580"/>
      <c r="VLE93" s="580"/>
      <c r="VLF93" s="580"/>
      <c r="VLG93" s="580"/>
      <c r="VLH93" s="580"/>
      <c r="VLI93" s="580"/>
      <c r="VLJ93" s="580"/>
      <c r="VLK93" s="580"/>
      <c r="VLL93" s="580"/>
      <c r="VLM93" s="580"/>
      <c r="VLN93" s="580"/>
      <c r="VLO93" s="580"/>
      <c r="VLP93" s="580"/>
      <c r="VLQ93" s="580"/>
      <c r="VLR93" s="580"/>
      <c r="VLS93" s="580"/>
      <c r="VLT93" s="580"/>
      <c r="VLU93" s="580"/>
      <c r="VLV93" s="580"/>
      <c r="VLW93" s="580"/>
      <c r="VLX93" s="580"/>
      <c r="VLY93" s="580"/>
      <c r="VLZ93" s="580"/>
      <c r="VMA93" s="580"/>
      <c r="VMB93" s="580"/>
      <c r="VMC93" s="580"/>
      <c r="VMD93" s="580"/>
      <c r="VME93" s="580"/>
      <c r="VMF93" s="580"/>
      <c r="VMG93" s="580"/>
      <c r="VMH93" s="580"/>
      <c r="VMI93" s="580"/>
      <c r="VMJ93" s="580"/>
      <c r="VMK93" s="580"/>
      <c r="VML93" s="580"/>
      <c r="VMM93" s="580"/>
      <c r="VMN93" s="580"/>
      <c r="VMO93" s="580"/>
      <c r="VMP93" s="580"/>
      <c r="VMQ93" s="580"/>
      <c r="VMR93" s="580"/>
      <c r="VMS93" s="580"/>
      <c r="VMT93" s="580"/>
      <c r="VMU93" s="580"/>
      <c r="VMV93" s="580"/>
      <c r="VMW93" s="580"/>
      <c r="VMX93" s="580"/>
      <c r="VMY93" s="580"/>
      <c r="VMZ93" s="580"/>
      <c r="VNA93" s="580"/>
      <c r="VNB93" s="580"/>
      <c r="VNC93" s="580"/>
      <c r="VND93" s="580"/>
      <c r="VNE93" s="580"/>
      <c r="VNF93" s="580"/>
      <c r="VNG93" s="580"/>
      <c r="VNH93" s="580"/>
      <c r="VNI93" s="580"/>
      <c r="VNJ93" s="580"/>
      <c r="VNK93" s="580"/>
      <c r="VNL93" s="580"/>
      <c r="VNM93" s="580"/>
      <c r="VNN93" s="580"/>
      <c r="VNO93" s="580"/>
      <c r="VNP93" s="580"/>
      <c r="VNQ93" s="580"/>
      <c r="VNR93" s="580"/>
      <c r="VNS93" s="580"/>
      <c r="VNT93" s="580"/>
      <c r="VNU93" s="580"/>
      <c r="VNV93" s="580"/>
      <c r="VNW93" s="580"/>
      <c r="VNX93" s="580"/>
      <c r="VNY93" s="580"/>
      <c r="VNZ93" s="580"/>
      <c r="VOA93" s="580"/>
      <c r="VOB93" s="580"/>
      <c r="VOC93" s="580"/>
      <c r="VOD93" s="580"/>
      <c r="VOE93" s="580"/>
      <c r="VOF93" s="580"/>
      <c r="VOG93" s="580"/>
      <c r="VOH93" s="580"/>
      <c r="VOI93" s="580"/>
      <c r="VOJ93" s="580"/>
      <c r="VOK93" s="580"/>
      <c r="VOL93" s="580"/>
      <c r="VOM93" s="580"/>
      <c r="VON93" s="580"/>
      <c r="VOO93" s="580"/>
      <c r="VOP93" s="580"/>
      <c r="VOQ93" s="580"/>
      <c r="VOR93" s="580"/>
      <c r="VOS93" s="580"/>
      <c r="VOT93" s="580"/>
      <c r="VOU93" s="580"/>
      <c r="VOV93" s="580"/>
      <c r="VOW93" s="580"/>
      <c r="VOX93" s="580"/>
      <c r="VOY93" s="580"/>
      <c r="VOZ93" s="580"/>
      <c r="VPA93" s="580"/>
      <c r="VPB93" s="580"/>
      <c r="VPC93" s="580"/>
      <c r="VPD93" s="580"/>
      <c r="VPE93" s="580"/>
      <c r="VPF93" s="580"/>
      <c r="VPG93" s="580"/>
      <c r="VPH93" s="580"/>
      <c r="VPI93" s="580"/>
      <c r="VPJ93" s="580"/>
      <c r="VPK93" s="580"/>
      <c r="VPL93" s="580"/>
      <c r="VPM93" s="580"/>
      <c r="VPN93" s="580"/>
      <c r="VPO93" s="580"/>
      <c r="VPP93" s="580"/>
      <c r="VPQ93" s="580"/>
      <c r="VPR93" s="580"/>
      <c r="VPS93" s="580"/>
      <c r="VPT93" s="580"/>
      <c r="VPU93" s="580"/>
      <c r="VPV93" s="580"/>
      <c r="VPW93" s="580"/>
      <c r="VPX93" s="580"/>
      <c r="VPY93" s="580"/>
      <c r="VPZ93" s="580"/>
      <c r="VQA93" s="580"/>
      <c r="VQB93" s="580"/>
      <c r="VQC93" s="580"/>
      <c r="VQD93" s="580"/>
      <c r="VQE93" s="580"/>
      <c r="VQF93" s="580"/>
      <c r="VQG93" s="580"/>
      <c r="VQH93" s="580"/>
      <c r="VQI93" s="580"/>
      <c r="VQJ93" s="580"/>
      <c r="VQK93" s="580"/>
      <c r="VQL93" s="580"/>
      <c r="VQM93" s="580"/>
      <c r="VQN93" s="580"/>
      <c r="VQO93" s="580"/>
      <c r="VQP93" s="580"/>
      <c r="VQQ93" s="580"/>
      <c r="VQR93" s="580"/>
      <c r="VQS93" s="580"/>
      <c r="VQT93" s="580"/>
      <c r="VQU93" s="580"/>
      <c r="VQV93" s="580"/>
      <c r="VQW93" s="580"/>
      <c r="VQX93" s="580"/>
      <c r="VQY93" s="580"/>
      <c r="VQZ93" s="580"/>
      <c r="VRA93" s="580"/>
      <c r="VRB93" s="580"/>
      <c r="VRC93" s="580"/>
      <c r="VRD93" s="580"/>
      <c r="VRE93" s="580"/>
      <c r="VRF93" s="580"/>
      <c r="VRG93" s="580"/>
      <c r="VRH93" s="580"/>
      <c r="VRI93" s="580"/>
      <c r="VRJ93" s="580"/>
      <c r="VRK93" s="580"/>
      <c r="VRL93" s="580"/>
      <c r="VRM93" s="580"/>
      <c r="VRN93" s="580"/>
      <c r="VRO93" s="580"/>
      <c r="VRP93" s="580"/>
      <c r="VRQ93" s="580"/>
      <c r="VRR93" s="580"/>
      <c r="VRS93" s="580"/>
      <c r="VRT93" s="580"/>
      <c r="VRU93" s="580"/>
      <c r="VRV93" s="580"/>
      <c r="VRW93" s="580"/>
      <c r="VRX93" s="580"/>
      <c r="VRY93" s="580"/>
      <c r="VRZ93" s="580"/>
      <c r="VSA93" s="580"/>
      <c r="VSB93" s="580"/>
      <c r="VSC93" s="580"/>
      <c r="VSD93" s="580"/>
      <c r="VSE93" s="580"/>
      <c r="VSF93" s="580"/>
      <c r="VSG93" s="580"/>
      <c r="VSH93" s="580"/>
      <c r="VSI93" s="580"/>
      <c r="VSJ93" s="580"/>
      <c r="VSK93" s="580"/>
      <c r="VSL93" s="580"/>
      <c r="VSM93" s="580"/>
      <c r="VSN93" s="580"/>
      <c r="VSO93" s="580"/>
      <c r="VSP93" s="580"/>
      <c r="VSQ93" s="580"/>
      <c r="VSR93" s="580"/>
      <c r="VSS93" s="580"/>
      <c r="VST93" s="580"/>
      <c r="VSU93" s="580"/>
      <c r="VSV93" s="580"/>
      <c r="VSW93" s="580"/>
      <c r="VSX93" s="580"/>
      <c r="VSY93" s="580"/>
      <c r="VSZ93" s="580"/>
      <c r="VTA93" s="580"/>
      <c r="VTB93" s="580"/>
      <c r="VTC93" s="580"/>
      <c r="VTD93" s="580"/>
      <c r="VTE93" s="580"/>
      <c r="VTF93" s="580"/>
      <c r="VTG93" s="580"/>
      <c r="VTH93" s="580"/>
      <c r="VTI93" s="580"/>
      <c r="VTJ93" s="580"/>
      <c r="VTK93" s="580"/>
      <c r="VTL93" s="580"/>
      <c r="VTM93" s="580"/>
      <c r="VTN93" s="580"/>
      <c r="VTO93" s="580"/>
      <c r="VTP93" s="580"/>
      <c r="VTQ93" s="580"/>
      <c r="VTR93" s="580"/>
      <c r="VTS93" s="580"/>
      <c r="VTT93" s="580"/>
      <c r="VTU93" s="580"/>
      <c r="VTV93" s="580"/>
      <c r="VTW93" s="580"/>
      <c r="VTX93" s="580"/>
      <c r="VTY93" s="580"/>
      <c r="VTZ93" s="580"/>
      <c r="VUA93" s="580"/>
      <c r="VUB93" s="580"/>
      <c r="VUC93" s="580"/>
      <c r="VUD93" s="580"/>
      <c r="VUE93" s="580"/>
      <c r="VUF93" s="580"/>
      <c r="VUG93" s="580"/>
      <c r="VUH93" s="580"/>
      <c r="VUI93" s="580"/>
      <c r="VUJ93" s="580"/>
      <c r="VUK93" s="580"/>
      <c r="VUL93" s="580"/>
      <c r="VUM93" s="580"/>
      <c r="VUN93" s="580"/>
      <c r="VUO93" s="580"/>
      <c r="VUP93" s="580"/>
      <c r="VUQ93" s="580"/>
      <c r="VUR93" s="580"/>
      <c r="VUS93" s="580"/>
      <c r="VUT93" s="580"/>
      <c r="VUU93" s="580"/>
      <c r="VUV93" s="580"/>
      <c r="VUW93" s="580"/>
      <c r="VUX93" s="580"/>
      <c r="VUY93" s="580"/>
      <c r="VUZ93" s="580"/>
      <c r="VVA93" s="580"/>
      <c r="VVB93" s="580"/>
      <c r="VVC93" s="580"/>
      <c r="VVD93" s="580"/>
      <c r="VVE93" s="580"/>
      <c r="VVF93" s="580"/>
      <c r="VVG93" s="580"/>
      <c r="VVH93" s="580"/>
      <c r="VVI93" s="580"/>
      <c r="VVJ93" s="580"/>
      <c r="VVK93" s="580"/>
      <c r="VVL93" s="580"/>
      <c r="VVM93" s="580"/>
      <c r="VVN93" s="580"/>
      <c r="VVO93" s="580"/>
      <c r="VVP93" s="580"/>
      <c r="VVQ93" s="580"/>
      <c r="VVR93" s="580"/>
      <c r="VVS93" s="580"/>
      <c r="VVT93" s="580"/>
      <c r="VVU93" s="580"/>
      <c r="VVV93" s="580"/>
      <c r="VVW93" s="580"/>
      <c r="VVX93" s="580"/>
      <c r="VVY93" s="580"/>
      <c r="VVZ93" s="580"/>
      <c r="VWA93" s="580"/>
      <c r="VWB93" s="580"/>
      <c r="VWC93" s="580"/>
      <c r="VWD93" s="580"/>
      <c r="VWE93" s="580"/>
      <c r="VWF93" s="580"/>
      <c r="VWG93" s="580"/>
      <c r="VWH93" s="580"/>
      <c r="VWI93" s="580"/>
      <c r="VWJ93" s="580"/>
      <c r="VWK93" s="580"/>
      <c r="VWL93" s="580"/>
      <c r="VWM93" s="580"/>
      <c r="VWN93" s="580"/>
      <c r="VWO93" s="580"/>
      <c r="VWP93" s="580"/>
      <c r="VWQ93" s="580"/>
      <c r="VWR93" s="580"/>
      <c r="VWS93" s="580"/>
      <c r="VWT93" s="580"/>
      <c r="VWU93" s="580"/>
      <c r="VWV93" s="580"/>
      <c r="VWW93" s="580"/>
      <c r="VWX93" s="580"/>
      <c r="VWY93" s="580"/>
      <c r="VWZ93" s="580"/>
      <c r="VXA93" s="580"/>
      <c r="VXB93" s="580"/>
      <c r="VXC93" s="580"/>
      <c r="VXD93" s="580"/>
      <c r="VXE93" s="580"/>
      <c r="VXF93" s="580"/>
      <c r="VXG93" s="580"/>
      <c r="VXH93" s="580"/>
      <c r="VXI93" s="580"/>
      <c r="VXJ93" s="580"/>
      <c r="VXK93" s="580"/>
      <c r="VXL93" s="580"/>
      <c r="VXM93" s="580"/>
      <c r="VXN93" s="580"/>
      <c r="VXO93" s="580"/>
      <c r="VXP93" s="580"/>
      <c r="VXQ93" s="580"/>
      <c r="VXR93" s="580"/>
      <c r="VXS93" s="580"/>
      <c r="VXT93" s="580"/>
      <c r="VXU93" s="580"/>
      <c r="VXV93" s="580"/>
      <c r="VXW93" s="580"/>
      <c r="VXX93" s="580"/>
      <c r="VXY93" s="580"/>
      <c r="VXZ93" s="580"/>
      <c r="VYA93" s="580"/>
      <c r="VYB93" s="580"/>
      <c r="VYC93" s="580"/>
      <c r="VYD93" s="580"/>
      <c r="VYE93" s="580"/>
      <c r="VYF93" s="580"/>
      <c r="VYG93" s="580"/>
      <c r="VYH93" s="580"/>
      <c r="VYI93" s="580"/>
      <c r="VYJ93" s="580"/>
      <c r="VYK93" s="580"/>
      <c r="VYL93" s="580"/>
      <c r="VYM93" s="580"/>
      <c r="VYN93" s="580"/>
      <c r="VYO93" s="580"/>
      <c r="VYP93" s="580"/>
      <c r="VYQ93" s="580"/>
      <c r="VYR93" s="580"/>
      <c r="VYS93" s="580"/>
      <c r="VYT93" s="580"/>
      <c r="VYU93" s="580"/>
      <c r="VYV93" s="580"/>
      <c r="VYW93" s="580"/>
      <c r="VYX93" s="580"/>
      <c r="VYY93" s="580"/>
      <c r="VYZ93" s="580"/>
      <c r="VZA93" s="580"/>
      <c r="VZB93" s="580"/>
      <c r="VZC93" s="580"/>
      <c r="VZD93" s="580"/>
      <c r="VZE93" s="580"/>
      <c r="VZF93" s="580"/>
      <c r="VZG93" s="580"/>
      <c r="VZH93" s="580"/>
      <c r="VZI93" s="580"/>
      <c r="VZJ93" s="580"/>
      <c r="VZK93" s="580"/>
      <c r="VZL93" s="580"/>
      <c r="VZM93" s="580"/>
      <c r="VZN93" s="580"/>
      <c r="VZO93" s="580"/>
      <c r="VZP93" s="580"/>
      <c r="VZQ93" s="580"/>
      <c r="VZR93" s="580"/>
      <c r="VZS93" s="580"/>
      <c r="VZT93" s="580"/>
      <c r="VZU93" s="580"/>
      <c r="VZV93" s="580"/>
      <c r="VZW93" s="580"/>
      <c r="VZX93" s="580"/>
      <c r="VZY93" s="580"/>
      <c r="VZZ93" s="580"/>
      <c r="WAA93" s="580"/>
      <c r="WAB93" s="580"/>
      <c r="WAC93" s="580"/>
      <c r="WAD93" s="580"/>
      <c r="WAE93" s="580"/>
      <c r="WAF93" s="580"/>
      <c r="WAG93" s="580"/>
      <c r="WAH93" s="580"/>
      <c r="WAI93" s="580"/>
      <c r="WAJ93" s="580"/>
      <c r="WAK93" s="580"/>
      <c r="WAL93" s="580"/>
      <c r="WAM93" s="580"/>
      <c r="WAN93" s="580"/>
      <c r="WAO93" s="580"/>
      <c r="WAP93" s="580"/>
      <c r="WAQ93" s="580"/>
      <c r="WAR93" s="580"/>
      <c r="WAS93" s="580"/>
      <c r="WAT93" s="580"/>
      <c r="WAU93" s="580"/>
      <c r="WAV93" s="580"/>
      <c r="WAW93" s="580"/>
      <c r="WAX93" s="580"/>
      <c r="WAY93" s="580"/>
      <c r="WAZ93" s="580"/>
      <c r="WBA93" s="580"/>
      <c r="WBB93" s="580"/>
      <c r="WBC93" s="580"/>
      <c r="WBD93" s="580"/>
      <c r="WBE93" s="580"/>
      <c r="WBF93" s="580"/>
      <c r="WBG93" s="580"/>
      <c r="WBH93" s="580"/>
      <c r="WBI93" s="580"/>
      <c r="WBJ93" s="580"/>
      <c r="WBK93" s="580"/>
      <c r="WBL93" s="580"/>
      <c r="WBM93" s="580"/>
      <c r="WBN93" s="580"/>
      <c r="WBO93" s="580"/>
      <c r="WBP93" s="580"/>
      <c r="WBQ93" s="580"/>
      <c r="WBR93" s="580"/>
      <c r="WBS93" s="580"/>
      <c r="WBT93" s="580"/>
      <c r="WBU93" s="580"/>
      <c r="WBV93" s="580"/>
      <c r="WBW93" s="580"/>
      <c r="WBX93" s="580"/>
      <c r="WBY93" s="580"/>
      <c r="WBZ93" s="580"/>
      <c r="WCA93" s="580"/>
      <c r="WCB93" s="580"/>
      <c r="WCC93" s="580"/>
      <c r="WCD93" s="580"/>
      <c r="WCE93" s="580"/>
      <c r="WCF93" s="580"/>
      <c r="WCG93" s="580"/>
      <c r="WCH93" s="580"/>
      <c r="WCI93" s="580"/>
      <c r="WCJ93" s="580"/>
      <c r="WCK93" s="580"/>
      <c r="WCL93" s="580"/>
      <c r="WCM93" s="580"/>
      <c r="WCN93" s="580"/>
      <c r="WCO93" s="580"/>
      <c r="WCP93" s="580"/>
      <c r="WCQ93" s="580"/>
      <c r="WCR93" s="580"/>
      <c r="WCS93" s="580"/>
      <c r="WCT93" s="580"/>
      <c r="WCU93" s="580"/>
      <c r="WCV93" s="580"/>
      <c r="WCW93" s="580"/>
      <c r="WCX93" s="580"/>
      <c r="WCY93" s="580"/>
      <c r="WCZ93" s="580"/>
      <c r="WDA93" s="580"/>
      <c r="WDB93" s="580"/>
      <c r="WDC93" s="580"/>
      <c r="WDD93" s="580"/>
      <c r="WDE93" s="580"/>
      <c r="WDF93" s="580"/>
      <c r="WDG93" s="580"/>
      <c r="WDH93" s="580"/>
      <c r="WDI93" s="580"/>
      <c r="WDJ93" s="580"/>
      <c r="WDK93" s="580"/>
      <c r="WDL93" s="580"/>
      <c r="WDM93" s="580"/>
      <c r="WDN93" s="580"/>
      <c r="WDO93" s="580"/>
      <c r="WDP93" s="580"/>
      <c r="WDQ93" s="580"/>
      <c r="WDR93" s="580"/>
      <c r="WDS93" s="580"/>
      <c r="WDT93" s="580"/>
      <c r="WDU93" s="580"/>
      <c r="WDV93" s="580"/>
      <c r="WDW93" s="580"/>
      <c r="WDX93" s="580"/>
      <c r="WDY93" s="580"/>
      <c r="WDZ93" s="580"/>
      <c r="WEA93" s="580"/>
      <c r="WEB93" s="580"/>
      <c r="WEC93" s="580"/>
      <c r="WED93" s="580"/>
      <c r="WEE93" s="580"/>
      <c r="WEF93" s="580"/>
      <c r="WEG93" s="580"/>
      <c r="WEH93" s="580"/>
      <c r="WEI93" s="580"/>
      <c r="WEJ93" s="580"/>
      <c r="WEK93" s="580"/>
      <c r="WEL93" s="580"/>
      <c r="WEM93" s="580"/>
      <c r="WEN93" s="580"/>
      <c r="WEO93" s="580"/>
      <c r="WEP93" s="580"/>
      <c r="WEQ93" s="580"/>
      <c r="WER93" s="580"/>
      <c r="WES93" s="580"/>
      <c r="WET93" s="580"/>
      <c r="WEU93" s="580"/>
      <c r="WEV93" s="580"/>
      <c r="WEW93" s="580"/>
      <c r="WEX93" s="580"/>
      <c r="WEY93" s="580"/>
      <c r="WEZ93" s="580"/>
      <c r="WFA93" s="580"/>
      <c r="WFB93" s="580"/>
      <c r="WFC93" s="580"/>
      <c r="WFD93" s="580"/>
      <c r="WFE93" s="580"/>
      <c r="WFF93" s="580"/>
      <c r="WFG93" s="580"/>
      <c r="WFH93" s="580"/>
      <c r="WFI93" s="580"/>
      <c r="WFJ93" s="580"/>
      <c r="WFK93" s="580"/>
      <c r="WFL93" s="580"/>
      <c r="WFM93" s="580"/>
      <c r="WFN93" s="580"/>
      <c r="WFO93" s="580"/>
      <c r="WFP93" s="580"/>
      <c r="WFQ93" s="580"/>
      <c r="WFR93" s="580"/>
      <c r="WFS93" s="580"/>
      <c r="WFT93" s="580"/>
      <c r="WFU93" s="580"/>
      <c r="WFV93" s="580"/>
      <c r="WFW93" s="580"/>
      <c r="WFX93" s="580"/>
      <c r="WFY93" s="580"/>
      <c r="WFZ93" s="580"/>
      <c r="WGA93" s="580"/>
      <c r="WGB93" s="580"/>
      <c r="WGC93" s="580"/>
      <c r="WGD93" s="580"/>
      <c r="WGE93" s="580"/>
      <c r="WGF93" s="580"/>
      <c r="WGG93" s="580"/>
      <c r="WGH93" s="580"/>
      <c r="WGI93" s="580"/>
      <c r="WGJ93" s="580"/>
      <c r="WGK93" s="580"/>
      <c r="WGL93" s="580"/>
      <c r="WGM93" s="580"/>
      <c r="WGN93" s="580"/>
      <c r="WGO93" s="580"/>
      <c r="WGP93" s="580"/>
      <c r="WGQ93" s="580"/>
      <c r="WGR93" s="580"/>
      <c r="WGS93" s="580"/>
      <c r="WGT93" s="580"/>
      <c r="WGU93" s="580"/>
      <c r="WGV93" s="580"/>
      <c r="WGW93" s="580"/>
      <c r="WGX93" s="580"/>
      <c r="WGY93" s="580"/>
      <c r="WGZ93" s="580"/>
      <c r="WHA93" s="580"/>
      <c r="WHB93" s="580"/>
      <c r="WHC93" s="580"/>
      <c r="WHD93" s="580"/>
      <c r="WHE93" s="580"/>
      <c r="WHF93" s="580"/>
      <c r="WHG93" s="580"/>
      <c r="WHH93" s="580"/>
      <c r="WHI93" s="580"/>
      <c r="WHJ93" s="580"/>
      <c r="WHK93" s="580"/>
      <c r="WHL93" s="580"/>
      <c r="WHM93" s="580"/>
      <c r="WHN93" s="580"/>
      <c r="WHO93" s="580"/>
      <c r="WHP93" s="580"/>
      <c r="WHQ93" s="580"/>
      <c r="WHR93" s="580"/>
      <c r="WHS93" s="580"/>
      <c r="WHT93" s="580"/>
      <c r="WHU93" s="580"/>
      <c r="WHV93" s="580"/>
      <c r="WHW93" s="580"/>
      <c r="WHX93" s="580"/>
      <c r="WHY93" s="580"/>
      <c r="WHZ93" s="580"/>
      <c r="WIA93" s="580"/>
      <c r="WIB93" s="580"/>
      <c r="WIC93" s="580"/>
      <c r="WID93" s="580"/>
      <c r="WIE93" s="580"/>
      <c r="WIF93" s="580"/>
      <c r="WIG93" s="580"/>
      <c r="WIH93" s="580"/>
      <c r="WII93" s="580"/>
      <c r="WIJ93" s="580"/>
      <c r="WIK93" s="580"/>
      <c r="WIL93" s="580"/>
      <c r="WIM93" s="580"/>
      <c r="WIN93" s="580"/>
      <c r="WIO93" s="580"/>
      <c r="WIP93" s="580"/>
      <c r="WIQ93" s="580"/>
      <c r="WIR93" s="580"/>
      <c r="WIS93" s="580"/>
      <c r="WIT93" s="580"/>
      <c r="WIU93" s="580"/>
      <c r="WIV93" s="580"/>
      <c r="WIW93" s="580"/>
      <c r="WIX93" s="580"/>
      <c r="WIY93" s="580"/>
      <c r="WIZ93" s="580"/>
      <c r="WJA93" s="580"/>
      <c r="WJB93" s="580"/>
      <c r="WJC93" s="580"/>
      <c r="WJD93" s="580"/>
      <c r="WJE93" s="580"/>
      <c r="WJF93" s="580"/>
      <c r="WJG93" s="580"/>
      <c r="WJH93" s="580"/>
      <c r="WJI93" s="580"/>
      <c r="WJJ93" s="580"/>
      <c r="WJK93" s="580"/>
      <c r="WJL93" s="580"/>
      <c r="WJM93" s="580"/>
      <c r="WJN93" s="580"/>
      <c r="WJO93" s="580"/>
      <c r="WJP93" s="580"/>
      <c r="WJQ93" s="580"/>
      <c r="WJR93" s="580"/>
      <c r="WJS93" s="580"/>
      <c r="WJT93" s="580"/>
      <c r="WJU93" s="580"/>
      <c r="WJV93" s="580"/>
      <c r="WJW93" s="580"/>
      <c r="WJX93" s="580"/>
      <c r="WJY93" s="580"/>
      <c r="WJZ93" s="580"/>
      <c r="WKA93" s="580"/>
      <c r="WKB93" s="580"/>
      <c r="WKC93" s="580"/>
      <c r="WKD93" s="580"/>
      <c r="WKE93" s="580"/>
      <c r="WKF93" s="580"/>
      <c r="WKG93" s="580"/>
      <c r="WKH93" s="580"/>
      <c r="WKI93" s="580"/>
      <c r="WKJ93" s="580"/>
      <c r="WKK93" s="580"/>
      <c r="WKL93" s="580"/>
      <c r="WKM93" s="580"/>
      <c r="WKN93" s="580"/>
      <c r="WKO93" s="580"/>
      <c r="WKP93" s="580"/>
      <c r="WKQ93" s="580"/>
      <c r="WKR93" s="580"/>
      <c r="WKS93" s="580"/>
      <c r="WKT93" s="580"/>
      <c r="WKU93" s="580"/>
      <c r="WKV93" s="580"/>
      <c r="WKW93" s="580"/>
      <c r="WKX93" s="580"/>
      <c r="WKY93" s="580"/>
      <c r="WKZ93" s="580"/>
      <c r="WLA93" s="580"/>
      <c r="WLB93" s="580"/>
      <c r="WLC93" s="580"/>
      <c r="WLD93" s="580"/>
      <c r="WLE93" s="580"/>
      <c r="WLF93" s="580"/>
      <c r="WLG93" s="580"/>
      <c r="WLH93" s="580"/>
      <c r="WLI93" s="580"/>
      <c r="WLJ93" s="580"/>
      <c r="WLK93" s="580"/>
      <c r="WLL93" s="580"/>
      <c r="WLM93" s="580"/>
      <c r="WLN93" s="580"/>
      <c r="WLO93" s="580"/>
      <c r="WLP93" s="580"/>
      <c r="WLQ93" s="580"/>
      <c r="WLR93" s="580"/>
      <c r="WLS93" s="580"/>
      <c r="WLT93" s="580"/>
      <c r="WLU93" s="580"/>
      <c r="WLV93" s="580"/>
      <c r="WLW93" s="580"/>
      <c r="WLX93" s="580"/>
      <c r="WLY93" s="580"/>
      <c r="WLZ93" s="580"/>
      <c r="WMA93" s="580"/>
      <c r="WMB93" s="580"/>
      <c r="WMC93" s="580"/>
      <c r="WMD93" s="580"/>
      <c r="WME93" s="580"/>
      <c r="WMF93" s="580"/>
      <c r="WMG93" s="580"/>
      <c r="WMH93" s="580"/>
      <c r="WMI93" s="580"/>
      <c r="WMJ93" s="580"/>
      <c r="WMK93" s="580"/>
      <c r="WML93" s="580"/>
      <c r="WMM93" s="580"/>
      <c r="WMN93" s="580"/>
      <c r="WMO93" s="580"/>
      <c r="WMP93" s="580"/>
      <c r="WMQ93" s="580"/>
      <c r="WMR93" s="580"/>
      <c r="WMS93" s="580"/>
      <c r="WMT93" s="580"/>
      <c r="WMU93" s="580"/>
      <c r="WMV93" s="580"/>
      <c r="WMW93" s="580"/>
      <c r="WMX93" s="580"/>
      <c r="WMY93" s="580"/>
      <c r="WMZ93" s="580"/>
      <c r="WNA93" s="580"/>
      <c r="WNB93" s="580"/>
      <c r="WNC93" s="580"/>
      <c r="WND93" s="580"/>
      <c r="WNE93" s="580"/>
      <c r="WNF93" s="580"/>
      <c r="WNG93" s="580"/>
      <c r="WNH93" s="580"/>
      <c r="WNI93" s="580"/>
      <c r="WNJ93" s="580"/>
      <c r="WNK93" s="580"/>
      <c r="WNL93" s="580"/>
      <c r="WNM93" s="580"/>
      <c r="WNN93" s="580"/>
      <c r="WNO93" s="580"/>
      <c r="WNP93" s="580"/>
      <c r="WNQ93" s="580"/>
      <c r="WNR93" s="580"/>
      <c r="WNS93" s="580"/>
      <c r="WNT93" s="580"/>
      <c r="WNU93" s="580"/>
      <c r="WNV93" s="580"/>
      <c r="WNW93" s="580"/>
      <c r="WNX93" s="580"/>
      <c r="WNY93" s="580"/>
      <c r="WNZ93" s="580"/>
      <c r="WOA93" s="580"/>
      <c r="WOB93" s="580"/>
      <c r="WOC93" s="580"/>
      <c r="WOD93" s="580"/>
      <c r="WOE93" s="580"/>
      <c r="WOF93" s="580"/>
      <c r="WOG93" s="580"/>
      <c r="WOH93" s="580"/>
      <c r="WOI93" s="580"/>
      <c r="WOJ93" s="580"/>
      <c r="WOK93" s="580"/>
      <c r="WOL93" s="580"/>
      <c r="WOM93" s="580"/>
      <c r="WON93" s="580"/>
      <c r="WOO93" s="580"/>
      <c r="WOP93" s="580"/>
      <c r="WOQ93" s="580"/>
      <c r="WOR93" s="580"/>
      <c r="WOS93" s="580"/>
      <c r="WOT93" s="580"/>
      <c r="WOU93" s="580"/>
      <c r="WOV93" s="580"/>
      <c r="WOW93" s="580"/>
      <c r="WOX93" s="580"/>
      <c r="WOY93" s="580"/>
      <c r="WOZ93" s="580"/>
      <c r="WPA93" s="580"/>
      <c r="WPB93" s="580"/>
      <c r="WPC93" s="580"/>
      <c r="WPD93" s="580"/>
      <c r="WPE93" s="580"/>
      <c r="WPF93" s="580"/>
      <c r="WPG93" s="580"/>
      <c r="WPH93" s="580"/>
      <c r="WPI93" s="580"/>
      <c r="WPJ93" s="580"/>
      <c r="WPK93" s="580"/>
      <c r="WPL93" s="580"/>
      <c r="WPM93" s="580"/>
      <c r="WPN93" s="580"/>
      <c r="WPO93" s="580"/>
      <c r="WPP93" s="580"/>
      <c r="WPQ93" s="580"/>
      <c r="WPR93" s="580"/>
      <c r="WPS93" s="580"/>
      <c r="WPT93" s="580"/>
      <c r="WPU93" s="580"/>
      <c r="WPV93" s="580"/>
      <c r="WPW93" s="580"/>
      <c r="WPX93" s="580"/>
      <c r="WPY93" s="580"/>
      <c r="WPZ93" s="580"/>
      <c r="WQA93" s="580"/>
      <c r="WQB93" s="580"/>
      <c r="WQC93" s="580"/>
      <c r="WQD93" s="580"/>
      <c r="WQE93" s="580"/>
      <c r="WQF93" s="580"/>
      <c r="WQG93" s="580"/>
      <c r="WQH93" s="580"/>
      <c r="WQI93" s="580"/>
      <c r="WQJ93" s="580"/>
      <c r="WQK93" s="580"/>
      <c r="WQL93" s="580"/>
      <c r="WQM93" s="580"/>
      <c r="WQN93" s="580"/>
      <c r="WQO93" s="580"/>
      <c r="WQP93" s="580"/>
      <c r="WQQ93" s="580"/>
      <c r="WQR93" s="580"/>
      <c r="WQS93" s="580"/>
      <c r="WQT93" s="580"/>
      <c r="WQU93" s="580"/>
      <c r="WQV93" s="580"/>
      <c r="WQW93" s="580"/>
      <c r="WQX93" s="580"/>
      <c r="WQY93" s="580"/>
      <c r="WQZ93" s="580"/>
      <c r="WRA93" s="580"/>
      <c r="WRB93" s="580"/>
      <c r="WRC93" s="580"/>
      <c r="WRD93" s="580"/>
      <c r="WRE93" s="580"/>
      <c r="WRF93" s="580"/>
      <c r="WRG93" s="580"/>
      <c r="WRH93" s="580"/>
      <c r="WRI93" s="580"/>
      <c r="WRJ93" s="580"/>
      <c r="WRK93" s="580"/>
      <c r="WRL93" s="580"/>
      <c r="WRM93" s="580"/>
      <c r="WRN93" s="580"/>
      <c r="WRO93" s="580"/>
      <c r="WRP93" s="580"/>
      <c r="WRQ93" s="580"/>
      <c r="WRR93" s="580"/>
      <c r="WRS93" s="580"/>
      <c r="WRT93" s="580"/>
      <c r="WRU93" s="580"/>
      <c r="WRV93" s="580"/>
      <c r="WRW93" s="580"/>
      <c r="WRX93" s="580"/>
      <c r="WRY93" s="580"/>
      <c r="WRZ93" s="580"/>
      <c r="WSA93" s="580"/>
      <c r="WSB93" s="580"/>
      <c r="WSC93" s="580"/>
      <c r="WSD93" s="580"/>
      <c r="WSE93" s="580"/>
      <c r="WSF93" s="580"/>
      <c r="WSG93" s="580"/>
      <c r="WSH93" s="580"/>
      <c r="WSI93" s="580"/>
      <c r="WSJ93" s="580"/>
      <c r="WSK93" s="580"/>
      <c r="WSL93" s="580"/>
      <c r="WSM93" s="580"/>
      <c r="WSN93" s="580"/>
      <c r="WSO93" s="580"/>
      <c r="WSP93" s="580"/>
      <c r="WSQ93" s="580"/>
      <c r="WSR93" s="580"/>
      <c r="WSS93" s="580"/>
      <c r="WST93" s="580"/>
      <c r="WSU93" s="580"/>
      <c r="WSV93" s="580"/>
      <c r="WSW93" s="580"/>
      <c r="WSX93" s="580"/>
      <c r="WSY93" s="580"/>
      <c r="WSZ93" s="580"/>
      <c r="WTA93" s="580"/>
      <c r="WTB93" s="580"/>
      <c r="WTC93" s="580"/>
      <c r="WTD93" s="580"/>
      <c r="WTE93" s="580"/>
      <c r="WTF93" s="580"/>
      <c r="WTG93" s="580"/>
      <c r="WTH93" s="580"/>
      <c r="WTI93" s="580"/>
      <c r="WTJ93" s="580"/>
      <c r="WTK93" s="580"/>
      <c r="WTL93" s="580"/>
      <c r="WTM93" s="580"/>
      <c r="WTN93" s="580"/>
      <c r="WTO93" s="580"/>
      <c r="WTP93" s="580"/>
      <c r="WTQ93" s="580"/>
      <c r="WTR93" s="580"/>
      <c r="WTS93" s="580"/>
      <c r="WTT93" s="580"/>
      <c r="WTU93" s="580"/>
      <c r="WTV93" s="580"/>
      <c r="WTW93" s="580"/>
      <c r="WTX93" s="580"/>
      <c r="WTY93" s="580"/>
      <c r="WTZ93" s="580"/>
      <c r="WUA93" s="580"/>
      <c r="WUB93" s="580"/>
      <c r="WUC93" s="580"/>
      <c r="WUD93" s="580"/>
      <c r="WUE93" s="580"/>
      <c r="WUF93" s="580"/>
      <c r="WUG93" s="580"/>
      <c r="WUH93" s="580"/>
      <c r="WUI93" s="580"/>
      <c r="WUJ93" s="580"/>
      <c r="WUK93" s="580"/>
      <c r="WUL93" s="580"/>
      <c r="WUM93" s="580"/>
      <c r="WUN93" s="580"/>
      <c r="WUO93" s="580"/>
      <c r="WUP93" s="580"/>
      <c r="WUQ93" s="580"/>
      <c r="WUR93" s="580"/>
      <c r="WUS93" s="580"/>
      <c r="WUT93" s="580"/>
      <c r="WUU93" s="580"/>
      <c r="WUV93" s="580"/>
      <c r="WUW93" s="580"/>
      <c r="WUX93" s="580"/>
      <c r="WUY93" s="580"/>
      <c r="WUZ93" s="580"/>
      <c r="WVA93" s="580"/>
      <c r="WVB93" s="580"/>
      <c r="WVC93" s="580"/>
      <c r="WVD93" s="580"/>
      <c r="WVE93" s="580"/>
      <c r="WVF93" s="580"/>
      <c r="WVG93" s="580"/>
      <c r="WVH93" s="580"/>
      <c r="WVI93" s="580"/>
      <c r="WVJ93" s="580"/>
      <c r="WVK93" s="580"/>
      <c r="WVL93" s="580"/>
      <c r="WVM93" s="580"/>
      <c r="WVN93" s="580"/>
      <c r="WVO93" s="580"/>
      <c r="WVP93" s="580"/>
      <c r="WVQ93" s="580"/>
      <c r="WVR93" s="580"/>
      <c r="WVS93" s="580"/>
      <c r="WVT93" s="580"/>
      <c r="WVU93" s="580"/>
      <c r="WVV93" s="580"/>
      <c r="WVW93" s="580"/>
      <c r="WVX93" s="580"/>
      <c r="WVY93" s="580"/>
      <c r="WVZ93" s="580"/>
      <c r="WWA93" s="580"/>
      <c r="WWB93" s="580"/>
      <c r="WWC93" s="580"/>
      <c r="WWD93" s="580"/>
      <c r="WWE93" s="580"/>
      <c r="WWF93" s="580"/>
      <c r="WWG93" s="580"/>
      <c r="WWH93" s="580"/>
      <c r="WWI93" s="580"/>
      <c r="WWJ93" s="580"/>
      <c r="WWK93" s="580"/>
      <c r="WWL93" s="580"/>
      <c r="WWM93" s="580"/>
      <c r="WWN93" s="580"/>
      <c r="WWO93" s="580"/>
      <c r="WWP93" s="580"/>
      <c r="WWQ93" s="580"/>
      <c r="WWR93" s="580"/>
      <c r="WWS93" s="580"/>
      <c r="WWT93" s="580"/>
      <c r="WWU93" s="580"/>
      <c r="WWV93" s="580"/>
      <c r="WWW93" s="580"/>
      <c r="WWX93" s="580"/>
      <c r="WWY93" s="580"/>
      <c r="WWZ93" s="580"/>
      <c r="WXA93" s="580"/>
      <c r="WXB93" s="580"/>
      <c r="WXC93" s="580"/>
      <c r="WXD93" s="580"/>
      <c r="WXE93" s="580"/>
      <c r="WXF93" s="580"/>
      <c r="WXG93" s="580"/>
      <c r="WXH93" s="580"/>
      <c r="WXI93" s="580"/>
      <c r="WXJ93" s="580"/>
      <c r="WXK93" s="580"/>
      <c r="WXL93" s="580"/>
      <c r="WXM93" s="580"/>
      <c r="WXN93" s="580"/>
      <c r="WXO93" s="580"/>
      <c r="WXP93" s="580"/>
      <c r="WXQ93" s="580"/>
      <c r="WXR93" s="580"/>
      <c r="WXS93" s="580"/>
      <c r="WXT93" s="580"/>
      <c r="WXU93" s="580"/>
      <c r="WXV93" s="580"/>
      <c r="WXW93" s="580"/>
      <c r="WXX93" s="580"/>
      <c r="WXY93" s="580"/>
      <c r="WXZ93" s="580"/>
      <c r="WYA93" s="580"/>
      <c r="WYB93" s="580"/>
      <c r="WYC93" s="580"/>
      <c r="WYD93" s="580"/>
      <c r="WYE93" s="580"/>
      <c r="WYF93" s="580"/>
      <c r="WYG93" s="580"/>
      <c r="WYH93" s="580"/>
      <c r="WYI93" s="580"/>
      <c r="WYJ93" s="580"/>
      <c r="WYK93" s="580"/>
      <c r="WYL93" s="580"/>
      <c r="WYM93" s="580"/>
      <c r="WYN93" s="580"/>
      <c r="WYO93" s="580"/>
      <c r="WYP93" s="580"/>
      <c r="WYQ93" s="580"/>
      <c r="WYR93" s="580"/>
      <c r="WYS93" s="580"/>
      <c r="WYT93" s="580"/>
      <c r="WYU93" s="580"/>
      <c r="WYV93" s="580"/>
      <c r="WYW93" s="580"/>
      <c r="WYX93" s="580"/>
      <c r="WYY93" s="580"/>
      <c r="WYZ93" s="580"/>
      <c r="WZA93" s="580"/>
      <c r="WZB93" s="580"/>
      <c r="WZC93" s="580"/>
      <c r="WZD93" s="580"/>
      <c r="WZE93" s="580"/>
      <c r="WZF93" s="580"/>
      <c r="WZG93" s="580"/>
      <c r="WZH93" s="580"/>
      <c r="WZI93" s="580"/>
      <c r="WZJ93" s="580"/>
      <c r="WZK93" s="580"/>
      <c r="WZL93" s="580"/>
      <c r="WZM93" s="580"/>
      <c r="WZN93" s="580"/>
      <c r="WZO93" s="580"/>
      <c r="WZP93" s="580"/>
      <c r="WZQ93" s="580"/>
      <c r="WZR93" s="580"/>
      <c r="WZS93" s="580"/>
      <c r="WZT93" s="580"/>
      <c r="WZU93" s="580"/>
      <c r="WZV93" s="580"/>
      <c r="WZW93" s="580"/>
      <c r="WZX93" s="580"/>
      <c r="WZY93" s="580"/>
      <c r="WZZ93" s="580"/>
      <c r="XAA93" s="580"/>
      <c r="XAB93" s="580"/>
      <c r="XAC93" s="580"/>
      <c r="XAD93" s="580"/>
      <c r="XAE93" s="580"/>
      <c r="XAF93" s="580"/>
      <c r="XAG93" s="580"/>
      <c r="XAH93" s="580"/>
      <c r="XAI93" s="580"/>
      <c r="XAJ93" s="580"/>
      <c r="XAK93" s="580"/>
      <c r="XAL93" s="580"/>
      <c r="XAM93" s="580"/>
      <c r="XAN93" s="580"/>
      <c r="XAO93" s="580"/>
      <c r="XAP93" s="580"/>
      <c r="XAQ93" s="580"/>
      <c r="XAR93" s="580"/>
      <c r="XAS93" s="580"/>
      <c r="XAT93" s="580"/>
      <c r="XAU93" s="580"/>
      <c r="XAV93" s="580"/>
      <c r="XAW93" s="580"/>
      <c r="XAX93" s="580"/>
      <c r="XAY93" s="580"/>
      <c r="XAZ93" s="580"/>
      <c r="XBA93" s="580"/>
      <c r="XBB93" s="580"/>
      <c r="XBC93" s="580"/>
      <c r="XBD93" s="580"/>
      <c r="XBE93" s="580"/>
      <c r="XBF93" s="580"/>
      <c r="XBG93" s="580"/>
      <c r="XBH93" s="580"/>
      <c r="XBI93" s="580"/>
      <c r="XBJ93" s="580"/>
      <c r="XBK93" s="580"/>
      <c r="XBL93" s="580"/>
      <c r="XBM93" s="580"/>
      <c r="XBN93" s="580"/>
      <c r="XBO93" s="580"/>
      <c r="XBP93" s="580"/>
      <c r="XBQ93" s="580"/>
      <c r="XBR93" s="580"/>
      <c r="XBS93" s="580"/>
      <c r="XBT93" s="580"/>
      <c r="XBU93" s="580"/>
      <c r="XBV93" s="580"/>
      <c r="XBW93" s="580"/>
      <c r="XBX93" s="580"/>
      <c r="XBY93" s="580"/>
      <c r="XBZ93" s="580"/>
      <c r="XCA93" s="580"/>
      <c r="XCB93" s="580"/>
      <c r="XCC93" s="580"/>
      <c r="XCD93" s="580"/>
      <c r="XCE93" s="580"/>
      <c r="XCF93" s="580"/>
      <c r="XCG93" s="580"/>
      <c r="XCH93" s="580"/>
      <c r="XCI93" s="580"/>
      <c r="XCJ93" s="580"/>
      <c r="XCK93" s="580"/>
      <c r="XCL93" s="580"/>
      <c r="XCM93" s="580"/>
      <c r="XCN93" s="580"/>
      <c r="XCO93" s="580"/>
      <c r="XCP93" s="580"/>
      <c r="XCQ93" s="580"/>
      <c r="XCR93" s="580"/>
      <c r="XCS93" s="580"/>
      <c r="XCT93" s="580"/>
      <c r="XCU93" s="580"/>
      <c r="XCV93" s="580"/>
      <c r="XCW93" s="580"/>
      <c r="XCX93" s="580"/>
      <c r="XCY93" s="580"/>
      <c r="XCZ93" s="580"/>
      <c r="XDA93" s="580"/>
      <c r="XDB93" s="580"/>
      <c r="XDC93" s="580"/>
      <c r="XDD93" s="580"/>
      <c r="XDE93" s="580"/>
      <c r="XDF93" s="580"/>
      <c r="XDG93" s="580"/>
      <c r="XDH93" s="580"/>
      <c r="XDI93" s="580"/>
      <c r="XDJ93" s="580"/>
      <c r="XDK93" s="580"/>
      <c r="XDL93" s="580"/>
      <c r="XDM93" s="580"/>
      <c r="XDN93" s="580"/>
      <c r="XDO93" s="580"/>
      <c r="XDP93" s="580"/>
      <c r="XDQ93" s="580"/>
      <c r="XDR93" s="580"/>
      <c r="XDS93" s="580"/>
      <c r="XDT93" s="580"/>
      <c r="XDU93" s="580"/>
      <c r="XDV93" s="580"/>
      <c r="XDW93" s="580"/>
      <c r="XDX93" s="580"/>
      <c r="XDY93" s="580"/>
      <c r="XDZ93" s="580"/>
      <c r="XEA93" s="580"/>
      <c r="XEB93" s="580"/>
      <c r="XEC93" s="580"/>
      <c r="XED93" s="580"/>
      <c r="XEE93" s="580"/>
      <c r="XEF93" s="580"/>
      <c r="XEG93" s="580"/>
      <c r="XEH93" s="580"/>
      <c r="XEI93" s="580"/>
      <c r="XEJ93" s="580"/>
      <c r="XEK93" s="580"/>
      <c r="XEL93" s="580"/>
      <c r="XEM93" s="580"/>
      <c r="XEN93" s="580"/>
      <c r="XEO93" s="580"/>
      <c r="XEP93" s="580"/>
      <c r="XEQ93" s="580"/>
      <c r="XER93" s="580"/>
      <c r="XES93" s="580"/>
      <c r="XET93" s="580"/>
      <c r="XEU93" s="580"/>
      <c r="XEV93" s="580"/>
      <c r="XEW93" s="580"/>
      <c r="XEX93" s="580"/>
      <c r="XEY93" s="580"/>
      <c r="XEZ93" s="580"/>
      <c r="XFA93" s="580"/>
      <c r="XFB93" s="580"/>
      <c r="XFC93" s="580"/>
      <c r="XFD93" s="580"/>
    </row>
    <row r="94" spans="1:16384">
      <c r="G94" s="72" t="str">
        <f t="shared" si="150"/>
        <v/>
      </c>
      <c r="H94" s="46"/>
      <c r="I94" s="631" t="s">
        <v>690</v>
      </c>
      <c r="J94" s="631"/>
      <c r="K94" s="75" t="s">
        <v>132</v>
      </c>
      <c r="L94" s="566"/>
      <c r="M94" s="565"/>
      <c r="N94" s="565"/>
      <c r="O94" s="565"/>
      <c r="P94" s="565"/>
      <c r="Q94" s="565"/>
      <c r="R94" s="81"/>
      <c r="S94" s="603"/>
      <c r="T94" s="603">
        <v>5.23</v>
      </c>
      <c r="V94" s="603"/>
      <c r="W94" s="603"/>
      <c r="X94" s="631"/>
      <c r="Y94" s="69"/>
      <c r="Z94" s="69"/>
      <c r="AA94" s="69"/>
      <c r="AB94" s="69"/>
      <c r="AC94" s="69"/>
      <c r="AD94" s="631"/>
      <c r="AE94" s="565"/>
      <c r="AF94" s="565"/>
      <c r="AG94" s="565"/>
      <c r="AH94" s="565"/>
      <c r="AI94" s="565"/>
      <c r="AJ94" s="631"/>
      <c r="AK94" s="570"/>
      <c r="AL94" s="570">
        <f>ROUND(T94,2)</f>
        <v>5.23</v>
      </c>
      <c r="AM94" s="644"/>
      <c r="AN94" s="570"/>
      <c r="AO94" s="570"/>
      <c r="AP94" s="631"/>
      <c r="AQ94" s="69">
        <f t="shared" si="160"/>
        <v>0</v>
      </c>
      <c r="AR94" s="69"/>
      <c r="AS94" s="69"/>
      <c r="AT94" s="69"/>
      <c r="AU94" s="69"/>
      <c r="AV94" s="69"/>
      <c r="AW94" s="69"/>
      <c r="AX94" s="577"/>
      <c r="AY94" s="567"/>
      <c r="AZ94" s="567"/>
      <c r="BA94" s="567"/>
      <c r="BB94" s="567"/>
      <c r="BC94" s="567"/>
      <c r="BD94" s="567"/>
      <c r="BE94" s="573"/>
      <c r="BF94" s="563"/>
      <c r="BG94" s="563"/>
      <c r="BH94" s="563"/>
      <c r="BI94" s="563"/>
      <c r="BJ94" s="563"/>
      <c r="BK94" s="631"/>
      <c r="BL94" s="631"/>
      <c r="BM94" s="571"/>
      <c r="BN94" s="571"/>
      <c r="BO94" s="571">
        <f>AL94*$BM$1</f>
        <v>5.3089729999999999</v>
      </c>
      <c r="BP94" s="571"/>
      <c r="BQ94" s="571"/>
      <c r="BR94" s="631"/>
      <c r="BS94" s="563"/>
      <c r="BT94" s="563"/>
      <c r="BU94" s="563">
        <f t="shared" si="72"/>
        <v>5.3089729999999999</v>
      </c>
      <c r="BV94" s="563"/>
      <c r="BW94" s="563"/>
      <c r="DN94" s="664"/>
      <c r="DO94" s="664"/>
      <c r="DP94" s="664"/>
      <c r="DQ94" s="664"/>
      <c r="DT94" s="671"/>
      <c r="DU94" s="671"/>
      <c r="DV94" s="671"/>
      <c r="DW94" s="671"/>
      <c r="DX94" s="671"/>
      <c r="DY94" s="671"/>
      <c r="DZ94" s="671"/>
      <c r="EA94" s="671"/>
      <c r="EB94" s="671"/>
    </row>
    <row r="95" spans="1:16384">
      <c r="B95" s="35">
        <v>2</v>
      </c>
      <c r="C95" s="71" t="s">
        <v>122</v>
      </c>
      <c r="D95" s="35">
        <v>415</v>
      </c>
      <c r="E95" s="544">
        <v>61</v>
      </c>
      <c r="F95" s="72"/>
      <c r="G95" s="72" t="str">
        <f t="shared" si="150"/>
        <v>045415</v>
      </c>
      <c r="H95" s="46"/>
      <c r="I95" s="631" t="s">
        <v>690</v>
      </c>
      <c r="J95" s="631"/>
      <c r="K95" s="75" t="s">
        <v>603</v>
      </c>
      <c r="L95" s="566"/>
      <c r="M95" s="565"/>
      <c r="N95" s="565"/>
      <c r="O95" s="565"/>
      <c r="P95" s="565"/>
      <c r="Q95" s="565"/>
      <c r="R95" s="81"/>
      <c r="S95" s="603"/>
      <c r="T95" s="603">
        <v>5.53</v>
      </c>
      <c r="V95" s="603"/>
      <c r="W95" s="603"/>
      <c r="X95" s="631"/>
      <c r="Y95" s="69"/>
      <c r="Z95" s="69"/>
      <c r="AA95" s="69"/>
      <c r="AB95" s="69"/>
      <c r="AC95" s="69"/>
      <c r="AD95" s="631"/>
      <c r="AE95" s="565"/>
      <c r="AF95" s="565"/>
      <c r="AG95" s="565"/>
      <c r="AH95" s="565"/>
      <c r="AI95" s="565"/>
      <c r="AJ95" s="631"/>
      <c r="AK95" s="570"/>
      <c r="AL95" s="570">
        <f>ROUND(T95,2)</f>
        <v>5.53</v>
      </c>
      <c r="AM95" s="644"/>
      <c r="AN95" s="570"/>
      <c r="AO95" s="570"/>
      <c r="AP95" s="631"/>
      <c r="AQ95" s="69">
        <f t="shared" si="160"/>
        <v>0</v>
      </c>
      <c r="AR95" s="69"/>
      <c r="AS95" s="69"/>
      <c r="AT95" s="69"/>
      <c r="AU95" s="69"/>
      <c r="AV95" s="69"/>
      <c r="AW95" s="69"/>
      <c r="AX95" s="577"/>
      <c r="AY95" s="567"/>
      <c r="AZ95" s="567"/>
      <c r="BA95" s="567"/>
      <c r="BB95" s="567"/>
      <c r="BC95" s="567"/>
      <c r="BD95" s="567"/>
      <c r="BE95" s="573"/>
      <c r="BF95" s="563"/>
      <c r="BG95" s="563"/>
      <c r="BH95" s="563"/>
      <c r="BI95" s="563"/>
      <c r="BJ95" s="563"/>
      <c r="BK95" s="631"/>
      <c r="BL95" s="631"/>
      <c r="BM95" s="571"/>
      <c r="BN95" s="571"/>
      <c r="BO95" s="571">
        <f>AL95*$BM$1</f>
        <v>5.6135029999999997</v>
      </c>
      <c r="BP95" s="571"/>
      <c r="BQ95" s="571"/>
      <c r="BR95" s="631"/>
      <c r="BS95" s="563"/>
      <c r="BT95" s="563"/>
      <c r="BU95" s="563">
        <f t="shared" si="72"/>
        <v>5.6135029999999997</v>
      </c>
      <c r="BV95" s="563"/>
      <c r="BW95" s="563"/>
      <c r="DR95" s="664"/>
      <c r="DS95" s="664"/>
      <c r="DT95" s="671"/>
      <c r="DU95" s="671"/>
      <c r="DV95" s="671"/>
      <c r="DW95" s="671"/>
      <c r="DX95" s="671"/>
      <c r="DY95" s="671"/>
      <c r="DZ95" s="671"/>
      <c r="EA95" s="671"/>
      <c r="EB95" s="671"/>
    </row>
    <row r="96" spans="1:16384" s="580" customFormat="1">
      <c r="A96"/>
      <c r="B96" s="35">
        <v>2</v>
      </c>
      <c r="C96" s="71" t="s">
        <v>122</v>
      </c>
      <c r="D96" s="35">
        <v>419</v>
      </c>
      <c r="E96" s="544">
        <v>16</v>
      </c>
      <c r="F96" s="72"/>
      <c r="G96" s="72" t="str">
        <f>IF(OR(ISBLANK(C96),ISBLANK(D96)),"",TEXT(C96,"000")&amp;TEXT(D96,"000"))</f>
        <v>045419</v>
      </c>
      <c r="H96" s="46"/>
      <c r="I96" s="631" t="s">
        <v>690</v>
      </c>
      <c r="J96"/>
      <c r="K96" s="58" t="s">
        <v>626</v>
      </c>
      <c r="L96"/>
      <c r="M96"/>
      <c r="N96"/>
      <c r="O96"/>
      <c r="P96"/>
      <c r="Q96"/>
      <c r="R96" s="68"/>
      <c r="S96" s="603">
        <v>0</v>
      </c>
      <c r="T96" s="603">
        <v>7.92</v>
      </c>
      <c r="U96"/>
      <c r="V96" s="603">
        <v>0</v>
      </c>
      <c r="W96" s="603">
        <v>0</v>
      </c>
      <c r="X96"/>
      <c r="Y96" s="69"/>
      <c r="Z96" s="69"/>
      <c r="AA96" s="69"/>
      <c r="AB96" s="69"/>
      <c r="AC96" s="69"/>
      <c r="AD96"/>
      <c r="AE96"/>
      <c r="AF96"/>
      <c r="AG96"/>
      <c r="AH96"/>
      <c r="AI96"/>
      <c r="AJ96"/>
      <c r="AK96" s="570">
        <f t="shared" si="235"/>
        <v>0</v>
      </c>
      <c r="AL96" s="570">
        <f>ROUND(T96,2)</f>
        <v>7.92</v>
      </c>
      <c r="AM96" s="644"/>
      <c r="AN96" s="570">
        <f t="shared" ref="AN96:AO102" si="236">ROUND(V96*(1+AN$1),2)</f>
        <v>0</v>
      </c>
      <c r="AO96" s="570">
        <f t="shared" si="236"/>
        <v>0</v>
      </c>
      <c r="AP96"/>
      <c r="AQ96" s="69"/>
      <c r="AR96" s="69"/>
      <c r="AS96" s="69"/>
      <c r="AT96" s="69"/>
      <c r="AU96" s="69"/>
      <c r="AV96" s="69">
        <f>SUM(AQ96:AU96)-SUM(Y96:AC96)</f>
        <v>0</v>
      </c>
      <c r="AW96" s="69"/>
      <c r="AX96" s="434"/>
      <c r="AY96" s="567"/>
      <c r="AZ96" s="567"/>
      <c r="BA96" s="567"/>
      <c r="BB96" s="567"/>
      <c r="BC96" s="567"/>
      <c r="BD96" s="139"/>
      <c r="BE96" s="573"/>
      <c r="BF96" s="53"/>
      <c r="BG96" s="53"/>
      <c r="BH96" s="53"/>
      <c r="BI96" s="53"/>
      <c r="BJ96" s="53"/>
      <c r="BK96"/>
      <c r="BL96"/>
      <c r="BM96" s="278">
        <f t="shared" ref="BM96:BM102" si="237">AK96*$BM$1</f>
        <v>0</v>
      </c>
      <c r="BN96" s="278" t="e">
        <f>#REF!*$BM$1</f>
        <v>#REF!</v>
      </c>
      <c r="BO96" s="278">
        <f>AL96*$BM$1</f>
        <v>8.039591999999999</v>
      </c>
      <c r="BP96" s="278">
        <f t="shared" si="77"/>
        <v>0</v>
      </c>
      <c r="BQ96" s="278">
        <f t="shared" si="78"/>
        <v>0</v>
      </c>
      <c r="BR96"/>
      <c r="BS96" s="53"/>
      <c r="BT96" s="53"/>
      <c r="BU96" s="53"/>
      <c r="BV96" s="53"/>
      <c r="BW96" s="53"/>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s="671"/>
      <c r="DU96" s="671"/>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c r="APV96"/>
      <c r="APW96"/>
      <c r="APX96"/>
      <c r="APY96"/>
      <c r="APZ96"/>
      <c r="AQA96"/>
      <c r="AQB96"/>
      <c r="AQC96"/>
      <c r="AQD96"/>
      <c r="AQE96"/>
      <c r="AQF96"/>
      <c r="AQG96"/>
      <c r="AQH96"/>
      <c r="AQI96"/>
      <c r="AQJ96"/>
      <c r="AQK96"/>
      <c r="AQL96"/>
      <c r="AQM96"/>
      <c r="AQN96"/>
      <c r="AQO96"/>
      <c r="AQP96"/>
      <c r="AQQ96"/>
      <c r="AQR96"/>
      <c r="AQS96"/>
      <c r="AQT96"/>
      <c r="AQU96"/>
      <c r="AQV96"/>
      <c r="AQW96"/>
      <c r="AQX96"/>
      <c r="AQY96"/>
      <c r="AQZ96"/>
      <c r="ARA96"/>
      <c r="ARB96"/>
      <c r="ARC96"/>
      <c r="ARD96"/>
      <c r="ARE96"/>
      <c r="ARF96"/>
      <c r="ARG96"/>
      <c r="ARH96"/>
      <c r="ARI96"/>
      <c r="ARJ96"/>
      <c r="ARK96"/>
      <c r="ARL96"/>
      <c r="ARM96"/>
      <c r="ARN96"/>
      <c r="ARO96"/>
      <c r="ARP96"/>
      <c r="ARQ96"/>
      <c r="ARR96"/>
      <c r="ARS96"/>
      <c r="ART96"/>
      <c r="ARU96"/>
      <c r="ARV96"/>
      <c r="ARW96"/>
      <c r="ARX96"/>
      <c r="ARY96"/>
      <c r="ARZ96"/>
      <c r="ASA96"/>
      <c r="ASB96"/>
      <c r="ASC96"/>
      <c r="ASD96"/>
      <c r="ASE96"/>
      <c r="ASF96"/>
      <c r="ASG96"/>
      <c r="ASH96"/>
      <c r="ASI96"/>
      <c r="ASJ96"/>
      <c r="ASK96"/>
      <c r="ASL96"/>
      <c r="ASM96"/>
      <c r="ASN96"/>
      <c r="ASO96"/>
      <c r="ASP96"/>
      <c r="ASQ96"/>
      <c r="ASR96"/>
      <c r="ASS96"/>
      <c r="AST96"/>
      <c r="ASU96"/>
      <c r="ASV96"/>
      <c r="ASW96"/>
      <c r="ASX96"/>
      <c r="ASY96"/>
      <c r="ASZ96"/>
      <c r="ATA96"/>
      <c r="ATB96"/>
      <c r="ATC96"/>
      <c r="ATD96"/>
      <c r="ATE96"/>
      <c r="ATF96"/>
      <c r="ATG96"/>
      <c r="ATH96"/>
      <c r="ATI96"/>
      <c r="ATJ96"/>
      <c r="ATK96"/>
      <c r="ATL96"/>
      <c r="ATM96"/>
      <c r="ATN96"/>
      <c r="ATO96"/>
      <c r="ATP96"/>
      <c r="ATQ96"/>
      <c r="ATR96"/>
      <c r="ATS96"/>
      <c r="ATT96"/>
      <c r="ATU96"/>
      <c r="ATV96"/>
      <c r="ATW96"/>
      <c r="ATX96"/>
      <c r="ATY96"/>
      <c r="ATZ96"/>
      <c r="AUA96"/>
      <c r="AUB96"/>
      <c r="AUC96"/>
      <c r="AUD96"/>
      <c r="AUE96"/>
      <c r="AUF96"/>
      <c r="AUG96"/>
      <c r="AUH96"/>
      <c r="AUI96"/>
      <c r="AUJ96"/>
      <c r="AUK96"/>
      <c r="AUL96"/>
      <c r="AUM96"/>
      <c r="AUN96"/>
      <c r="AUO96"/>
      <c r="AUP96"/>
      <c r="AUQ96"/>
      <c r="AUR96"/>
      <c r="AUS96"/>
      <c r="AUT96"/>
      <c r="AUU96"/>
      <c r="AUV96"/>
      <c r="AUW96"/>
      <c r="AUX96"/>
      <c r="AUY96"/>
      <c r="AUZ96"/>
      <c r="AVA96"/>
      <c r="AVB96"/>
      <c r="AVC96"/>
      <c r="AVD96"/>
      <c r="AVE96"/>
      <c r="AVF96"/>
      <c r="AVG96"/>
      <c r="AVH96"/>
      <c r="AVI96"/>
      <c r="AVJ96"/>
      <c r="AVK96"/>
      <c r="AVL96"/>
      <c r="AVM96"/>
      <c r="AVN96"/>
      <c r="AVO96"/>
      <c r="AVP96"/>
      <c r="AVQ96"/>
      <c r="AVR96"/>
      <c r="AVS96"/>
      <c r="AVT96"/>
      <c r="AVU96"/>
      <c r="AVV96"/>
      <c r="AVW96"/>
      <c r="AVX96"/>
      <c r="AVY96"/>
      <c r="AVZ96"/>
      <c r="AWA96"/>
      <c r="AWB96"/>
      <c r="AWC96"/>
      <c r="AWD96"/>
      <c r="AWE96"/>
      <c r="AWF96"/>
      <c r="AWG96"/>
      <c r="AWH96"/>
      <c r="AWI96"/>
      <c r="AWJ96"/>
      <c r="AWK96"/>
      <c r="AWL96"/>
      <c r="AWM96"/>
      <c r="AWN96"/>
      <c r="AWO96"/>
      <c r="AWP96"/>
      <c r="AWQ96"/>
      <c r="AWR96"/>
      <c r="AWS96"/>
      <c r="AWT96"/>
      <c r="AWU96"/>
      <c r="AWV96"/>
      <c r="AWW96"/>
      <c r="AWX96"/>
      <c r="AWY96"/>
      <c r="AWZ96"/>
      <c r="AXA96"/>
      <c r="AXB96"/>
      <c r="AXC96"/>
      <c r="AXD96"/>
      <c r="AXE96"/>
      <c r="AXF96"/>
      <c r="AXG96"/>
      <c r="AXH96"/>
      <c r="AXI96"/>
      <c r="AXJ96"/>
      <c r="AXK96"/>
      <c r="AXL96"/>
      <c r="AXM96"/>
      <c r="AXN96"/>
      <c r="AXO96"/>
      <c r="AXP96"/>
      <c r="AXQ96"/>
      <c r="AXR96"/>
      <c r="AXS96"/>
      <c r="AXT96"/>
      <c r="AXU96"/>
      <c r="AXV96"/>
      <c r="AXW96"/>
      <c r="AXX96"/>
      <c r="AXY96"/>
      <c r="AXZ96"/>
      <c r="AYA96"/>
      <c r="AYB96"/>
      <c r="AYC96"/>
      <c r="AYD96"/>
      <c r="AYE96"/>
      <c r="AYF96"/>
      <c r="AYG96"/>
      <c r="AYH96"/>
      <c r="AYI96"/>
      <c r="AYJ96"/>
      <c r="AYK96"/>
      <c r="AYL96"/>
      <c r="AYM96"/>
      <c r="AYN96"/>
      <c r="AYO96"/>
      <c r="AYP96"/>
      <c r="AYQ96"/>
      <c r="AYR96"/>
      <c r="AYS96"/>
      <c r="AYT96"/>
      <c r="AYU96"/>
      <c r="AYV96"/>
      <c r="AYW96"/>
      <c r="AYX96"/>
      <c r="AYY96"/>
      <c r="AYZ96"/>
      <c r="AZA96"/>
      <c r="AZB96"/>
      <c r="AZC96"/>
      <c r="AZD96"/>
      <c r="AZE96"/>
      <c r="AZF96"/>
      <c r="AZG96"/>
      <c r="AZH96"/>
      <c r="AZI96"/>
      <c r="AZJ96"/>
      <c r="AZK96"/>
      <c r="AZL96"/>
      <c r="AZM96"/>
      <c r="AZN96"/>
      <c r="AZO96"/>
      <c r="AZP96"/>
      <c r="AZQ96"/>
      <c r="AZR96"/>
      <c r="AZS96"/>
      <c r="AZT96"/>
      <c r="AZU96"/>
      <c r="AZV96"/>
      <c r="AZW96"/>
      <c r="AZX96"/>
      <c r="AZY96"/>
      <c r="AZZ96"/>
      <c r="BAA96"/>
      <c r="BAB96"/>
      <c r="BAC96"/>
      <c r="BAD96"/>
      <c r="BAE96"/>
      <c r="BAF96"/>
      <c r="BAG96"/>
      <c r="BAH96"/>
      <c r="BAI96"/>
      <c r="BAJ96"/>
      <c r="BAK96"/>
      <c r="BAL96"/>
      <c r="BAM96"/>
      <c r="BAN96"/>
      <c r="BAO96"/>
      <c r="BAP96"/>
      <c r="BAQ96"/>
      <c r="BAR96"/>
      <c r="BAS96"/>
      <c r="BAT96"/>
      <c r="BAU96"/>
      <c r="BAV96"/>
      <c r="BAW96"/>
      <c r="BAX96"/>
      <c r="BAY96"/>
      <c r="BAZ96"/>
      <c r="BBA96"/>
      <c r="BBB96"/>
      <c r="BBC96"/>
      <c r="BBD96"/>
      <c r="BBE96"/>
      <c r="BBF96"/>
      <c r="BBG96"/>
      <c r="BBH96"/>
      <c r="BBI96"/>
      <c r="BBJ96"/>
      <c r="BBK96"/>
      <c r="BBL96"/>
      <c r="BBM96"/>
      <c r="BBN96"/>
      <c r="BBO96"/>
      <c r="BBP96"/>
      <c r="BBQ96"/>
      <c r="BBR96"/>
      <c r="BBS96"/>
      <c r="BBT96"/>
      <c r="BBU96"/>
      <c r="BBV96"/>
      <c r="BBW96"/>
      <c r="BBX96"/>
      <c r="BBY96"/>
      <c r="BBZ96"/>
      <c r="BCA96"/>
      <c r="BCB96"/>
      <c r="BCC96"/>
      <c r="BCD96"/>
      <c r="BCE96"/>
      <c r="BCF96"/>
      <c r="BCG96"/>
      <c r="BCH96"/>
      <c r="BCI96"/>
      <c r="BCJ96"/>
      <c r="BCK96"/>
      <c r="BCL96"/>
      <c r="BCM96"/>
      <c r="BCN96"/>
      <c r="BCO96"/>
      <c r="BCP96"/>
      <c r="BCQ96"/>
      <c r="BCR96"/>
      <c r="BCS96"/>
      <c r="BCT96"/>
      <c r="BCU96"/>
      <c r="BCV96"/>
      <c r="BCW96"/>
      <c r="BCX96"/>
      <c r="BCY96"/>
      <c r="BCZ96"/>
      <c r="BDA96"/>
      <c r="BDB96"/>
      <c r="BDC96"/>
      <c r="BDD96"/>
      <c r="BDE96"/>
      <c r="BDF96"/>
      <c r="BDG96"/>
      <c r="BDH96"/>
      <c r="BDI96"/>
      <c r="BDJ96"/>
      <c r="BDK96"/>
      <c r="BDL96"/>
      <c r="BDM96"/>
      <c r="BDN96"/>
      <c r="BDO96"/>
      <c r="BDP96"/>
      <c r="BDQ96"/>
      <c r="BDR96"/>
      <c r="BDS96"/>
      <c r="BDT96"/>
      <c r="BDU96"/>
      <c r="BDV96"/>
      <c r="BDW96"/>
      <c r="BDX96"/>
      <c r="BDY96"/>
      <c r="BDZ96"/>
      <c r="BEA96"/>
      <c r="BEB96"/>
      <c r="BEC96"/>
      <c r="BED96"/>
      <c r="BEE96"/>
      <c r="BEF96"/>
      <c r="BEG96"/>
      <c r="BEH96"/>
      <c r="BEI96"/>
      <c r="BEJ96"/>
      <c r="BEK96"/>
      <c r="BEL96"/>
      <c r="BEM96"/>
      <c r="BEN96"/>
      <c r="BEO96"/>
      <c r="BEP96"/>
      <c r="BEQ96"/>
      <c r="BER96"/>
      <c r="BES96"/>
      <c r="BET96"/>
      <c r="BEU96"/>
      <c r="BEV96"/>
      <c r="BEW96"/>
      <c r="BEX96"/>
      <c r="BEY96"/>
      <c r="BEZ96"/>
      <c r="BFA96"/>
      <c r="BFB96"/>
      <c r="BFC96"/>
      <c r="BFD96"/>
      <c r="BFE96"/>
      <c r="BFF96"/>
      <c r="BFG96"/>
      <c r="BFH96"/>
      <c r="BFI96"/>
      <c r="BFJ96"/>
      <c r="BFK96"/>
      <c r="BFL96"/>
      <c r="BFM96"/>
      <c r="BFN96"/>
      <c r="BFO96"/>
      <c r="BFP96"/>
      <c r="BFQ96"/>
      <c r="BFR96"/>
      <c r="BFS96"/>
      <c r="BFT96"/>
      <c r="BFU96"/>
      <c r="BFV96"/>
      <c r="BFW96"/>
      <c r="BFX96"/>
      <c r="BFY96"/>
      <c r="BFZ96"/>
      <c r="BGA96"/>
      <c r="BGB96"/>
      <c r="BGC96"/>
      <c r="BGD96"/>
      <c r="BGE96"/>
      <c r="BGF96"/>
      <c r="BGG96"/>
      <c r="BGH96"/>
      <c r="BGI96"/>
      <c r="BGJ96"/>
      <c r="BGK96"/>
      <c r="BGL96"/>
      <c r="BGM96"/>
      <c r="BGN96"/>
      <c r="BGO96"/>
      <c r="BGP96"/>
      <c r="BGQ96"/>
      <c r="BGR96"/>
      <c r="BGS96"/>
      <c r="BGT96"/>
      <c r="BGU96"/>
      <c r="BGV96"/>
      <c r="BGW96"/>
      <c r="BGX96"/>
      <c r="BGY96"/>
      <c r="BGZ96"/>
      <c r="BHA96"/>
      <c r="BHB96"/>
      <c r="BHC96"/>
      <c r="BHD96"/>
      <c r="BHE96"/>
      <c r="BHF96"/>
      <c r="BHG96"/>
      <c r="BHH96"/>
      <c r="BHI96"/>
      <c r="BHJ96"/>
      <c r="BHK96"/>
      <c r="BHL96"/>
      <c r="BHM96"/>
      <c r="BHN96"/>
      <c r="BHO96"/>
      <c r="BHP96"/>
      <c r="BHQ96"/>
      <c r="BHR96"/>
      <c r="BHS96"/>
      <c r="BHT96"/>
      <c r="BHU96"/>
      <c r="BHV96"/>
      <c r="BHW96"/>
      <c r="BHX96"/>
      <c r="BHY96"/>
      <c r="BHZ96"/>
      <c r="BIA96"/>
      <c r="BIB96"/>
      <c r="BIC96"/>
      <c r="BID96"/>
      <c r="BIE96"/>
      <c r="BIF96"/>
      <c r="BIG96"/>
      <c r="BIH96"/>
      <c r="BII96"/>
      <c r="BIJ96"/>
      <c r="BIK96"/>
      <c r="BIL96"/>
      <c r="BIM96"/>
      <c r="BIN96"/>
      <c r="BIO96"/>
      <c r="BIP96"/>
      <c r="BIQ96"/>
      <c r="BIR96"/>
      <c r="BIS96"/>
      <c r="BIT96"/>
      <c r="BIU96"/>
      <c r="BIV96"/>
      <c r="BIW96"/>
      <c r="BIX96"/>
      <c r="BIY96"/>
      <c r="BIZ96"/>
      <c r="BJA96"/>
      <c r="BJB96"/>
      <c r="BJC96"/>
      <c r="BJD96"/>
      <c r="BJE96"/>
      <c r="BJF96"/>
      <c r="BJG96"/>
      <c r="BJH96"/>
      <c r="BJI96"/>
      <c r="BJJ96"/>
      <c r="BJK96"/>
      <c r="BJL96"/>
      <c r="BJM96"/>
      <c r="BJN96"/>
      <c r="BJO96"/>
      <c r="BJP96"/>
      <c r="BJQ96"/>
      <c r="BJR96"/>
      <c r="BJS96"/>
      <c r="BJT96"/>
      <c r="BJU96"/>
      <c r="BJV96"/>
      <c r="BJW96"/>
      <c r="BJX96"/>
      <c r="BJY96"/>
      <c r="BJZ96"/>
      <c r="BKA96"/>
      <c r="BKB96"/>
      <c r="BKC96"/>
      <c r="BKD96"/>
      <c r="BKE96"/>
      <c r="BKF96"/>
      <c r="BKG96"/>
      <c r="BKH96"/>
      <c r="BKI96"/>
      <c r="BKJ96"/>
      <c r="BKK96"/>
      <c r="BKL96"/>
      <c r="BKM96"/>
      <c r="BKN96"/>
      <c r="BKO96"/>
      <c r="BKP96"/>
      <c r="BKQ96"/>
      <c r="BKR96"/>
      <c r="BKS96"/>
      <c r="BKT96"/>
      <c r="BKU96"/>
      <c r="BKV96"/>
      <c r="BKW96"/>
      <c r="BKX96"/>
      <c r="BKY96"/>
      <c r="BKZ96"/>
      <c r="BLA96"/>
      <c r="BLB96"/>
      <c r="BLC96"/>
      <c r="BLD96"/>
      <c r="BLE96"/>
      <c r="BLF96"/>
      <c r="BLG96"/>
      <c r="BLH96"/>
      <c r="BLI96"/>
      <c r="BLJ96"/>
      <c r="BLK96"/>
      <c r="BLL96"/>
      <c r="BLM96"/>
      <c r="BLN96"/>
      <c r="BLO96"/>
      <c r="BLP96"/>
      <c r="BLQ96"/>
      <c r="BLR96"/>
      <c r="BLS96"/>
      <c r="BLT96"/>
      <c r="BLU96"/>
      <c r="BLV96"/>
      <c r="BLW96"/>
      <c r="BLX96"/>
      <c r="BLY96"/>
      <c r="BLZ96"/>
      <c r="BMA96"/>
      <c r="BMB96"/>
      <c r="BMC96"/>
      <c r="BMD96"/>
      <c r="BME96"/>
      <c r="BMF96"/>
      <c r="BMG96"/>
      <c r="BMH96"/>
      <c r="BMI96"/>
      <c r="BMJ96"/>
      <c r="BMK96"/>
      <c r="BML96"/>
      <c r="BMM96"/>
      <c r="BMN96"/>
      <c r="BMO96"/>
      <c r="BMP96"/>
      <c r="BMQ96"/>
      <c r="BMR96"/>
      <c r="BMS96"/>
      <c r="BMT96"/>
      <c r="BMU96"/>
      <c r="BMV96"/>
      <c r="BMW96"/>
      <c r="BMX96"/>
      <c r="BMY96"/>
      <c r="BMZ96"/>
      <c r="BNA96"/>
      <c r="BNB96"/>
      <c r="BNC96"/>
      <c r="BND96"/>
      <c r="BNE96"/>
      <c r="BNF96"/>
      <c r="BNG96"/>
      <c r="BNH96"/>
      <c r="BNI96"/>
      <c r="BNJ96"/>
      <c r="BNK96"/>
      <c r="BNL96"/>
      <c r="BNM96"/>
      <c r="BNN96"/>
      <c r="BNO96"/>
      <c r="BNP96"/>
      <c r="BNQ96"/>
      <c r="BNR96"/>
      <c r="BNS96"/>
      <c r="BNT96"/>
      <c r="BNU96"/>
      <c r="BNV96"/>
      <c r="BNW96"/>
      <c r="BNX96"/>
      <c r="BNY96"/>
      <c r="BNZ96"/>
      <c r="BOA96"/>
      <c r="BOB96"/>
      <c r="BOC96"/>
      <c r="BOD96"/>
      <c r="BOE96"/>
      <c r="BOF96"/>
      <c r="BOG96"/>
      <c r="BOH96"/>
      <c r="BOI96"/>
      <c r="BOJ96"/>
      <c r="BOK96"/>
      <c r="BOL96"/>
      <c r="BOM96"/>
      <c r="BON96"/>
      <c r="BOO96"/>
      <c r="BOP96"/>
      <c r="BOQ96"/>
      <c r="BOR96"/>
      <c r="BOS96"/>
      <c r="BOT96"/>
      <c r="BOU96"/>
      <c r="BOV96"/>
      <c r="BOW96"/>
      <c r="BOX96"/>
      <c r="BOY96"/>
      <c r="BOZ96"/>
      <c r="BPA96"/>
      <c r="BPB96"/>
      <c r="BPC96"/>
      <c r="BPD96"/>
      <c r="BPE96"/>
      <c r="BPF96"/>
      <c r="BPG96"/>
      <c r="BPH96"/>
      <c r="BPI96"/>
      <c r="BPJ96"/>
      <c r="BPK96"/>
      <c r="BPL96"/>
      <c r="BPM96"/>
      <c r="BPN96"/>
      <c r="BPO96"/>
      <c r="BPP96"/>
      <c r="BPQ96"/>
      <c r="BPR96"/>
      <c r="BPS96"/>
      <c r="BPT96"/>
      <c r="BPU96"/>
      <c r="BPV96"/>
      <c r="BPW96"/>
      <c r="BPX96"/>
      <c r="BPY96"/>
      <c r="BPZ96"/>
      <c r="BQA96"/>
      <c r="BQB96"/>
      <c r="BQC96"/>
      <c r="BQD96"/>
      <c r="BQE96"/>
      <c r="BQF96"/>
      <c r="BQG96"/>
      <c r="BQH96"/>
      <c r="BQI96"/>
      <c r="BQJ96"/>
      <c r="BQK96"/>
      <c r="BQL96"/>
      <c r="BQM96"/>
      <c r="BQN96"/>
      <c r="BQO96"/>
      <c r="BQP96"/>
      <c r="BQQ96"/>
      <c r="BQR96"/>
      <c r="BQS96"/>
      <c r="BQT96"/>
      <c r="BQU96"/>
      <c r="BQV96"/>
      <c r="BQW96"/>
      <c r="BQX96"/>
      <c r="BQY96"/>
      <c r="BQZ96"/>
      <c r="BRA96"/>
      <c r="BRB96"/>
      <c r="BRC96"/>
      <c r="BRD96"/>
      <c r="BRE96"/>
      <c r="BRF96"/>
      <c r="BRG96"/>
      <c r="BRH96"/>
      <c r="BRI96"/>
      <c r="BRJ96"/>
      <c r="BRK96"/>
      <c r="BRL96"/>
      <c r="BRM96"/>
      <c r="BRN96"/>
      <c r="BRO96"/>
      <c r="BRP96"/>
      <c r="BRQ96"/>
      <c r="BRR96"/>
      <c r="BRS96"/>
      <c r="BRT96"/>
      <c r="BRU96"/>
      <c r="BRV96"/>
      <c r="BRW96"/>
      <c r="BRX96"/>
      <c r="BRY96"/>
      <c r="BRZ96"/>
      <c r="BSA96"/>
      <c r="BSB96"/>
      <c r="BSC96"/>
      <c r="BSD96"/>
      <c r="BSE96"/>
      <c r="BSF96"/>
      <c r="BSG96"/>
      <c r="BSH96"/>
      <c r="BSI96"/>
      <c r="BSJ96"/>
      <c r="BSK96"/>
      <c r="BSL96"/>
      <c r="BSM96"/>
      <c r="BSN96"/>
      <c r="BSO96"/>
      <c r="BSP96"/>
      <c r="BSQ96"/>
      <c r="BSR96"/>
      <c r="BSS96"/>
      <c r="BST96"/>
      <c r="BSU96"/>
      <c r="BSV96"/>
      <c r="BSW96"/>
      <c r="BSX96"/>
      <c r="BSY96"/>
      <c r="BSZ96"/>
      <c r="BTA96"/>
      <c r="BTB96"/>
      <c r="BTC96"/>
      <c r="BTD96"/>
      <c r="BTE96"/>
      <c r="BTF96"/>
      <c r="BTG96"/>
      <c r="BTH96"/>
      <c r="BTI96"/>
      <c r="BTJ96"/>
      <c r="BTK96"/>
      <c r="BTL96"/>
      <c r="BTM96"/>
      <c r="BTN96"/>
      <c r="BTO96"/>
      <c r="BTP96"/>
      <c r="BTQ96"/>
      <c r="BTR96"/>
      <c r="BTS96"/>
      <c r="BTT96"/>
      <c r="BTU96"/>
      <c r="BTV96"/>
      <c r="BTW96"/>
      <c r="BTX96"/>
      <c r="BTY96"/>
      <c r="BTZ96"/>
      <c r="BUA96"/>
      <c r="BUB96"/>
      <c r="BUC96"/>
      <c r="BUD96"/>
      <c r="BUE96"/>
      <c r="BUF96"/>
      <c r="BUG96"/>
      <c r="BUH96"/>
      <c r="BUI96"/>
      <c r="BUJ96"/>
      <c r="BUK96"/>
      <c r="BUL96"/>
      <c r="BUM96"/>
      <c r="BUN96"/>
      <c r="BUO96"/>
      <c r="BUP96"/>
      <c r="BUQ96"/>
      <c r="BUR96"/>
      <c r="BUS96"/>
      <c r="BUT96"/>
      <c r="BUU96"/>
      <c r="BUV96"/>
      <c r="BUW96"/>
      <c r="BUX96"/>
      <c r="BUY96"/>
      <c r="BUZ96"/>
      <c r="BVA96"/>
      <c r="BVB96"/>
      <c r="BVC96"/>
      <c r="BVD96"/>
      <c r="BVE96"/>
      <c r="BVF96"/>
      <c r="BVG96"/>
      <c r="BVH96"/>
      <c r="BVI96"/>
      <c r="BVJ96"/>
      <c r="BVK96"/>
      <c r="BVL96"/>
      <c r="BVM96"/>
      <c r="BVN96"/>
      <c r="BVO96"/>
      <c r="BVP96"/>
      <c r="BVQ96"/>
      <c r="BVR96"/>
      <c r="BVS96"/>
      <c r="BVT96"/>
      <c r="BVU96"/>
      <c r="BVV96"/>
      <c r="BVW96"/>
      <c r="BVX96"/>
      <c r="BVY96"/>
      <c r="BVZ96"/>
      <c r="BWA96"/>
      <c r="BWB96"/>
      <c r="BWC96"/>
      <c r="BWD96"/>
      <c r="BWE96"/>
      <c r="BWF96"/>
      <c r="BWG96"/>
      <c r="BWH96"/>
      <c r="BWI96"/>
      <c r="BWJ96"/>
      <c r="BWK96"/>
      <c r="BWL96"/>
      <c r="BWM96"/>
      <c r="BWN96"/>
      <c r="BWO96"/>
      <c r="BWP96"/>
      <c r="BWQ96"/>
      <c r="BWR96"/>
      <c r="BWS96"/>
      <c r="BWT96"/>
      <c r="BWU96"/>
      <c r="BWV96"/>
      <c r="BWW96"/>
      <c r="BWX96"/>
      <c r="BWY96"/>
      <c r="BWZ96"/>
      <c r="BXA96"/>
      <c r="BXB96"/>
      <c r="BXC96"/>
      <c r="BXD96"/>
      <c r="BXE96"/>
      <c r="BXF96"/>
      <c r="BXG96"/>
      <c r="BXH96"/>
      <c r="BXI96"/>
      <c r="BXJ96"/>
      <c r="BXK96"/>
      <c r="BXL96"/>
      <c r="BXM96"/>
      <c r="BXN96"/>
      <c r="BXO96"/>
      <c r="BXP96"/>
      <c r="BXQ96"/>
      <c r="BXR96"/>
      <c r="BXS96"/>
      <c r="BXT96"/>
      <c r="BXU96"/>
      <c r="BXV96"/>
      <c r="BXW96"/>
      <c r="BXX96"/>
      <c r="BXY96"/>
      <c r="BXZ96"/>
      <c r="BYA96"/>
      <c r="BYB96"/>
      <c r="BYC96"/>
      <c r="BYD96"/>
      <c r="BYE96"/>
      <c r="BYF96"/>
      <c r="BYG96"/>
      <c r="BYH96"/>
      <c r="BYI96"/>
      <c r="BYJ96"/>
      <c r="BYK96"/>
      <c r="BYL96"/>
      <c r="BYM96"/>
      <c r="BYN96"/>
      <c r="BYO96"/>
      <c r="BYP96"/>
      <c r="BYQ96"/>
      <c r="BYR96"/>
      <c r="BYS96"/>
      <c r="BYT96"/>
      <c r="BYU96"/>
      <c r="BYV96"/>
      <c r="BYW96"/>
      <c r="BYX96"/>
      <c r="BYY96"/>
      <c r="BYZ96"/>
      <c r="BZA96"/>
      <c r="BZB96"/>
      <c r="BZC96"/>
      <c r="BZD96"/>
      <c r="BZE96"/>
      <c r="BZF96"/>
      <c r="BZG96"/>
      <c r="BZH96"/>
      <c r="BZI96"/>
      <c r="BZJ96"/>
      <c r="BZK96"/>
      <c r="BZL96"/>
      <c r="BZM96"/>
      <c r="BZN96"/>
      <c r="BZO96"/>
      <c r="BZP96"/>
      <c r="BZQ96"/>
      <c r="BZR96"/>
      <c r="BZS96"/>
      <c r="BZT96"/>
      <c r="BZU96"/>
      <c r="BZV96"/>
      <c r="BZW96"/>
      <c r="BZX96"/>
      <c r="BZY96"/>
      <c r="BZZ96"/>
      <c r="CAA96"/>
      <c r="CAB96"/>
      <c r="CAC96"/>
      <c r="CAD96"/>
      <c r="CAE96"/>
      <c r="CAF96"/>
      <c r="CAG96"/>
      <c r="CAH96"/>
      <c r="CAI96"/>
      <c r="CAJ96"/>
      <c r="CAK96"/>
      <c r="CAL96"/>
      <c r="CAM96"/>
      <c r="CAN96"/>
      <c r="CAO96"/>
      <c r="CAP96"/>
      <c r="CAQ96"/>
      <c r="CAR96"/>
      <c r="CAS96"/>
      <c r="CAT96"/>
      <c r="CAU96"/>
      <c r="CAV96"/>
      <c r="CAW96"/>
      <c r="CAX96"/>
      <c r="CAY96"/>
      <c r="CAZ96"/>
      <c r="CBA96"/>
      <c r="CBB96"/>
      <c r="CBC96"/>
      <c r="CBD96"/>
      <c r="CBE96"/>
      <c r="CBF96"/>
      <c r="CBG96"/>
      <c r="CBH96"/>
      <c r="CBI96"/>
      <c r="CBJ96"/>
      <c r="CBK96"/>
      <c r="CBL96"/>
      <c r="CBM96"/>
      <c r="CBN96"/>
      <c r="CBO96"/>
      <c r="CBP96"/>
      <c r="CBQ96"/>
      <c r="CBR96"/>
      <c r="CBS96"/>
      <c r="CBT96"/>
      <c r="CBU96"/>
      <c r="CBV96"/>
      <c r="CBW96"/>
      <c r="CBX96"/>
      <c r="CBY96"/>
      <c r="CBZ96"/>
      <c r="CCA96"/>
      <c r="CCB96"/>
      <c r="CCC96"/>
      <c r="CCD96"/>
      <c r="CCE96"/>
      <c r="CCF96"/>
      <c r="CCG96"/>
      <c r="CCH96"/>
      <c r="CCI96"/>
      <c r="CCJ96"/>
      <c r="CCK96"/>
      <c r="CCL96"/>
      <c r="CCM96"/>
      <c r="CCN96"/>
      <c r="CCO96"/>
      <c r="CCP96"/>
      <c r="CCQ96"/>
      <c r="CCR96"/>
      <c r="CCS96"/>
      <c r="CCT96"/>
      <c r="CCU96"/>
      <c r="CCV96"/>
      <c r="CCW96"/>
      <c r="CCX96"/>
      <c r="CCY96"/>
      <c r="CCZ96"/>
      <c r="CDA96"/>
      <c r="CDB96"/>
      <c r="CDC96"/>
      <c r="CDD96"/>
      <c r="CDE96"/>
      <c r="CDF96"/>
      <c r="CDG96"/>
      <c r="CDH96"/>
      <c r="CDI96"/>
      <c r="CDJ96"/>
      <c r="CDK96"/>
      <c r="CDL96"/>
      <c r="CDM96"/>
      <c r="CDN96"/>
      <c r="CDO96"/>
      <c r="CDP96"/>
      <c r="CDQ96"/>
      <c r="CDR96"/>
      <c r="CDS96"/>
      <c r="CDT96"/>
      <c r="CDU96"/>
      <c r="CDV96"/>
      <c r="CDW96"/>
      <c r="CDX96"/>
      <c r="CDY96"/>
      <c r="CDZ96"/>
      <c r="CEA96"/>
      <c r="CEB96"/>
      <c r="CEC96"/>
      <c r="CED96"/>
      <c r="CEE96"/>
      <c r="CEF96"/>
      <c r="CEG96"/>
      <c r="CEH96"/>
      <c r="CEI96"/>
      <c r="CEJ96"/>
      <c r="CEK96"/>
      <c r="CEL96"/>
      <c r="CEM96"/>
      <c r="CEN96"/>
      <c r="CEO96"/>
      <c r="CEP96"/>
      <c r="CEQ96"/>
      <c r="CER96"/>
      <c r="CES96"/>
      <c r="CET96"/>
      <c r="CEU96"/>
      <c r="CEV96"/>
      <c r="CEW96"/>
      <c r="CEX96"/>
      <c r="CEY96"/>
      <c r="CEZ96"/>
      <c r="CFA96"/>
      <c r="CFB96"/>
      <c r="CFC96"/>
      <c r="CFD96"/>
      <c r="CFE96"/>
      <c r="CFF96"/>
      <c r="CFG96"/>
      <c r="CFH96"/>
      <c r="CFI96"/>
      <c r="CFJ96"/>
      <c r="CFK96"/>
      <c r="CFL96"/>
      <c r="CFM96"/>
      <c r="CFN96"/>
      <c r="CFO96"/>
      <c r="CFP96"/>
      <c r="CFQ96"/>
      <c r="CFR96"/>
      <c r="CFS96"/>
      <c r="CFT96"/>
      <c r="CFU96"/>
      <c r="CFV96"/>
      <c r="CFW96"/>
      <c r="CFX96"/>
      <c r="CFY96"/>
      <c r="CFZ96"/>
      <c r="CGA96"/>
      <c r="CGB96"/>
      <c r="CGC96"/>
      <c r="CGD96"/>
      <c r="CGE96"/>
      <c r="CGF96"/>
      <c r="CGG96"/>
      <c r="CGH96"/>
      <c r="CGI96"/>
      <c r="CGJ96"/>
      <c r="CGK96"/>
      <c r="CGL96"/>
      <c r="CGM96"/>
      <c r="CGN96"/>
      <c r="CGO96"/>
      <c r="CGP96"/>
      <c r="CGQ96"/>
      <c r="CGR96"/>
      <c r="CGS96"/>
      <c r="CGT96"/>
      <c r="CGU96"/>
      <c r="CGV96"/>
      <c r="CGW96"/>
      <c r="CGX96"/>
      <c r="CGY96"/>
      <c r="CGZ96"/>
      <c r="CHA96"/>
      <c r="CHB96"/>
      <c r="CHC96"/>
      <c r="CHD96"/>
      <c r="CHE96"/>
      <c r="CHF96"/>
      <c r="CHG96"/>
      <c r="CHH96"/>
      <c r="CHI96"/>
      <c r="CHJ96"/>
      <c r="CHK96"/>
      <c r="CHL96"/>
      <c r="CHM96"/>
      <c r="CHN96"/>
      <c r="CHO96"/>
      <c r="CHP96"/>
      <c r="CHQ96"/>
      <c r="CHR96"/>
      <c r="CHS96"/>
      <c r="CHT96"/>
      <c r="CHU96"/>
      <c r="CHV96"/>
      <c r="CHW96"/>
      <c r="CHX96"/>
      <c r="CHY96"/>
      <c r="CHZ96"/>
      <c r="CIA96"/>
      <c r="CIB96"/>
      <c r="CIC96"/>
      <c r="CID96"/>
      <c r="CIE96"/>
      <c r="CIF96"/>
      <c r="CIG96"/>
      <c r="CIH96"/>
      <c r="CII96"/>
      <c r="CIJ96"/>
      <c r="CIK96"/>
      <c r="CIL96"/>
      <c r="CIM96"/>
      <c r="CIN96"/>
      <c r="CIO96"/>
      <c r="CIP96"/>
      <c r="CIQ96"/>
      <c r="CIR96"/>
      <c r="CIS96"/>
      <c r="CIT96"/>
      <c r="CIU96"/>
      <c r="CIV96"/>
      <c r="CIW96"/>
      <c r="CIX96"/>
      <c r="CIY96"/>
      <c r="CIZ96"/>
      <c r="CJA96"/>
      <c r="CJB96"/>
      <c r="CJC96"/>
      <c r="CJD96"/>
      <c r="CJE96"/>
      <c r="CJF96"/>
      <c r="CJG96"/>
      <c r="CJH96"/>
      <c r="CJI96"/>
      <c r="CJJ96"/>
      <c r="CJK96"/>
      <c r="CJL96"/>
      <c r="CJM96"/>
      <c r="CJN96"/>
      <c r="CJO96"/>
      <c r="CJP96"/>
      <c r="CJQ96"/>
      <c r="CJR96"/>
      <c r="CJS96"/>
      <c r="CJT96"/>
      <c r="CJU96"/>
      <c r="CJV96"/>
      <c r="CJW96"/>
      <c r="CJX96"/>
      <c r="CJY96"/>
      <c r="CJZ96"/>
      <c r="CKA96"/>
      <c r="CKB96"/>
      <c r="CKC96"/>
      <c r="CKD96"/>
      <c r="CKE96"/>
      <c r="CKF96"/>
      <c r="CKG96"/>
      <c r="CKH96"/>
      <c r="CKI96"/>
      <c r="CKJ96"/>
      <c r="CKK96"/>
      <c r="CKL96"/>
      <c r="CKM96"/>
      <c r="CKN96"/>
      <c r="CKO96"/>
      <c r="CKP96"/>
      <c r="CKQ96"/>
      <c r="CKR96"/>
      <c r="CKS96"/>
      <c r="CKT96"/>
      <c r="CKU96"/>
      <c r="CKV96"/>
      <c r="CKW96"/>
      <c r="CKX96"/>
      <c r="CKY96"/>
      <c r="CKZ96"/>
      <c r="CLA96"/>
      <c r="CLB96"/>
      <c r="CLC96"/>
      <c r="CLD96"/>
      <c r="CLE96"/>
      <c r="CLF96"/>
      <c r="CLG96"/>
      <c r="CLH96"/>
      <c r="CLI96"/>
      <c r="CLJ96"/>
      <c r="CLK96"/>
      <c r="CLL96"/>
      <c r="CLM96"/>
      <c r="CLN96"/>
      <c r="CLO96"/>
      <c r="CLP96"/>
      <c r="CLQ96"/>
      <c r="CLR96"/>
      <c r="CLS96"/>
      <c r="CLT96"/>
      <c r="CLU96"/>
      <c r="CLV96"/>
      <c r="CLW96"/>
      <c r="CLX96"/>
      <c r="CLY96"/>
      <c r="CLZ96"/>
      <c r="CMA96"/>
      <c r="CMB96"/>
      <c r="CMC96"/>
      <c r="CMD96"/>
      <c r="CME96"/>
      <c r="CMF96"/>
      <c r="CMG96"/>
      <c r="CMH96"/>
      <c r="CMI96"/>
      <c r="CMJ96"/>
      <c r="CMK96"/>
      <c r="CML96"/>
      <c r="CMM96"/>
      <c r="CMN96"/>
      <c r="CMO96"/>
      <c r="CMP96"/>
      <c r="CMQ96"/>
      <c r="CMR96"/>
      <c r="CMS96"/>
      <c r="CMT96"/>
      <c r="CMU96"/>
      <c r="CMV96"/>
      <c r="CMW96"/>
      <c r="CMX96"/>
      <c r="CMY96"/>
      <c r="CMZ96"/>
      <c r="CNA96"/>
      <c r="CNB96"/>
      <c r="CNC96"/>
      <c r="CND96"/>
      <c r="CNE96"/>
      <c r="CNF96"/>
      <c r="CNG96"/>
      <c r="CNH96"/>
      <c r="CNI96"/>
      <c r="CNJ96"/>
      <c r="CNK96"/>
      <c r="CNL96"/>
      <c r="CNM96"/>
      <c r="CNN96"/>
      <c r="CNO96"/>
      <c r="CNP96"/>
      <c r="CNQ96"/>
      <c r="CNR96"/>
      <c r="CNS96"/>
      <c r="CNT96"/>
      <c r="CNU96"/>
      <c r="CNV96"/>
      <c r="CNW96"/>
      <c r="CNX96"/>
      <c r="CNY96"/>
      <c r="CNZ96"/>
      <c r="COA96"/>
      <c r="COB96"/>
      <c r="COC96"/>
      <c r="COD96"/>
      <c r="COE96"/>
      <c r="COF96"/>
      <c r="COG96"/>
      <c r="COH96"/>
      <c r="COI96"/>
      <c r="COJ96"/>
      <c r="COK96"/>
      <c r="COL96"/>
      <c r="COM96"/>
      <c r="CON96"/>
      <c r="COO96"/>
      <c r="COP96"/>
      <c r="COQ96"/>
      <c r="COR96"/>
      <c r="COS96"/>
      <c r="COT96"/>
      <c r="COU96"/>
      <c r="COV96"/>
      <c r="COW96"/>
      <c r="COX96"/>
      <c r="COY96"/>
      <c r="COZ96"/>
      <c r="CPA96"/>
      <c r="CPB96"/>
      <c r="CPC96"/>
      <c r="CPD96"/>
      <c r="CPE96"/>
      <c r="CPF96"/>
      <c r="CPG96"/>
      <c r="CPH96"/>
      <c r="CPI96"/>
      <c r="CPJ96"/>
      <c r="CPK96"/>
      <c r="CPL96"/>
      <c r="CPM96"/>
      <c r="CPN96"/>
      <c r="CPO96"/>
      <c r="CPP96"/>
      <c r="CPQ96"/>
      <c r="CPR96"/>
      <c r="CPS96"/>
      <c r="CPT96"/>
      <c r="CPU96"/>
      <c r="CPV96"/>
      <c r="CPW96"/>
      <c r="CPX96"/>
      <c r="CPY96"/>
      <c r="CPZ96"/>
      <c r="CQA96"/>
      <c r="CQB96"/>
      <c r="CQC96"/>
      <c r="CQD96"/>
      <c r="CQE96"/>
      <c r="CQF96"/>
      <c r="CQG96"/>
      <c r="CQH96"/>
      <c r="CQI96"/>
      <c r="CQJ96"/>
      <c r="CQK96"/>
      <c r="CQL96"/>
      <c r="CQM96"/>
      <c r="CQN96"/>
      <c r="CQO96"/>
      <c r="CQP96"/>
      <c r="CQQ96"/>
      <c r="CQR96"/>
      <c r="CQS96"/>
      <c r="CQT96"/>
      <c r="CQU96"/>
      <c r="CQV96"/>
      <c r="CQW96"/>
      <c r="CQX96"/>
      <c r="CQY96"/>
      <c r="CQZ96"/>
      <c r="CRA96"/>
      <c r="CRB96"/>
      <c r="CRC96"/>
      <c r="CRD96"/>
      <c r="CRE96"/>
      <c r="CRF96"/>
      <c r="CRG96"/>
      <c r="CRH96"/>
      <c r="CRI96"/>
      <c r="CRJ96"/>
      <c r="CRK96"/>
      <c r="CRL96"/>
      <c r="CRM96"/>
      <c r="CRN96"/>
      <c r="CRO96"/>
      <c r="CRP96"/>
      <c r="CRQ96"/>
      <c r="CRR96"/>
      <c r="CRS96"/>
      <c r="CRT96"/>
      <c r="CRU96"/>
      <c r="CRV96"/>
      <c r="CRW96"/>
      <c r="CRX96"/>
      <c r="CRY96"/>
      <c r="CRZ96"/>
      <c r="CSA96"/>
      <c r="CSB96"/>
      <c r="CSC96"/>
      <c r="CSD96"/>
      <c r="CSE96"/>
      <c r="CSF96"/>
      <c r="CSG96"/>
      <c r="CSH96"/>
      <c r="CSI96"/>
      <c r="CSJ96"/>
      <c r="CSK96"/>
      <c r="CSL96"/>
      <c r="CSM96"/>
      <c r="CSN96"/>
      <c r="CSO96"/>
      <c r="CSP96"/>
      <c r="CSQ96"/>
      <c r="CSR96"/>
      <c r="CSS96"/>
      <c r="CST96"/>
      <c r="CSU96"/>
      <c r="CSV96"/>
      <c r="CSW96"/>
      <c r="CSX96"/>
      <c r="CSY96"/>
      <c r="CSZ96"/>
      <c r="CTA96"/>
      <c r="CTB96"/>
      <c r="CTC96"/>
      <c r="CTD96"/>
      <c r="CTE96"/>
      <c r="CTF96"/>
      <c r="CTG96"/>
      <c r="CTH96"/>
      <c r="CTI96"/>
      <c r="CTJ96"/>
      <c r="CTK96"/>
      <c r="CTL96"/>
      <c r="CTM96"/>
      <c r="CTN96"/>
      <c r="CTO96"/>
      <c r="CTP96"/>
      <c r="CTQ96"/>
      <c r="CTR96"/>
      <c r="CTS96"/>
      <c r="CTT96"/>
      <c r="CTU96"/>
      <c r="CTV96"/>
      <c r="CTW96"/>
      <c r="CTX96"/>
      <c r="CTY96"/>
      <c r="CTZ96"/>
      <c r="CUA96"/>
      <c r="CUB96"/>
      <c r="CUC96"/>
      <c r="CUD96"/>
      <c r="CUE96"/>
      <c r="CUF96"/>
      <c r="CUG96"/>
      <c r="CUH96"/>
      <c r="CUI96"/>
      <c r="CUJ96"/>
      <c r="CUK96"/>
      <c r="CUL96"/>
      <c r="CUM96"/>
      <c r="CUN96"/>
      <c r="CUO96"/>
      <c r="CUP96"/>
      <c r="CUQ96"/>
      <c r="CUR96"/>
      <c r="CUS96"/>
      <c r="CUT96"/>
      <c r="CUU96"/>
      <c r="CUV96"/>
      <c r="CUW96"/>
      <c r="CUX96"/>
      <c r="CUY96"/>
      <c r="CUZ96"/>
      <c r="CVA96"/>
      <c r="CVB96"/>
      <c r="CVC96"/>
      <c r="CVD96"/>
      <c r="CVE96"/>
      <c r="CVF96"/>
      <c r="CVG96"/>
      <c r="CVH96"/>
      <c r="CVI96"/>
      <c r="CVJ96"/>
      <c r="CVK96"/>
      <c r="CVL96"/>
      <c r="CVM96"/>
      <c r="CVN96"/>
      <c r="CVO96"/>
      <c r="CVP96"/>
      <c r="CVQ96"/>
      <c r="CVR96"/>
      <c r="CVS96"/>
      <c r="CVT96"/>
      <c r="CVU96"/>
      <c r="CVV96"/>
      <c r="CVW96"/>
      <c r="CVX96"/>
      <c r="CVY96"/>
      <c r="CVZ96"/>
      <c r="CWA96"/>
      <c r="CWB96"/>
      <c r="CWC96"/>
      <c r="CWD96"/>
      <c r="CWE96"/>
      <c r="CWF96"/>
      <c r="CWG96"/>
      <c r="CWH96"/>
      <c r="CWI96"/>
      <c r="CWJ96"/>
      <c r="CWK96"/>
      <c r="CWL96"/>
      <c r="CWM96"/>
      <c r="CWN96"/>
      <c r="CWO96"/>
      <c r="CWP96"/>
      <c r="CWQ96"/>
      <c r="CWR96"/>
      <c r="CWS96"/>
      <c r="CWT96"/>
      <c r="CWU96"/>
      <c r="CWV96"/>
      <c r="CWW96"/>
      <c r="CWX96"/>
      <c r="CWY96"/>
      <c r="CWZ96"/>
      <c r="CXA96"/>
      <c r="CXB96"/>
      <c r="CXC96"/>
      <c r="CXD96"/>
      <c r="CXE96"/>
      <c r="CXF96"/>
      <c r="CXG96"/>
      <c r="CXH96"/>
      <c r="CXI96"/>
      <c r="CXJ96"/>
      <c r="CXK96"/>
      <c r="CXL96"/>
      <c r="CXM96"/>
      <c r="CXN96"/>
      <c r="CXO96"/>
      <c r="CXP96"/>
      <c r="CXQ96"/>
      <c r="CXR96"/>
      <c r="CXS96"/>
      <c r="CXT96"/>
      <c r="CXU96"/>
      <c r="CXV96"/>
      <c r="CXW96"/>
      <c r="CXX96"/>
      <c r="CXY96"/>
      <c r="CXZ96"/>
      <c r="CYA96"/>
      <c r="CYB96"/>
      <c r="CYC96"/>
      <c r="CYD96"/>
      <c r="CYE96"/>
      <c r="CYF96"/>
      <c r="CYG96"/>
      <c r="CYH96"/>
      <c r="CYI96"/>
      <c r="CYJ96"/>
      <c r="CYK96"/>
      <c r="CYL96"/>
      <c r="CYM96"/>
      <c r="CYN96"/>
      <c r="CYO96"/>
      <c r="CYP96"/>
      <c r="CYQ96"/>
      <c r="CYR96"/>
      <c r="CYS96"/>
      <c r="CYT96"/>
      <c r="CYU96"/>
      <c r="CYV96"/>
      <c r="CYW96"/>
      <c r="CYX96"/>
      <c r="CYY96"/>
      <c r="CYZ96"/>
      <c r="CZA96"/>
      <c r="CZB96"/>
      <c r="CZC96"/>
      <c r="CZD96"/>
      <c r="CZE96"/>
      <c r="CZF96"/>
      <c r="CZG96"/>
      <c r="CZH96"/>
      <c r="CZI96"/>
      <c r="CZJ96"/>
      <c r="CZK96"/>
      <c r="CZL96"/>
      <c r="CZM96"/>
      <c r="CZN96"/>
      <c r="CZO96"/>
      <c r="CZP96"/>
      <c r="CZQ96"/>
      <c r="CZR96"/>
      <c r="CZS96"/>
      <c r="CZT96"/>
      <c r="CZU96"/>
      <c r="CZV96"/>
      <c r="CZW96"/>
      <c r="CZX96"/>
      <c r="CZY96"/>
      <c r="CZZ96"/>
      <c r="DAA96"/>
      <c r="DAB96"/>
      <c r="DAC96"/>
      <c r="DAD96"/>
      <c r="DAE96"/>
      <c r="DAF96"/>
      <c r="DAG96"/>
      <c r="DAH96"/>
      <c r="DAI96"/>
      <c r="DAJ96"/>
      <c r="DAK96"/>
      <c r="DAL96"/>
      <c r="DAM96"/>
      <c r="DAN96"/>
      <c r="DAO96"/>
      <c r="DAP96"/>
      <c r="DAQ96"/>
      <c r="DAR96"/>
      <c r="DAS96"/>
      <c r="DAT96"/>
      <c r="DAU96"/>
      <c r="DAV96"/>
      <c r="DAW96"/>
      <c r="DAX96"/>
      <c r="DAY96"/>
      <c r="DAZ96"/>
      <c r="DBA96"/>
      <c r="DBB96"/>
      <c r="DBC96"/>
      <c r="DBD96"/>
      <c r="DBE96"/>
      <c r="DBF96"/>
      <c r="DBG96"/>
      <c r="DBH96"/>
      <c r="DBI96"/>
      <c r="DBJ96"/>
      <c r="DBK96"/>
      <c r="DBL96"/>
      <c r="DBM96"/>
      <c r="DBN96"/>
      <c r="DBO96"/>
      <c r="DBP96"/>
      <c r="DBQ96"/>
      <c r="DBR96"/>
      <c r="DBS96"/>
      <c r="DBT96"/>
      <c r="DBU96"/>
      <c r="DBV96"/>
      <c r="DBW96"/>
      <c r="DBX96"/>
      <c r="DBY96"/>
      <c r="DBZ96"/>
      <c r="DCA96"/>
      <c r="DCB96"/>
      <c r="DCC96"/>
      <c r="DCD96"/>
      <c r="DCE96"/>
      <c r="DCF96"/>
      <c r="DCG96"/>
      <c r="DCH96"/>
      <c r="DCI96"/>
      <c r="DCJ96"/>
      <c r="DCK96"/>
      <c r="DCL96"/>
      <c r="DCM96"/>
      <c r="DCN96"/>
      <c r="DCO96"/>
      <c r="DCP96"/>
      <c r="DCQ96"/>
      <c r="DCR96"/>
      <c r="DCS96"/>
      <c r="DCT96"/>
      <c r="DCU96"/>
      <c r="DCV96"/>
      <c r="DCW96"/>
      <c r="DCX96"/>
      <c r="DCY96"/>
      <c r="DCZ96"/>
      <c r="DDA96"/>
      <c r="DDB96"/>
      <c r="DDC96"/>
      <c r="DDD96"/>
      <c r="DDE96"/>
      <c r="DDF96"/>
      <c r="DDG96"/>
      <c r="DDH96"/>
      <c r="DDI96"/>
      <c r="DDJ96"/>
      <c r="DDK96"/>
      <c r="DDL96"/>
      <c r="DDM96"/>
      <c r="DDN96"/>
      <c r="DDO96"/>
      <c r="DDP96"/>
      <c r="DDQ96"/>
      <c r="DDR96"/>
      <c r="DDS96"/>
      <c r="DDT96"/>
      <c r="DDU96"/>
      <c r="DDV96"/>
      <c r="DDW96"/>
      <c r="DDX96"/>
      <c r="DDY96"/>
      <c r="DDZ96"/>
      <c r="DEA96"/>
      <c r="DEB96"/>
      <c r="DEC96"/>
      <c r="DED96"/>
      <c r="DEE96"/>
      <c r="DEF96"/>
      <c r="DEG96"/>
      <c r="DEH96"/>
      <c r="DEI96"/>
      <c r="DEJ96"/>
      <c r="DEK96"/>
      <c r="DEL96"/>
      <c r="DEM96"/>
      <c r="DEN96"/>
      <c r="DEO96"/>
      <c r="DEP96"/>
      <c r="DEQ96"/>
      <c r="DER96"/>
      <c r="DES96"/>
      <c r="DET96"/>
      <c r="DEU96"/>
      <c r="DEV96"/>
      <c r="DEW96"/>
      <c r="DEX96"/>
      <c r="DEY96"/>
      <c r="DEZ96"/>
      <c r="DFA96"/>
      <c r="DFB96"/>
      <c r="DFC96"/>
      <c r="DFD96"/>
      <c r="DFE96"/>
      <c r="DFF96"/>
      <c r="DFG96"/>
      <c r="DFH96"/>
      <c r="DFI96"/>
      <c r="DFJ96"/>
      <c r="DFK96"/>
      <c r="DFL96"/>
      <c r="DFM96"/>
      <c r="DFN96"/>
      <c r="DFO96"/>
      <c r="DFP96"/>
      <c r="DFQ96"/>
      <c r="DFR96"/>
      <c r="DFS96"/>
      <c r="DFT96"/>
      <c r="DFU96"/>
      <c r="DFV96"/>
      <c r="DFW96"/>
      <c r="DFX96"/>
      <c r="DFY96"/>
      <c r="DFZ96"/>
      <c r="DGA96"/>
      <c r="DGB96"/>
      <c r="DGC96"/>
      <c r="DGD96"/>
      <c r="DGE96"/>
      <c r="DGF96"/>
      <c r="DGG96"/>
      <c r="DGH96"/>
      <c r="DGI96"/>
      <c r="DGJ96"/>
      <c r="DGK96"/>
      <c r="DGL96"/>
      <c r="DGM96"/>
      <c r="DGN96"/>
      <c r="DGO96"/>
      <c r="DGP96"/>
      <c r="DGQ96"/>
      <c r="DGR96"/>
      <c r="DGS96"/>
      <c r="DGT96"/>
      <c r="DGU96"/>
      <c r="DGV96"/>
      <c r="DGW96"/>
      <c r="DGX96"/>
      <c r="DGY96"/>
      <c r="DGZ96"/>
      <c r="DHA96"/>
      <c r="DHB96"/>
      <c r="DHC96"/>
      <c r="DHD96"/>
      <c r="DHE96"/>
      <c r="DHF96"/>
      <c r="DHG96"/>
      <c r="DHH96"/>
      <c r="DHI96"/>
      <c r="DHJ96"/>
      <c r="DHK96"/>
      <c r="DHL96"/>
      <c r="DHM96"/>
      <c r="DHN96"/>
      <c r="DHO96"/>
      <c r="DHP96"/>
      <c r="DHQ96"/>
      <c r="DHR96"/>
      <c r="DHS96"/>
      <c r="DHT96"/>
      <c r="DHU96"/>
      <c r="DHV96"/>
      <c r="DHW96"/>
      <c r="DHX96"/>
      <c r="DHY96"/>
      <c r="DHZ96"/>
      <c r="DIA96"/>
      <c r="DIB96"/>
      <c r="DIC96"/>
      <c r="DID96"/>
      <c r="DIE96"/>
      <c r="DIF96"/>
      <c r="DIG96"/>
      <c r="DIH96"/>
      <c r="DII96"/>
      <c r="DIJ96"/>
      <c r="DIK96"/>
      <c r="DIL96"/>
      <c r="DIM96"/>
      <c r="DIN96"/>
      <c r="DIO96"/>
      <c r="DIP96"/>
      <c r="DIQ96"/>
      <c r="DIR96"/>
      <c r="DIS96"/>
      <c r="DIT96"/>
      <c r="DIU96"/>
      <c r="DIV96"/>
      <c r="DIW96"/>
      <c r="DIX96"/>
      <c r="DIY96"/>
      <c r="DIZ96"/>
      <c r="DJA96"/>
      <c r="DJB96"/>
      <c r="DJC96"/>
      <c r="DJD96"/>
      <c r="DJE96"/>
      <c r="DJF96"/>
      <c r="DJG96"/>
      <c r="DJH96"/>
      <c r="DJI96"/>
      <c r="DJJ96"/>
      <c r="DJK96"/>
      <c r="DJL96"/>
      <c r="DJM96"/>
      <c r="DJN96"/>
      <c r="DJO96"/>
      <c r="DJP96"/>
      <c r="DJQ96"/>
      <c r="DJR96"/>
      <c r="DJS96"/>
      <c r="DJT96"/>
      <c r="DJU96"/>
      <c r="DJV96"/>
      <c r="DJW96"/>
      <c r="DJX96"/>
      <c r="DJY96"/>
      <c r="DJZ96"/>
      <c r="DKA96"/>
      <c r="DKB96"/>
      <c r="DKC96"/>
      <c r="DKD96"/>
      <c r="DKE96"/>
      <c r="DKF96"/>
      <c r="DKG96"/>
      <c r="DKH96"/>
      <c r="DKI96"/>
      <c r="DKJ96"/>
      <c r="DKK96"/>
      <c r="DKL96"/>
      <c r="DKM96"/>
      <c r="DKN96"/>
      <c r="DKO96"/>
      <c r="DKP96"/>
      <c r="DKQ96"/>
      <c r="DKR96"/>
      <c r="DKS96"/>
      <c r="DKT96"/>
      <c r="DKU96"/>
      <c r="DKV96"/>
      <c r="DKW96"/>
      <c r="DKX96"/>
      <c r="DKY96"/>
      <c r="DKZ96"/>
      <c r="DLA96"/>
      <c r="DLB96"/>
      <c r="DLC96"/>
      <c r="DLD96"/>
      <c r="DLE96"/>
      <c r="DLF96"/>
      <c r="DLG96"/>
      <c r="DLH96"/>
      <c r="DLI96"/>
      <c r="DLJ96"/>
      <c r="DLK96"/>
      <c r="DLL96"/>
      <c r="DLM96"/>
      <c r="DLN96"/>
      <c r="DLO96"/>
      <c r="DLP96"/>
      <c r="DLQ96"/>
      <c r="DLR96"/>
      <c r="DLS96"/>
      <c r="DLT96"/>
      <c r="DLU96"/>
      <c r="DLV96"/>
      <c r="DLW96"/>
      <c r="DLX96"/>
      <c r="DLY96"/>
      <c r="DLZ96"/>
      <c r="DMA96"/>
      <c r="DMB96"/>
      <c r="DMC96"/>
      <c r="DMD96"/>
      <c r="DME96"/>
      <c r="DMF96"/>
      <c r="DMG96"/>
      <c r="DMH96"/>
      <c r="DMI96"/>
      <c r="DMJ96"/>
      <c r="DMK96"/>
      <c r="DML96"/>
      <c r="DMM96"/>
      <c r="DMN96"/>
      <c r="DMO96"/>
      <c r="DMP96"/>
      <c r="DMQ96"/>
      <c r="DMR96"/>
      <c r="DMS96"/>
      <c r="DMT96"/>
      <c r="DMU96"/>
      <c r="DMV96"/>
      <c r="DMW96"/>
      <c r="DMX96"/>
      <c r="DMY96"/>
      <c r="DMZ96"/>
      <c r="DNA96"/>
      <c r="DNB96"/>
      <c r="DNC96"/>
      <c r="DND96"/>
      <c r="DNE96"/>
      <c r="DNF96"/>
      <c r="DNG96"/>
      <c r="DNH96"/>
      <c r="DNI96"/>
      <c r="DNJ96"/>
      <c r="DNK96"/>
      <c r="DNL96"/>
      <c r="DNM96"/>
      <c r="DNN96"/>
      <c r="DNO96"/>
      <c r="DNP96"/>
      <c r="DNQ96"/>
      <c r="DNR96"/>
      <c r="DNS96"/>
      <c r="DNT96"/>
      <c r="DNU96"/>
      <c r="DNV96"/>
      <c r="DNW96"/>
      <c r="DNX96"/>
      <c r="DNY96"/>
      <c r="DNZ96"/>
      <c r="DOA96"/>
      <c r="DOB96"/>
      <c r="DOC96"/>
      <c r="DOD96"/>
      <c r="DOE96"/>
      <c r="DOF96"/>
      <c r="DOG96"/>
      <c r="DOH96"/>
      <c r="DOI96"/>
      <c r="DOJ96"/>
      <c r="DOK96"/>
      <c r="DOL96"/>
      <c r="DOM96"/>
      <c r="DON96"/>
      <c r="DOO96"/>
      <c r="DOP96"/>
      <c r="DOQ96"/>
      <c r="DOR96"/>
      <c r="DOS96"/>
      <c r="DOT96"/>
      <c r="DOU96"/>
      <c r="DOV96"/>
      <c r="DOW96"/>
      <c r="DOX96"/>
      <c r="DOY96"/>
      <c r="DOZ96"/>
      <c r="DPA96"/>
      <c r="DPB96"/>
      <c r="DPC96"/>
      <c r="DPD96"/>
      <c r="DPE96"/>
      <c r="DPF96"/>
      <c r="DPG96"/>
      <c r="DPH96"/>
      <c r="DPI96"/>
      <c r="DPJ96"/>
      <c r="DPK96"/>
      <c r="DPL96"/>
      <c r="DPM96"/>
      <c r="DPN96"/>
      <c r="DPO96"/>
      <c r="DPP96"/>
      <c r="DPQ96"/>
      <c r="DPR96"/>
      <c r="DPS96"/>
      <c r="DPT96"/>
      <c r="DPU96"/>
      <c r="DPV96"/>
      <c r="DPW96"/>
      <c r="DPX96"/>
      <c r="DPY96"/>
      <c r="DPZ96"/>
      <c r="DQA96"/>
      <c r="DQB96"/>
      <c r="DQC96"/>
      <c r="DQD96"/>
      <c r="DQE96"/>
      <c r="DQF96"/>
      <c r="DQG96"/>
      <c r="DQH96"/>
      <c r="DQI96"/>
      <c r="DQJ96"/>
      <c r="DQK96"/>
      <c r="DQL96"/>
      <c r="DQM96"/>
      <c r="DQN96"/>
      <c r="DQO96"/>
      <c r="DQP96"/>
      <c r="DQQ96"/>
      <c r="DQR96"/>
      <c r="DQS96"/>
      <c r="DQT96"/>
      <c r="DQU96"/>
      <c r="DQV96"/>
      <c r="DQW96"/>
      <c r="DQX96"/>
      <c r="DQY96"/>
      <c r="DQZ96"/>
      <c r="DRA96"/>
      <c r="DRB96"/>
      <c r="DRC96"/>
      <c r="DRD96"/>
      <c r="DRE96"/>
      <c r="DRF96"/>
      <c r="DRG96"/>
      <c r="DRH96"/>
      <c r="DRI96"/>
      <c r="DRJ96"/>
      <c r="DRK96"/>
      <c r="DRL96"/>
      <c r="DRM96"/>
      <c r="DRN96"/>
      <c r="DRO96"/>
      <c r="DRP96"/>
      <c r="DRQ96"/>
      <c r="DRR96"/>
      <c r="DRS96"/>
      <c r="DRT96"/>
      <c r="DRU96"/>
      <c r="DRV96"/>
      <c r="DRW96"/>
      <c r="DRX96"/>
      <c r="DRY96"/>
      <c r="DRZ96"/>
      <c r="DSA96"/>
      <c r="DSB96"/>
      <c r="DSC96"/>
      <c r="DSD96"/>
      <c r="DSE96"/>
      <c r="DSF96"/>
      <c r="DSG96"/>
      <c r="DSH96"/>
      <c r="DSI96"/>
      <c r="DSJ96"/>
      <c r="DSK96"/>
      <c r="DSL96"/>
      <c r="DSM96"/>
      <c r="DSN96"/>
      <c r="DSO96"/>
      <c r="DSP96"/>
      <c r="DSQ96"/>
      <c r="DSR96"/>
      <c r="DSS96"/>
      <c r="DST96"/>
      <c r="DSU96"/>
      <c r="DSV96"/>
      <c r="DSW96"/>
      <c r="DSX96"/>
      <c r="DSY96"/>
      <c r="DSZ96"/>
      <c r="DTA96"/>
      <c r="DTB96"/>
      <c r="DTC96"/>
      <c r="DTD96"/>
      <c r="DTE96"/>
      <c r="DTF96"/>
      <c r="DTG96"/>
      <c r="DTH96"/>
      <c r="DTI96"/>
      <c r="DTJ96"/>
      <c r="DTK96"/>
      <c r="DTL96"/>
      <c r="DTM96"/>
      <c r="DTN96"/>
      <c r="DTO96"/>
      <c r="DTP96"/>
      <c r="DTQ96"/>
      <c r="DTR96"/>
      <c r="DTS96"/>
      <c r="DTT96"/>
      <c r="DTU96"/>
      <c r="DTV96"/>
      <c r="DTW96"/>
      <c r="DTX96"/>
      <c r="DTY96"/>
      <c r="DTZ96"/>
      <c r="DUA96"/>
      <c r="DUB96"/>
      <c r="DUC96"/>
      <c r="DUD96"/>
      <c r="DUE96"/>
      <c r="DUF96"/>
      <c r="DUG96"/>
      <c r="DUH96"/>
      <c r="DUI96"/>
      <c r="DUJ96"/>
      <c r="DUK96"/>
      <c r="DUL96"/>
      <c r="DUM96"/>
      <c r="DUN96"/>
      <c r="DUO96"/>
      <c r="DUP96"/>
      <c r="DUQ96"/>
      <c r="DUR96"/>
      <c r="DUS96"/>
      <c r="DUT96"/>
      <c r="DUU96"/>
      <c r="DUV96"/>
      <c r="DUW96"/>
      <c r="DUX96"/>
      <c r="DUY96"/>
      <c r="DUZ96"/>
      <c r="DVA96"/>
      <c r="DVB96"/>
      <c r="DVC96"/>
      <c r="DVD96"/>
      <c r="DVE96"/>
      <c r="DVF96"/>
      <c r="DVG96"/>
      <c r="DVH96"/>
      <c r="DVI96"/>
      <c r="DVJ96"/>
      <c r="DVK96"/>
      <c r="DVL96"/>
      <c r="DVM96"/>
      <c r="DVN96"/>
      <c r="DVO96"/>
      <c r="DVP96"/>
      <c r="DVQ96"/>
      <c r="DVR96"/>
      <c r="DVS96"/>
      <c r="DVT96"/>
      <c r="DVU96"/>
      <c r="DVV96"/>
      <c r="DVW96"/>
      <c r="DVX96"/>
      <c r="DVY96"/>
      <c r="DVZ96"/>
      <c r="DWA96"/>
      <c r="DWB96"/>
      <c r="DWC96"/>
      <c r="DWD96"/>
      <c r="DWE96"/>
      <c r="DWF96"/>
      <c r="DWG96"/>
      <c r="DWH96"/>
      <c r="DWI96"/>
      <c r="DWJ96"/>
      <c r="DWK96"/>
      <c r="DWL96"/>
      <c r="DWM96"/>
      <c r="DWN96"/>
      <c r="DWO96"/>
      <c r="DWP96"/>
      <c r="DWQ96"/>
      <c r="DWR96"/>
      <c r="DWS96"/>
      <c r="DWT96"/>
      <c r="DWU96"/>
      <c r="DWV96"/>
      <c r="DWW96"/>
      <c r="DWX96"/>
      <c r="DWY96"/>
      <c r="DWZ96"/>
      <c r="DXA96"/>
      <c r="DXB96"/>
      <c r="DXC96"/>
      <c r="DXD96"/>
      <c r="DXE96"/>
      <c r="DXF96"/>
      <c r="DXG96"/>
      <c r="DXH96"/>
      <c r="DXI96"/>
      <c r="DXJ96"/>
      <c r="DXK96"/>
      <c r="DXL96"/>
      <c r="DXM96"/>
      <c r="DXN96"/>
      <c r="DXO96"/>
      <c r="DXP96"/>
      <c r="DXQ96"/>
      <c r="DXR96"/>
      <c r="DXS96"/>
      <c r="DXT96"/>
      <c r="DXU96"/>
      <c r="DXV96"/>
      <c r="DXW96"/>
      <c r="DXX96"/>
      <c r="DXY96"/>
      <c r="DXZ96"/>
      <c r="DYA96"/>
      <c r="DYB96"/>
      <c r="DYC96"/>
      <c r="DYD96"/>
      <c r="DYE96"/>
      <c r="DYF96"/>
      <c r="DYG96"/>
      <c r="DYH96"/>
      <c r="DYI96"/>
      <c r="DYJ96"/>
      <c r="DYK96"/>
      <c r="DYL96"/>
      <c r="DYM96"/>
      <c r="DYN96"/>
      <c r="DYO96"/>
      <c r="DYP96"/>
      <c r="DYQ96"/>
      <c r="DYR96"/>
      <c r="DYS96"/>
      <c r="DYT96"/>
      <c r="DYU96"/>
      <c r="DYV96"/>
      <c r="DYW96"/>
      <c r="DYX96"/>
      <c r="DYY96"/>
      <c r="DYZ96"/>
      <c r="DZA96"/>
      <c r="DZB96"/>
      <c r="DZC96"/>
      <c r="DZD96"/>
      <c r="DZE96"/>
      <c r="DZF96"/>
      <c r="DZG96"/>
      <c r="DZH96"/>
      <c r="DZI96"/>
      <c r="DZJ96"/>
      <c r="DZK96"/>
      <c r="DZL96"/>
      <c r="DZM96"/>
      <c r="DZN96"/>
      <c r="DZO96"/>
      <c r="DZP96"/>
      <c r="DZQ96"/>
      <c r="DZR96"/>
      <c r="DZS96"/>
      <c r="DZT96"/>
      <c r="DZU96"/>
      <c r="DZV96"/>
      <c r="DZW96"/>
      <c r="DZX96"/>
      <c r="DZY96"/>
      <c r="DZZ96"/>
      <c r="EAA96"/>
      <c r="EAB96"/>
      <c r="EAC96"/>
      <c r="EAD96"/>
      <c r="EAE96"/>
      <c r="EAF96"/>
      <c r="EAG96"/>
      <c r="EAH96"/>
      <c r="EAI96"/>
      <c r="EAJ96"/>
      <c r="EAK96"/>
      <c r="EAL96"/>
      <c r="EAM96"/>
      <c r="EAN96"/>
      <c r="EAO96"/>
      <c r="EAP96"/>
      <c r="EAQ96"/>
      <c r="EAR96"/>
      <c r="EAS96"/>
      <c r="EAT96"/>
      <c r="EAU96"/>
      <c r="EAV96"/>
      <c r="EAW96"/>
      <c r="EAX96"/>
      <c r="EAY96"/>
      <c r="EAZ96"/>
      <c r="EBA96"/>
      <c r="EBB96"/>
      <c r="EBC96"/>
      <c r="EBD96"/>
      <c r="EBE96"/>
      <c r="EBF96"/>
      <c r="EBG96"/>
      <c r="EBH96"/>
      <c r="EBI96"/>
      <c r="EBJ96"/>
      <c r="EBK96"/>
      <c r="EBL96"/>
      <c r="EBM96"/>
      <c r="EBN96"/>
      <c r="EBO96"/>
      <c r="EBP96"/>
      <c r="EBQ96"/>
      <c r="EBR96"/>
      <c r="EBS96"/>
      <c r="EBT96"/>
      <c r="EBU96"/>
      <c r="EBV96"/>
      <c r="EBW96"/>
      <c r="EBX96"/>
      <c r="EBY96"/>
      <c r="EBZ96"/>
      <c r="ECA96"/>
      <c r="ECB96"/>
      <c r="ECC96"/>
      <c r="ECD96"/>
      <c r="ECE96"/>
      <c r="ECF96"/>
      <c r="ECG96"/>
      <c r="ECH96"/>
      <c r="ECI96"/>
      <c r="ECJ96"/>
      <c r="ECK96"/>
      <c r="ECL96"/>
      <c r="ECM96"/>
      <c r="ECN96"/>
      <c r="ECO96"/>
      <c r="ECP96"/>
      <c r="ECQ96"/>
      <c r="ECR96"/>
      <c r="ECS96"/>
      <c r="ECT96"/>
      <c r="ECU96"/>
      <c r="ECV96"/>
      <c r="ECW96"/>
      <c r="ECX96"/>
      <c r="ECY96"/>
      <c r="ECZ96"/>
      <c r="EDA96"/>
      <c r="EDB96"/>
      <c r="EDC96"/>
      <c r="EDD96"/>
      <c r="EDE96"/>
      <c r="EDF96"/>
      <c r="EDG96"/>
      <c r="EDH96"/>
      <c r="EDI96"/>
      <c r="EDJ96"/>
      <c r="EDK96"/>
      <c r="EDL96"/>
      <c r="EDM96"/>
      <c r="EDN96"/>
      <c r="EDO96"/>
      <c r="EDP96"/>
      <c r="EDQ96"/>
      <c r="EDR96"/>
      <c r="EDS96"/>
      <c r="EDT96"/>
      <c r="EDU96"/>
      <c r="EDV96"/>
      <c r="EDW96"/>
      <c r="EDX96"/>
      <c r="EDY96"/>
      <c r="EDZ96"/>
      <c r="EEA96"/>
      <c r="EEB96"/>
      <c r="EEC96"/>
      <c r="EED96"/>
      <c r="EEE96"/>
      <c r="EEF96"/>
      <c r="EEG96"/>
      <c r="EEH96"/>
      <c r="EEI96"/>
      <c r="EEJ96"/>
      <c r="EEK96"/>
      <c r="EEL96"/>
      <c r="EEM96"/>
      <c r="EEN96"/>
      <c r="EEO96"/>
      <c r="EEP96"/>
      <c r="EEQ96"/>
      <c r="EER96"/>
      <c r="EES96"/>
      <c r="EET96"/>
      <c r="EEU96"/>
      <c r="EEV96"/>
      <c r="EEW96"/>
      <c r="EEX96"/>
      <c r="EEY96"/>
      <c r="EEZ96"/>
      <c r="EFA96"/>
      <c r="EFB96"/>
      <c r="EFC96"/>
      <c r="EFD96"/>
      <c r="EFE96"/>
      <c r="EFF96"/>
      <c r="EFG96"/>
      <c r="EFH96"/>
      <c r="EFI96"/>
      <c r="EFJ96"/>
      <c r="EFK96"/>
      <c r="EFL96"/>
      <c r="EFM96"/>
      <c r="EFN96"/>
      <c r="EFO96"/>
      <c r="EFP96"/>
      <c r="EFQ96"/>
      <c r="EFR96"/>
      <c r="EFS96"/>
      <c r="EFT96"/>
      <c r="EFU96"/>
      <c r="EFV96"/>
      <c r="EFW96"/>
      <c r="EFX96"/>
      <c r="EFY96"/>
      <c r="EFZ96"/>
      <c r="EGA96"/>
      <c r="EGB96"/>
      <c r="EGC96"/>
      <c r="EGD96"/>
      <c r="EGE96"/>
      <c r="EGF96"/>
      <c r="EGG96"/>
      <c r="EGH96"/>
      <c r="EGI96"/>
      <c r="EGJ96"/>
      <c r="EGK96"/>
      <c r="EGL96"/>
      <c r="EGM96"/>
      <c r="EGN96"/>
      <c r="EGO96"/>
      <c r="EGP96"/>
      <c r="EGQ96"/>
      <c r="EGR96"/>
      <c r="EGS96"/>
      <c r="EGT96"/>
      <c r="EGU96"/>
      <c r="EGV96"/>
      <c r="EGW96"/>
      <c r="EGX96"/>
      <c r="EGY96"/>
      <c r="EGZ96"/>
      <c r="EHA96"/>
      <c r="EHB96"/>
      <c r="EHC96"/>
      <c r="EHD96"/>
      <c r="EHE96"/>
      <c r="EHF96"/>
      <c r="EHG96"/>
      <c r="EHH96"/>
      <c r="EHI96"/>
      <c r="EHJ96"/>
      <c r="EHK96"/>
      <c r="EHL96"/>
      <c r="EHM96"/>
      <c r="EHN96"/>
      <c r="EHO96"/>
      <c r="EHP96"/>
      <c r="EHQ96"/>
      <c r="EHR96"/>
      <c r="EHS96"/>
      <c r="EHT96"/>
      <c r="EHU96"/>
      <c r="EHV96"/>
      <c r="EHW96"/>
      <c r="EHX96"/>
      <c r="EHY96"/>
      <c r="EHZ96"/>
      <c r="EIA96"/>
      <c r="EIB96"/>
      <c r="EIC96"/>
      <c r="EID96"/>
      <c r="EIE96"/>
      <c r="EIF96"/>
      <c r="EIG96"/>
      <c r="EIH96"/>
      <c r="EII96"/>
      <c r="EIJ96"/>
      <c r="EIK96"/>
      <c r="EIL96"/>
      <c r="EIM96"/>
      <c r="EIN96"/>
      <c r="EIO96"/>
      <c r="EIP96"/>
      <c r="EIQ96"/>
      <c r="EIR96"/>
      <c r="EIS96"/>
      <c r="EIT96"/>
      <c r="EIU96"/>
      <c r="EIV96"/>
      <c r="EIW96"/>
      <c r="EIX96"/>
      <c r="EIY96"/>
      <c r="EIZ96"/>
      <c r="EJA96"/>
      <c r="EJB96"/>
      <c r="EJC96"/>
      <c r="EJD96"/>
      <c r="EJE96"/>
      <c r="EJF96"/>
      <c r="EJG96"/>
      <c r="EJH96"/>
      <c r="EJI96"/>
      <c r="EJJ96"/>
      <c r="EJK96"/>
      <c r="EJL96"/>
      <c r="EJM96"/>
      <c r="EJN96"/>
      <c r="EJO96"/>
      <c r="EJP96"/>
      <c r="EJQ96"/>
      <c r="EJR96"/>
      <c r="EJS96"/>
      <c r="EJT96"/>
      <c r="EJU96"/>
      <c r="EJV96"/>
      <c r="EJW96"/>
      <c r="EJX96"/>
      <c r="EJY96"/>
      <c r="EJZ96"/>
      <c r="EKA96"/>
      <c r="EKB96"/>
      <c r="EKC96"/>
      <c r="EKD96"/>
      <c r="EKE96"/>
      <c r="EKF96"/>
      <c r="EKG96"/>
      <c r="EKH96"/>
      <c r="EKI96"/>
      <c r="EKJ96"/>
      <c r="EKK96"/>
      <c r="EKL96"/>
      <c r="EKM96"/>
      <c r="EKN96"/>
      <c r="EKO96"/>
      <c r="EKP96"/>
      <c r="EKQ96"/>
      <c r="EKR96"/>
      <c r="EKS96"/>
      <c r="EKT96"/>
      <c r="EKU96"/>
      <c r="EKV96"/>
      <c r="EKW96"/>
      <c r="EKX96"/>
      <c r="EKY96"/>
      <c r="EKZ96"/>
      <c r="ELA96"/>
      <c r="ELB96"/>
      <c r="ELC96"/>
      <c r="ELD96"/>
      <c r="ELE96"/>
      <c r="ELF96"/>
      <c r="ELG96"/>
      <c r="ELH96"/>
      <c r="ELI96"/>
      <c r="ELJ96"/>
      <c r="ELK96"/>
      <c r="ELL96"/>
      <c r="ELM96"/>
      <c r="ELN96"/>
      <c r="ELO96"/>
      <c r="ELP96"/>
      <c r="ELQ96"/>
      <c r="ELR96"/>
      <c r="ELS96"/>
      <c r="ELT96"/>
      <c r="ELU96"/>
      <c r="ELV96"/>
      <c r="ELW96"/>
      <c r="ELX96"/>
      <c r="ELY96"/>
      <c r="ELZ96"/>
      <c r="EMA96"/>
      <c r="EMB96"/>
      <c r="EMC96"/>
      <c r="EMD96"/>
      <c r="EME96"/>
      <c r="EMF96"/>
      <c r="EMG96"/>
      <c r="EMH96"/>
      <c r="EMI96"/>
      <c r="EMJ96"/>
      <c r="EMK96"/>
      <c r="EML96"/>
      <c r="EMM96"/>
      <c r="EMN96"/>
      <c r="EMO96"/>
      <c r="EMP96"/>
      <c r="EMQ96"/>
      <c r="EMR96"/>
      <c r="EMS96"/>
      <c r="EMT96"/>
      <c r="EMU96"/>
      <c r="EMV96"/>
      <c r="EMW96"/>
      <c r="EMX96"/>
      <c r="EMY96"/>
      <c r="EMZ96"/>
      <c r="ENA96"/>
      <c r="ENB96"/>
      <c r="ENC96"/>
      <c r="END96"/>
      <c r="ENE96"/>
      <c r="ENF96"/>
      <c r="ENG96"/>
      <c r="ENH96"/>
      <c r="ENI96"/>
      <c r="ENJ96"/>
      <c r="ENK96"/>
      <c r="ENL96"/>
      <c r="ENM96"/>
      <c r="ENN96"/>
      <c r="ENO96"/>
      <c r="ENP96"/>
      <c r="ENQ96"/>
      <c r="ENR96"/>
      <c r="ENS96"/>
      <c r="ENT96"/>
      <c r="ENU96"/>
      <c r="ENV96"/>
      <c r="ENW96"/>
      <c r="ENX96"/>
      <c r="ENY96"/>
      <c r="ENZ96"/>
      <c r="EOA96"/>
      <c r="EOB96"/>
      <c r="EOC96"/>
      <c r="EOD96"/>
      <c r="EOE96"/>
      <c r="EOF96"/>
      <c r="EOG96"/>
      <c r="EOH96"/>
      <c r="EOI96"/>
      <c r="EOJ96"/>
      <c r="EOK96"/>
      <c r="EOL96"/>
      <c r="EOM96"/>
      <c r="EON96"/>
      <c r="EOO96"/>
      <c r="EOP96"/>
      <c r="EOQ96"/>
      <c r="EOR96"/>
      <c r="EOS96"/>
      <c r="EOT96"/>
      <c r="EOU96"/>
      <c r="EOV96"/>
      <c r="EOW96"/>
      <c r="EOX96"/>
      <c r="EOY96"/>
      <c r="EOZ96"/>
      <c r="EPA96"/>
      <c r="EPB96"/>
      <c r="EPC96"/>
      <c r="EPD96"/>
      <c r="EPE96"/>
      <c r="EPF96"/>
      <c r="EPG96"/>
      <c r="EPH96"/>
      <c r="EPI96"/>
      <c r="EPJ96"/>
      <c r="EPK96"/>
      <c r="EPL96"/>
      <c r="EPM96"/>
      <c r="EPN96"/>
      <c r="EPO96"/>
      <c r="EPP96"/>
      <c r="EPQ96"/>
      <c r="EPR96"/>
      <c r="EPS96"/>
      <c r="EPT96"/>
      <c r="EPU96"/>
      <c r="EPV96"/>
      <c r="EPW96"/>
      <c r="EPX96"/>
      <c r="EPY96"/>
      <c r="EPZ96"/>
      <c r="EQA96"/>
      <c r="EQB96"/>
      <c r="EQC96"/>
      <c r="EQD96"/>
      <c r="EQE96"/>
      <c r="EQF96"/>
      <c r="EQG96"/>
      <c r="EQH96"/>
      <c r="EQI96"/>
      <c r="EQJ96"/>
      <c r="EQK96"/>
      <c r="EQL96"/>
      <c r="EQM96"/>
      <c r="EQN96"/>
      <c r="EQO96"/>
      <c r="EQP96"/>
      <c r="EQQ96"/>
      <c r="EQR96"/>
      <c r="EQS96"/>
      <c r="EQT96"/>
      <c r="EQU96"/>
      <c r="EQV96"/>
      <c r="EQW96"/>
      <c r="EQX96"/>
      <c r="EQY96"/>
      <c r="EQZ96"/>
      <c r="ERA96"/>
      <c r="ERB96"/>
      <c r="ERC96"/>
      <c r="ERD96"/>
      <c r="ERE96"/>
      <c r="ERF96"/>
      <c r="ERG96"/>
      <c r="ERH96"/>
      <c r="ERI96"/>
      <c r="ERJ96"/>
      <c r="ERK96"/>
      <c r="ERL96"/>
      <c r="ERM96"/>
      <c r="ERN96"/>
      <c r="ERO96"/>
      <c r="ERP96"/>
      <c r="ERQ96"/>
      <c r="ERR96"/>
      <c r="ERS96"/>
      <c r="ERT96"/>
      <c r="ERU96"/>
      <c r="ERV96"/>
      <c r="ERW96"/>
      <c r="ERX96"/>
      <c r="ERY96"/>
      <c r="ERZ96"/>
      <c r="ESA96"/>
      <c r="ESB96"/>
      <c r="ESC96"/>
      <c r="ESD96"/>
      <c r="ESE96"/>
      <c r="ESF96"/>
      <c r="ESG96"/>
      <c r="ESH96"/>
      <c r="ESI96"/>
      <c r="ESJ96"/>
      <c r="ESK96"/>
      <c r="ESL96"/>
      <c r="ESM96"/>
      <c r="ESN96"/>
      <c r="ESO96"/>
      <c r="ESP96"/>
      <c r="ESQ96"/>
      <c r="ESR96"/>
      <c r="ESS96"/>
      <c r="EST96"/>
      <c r="ESU96"/>
      <c r="ESV96"/>
      <c r="ESW96"/>
      <c r="ESX96"/>
      <c r="ESY96"/>
      <c r="ESZ96"/>
      <c r="ETA96"/>
      <c r="ETB96"/>
      <c r="ETC96"/>
      <c r="ETD96"/>
      <c r="ETE96"/>
      <c r="ETF96"/>
      <c r="ETG96"/>
      <c r="ETH96"/>
      <c r="ETI96"/>
      <c r="ETJ96"/>
      <c r="ETK96"/>
      <c r="ETL96"/>
      <c r="ETM96"/>
      <c r="ETN96"/>
      <c r="ETO96"/>
      <c r="ETP96"/>
      <c r="ETQ96"/>
      <c r="ETR96"/>
      <c r="ETS96"/>
      <c r="ETT96"/>
      <c r="ETU96"/>
      <c r="ETV96"/>
      <c r="ETW96"/>
      <c r="ETX96"/>
      <c r="ETY96"/>
      <c r="ETZ96"/>
      <c r="EUA96"/>
      <c r="EUB96"/>
      <c r="EUC96"/>
      <c r="EUD96"/>
      <c r="EUE96"/>
      <c r="EUF96"/>
      <c r="EUG96"/>
      <c r="EUH96"/>
      <c r="EUI96"/>
      <c r="EUJ96"/>
      <c r="EUK96"/>
      <c r="EUL96"/>
      <c r="EUM96"/>
      <c r="EUN96"/>
      <c r="EUO96"/>
      <c r="EUP96"/>
      <c r="EUQ96"/>
      <c r="EUR96"/>
      <c r="EUS96"/>
      <c r="EUT96"/>
      <c r="EUU96"/>
      <c r="EUV96"/>
      <c r="EUW96"/>
      <c r="EUX96"/>
      <c r="EUY96"/>
      <c r="EUZ96"/>
      <c r="EVA96"/>
      <c r="EVB96"/>
      <c r="EVC96"/>
      <c r="EVD96"/>
      <c r="EVE96"/>
      <c r="EVF96"/>
      <c r="EVG96"/>
      <c r="EVH96"/>
      <c r="EVI96"/>
      <c r="EVJ96"/>
      <c r="EVK96"/>
      <c r="EVL96"/>
      <c r="EVM96"/>
      <c r="EVN96"/>
      <c r="EVO96"/>
      <c r="EVP96"/>
      <c r="EVQ96"/>
      <c r="EVR96"/>
      <c r="EVS96"/>
      <c r="EVT96"/>
      <c r="EVU96"/>
      <c r="EVV96"/>
      <c r="EVW96"/>
      <c r="EVX96"/>
      <c r="EVY96"/>
      <c r="EVZ96"/>
      <c r="EWA96"/>
      <c r="EWB96"/>
      <c r="EWC96"/>
      <c r="EWD96"/>
      <c r="EWE96"/>
      <c r="EWF96"/>
      <c r="EWG96"/>
      <c r="EWH96"/>
      <c r="EWI96"/>
      <c r="EWJ96"/>
      <c r="EWK96"/>
      <c r="EWL96"/>
      <c r="EWM96"/>
      <c r="EWN96"/>
      <c r="EWO96"/>
      <c r="EWP96"/>
      <c r="EWQ96"/>
      <c r="EWR96"/>
      <c r="EWS96"/>
      <c r="EWT96"/>
      <c r="EWU96"/>
      <c r="EWV96"/>
      <c r="EWW96"/>
      <c r="EWX96"/>
      <c r="EWY96"/>
      <c r="EWZ96"/>
      <c r="EXA96"/>
      <c r="EXB96"/>
      <c r="EXC96"/>
      <c r="EXD96"/>
      <c r="EXE96"/>
      <c r="EXF96"/>
      <c r="EXG96"/>
      <c r="EXH96"/>
      <c r="EXI96"/>
      <c r="EXJ96"/>
      <c r="EXK96"/>
      <c r="EXL96"/>
      <c r="EXM96"/>
      <c r="EXN96"/>
      <c r="EXO96"/>
      <c r="EXP96"/>
      <c r="EXQ96"/>
      <c r="EXR96"/>
      <c r="EXS96"/>
      <c r="EXT96"/>
      <c r="EXU96"/>
      <c r="EXV96"/>
      <c r="EXW96"/>
      <c r="EXX96"/>
      <c r="EXY96"/>
      <c r="EXZ96"/>
      <c r="EYA96"/>
      <c r="EYB96"/>
      <c r="EYC96"/>
      <c r="EYD96"/>
      <c r="EYE96"/>
      <c r="EYF96"/>
      <c r="EYG96"/>
      <c r="EYH96"/>
      <c r="EYI96"/>
      <c r="EYJ96"/>
      <c r="EYK96"/>
      <c r="EYL96"/>
      <c r="EYM96"/>
      <c r="EYN96"/>
      <c r="EYO96"/>
      <c r="EYP96"/>
      <c r="EYQ96"/>
      <c r="EYR96"/>
      <c r="EYS96"/>
      <c r="EYT96"/>
      <c r="EYU96"/>
      <c r="EYV96"/>
      <c r="EYW96"/>
      <c r="EYX96"/>
      <c r="EYY96"/>
      <c r="EYZ96"/>
      <c r="EZA96"/>
      <c r="EZB96"/>
      <c r="EZC96"/>
      <c r="EZD96"/>
      <c r="EZE96"/>
      <c r="EZF96"/>
      <c r="EZG96"/>
      <c r="EZH96"/>
      <c r="EZI96"/>
      <c r="EZJ96"/>
      <c r="EZK96"/>
      <c r="EZL96"/>
      <c r="EZM96"/>
      <c r="EZN96"/>
      <c r="EZO96"/>
      <c r="EZP96"/>
      <c r="EZQ96"/>
      <c r="EZR96"/>
      <c r="EZS96"/>
      <c r="EZT96"/>
      <c r="EZU96"/>
      <c r="EZV96"/>
      <c r="EZW96"/>
      <c r="EZX96"/>
      <c r="EZY96"/>
      <c r="EZZ96"/>
      <c r="FAA96"/>
      <c r="FAB96"/>
      <c r="FAC96"/>
      <c r="FAD96"/>
      <c r="FAE96"/>
      <c r="FAF96"/>
      <c r="FAG96"/>
      <c r="FAH96"/>
      <c r="FAI96"/>
      <c r="FAJ96"/>
      <c r="FAK96"/>
      <c r="FAL96"/>
      <c r="FAM96"/>
      <c r="FAN96"/>
      <c r="FAO96"/>
      <c r="FAP96"/>
      <c r="FAQ96"/>
      <c r="FAR96"/>
      <c r="FAS96"/>
      <c r="FAT96"/>
      <c r="FAU96"/>
      <c r="FAV96"/>
      <c r="FAW96"/>
      <c r="FAX96"/>
      <c r="FAY96"/>
      <c r="FAZ96"/>
      <c r="FBA96"/>
      <c r="FBB96"/>
      <c r="FBC96"/>
      <c r="FBD96"/>
      <c r="FBE96"/>
      <c r="FBF96"/>
      <c r="FBG96"/>
      <c r="FBH96"/>
      <c r="FBI96"/>
      <c r="FBJ96"/>
      <c r="FBK96"/>
      <c r="FBL96"/>
      <c r="FBM96"/>
      <c r="FBN96"/>
      <c r="FBO96"/>
      <c r="FBP96"/>
      <c r="FBQ96"/>
      <c r="FBR96"/>
      <c r="FBS96"/>
      <c r="FBT96"/>
      <c r="FBU96"/>
      <c r="FBV96"/>
      <c r="FBW96"/>
      <c r="FBX96"/>
      <c r="FBY96"/>
      <c r="FBZ96"/>
      <c r="FCA96"/>
      <c r="FCB96"/>
      <c r="FCC96"/>
      <c r="FCD96"/>
      <c r="FCE96"/>
      <c r="FCF96"/>
      <c r="FCG96"/>
      <c r="FCH96"/>
      <c r="FCI96"/>
      <c r="FCJ96"/>
      <c r="FCK96"/>
      <c r="FCL96"/>
      <c r="FCM96"/>
      <c r="FCN96"/>
      <c r="FCO96"/>
      <c r="FCP96"/>
      <c r="FCQ96"/>
      <c r="FCR96"/>
      <c r="FCS96"/>
      <c r="FCT96"/>
      <c r="FCU96"/>
      <c r="FCV96"/>
      <c r="FCW96"/>
      <c r="FCX96"/>
      <c r="FCY96"/>
      <c r="FCZ96"/>
      <c r="FDA96"/>
      <c r="FDB96"/>
      <c r="FDC96"/>
      <c r="FDD96"/>
      <c r="FDE96"/>
      <c r="FDF96"/>
      <c r="FDG96"/>
      <c r="FDH96"/>
      <c r="FDI96"/>
      <c r="FDJ96"/>
      <c r="FDK96"/>
      <c r="FDL96"/>
      <c r="FDM96"/>
      <c r="FDN96"/>
      <c r="FDO96"/>
      <c r="FDP96"/>
      <c r="FDQ96"/>
      <c r="FDR96"/>
      <c r="FDS96"/>
      <c r="FDT96"/>
      <c r="FDU96"/>
      <c r="FDV96"/>
      <c r="FDW96"/>
      <c r="FDX96"/>
      <c r="FDY96"/>
      <c r="FDZ96"/>
      <c r="FEA96"/>
      <c r="FEB96"/>
      <c r="FEC96"/>
      <c r="FED96"/>
      <c r="FEE96"/>
      <c r="FEF96"/>
      <c r="FEG96"/>
      <c r="FEH96"/>
      <c r="FEI96"/>
      <c r="FEJ96"/>
      <c r="FEK96"/>
      <c r="FEL96"/>
      <c r="FEM96"/>
      <c r="FEN96"/>
      <c r="FEO96"/>
      <c r="FEP96"/>
      <c r="FEQ96"/>
      <c r="FER96"/>
      <c r="FES96"/>
      <c r="FET96"/>
      <c r="FEU96"/>
      <c r="FEV96"/>
      <c r="FEW96"/>
      <c r="FEX96"/>
      <c r="FEY96"/>
      <c r="FEZ96"/>
      <c r="FFA96"/>
      <c r="FFB96"/>
      <c r="FFC96"/>
      <c r="FFD96"/>
      <c r="FFE96"/>
      <c r="FFF96"/>
      <c r="FFG96"/>
      <c r="FFH96"/>
      <c r="FFI96"/>
      <c r="FFJ96"/>
      <c r="FFK96"/>
      <c r="FFL96"/>
      <c r="FFM96"/>
      <c r="FFN96"/>
      <c r="FFO96"/>
      <c r="FFP96"/>
      <c r="FFQ96"/>
      <c r="FFR96"/>
      <c r="FFS96"/>
      <c r="FFT96"/>
      <c r="FFU96"/>
      <c r="FFV96"/>
      <c r="FFW96"/>
      <c r="FFX96"/>
      <c r="FFY96"/>
      <c r="FFZ96"/>
      <c r="FGA96"/>
      <c r="FGB96"/>
      <c r="FGC96"/>
      <c r="FGD96"/>
      <c r="FGE96"/>
      <c r="FGF96"/>
      <c r="FGG96"/>
      <c r="FGH96"/>
      <c r="FGI96"/>
      <c r="FGJ96"/>
      <c r="FGK96"/>
      <c r="FGL96"/>
      <c r="FGM96"/>
      <c r="FGN96"/>
      <c r="FGO96"/>
      <c r="FGP96"/>
      <c r="FGQ96"/>
      <c r="FGR96"/>
      <c r="FGS96"/>
      <c r="FGT96"/>
      <c r="FGU96"/>
      <c r="FGV96"/>
      <c r="FGW96"/>
      <c r="FGX96"/>
      <c r="FGY96"/>
      <c r="FGZ96"/>
      <c r="FHA96"/>
      <c r="FHB96"/>
      <c r="FHC96"/>
      <c r="FHD96"/>
      <c r="FHE96"/>
      <c r="FHF96"/>
      <c r="FHG96"/>
      <c r="FHH96"/>
      <c r="FHI96"/>
      <c r="FHJ96"/>
      <c r="FHK96"/>
      <c r="FHL96"/>
      <c r="FHM96"/>
      <c r="FHN96"/>
      <c r="FHO96"/>
      <c r="FHP96"/>
      <c r="FHQ96"/>
      <c r="FHR96"/>
      <c r="FHS96"/>
      <c r="FHT96"/>
      <c r="FHU96"/>
      <c r="FHV96"/>
      <c r="FHW96"/>
      <c r="FHX96"/>
      <c r="FHY96"/>
      <c r="FHZ96"/>
      <c r="FIA96"/>
      <c r="FIB96"/>
      <c r="FIC96"/>
      <c r="FID96"/>
      <c r="FIE96"/>
      <c r="FIF96"/>
      <c r="FIG96"/>
      <c r="FIH96"/>
      <c r="FII96"/>
      <c r="FIJ96"/>
      <c r="FIK96"/>
      <c r="FIL96"/>
      <c r="FIM96"/>
      <c r="FIN96"/>
      <c r="FIO96"/>
      <c r="FIP96"/>
      <c r="FIQ96"/>
      <c r="FIR96"/>
      <c r="FIS96"/>
      <c r="FIT96"/>
      <c r="FIU96"/>
      <c r="FIV96"/>
      <c r="FIW96"/>
      <c r="FIX96"/>
      <c r="FIY96"/>
      <c r="FIZ96"/>
      <c r="FJA96"/>
      <c r="FJB96"/>
      <c r="FJC96"/>
      <c r="FJD96"/>
      <c r="FJE96"/>
      <c r="FJF96"/>
      <c r="FJG96"/>
      <c r="FJH96"/>
      <c r="FJI96"/>
      <c r="FJJ96"/>
      <c r="FJK96"/>
      <c r="FJL96"/>
      <c r="FJM96"/>
      <c r="FJN96"/>
      <c r="FJO96"/>
      <c r="FJP96"/>
      <c r="FJQ96"/>
      <c r="FJR96"/>
      <c r="FJS96"/>
      <c r="FJT96"/>
      <c r="FJU96"/>
      <c r="FJV96"/>
      <c r="FJW96"/>
      <c r="FJX96"/>
      <c r="FJY96"/>
      <c r="FJZ96"/>
      <c r="FKA96"/>
      <c r="FKB96"/>
      <c r="FKC96"/>
      <c r="FKD96"/>
      <c r="FKE96"/>
      <c r="FKF96"/>
      <c r="FKG96"/>
      <c r="FKH96"/>
      <c r="FKI96"/>
      <c r="FKJ96"/>
      <c r="FKK96"/>
      <c r="FKL96"/>
      <c r="FKM96"/>
      <c r="FKN96"/>
      <c r="FKO96"/>
      <c r="FKP96"/>
      <c r="FKQ96"/>
      <c r="FKR96"/>
      <c r="FKS96"/>
      <c r="FKT96"/>
      <c r="FKU96"/>
      <c r="FKV96"/>
      <c r="FKW96"/>
      <c r="FKX96"/>
      <c r="FKY96"/>
      <c r="FKZ96"/>
      <c r="FLA96"/>
      <c r="FLB96"/>
      <c r="FLC96"/>
      <c r="FLD96"/>
      <c r="FLE96"/>
      <c r="FLF96"/>
      <c r="FLG96"/>
      <c r="FLH96"/>
      <c r="FLI96"/>
      <c r="FLJ96"/>
      <c r="FLK96"/>
      <c r="FLL96"/>
      <c r="FLM96"/>
      <c r="FLN96"/>
      <c r="FLO96"/>
      <c r="FLP96"/>
      <c r="FLQ96"/>
      <c r="FLR96"/>
      <c r="FLS96"/>
      <c r="FLT96"/>
      <c r="FLU96"/>
      <c r="FLV96"/>
      <c r="FLW96"/>
      <c r="FLX96"/>
      <c r="FLY96"/>
      <c r="FLZ96"/>
      <c r="FMA96"/>
      <c r="FMB96"/>
      <c r="FMC96"/>
      <c r="FMD96"/>
      <c r="FME96"/>
      <c r="FMF96"/>
      <c r="FMG96"/>
      <c r="FMH96"/>
      <c r="FMI96"/>
      <c r="FMJ96"/>
      <c r="FMK96"/>
      <c r="FML96"/>
      <c r="FMM96"/>
      <c r="FMN96"/>
      <c r="FMO96"/>
      <c r="FMP96"/>
      <c r="FMQ96"/>
      <c r="FMR96"/>
      <c r="FMS96"/>
      <c r="FMT96"/>
      <c r="FMU96"/>
      <c r="FMV96"/>
      <c r="FMW96"/>
      <c r="FMX96"/>
      <c r="FMY96"/>
      <c r="FMZ96"/>
      <c r="FNA96"/>
      <c r="FNB96"/>
      <c r="FNC96"/>
      <c r="FND96"/>
      <c r="FNE96"/>
      <c r="FNF96"/>
      <c r="FNG96"/>
      <c r="FNH96"/>
      <c r="FNI96"/>
      <c r="FNJ96"/>
      <c r="FNK96"/>
      <c r="FNL96"/>
      <c r="FNM96"/>
      <c r="FNN96"/>
      <c r="FNO96"/>
      <c r="FNP96"/>
      <c r="FNQ96"/>
      <c r="FNR96"/>
      <c r="FNS96"/>
      <c r="FNT96"/>
      <c r="FNU96"/>
      <c r="FNV96"/>
      <c r="FNW96"/>
      <c r="FNX96"/>
      <c r="FNY96"/>
      <c r="FNZ96"/>
      <c r="FOA96"/>
      <c r="FOB96"/>
      <c r="FOC96"/>
      <c r="FOD96"/>
      <c r="FOE96"/>
      <c r="FOF96"/>
      <c r="FOG96"/>
      <c r="FOH96"/>
      <c r="FOI96"/>
      <c r="FOJ96"/>
      <c r="FOK96"/>
      <c r="FOL96"/>
      <c r="FOM96"/>
      <c r="FON96"/>
      <c r="FOO96"/>
      <c r="FOP96"/>
      <c r="FOQ96"/>
      <c r="FOR96"/>
      <c r="FOS96"/>
      <c r="FOT96"/>
      <c r="FOU96"/>
      <c r="FOV96"/>
      <c r="FOW96"/>
      <c r="FOX96"/>
      <c r="FOY96"/>
      <c r="FOZ96"/>
      <c r="FPA96"/>
      <c r="FPB96"/>
      <c r="FPC96"/>
      <c r="FPD96"/>
      <c r="FPE96"/>
      <c r="FPF96"/>
      <c r="FPG96"/>
      <c r="FPH96"/>
      <c r="FPI96"/>
      <c r="FPJ96"/>
      <c r="FPK96"/>
      <c r="FPL96"/>
      <c r="FPM96"/>
      <c r="FPN96"/>
      <c r="FPO96"/>
      <c r="FPP96"/>
      <c r="FPQ96"/>
      <c r="FPR96"/>
      <c r="FPS96"/>
      <c r="FPT96"/>
      <c r="FPU96"/>
      <c r="FPV96"/>
      <c r="FPW96"/>
      <c r="FPX96"/>
      <c r="FPY96"/>
      <c r="FPZ96"/>
      <c r="FQA96"/>
      <c r="FQB96"/>
      <c r="FQC96"/>
      <c r="FQD96"/>
      <c r="FQE96"/>
      <c r="FQF96"/>
      <c r="FQG96"/>
      <c r="FQH96"/>
      <c r="FQI96"/>
      <c r="FQJ96"/>
      <c r="FQK96"/>
      <c r="FQL96"/>
      <c r="FQM96"/>
      <c r="FQN96"/>
      <c r="FQO96"/>
      <c r="FQP96"/>
      <c r="FQQ96"/>
      <c r="FQR96"/>
      <c r="FQS96"/>
      <c r="FQT96"/>
      <c r="FQU96"/>
      <c r="FQV96"/>
      <c r="FQW96"/>
      <c r="FQX96"/>
      <c r="FQY96"/>
      <c r="FQZ96"/>
      <c r="FRA96"/>
      <c r="FRB96"/>
      <c r="FRC96"/>
      <c r="FRD96"/>
      <c r="FRE96"/>
      <c r="FRF96"/>
      <c r="FRG96"/>
      <c r="FRH96"/>
      <c r="FRI96"/>
      <c r="FRJ96"/>
      <c r="FRK96"/>
      <c r="FRL96"/>
      <c r="FRM96"/>
      <c r="FRN96"/>
      <c r="FRO96"/>
      <c r="FRP96"/>
      <c r="FRQ96"/>
      <c r="FRR96"/>
      <c r="FRS96"/>
      <c r="FRT96"/>
      <c r="FRU96"/>
      <c r="FRV96"/>
      <c r="FRW96"/>
      <c r="FRX96"/>
      <c r="FRY96"/>
      <c r="FRZ96"/>
      <c r="FSA96"/>
      <c r="FSB96"/>
      <c r="FSC96"/>
      <c r="FSD96"/>
      <c r="FSE96"/>
      <c r="FSF96"/>
      <c r="FSG96"/>
      <c r="FSH96"/>
      <c r="FSI96"/>
      <c r="FSJ96"/>
      <c r="FSK96"/>
      <c r="FSL96"/>
      <c r="FSM96"/>
      <c r="FSN96"/>
      <c r="FSO96"/>
      <c r="FSP96"/>
      <c r="FSQ96"/>
      <c r="FSR96"/>
      <c r="FSS96"/>
      <c r="FST96"/>
      <c r="FSU96"/>
      <c r="FSV96"/>
      <c r="FSW96"/>
      <c r="FSX96"/>
      <c r="FSY96"/>
      <c r="FSZ96"/>
      <c r="FTA96"/>
      <c r="FTB96"/>
      <c r="FTC96"/>
      <c r="FTD96"/>
      <c r="FTE96"/>
      <c r="FTF96"/>
      <c r="FTG96"/>
      <c r="FTH96"/>
      <c r="FTI96"/>
      <c r="FTJ96"/>
      <c r="FTK96"/>
      <c r="FTL96"/>
      <c r="FTM96"/>
      <c r="FTN96"/>
      <c r="FTO96"/>
      <c r="FTP96"/>
      <c r="FTQ96"/>
      <c r="FTR96"/>
      <c r="FTS96"/>
      <c r="FTT96"/>
      <c r="FTU96"/>
      <c r="FTV96"/>
      <c r="FTW96"/>
      <c r="FTX96"/>
      <c r="FTY96"/>
      <c r="FTZ96"/>
      <c r="FUA96"/>
      <c r="FUB96"/>
      <c r="FUC96"/>
      <c r="FUD96"/>
      <c r="FUE96"/>
      <c r="FUF96"/>
      <c r="FUG96"/>
      <c r="FUH96"/>
      <c r="FUI96"/>
      <c r="FUJ96"/>
      <c r="FUK96"/>
      <c r="FUL96"/>
      <c r="FUM96"/>
      <c r="FUN96"/>
      <c r="FUO96"/>
      <c r="FUP96"/>
      <c r="FUQ96"/>
      <c r="FUR96"/>
      <c r="FUS96"/>
      <c r="FUT96"/>
      <c r="FUU96"/>
      <c r="FUV96"/>
      <c r="FUW96"/>
      <c r="FUX96"/>
      <c r="FUY96"/>
      <c r="FUZ96"/>
      <c r="FVA96"/>
      <c r="FVB96"/>
      <c r="FVC96"/>
      <c r="FVD96"/>
      <c r="FVE96"/>
      <c r="FVF96"/>
      <c r="FVG96"/>
      <c r="FVH96"/>
      <c r="FVI96"/>
      <c r="FVJ96"/>
      <c r="FVK96"/>
      <c r="FVL96"/>
      <c r="FVM96"/>
      <c r="FVN96"/>
      <c r="FVO96"/>
      <c r="FVP96"/>
      <c r="FVQ96"/>
      <c r="FVR96"/>
      <c r="FVS96"/>
      <c r="FVT96"/>
      <c r="FVU96"/>
      <c r="FVV96"/>
      <c r="FVW96"/>
      <c r="FVX96"/>
      <c r="FVY96"/>
      <c r="FVZ96"/>
      <c r="FWA96"/>
      <c r="FWB96"/>
      <c r="FWC96"/>
      <c r="FWD96"/>
      <c r="FWE96"/>
      <c r="FWF96"/>
      <c r="FWG96"/>
      <c r="FWH96"/>
      <c r="FWI96"/>
      <c r="FWJ96"/>
      <c r="FWK96"/>
      <c r="FWL96"/>
      <c r="FWM96"/>
      <c r="FWN96"/>
      <c r="FWO96"/>
      <c r="FWP96"/>
      <c r="FWQ96"/>
      <c r="FWR96"/>
      <c r="FWS96"/>
      <c r="FWT96"/>
      <c r="FWU96"/>
      <c r="FWV96"/>
      <c r="FWW96"/>
      <c r="FWX96"/>
      <c r="FWY96"/>
      <c r="FWZ96"/>
      <c r="FXA96"/>
      <c r="FXB96"/>
      <c r="FXC96"/>
      <c r="FXD96"/>
      <c r="FXE96"/>
      <c r="FXF96"/>
      <c r="FXG96"/>
      <c r="FXH96"/>
      <c r="FXI96"/>
      <c r="FXJ96"/>
      <c r="FXK96"/>
      <c r="FXL96"/>
      <c r="FXM96"/>
      <c r="FXN96"/>
      <c r="FXO96"/>
      <c r="FXP96"/>
      <c r="FXQ96"/>
      <c r="FXR96"/>
      <c r="FXS96"/>
      <c r="FXT96"/>
      <c r="FXU96"/>
      <c r="FXV96"/>
      <c r="FXW96"/>
      <c r="FXX96"/>
      <c r="FXY96"/>
      <c r="FXZ96"/>
      <c r="FYA96"/>
      <c r="FYB96"/>
      <c r="FYC96"/>
      <c r="FYD96"/>
      <c r="FYE96"/>
      <c r="FYF96"/>
      <c r="FYG96"/>
      <c r="FYH96"/>
      <c r="FYI96"/>
      <c r="FYJ96"/>
      <c r="FYK96"/>
      <c r="FYL96"/>
      <c r="FYM96"/>
      <c r="FYN96"/>
      <c r="FYO96"/>
      <c r="FYP96"/>
      <c r="FYQ96"/>
      <c r="FYR96"/>
      <c r="FYS96"/>
      <c r="FYT96"/>
      <c r="FYU96"/>
      <c r="FYV96"/>
      <c r="FYW96"/>
      <c r="FYX96"/>
      <c r="FYY96"/>
      <c r="FYZ96"/>
      <c r="FZA96"/>
      <c r="FZB96"/>
      <c r="FZC96"/>
      <c r="FZD96"/>
      <c r="FZE96"/>
      <c r="FZF96"/>
      <c r="FZG96"/>
      <c r="FZH96"/>
      <c r="FZI96"/>
      <c r="FZJ96"/>
      <c r="FZK96"/>
      <c r="FZL96"/>
      <c r="FZM96"/>
      <c r="FZN96"/>
      <c r="FZO96"/>
      <c r="FZP96"/>
      <c r="FZQ96"/>
      <c r="FZR96"/>
      <c r="FZS96"/>
      <c r="FZT96"/>
      <c r="FZU96"/>
      <c r="FZV96"/>
      <c r="FZW96"/>
      <c r="FZX96"/>
      <c r="FZY96"/>
      <c r="FZZ96"/>
      <c r="GAA96"/>
      <c r="GAB96"/>
      <c r="GAC96"/>
      <c r="GAD96"/>
      <c r="GAE96"/>
      <c r="GAF96"/>
      <c r="GAG96"/>
      <c r="GAH96"/>
      <c r="GAI96"/>
      <c r="GAJ96"/>
      <c r="GAK96"/>
      <c r="GAL96"/>
      <c r="GAM96"/>
      <c r="GAN96"/>
      <c r="GAO96"/>
      <c r="GAP96"/>
      <c r="GAQ96"/>
      <c r="GAR96"/>
      <c r="GAS96"/>
      <c r="GAT96"/>
      <c r="GAU96"/>
      <c r="GAV96"/>
      <c r="GAW96"/>
      <c r="GAX96"/>
      <c r="GAY96"/>
      <c r="GAZ96"/>
      <c r="GBA96"/>
      <c r="GBB96"/>
      <c r="GBC96"/>
      <c r="GBD96"/>
      <c r="GBE96"/>
      <c r="GBF96"/>
      <c r="GBG96"/>
      <c r="GBH96"/>
      <c r="GBI96"/>
      <c r="GBJ96"/>
      <c r="GBK96"/>
      <c r="GBL96"/>
      <c r="GBM96"/>
      <c r="GBN96"/>
      <c r="GBO96"/>
      <c r="GBP96"/>
      <c r="GBQ96"/>
      <c r="GBR96"/>
      <c r="GBS96"/>
      <c r="GBT96"/>
      <c r="GBU96"/>
      <c r="GBV96"/>
      <c r="GBW96"/>
      <c r="GBX96"/>
      <c r="GBY96"/>
      <c r="GBZ96"/>
      <c r="GCA96"/>
      <c r="GCB96"/>
      <c r="GCC96"/>
      <c r="GCD96"/>
      <c r="GCE96"/>
      <c r="GCF96"/>
      <c r="GCG96"/>
      <c r="GCH96"/>
      <c r="GCI96"/>
      <c r="GCJ96"/>
      <c r="GCK96"/>
      <c r="GCL96"/>
      <c r="GCM96"/>
      <c r="GCN96"/>
      <c r="GCO96"/>
      <c r="GCP96"/>
      <c r="GCQ96"/>
      <c r="GCR96"/>
      <c r="GCS96"/>
      <c r="GCT96"/>
      <c r="GCU96"/>
      <c r="GCV96"/>
      <c r="GCW96"/>
      <c r="GCX96"/>
      <c r="GCY96"/>
      <c r="GCZ96"/>
      <c r="GDA96"/>
      <c r="GDB96"/>
      <c r="GDC96"/>
      <c r="GDD96"/>
      <c r="GDE96"/>
      <c r="GDF96"/>
      <c r="GDG96"/>
      <c r="GDH96"/>
      <c r="GDI96"/>
      <c r="GDJ96"/>
      <c r="GDK96"/>
      <c r="GDL96"/>
      <c r="GDM96"/>
      <c r="GDN96"/>
      <c r="GDO96"/>
      <c r="GDP96"/>
      <c r="GDQ96"/>
      <c r="GDR96"/>
      <c r="GDS96"/>
      <c r="GDT96"/>
      <c r="GDU96"/>
      <c r="GDV96"/>
      <c r="GDW96"/>
      <c r="GDX96"/>
      <c r="GDY96"/>
      <c r="GDZ96"/>
      <c r="GEA96"/>
      <c r="GEB96"/>
      <c r="GEC96"/>
      <c r="GED96"/>
      <c r="GEE96"/>
      <c r="GEF96"/>
      <c r="GEG96"/>
      <c r="GEH96"/>
      <c r="GEI96"/>
      <c r="GEJ96"/>
      <c r="GEK96"/>
      <c r="GEL96"/>
      <c r="GEM96"/>
      <c r="GEN96"/>
      <c r="GEO96"/>
      <c r="GEP96"/>
      <c r="GEQ96"/>
      <c r="GER96"/>
      <c r="GES96"/>
      <c r="GET96"/>
      <c r="GEU96"/>
      <c r="GEV96"/>
      <c r="GEW96"/>
      <c r="GEX96"/>
      <c r="GEY96"/>
      <c r="GEZ96"/>
      <c r="GFA96"/>
      <c r="GFB96"/>
      <c r="GFC96"/>
      <c r="GFD96"/>
      <c r="GFE96"/>
      <c r="GFF96"/>
      <c r="GFG96"/>
      <c r="GFH96"/>
      <c r="GFI96"/>
      <c r="GFJ96"/>
      <c r="GFK96"/>
      <c r="GFL96"/>
      <c r="GFM96"/>
      <c r="GFN96"/>
      <c r="GFO96"/>
      <c r="GFP96"/>
      <c r="GFQ96"/>
      <c r="GFR96"/>
      <c r="GFS96"/>
      <c r="GFT96"/>
      <c r="GFU96"/>
      <c r="GFV96"/>
      <c r="GFW96"/>
      <c r="GFX96"/>
      <c r="GFY96"/>
      <c r="GFZ96"/>
      <c r="GGA96"/>
      <c r="GGB96"/>
      <c r="GGC96"/>
      <c r="GGD96"/>
      <c r="GGE96"/>
      <c r="GGF96"/>
      <c r="GGG96"/>
      <c r="GGH96"/>
      <c r="GGI96"/>
      <c r="GGJ96"/>
      <c r="GGK96"/>
      <c r="GGL96"/>
      <c r="GGM96"/>
      <c r="GGN96"/>
      <c r="GGO96"/>
      <c r="GGP96"/>
      <c r="GGQ96"/>
      <c r="GGR96"/>
      <c r="GGS96"/>
      <c r="GGT96"/>
      <c r="GGU96"/>
      <c r="GGV96"/>
      <c r="GGW96"/>
      <c r="GGX96"/>
      <c r="GGY96"/>
      <c r="GGZ96"/>
      <c r="GHA96"/>
      <c r="GHB96"/>
      <c r="GHC96"/>
      <c r="GHD96"/>
      <c r="GHE96"/>
      <c r="GHF96"/>
      <c r="GHG96"/>
      <c r="GHH96"/>
      <c r="GHI96"/>
      <c r="GHJ96"/>
      <c r="GHK96"/>
      <c r="GHL96"/>
      <c r="GHM96"/>
      <c r="GHN96"/>
      <c r="GHO96"/>
      <c r="GHP96"/>
      <c r="GHQ96"/>
      <c r="GHR96"/>
      <c r="GHS96"/>
      <c r="GHT96"/>
      <c r="GHU96"/>
      <c r="GHV96"/>
      <c r="GHW96"/>
      <c r="GHX96"/>
      <c r="GHY96"/>
      <c r="GHZ96"/>
      <c r="GIA96"/>
      <c r="GIB96"/>
      <c r="GIC96"/>
      <c r="GID96"/>
      <c r="GIE96"/>
      <c r="GIF96"/>
      <c r="GIG96"/>
      <c r="GIH96"/>
      <c r="GII96"/>
      <c r="GIJ96"/>
      <c r="GIK96"/>
      <c r="GIL96"/>
      <c r="GIM96"/>
      <c r="GIN96"/>
      <c r="GIO96"/>
      <c r="GIP96"/>
      <c r="GIQ96"/>
      <c r="GIR96"/>
      <c r="GIS96"/>
      <c r="GIT96"/>
      <c r="GIU96"/>
      <c r="GIV96"/>
      <c r="GIW96"/>
      <c r="GIX96"/>
      <c r="GIY96"/>
      <c r="GIZ96"/>
      <c r="GJA96"/>
      <c r="GJB96"/>
      <c r="GJC96"/>
      <c r="GJD96"/>
      <c r="GJE96"/>
      <c r="GJF96"/>
      <c r="GJG96"/>
      <c r="GJH96"/>
      <c r="GJI96"/>
      <c r="GJJ96"/>
      <c r="GJK96"/>
      <c r="GJL96"/>
      <c r="GJM96"/>
      <c r="GJN96"/>
      <c r="GJO96"/>
      <c r="GJP96"/>
      <c r="GJQ96"/>
      <c r="GJR96"/>
      <c r="GJS96"/>
      <c r="GJT96"/>
      <c r="GJU96"/>
      <c r="GJV96"/>
      <c r="GJW96"/>
      <c r="GJX96"/>
      <c r="GJY96"/>
      <c r="GJZ96"/>
      <c r="GKA96"/>
      <c r="GKB96"/>
      <c r="GKC96"/>
      <c r="GKD96"/>
      <c r="GKE96"/>
      <c r="GKF96"/>
      <c r="GKG96"/>
      <c r="GKH96"/>
      <c r="GKI96"/>
      <c r="GKJ96"/>
      <c r="GKK96"/>
      <c r="GKL96"/>
      <c r="GKM96"/>
      <c r="GKN96"/>
      <c r="GKO96"/>
      <c r="GKP96"/>
      <c r="GKQ96"/>
      <c r="GKR96"/>
      <c r="GKS96"/>
      <c r="GKT96"/>
      <c r="GKU96"/>
      <c r="GKV96"/>
      <c r="GKW96"/>
      <c r="GKX96"/>
      <c r="GKY96"/>
      <c r="GKZ96"/>
      <c r="GLA96"/>
      <c r="GLB96"/>
      <c r="GLC96"/>
      <c r="GLD96"/>
      <c r="GLE96"/>
      <c r="GLF96"/>
      <c r="GLG96"/>
      <c r="GLH96"/>
      <c r="GLI96"/>
      <c r="GLJ96"/>
      <c r="GLK96"/>
      <c r="GLL96"/>
      <c r="GLM96"/>
      <c r="GLN96"/>
      <c r="GLO96"/>
      <c r="GLP96"/>
      <c r="GLQ96"/>
      <c r="GLR96"/>
      <c r="GLS96"/>
      <c r="GLT96"/>
      <c r="GLU96"/>
      <c r="GLV96"/>
      <c r="GLW96"/>
      <c r="GLX96"/>
      <c r="GLY96"/>
      <c r="GLZ96"/>
      <c r="GMA96"/>
      <c r="GMB96"/>
      <c r="GMC96"/>
      <c r="GMD96"/>
      <c r="GME96"/>
      <c r="GMF96"/>
      <c r="GMG96"/>
      <c r="GMH96"/>
      <c r="GMI96"/>
      <c r="GMJ96"/>
      <c r="GMK96"/>
      <c r="GML96"/>
      <c r="GMM96"/>
      <c r="GMN96"/>
      <c r="GMO96"/>
      <c r="GMP96"/>
      <c r="GMQ96"/>
      <c r="GMR96"/>
      <c r="GMS96"/>
      <c r="GMT96"/>
      <c r="GMU96"/>
      <c r="GMV96"/>
      <c r="GMW96"/>
      <c r="GMX96"/>
      <c r="GMY96"/>
      <c r="GMZ96"/>
      <c r="GNA96"/>
      <c r="GNB96"/>
      <c r="GNC96"/>
      <c r="GND96"/>
      <c r="GNE96"/>
      <c r="GNF96"/>
      <c r="GNG96"/>
      <c r="GNH96"/>
      <c r="GNI96"/>
      <c r="GNJ96"/>
      <c r="GNK96"/>
      <c r="GNL96"/>
      <c r="GNM96"/>
      <c r="GNN96"/>
      <c r="GNO96"/>
      <c r="GNP96"/>
      <c r="GNQ96"/>
      <c r="GNR96"/>
      <c r="GNS96"/>
      <c r="GNT96"/>
      <c r="GNU96"/>
      <c r="GNV96"/>
      <c r="GNW96"/>
      <c r="GNX96"/>
      <c r="GNY96"/>
      <c r="GNZ96"/>
      <c r="GOA96"/>
      <c r="GOB96"/>
      <c r="GOC96"/>
      <c r="GOD96"/>
      <c r="GOE96"/>
      <c r="GOF96"/>
      <c r="GOG96"/>
      <c r="GOH96"/>
      <c r="GOI96"/>
      <c r="GOJ96"/>
      <c r="GOK96"/>
      <c r="GOL96"/>
      <c r="GOM96"/>
      <c r="GON96"/>
      <c r="GOO96"/>
      <c r="GOP96"/>
      <c r="GOQ96"/>
      <c r="GOR96"/>
      <c r="GOS96"/>
      <c r="GOT96"/>
      <c r="GOU96"/>
      <c r="GOV96"/>
      <c r="GOW96"/>
      <c r="GOX96"/>
      <c r="GOY96"/>
      <c r="GOZ96"/>
      <c r="GPA96"/>
      <c r="GPB96"/>
      <c r="GPC96"/>
      <c r="GPD96"/>
      <c r="GPE96"/>
      <c r="GPF96"/>
      <c r="GPG96"/>
      <c r="GPH96"/>
      <c r="GPI96"/>
      <c r="GPJ96"/>
      <c r="GPK96"/>
      <c r="GPL96"/>
      <c r="GPM96"/>
      <c r="GPN96"/>
      <c r="GPO96"/>
      <c r="GPP96"/>
      <c r="GPQ96"/>
      <c r="GPR96"/>
      <c r="GPS96"/>
      <c r="GPT96"/>
      <c r="GPU96"/>
      <c r="GPV96"/>
      <c r="GPW96"/>
      <c r="GPX96"/>
      <c r="GPY96"/>
      <c r="GPZ96"/>
      <c r="GQA96"/>
      <c r="GQB96"/>
      <c r="GQC96"/>
      <c r="GQD96"/>
      <c r="GQE96"/>
      <c r="GQF96"/>
      <c r="GQG96"/>
      <c r="GQH96"/>
      <c r="GQI96"/>
      <c r="GQJ96"/>
      <c r="GQK96"/>
      <c r="GQL96"/>
      <c r="GQM96"/>
      <c r="GQN96"/>
      <c r="GQO96"/>
      <c r="GQP96"/>
      <c r="GQQ96"/>
      <c r="GQR96"/>
      <c r="GQS96"/>
      <c r="GQT96"/>
      <c r="GQU96"/>
      <c r="GQV96"/>
      <c r="GQW96"/>
      <c r="GQX96"/>
      <c r="GQY96"/>
      <c r="GQZ96"/>
      <c r="GRA96"/>
      <c r="GRB96"/>
      <c r="GRC96"/>
      <c r="GRD96"/>
      <c r="GRE96"/>
      <c r="GRF96"/>
      <c r="GRG96"/>
      <c r="GRH96"/>
      <c r="GRI96"/>
      <c r="GRJ96"/>
      <c r="GRK96"/>
      <c r="GRL96"/>
      <c r="GRM96"/>
      <c r="GRN96"/>
      <c r="GRO96"/>
      <c r="GRP96"/>
      <c r="GRQ96"/>
      <c r="GRR96"/>
      <c r="GRS96"/>
      <c r="GRT96"/>
      <c r="GRU96"/>
      <c r="GRV96"/>
      <c r="GRW96"/>
      <c r="GRX96"/>
      <c r="GRY96"/>
      <c r="GRZ96"/>
      <c r="GSA96"/>
      <c r="GSB96"/>
      <c r="GSC96"/>
      <c r="GSD96"/>
      <c r="GSE96"/>
      <c r="GSF96"/>
      <c r="GSG96"/>
      <c r="GSH96"/>
      <c r="GSI96"/>
      <c r="GSJ96"/>
      <c r="GSK96"/>
      <c r="GSL96"/>
      <c r="GSM96"/>
      <c r="GSN96"/>
      <c r="GSO96"/>
      <c r="GSP96"/>
      <c r="GSQ96"/>
      <c r="GSR96"/>
      <c r="GSS96"/>
      <c r="GST96"/>
      <c r="GSU96"/>
      <c r="GSV96"/>
      <c r="GSW96"/>
      <c r="GSX96"/>
      <c r="GSY96"/>
      <c r="GSZ96"/>
      <c r="GTA96"/>
      <c r="GTB96"/>
      <c r="GTC96"/>
      <c r="GTD96"/>
      <c r="GTE96"/>
      <c r="GTF96"/>
      <c r="GTG96"/>
      <c r="GTH96"/>
      <c r="GTI96"/>
      <c r="GTJ96"/>
      <c r="GTK96"/>
      <c r="GTL96"/>
      <c r="GTM96"/>
      <c r="GTN96"/>
      <c r="GTO96"/>
      <c r="GTP96"/>
      <c r="GTQ96"/>
      <c r="GTR96"/>
      <c r="GTS96"/>
      <c r="GTT96"/>
      <c r="GTU96"/>
      <c r="GTV96"/>
      <c r="GTW96"/>
      <c r="GTX96"/>
      <c r="GTY96"/>
      <c r="GTZ96"/>
      <c r="GUA96"/>
      <c r="GUB96"/>
      <c r="GUC96"/>
      <c r="GUD96"/>
      <c r="GUE96"/>
      <c r="GUF96"/>
      <c r="GUG96"/>
      <c r="GUH96"/>
      <c r="GUI96"/>
      <c r="GUJ96"/>
      <c r="GUK96"/>
      <c r="GUL96"/>
      <c r="GUM96"/>
      <c r="GUN96"/>
      <c r="GUO96"/>
      <c r="GUP96"/>
      <c r="GUQ96"/>
      <c r="GUR96"/>
      <c r="GUS96"/>
      <c r="GUT96"/>
      <c r="GUU96"/>
      <c r="GUV96"/>
      <c r="GUW96"/>
      <c r="GUX96"/>
      <c r="GUY96"/>
      <c r="GUZ96"/>
      <c r="GVA96"/>
      <c r="GVB96"/>
      <c r="GVC96"/>
      <c r="GVD96"/>
      <c r="GVE96"/>
      <c r="GVF96"/>
      <c r="GVG96"/>
      <c r="GVH96"/>
      <c r="GVI96"/>
      <c r="GVJ96"/>
      <c r="GVK96"/>
      <c r="GVL96"/>
      <c r="GVM96"/>
      <c r="GVN96"/>
      <c r="GVO96"/>
      <c r="GVP96"/>
      <c r="GVQ96"/>
      <c r="GVR96"/>
      <c r="GVS96"/>
      <c r="GVT96"/>
      <c r="GVU96"/>
      <c r="GVV96"/>
      <c r="GVW96"/>
      <c r="GVX96"/>
      <c r="GVY96"/>
      <c r="GVZ96"/>
      <c r="GWA96"/>
      <c r="GWB96"/>
      <c r="GWC96"/>
      <c r="GWD96"/>
      <c r="GWE96"/>
      <c r="GWF96"/>
      <c r="GWG96"/>
      <c r="GWH96"/>
      <c r="GWI96"/>
      <c r="GWJ96"/>
      <c r="GWK96"/>
      <c r="GWL96"/>
      <c r="GWM96"/>
      <c r="GWN96"/>
      <c r="GWO96"/>
      <c r="GWP96"/>
      <c r="GWQ96"/>
      <c r="GWR96"/>
      <c r="GWS96"/>
      <c r="GWT96"/>
      <c r="GWU96"/>
      <c r="GWV96"/>
      <c r="GWW96"/>
      <c r="GWX96"/>
      <c r="GWY96"/>
      <c r="GWZ96"/>
      <c r="GXA96"/>
      <c r="GXB96"/>
      <c r="GXC96"/>
      <c r="GXD96"/>
      <c r="GXE96"/>
      <c r="GXF96"/>
      <c r="GXG96"/>
      <c r="GXH96"/>
      <c r="GXI96"/>
      <c r="GXJ96"/>
      <c r="GXK96"/>
      <c r="GXL96"/>
      <c r="GXM96"/>
      <c r="GXN96"/>
      <c r="GXO96"/>
      <c r="GXP96"/>
      <c r="GXQ96"/>
      <c r="GXR96"/>
      <c r="GXS96"/>
      <c r="GXT96"/>
      <c r="GXU96"/>
      <c r="GXV96"/>
      <c r="GXW96"/>
      <c r="GXX96"/>
      <c r="GXY96"/>
      <c r="GXZ96"/>
      <c r="GYA96"/>
      <c r="GYB96"/>
      <c r="GYC96"/>
      <c r="GYD96"/>
      <c r="GYE96"/>
      <c r="GYF96"/>
      <c r="GYG96"/>
      <c r="GYH96"/>
      <c r="GYI96"/>
      <c r="GYJ96"/>
      <c r="GYK96"/>
      <c r="GYL96"/>
      <c r="GYM96"/>
      <c r="GYN96"/>
      <c r="GYO96"/>
      <c r="GYP96"/>
      <c r="GYQ96"/>
      <c r="GYR96"/>
      <c r="GYS96"/>
      <c r="GYT96"/>
      <c r="GYU96"/>
      <c r="GYV96"/>
      <c r="GYW96"/>
      <c r="GYX96"/>
      <c r="GYY96"/>
      <c r="GYZ96"/>
      <c r="GZA96"/>
      <c r="GZB96"/>
      <c r="GZC96"/>
      <c r="GZD96"/>
      <c r="GZE96"/>
      <c r="GZF96"/>
      <c r="GZG96"/>
      <c r="GZH96"/>
      <c r="GZI96"/>
      <c r="GZJ96"/>
      <c r="GZK96"/>
      <c r="GZL96"/>
      <c r="GZM96"/>
      <c r="GZN96"/>
      <c r="GZO96"/>
      <c r="GZP96"/>
      <c r="GZQ96"/>
      <c r="GZR96"/>
      <c r="GZS96"/>
      <c r="GZT96"/>
      <c r="GZU96"/>
      <c r="GZV96"/>
      <c r="GZW96"/>
      <c r="GZX96"/>
      <c r="GZY96"/>
      <c r="GZZ96"/>
      <c r="HAA96"/>
      <c r="HAB96"/>
      <c r="HAC96"/>
      <c r="HAD96"/>
      <c r="HAE96"/>
      <c r="HAF96"/>
      <c r="HAG96"/>
      <c r="HAH96"/>
      <c r="HAI96"/>
      <c r="HAJ96"/>
      <c r="HAK96"/>
      <c r="HAL96"/>
      <c r="HAM96"/>
      <c r="HAN96"/>
      <c r="HAO96"/>
      <c r="HAP96"/>
      <c r="HAQ96"/>
      <c r="HAR96"/>
      <c r="HAS96"/>
      <c r="HAT96"/>
      <c r="HAU96"/>
      <c r="HAV96"/>
      <c r="HAW96"/>
      <c r="HAX96"/>
      <c r="HAY96"/>
      <c r="HAZ96"/>
      <c r="HBA96"/>
      <c r="HBB96"/>
      <c r="HBC96"/>
      <c r="HBD96"/>
      <c r="HBE96"/>
      <c r="HBF96"/>
      <c r="HBG96"/>
      <c r="HBH96"/>
      <c r="HBI96"/>
      <c r="HBJ96"/>
      <c r="HBK96"/>
      <c r="HBL96"/>
      <c r="HBM96"/>
      <c r="HBN96"/>
      <c r="HBO96"/>
      <c r="HBP96"/>
      <c r="HBQ96"/>
      <c r="HBR96"/>
      <c r="HBS96"/>
      <c r="HBT96"/>
      <c r="HBU96"/>
      <c r="HBV96"/>
      <c r="HBW96"/>
      <c r="HBX96"/>
      <c r="HBY96"/>
      <c r="HBZ96"/>
      <c r="HCA96"/>
      <c r="HCB96"/>
      <c r="HCC96"/>
      <c r="HCD96"/>
      <c r="HCE96"/>
      <c r="HCF96"/>
      <c r="HCG96"/>
      <c r="HCH96"/>
      <c r="HCI96"/>
      <c r="HCJ96"/>
      <c r="HCK96"/>
      <c r="HCL96"/>
      <c r="HCM96"/>
      <c r="HCN96"/>
      <c r="HCO96"/>
      <c r="HCP96"/>
      <c r="HCQ96"/>
      <c r="HCR96"/>
      <c r="HCS96"/>
      <c r="HCT96"/>
      <c r="HCU96"/>
      <c r="HCV96"/>
      <c r="HCW96"/>
      <c r="HCX96"/>
      <c r="HCY96"/>
      <c r="HCZ96"/>
      <c r="HDA96"/>
      <c r="HDB96"/>
      <c r="HDC96"/>
      <c r="HDD96"/>
      <c r="HDE96"/>
      <c r="HDF96"/>
      <c r="HDG96"/>
      <c r="HDH96"/>
      <c r="HDI96"/>
      <c r="HDJ96"/>
      <c r="HDK96"/>
      <c r="HDL96"/>
      <c r="HDM96"/>
      <c r="HDN96"/>
      <c r="HDO96"/>
      <c r="HDP96"/>
      <c r="HDQ96"/>
      <c r="HDR96"/>
      <c r="HDS96"/>
      <c r="HDT96"/>
      <c r="HDU96"/>
      <c r="HDV96"/>
      <c r="HDW96"/>
      <c r="HDX96"/>
      <c r="HDY96"/>
      <c r="HDZ96"/>
      <c r="HEA96"/>
      <c r="HEB96"/>
      <c r="HEC96"/>
      <c r="HED96"/>
      <c r="HEE96"/>
      <c r="HEF96"/>
      <c r="HEG96"/>
      <c r="HEH96"/>
      <c r="HEI96"/>
      <c r="HEJ96"/>
      <c r="HEK96"/>
      <c r="HEL96"/>
      <c r="HEM96"/>
      <c r="HEN96"/>
      <c r="HEO96"/>
      <c r="HEP96"/>
      <c r="HEQ96"/>
      <c r="HER96"/>
      <c r="HES96"/>
      <c r="HET96"/>
      <c r="HEU96"/>
      <c r="HEV96"/>
      <c r="HEW96"/>
      <c r="HEX96"/>
      <c r="HEY96"/>
      <c r="HEZ96"/>
      <c r="HFA96"/>
      <c r="HFB96"/>
      <c r="HFC96"/>
      <c r="HFD96"/>
      <c r="HFE96"/>
      <c r="HFF96"/>
      <c r="HFG96"/>
      <c r="HFH96"/>
      <c r="HFI96"/>
      <c r="HFJ96"/>
      <c r="HFK96"/>
      <c r="HFL96"/>
      <c r="HFM96"/>
      <c r="HFN96"/>
      <c r="HFO96"/>
      <c r="HFP96"/>
      <c r="HFQ96"/>
      <c r="HFR96"/>
      <c r="HFS96"/>
      <c r="HFT96"/>
      <c r="HFU96"/>
      <c r="HFV96"/>
      <c r="HFW96"/>
      <c r="HFX96"/>
      <c r="HFY96"/>
      <c r="HFZ96"/>
      <c r="HGA96"/>
      <c r="HGB96"/>
      <c r="HGC96"/>
      <c r="HGD96"/>
      <c r="HGE96"/>
      <c r="HGF96"/>
      <c r="HGG96"/>
      <c r="HGH96"/>
      <c r="HGI96"/>
      <c r="HGJ96"/>
      <c r="HGK96"/>
      <c r="HGL96"/>
      <c r="HGM96"/>
      <c r="HGN96"/>
      <c r="HGO96"/>
      <c r="HGP96"/>
      <c r="HGQ96"/>
      <c r="HGR96"/>
      <c r="HGS96"/>
      <c r="HGT96"/>
      <c r="HGU96"/>
      <c r="HGV96"/>
      <c r="HGW96"/>
      <c r="HGX96"/>
      <c r="HGY96"/>
      <c r="HGZ96"/>
      <c r="HHA96"/>
      <c r="HHB96"/>
      <c r="HHC96"/>
      <c r="HHD96"/>
      <c r="HHE96"/>
      <c r="HHF96"/>
      <c r="HHG96"/>
      <c r="HHH96"/>
      <c r="HHI96"/>
      <c r="HHJ96"/>
      <c r="HHK96"/>
      <c r="HHL96"/>
      <c r="HHM96"/>
      <c r="HHN96"/>
      <c r="HHO96"/>
      <c r="HHP96"/>
      <c r="HHQ96"/>
      <c r="HHR96"/>
      <c r="HHS96"/>
      <c r="HHT96"/>
      <c r="HHU96"/>
      <c r="HHV96"/>
      <c r="HHW96"/>
      <c r="HHX96"/>
      <c r="HHY96"/>
      <c r="HHZ96"/>
      <c r="HIA96"/>
      <c r="HIB96"/>
      <c r="HIC96"/>
      <c r="HID96"/>
      <c r="HIE96"/>
      <c r="HIF96"/>
      <c r="HIG96"/>
      <c r="HIH96"/>
      <c r="HII96"/>
      <c r="HIJ96"/>
      <c r="HIK96"/>
      <c r="HIL96"/>
      <c r="HIM96"/>
      <c r="HIN96"/>
      <c r="HIO96"/>
      <c r="HIP96"/>
      <c r="HIQ96"/>
      <c r="HIR96"/>
      <c r="HIS96"/>
      <c r="HIT96"/>
      <c r="HIU96"/>
      <c r="HIV96"/>
      <c r="HIW96"/>
      <c r="HIX96"/>
      <c r="HIY96"/>
      <c r="HIZ96"/>
      <c r="HJA96"/>
      <c r="HJB96"/>
      <c r="HJC96"/>
      <c r="HJD96"/>
      <c r="HJE96"/>
      <c r="HJF96"/>
      <c r="HJG96"/>
      <c r="HJH96"/>
      <c r="HJI96"/>
      <c r="HJJ96"/>
      <c r="HJK96"/>
      <c r="HJL96"/>
      <c r="HJM96"/>
      <c r="HJN96"/>
      <c r="HJO96"/>
      <c r="HJP96"/>
      <c r="HJQ96"/>
      <c r="HJR96"/>
      <c r="HJS96"/>
      <c r="HJT96"/>
      <c r="HJU96"/>
      <c r="HJV96"/>
      <c r="HJW96"/>
      <c r="HJX96"/>
      <c r="HJY96"/>
      <c r="HJZ96"/>
      <c r="HKA96"/>
      <c r="HKB96"/>
      <c r="HKC96"/>
      <c r="HKD96"/>
      <c r="HKE96"/>
      <c r="HKF96"/>
      <c r="HKG96"/>
      <c r="HKH96"/>
      <c r="HKI96"/>
      <c r="HKJ96"/>
      <c r="HKK96"/>
      <c r="HKL96"/>
      <c r="HKM96"/>
      <c r="HKN96"/>
      <c r="HKO96"/>
      <c r="HKP96"/>
      <c r="HKQ96"/>
      <c r="HKR96"/>
      <c r="HKS96"/>
      <c r="HKT96"/>
      <c r="HKU96"/>
      <c r="HKV96"/>
      <c r="HKW96"/>
      <c r="HKX96"/>
      <c r="HKY96"/>
      <c r="HKZ96"/>
      <c r="HLA96"/>
      <c r="HLB96"/>
      <c r="HLC96"/>
      <c r="HLD96"/>
      <c r="HLE96"/>
      <c r="HLF96"/>
      <c r="HLG96"/>
      <c r="HLH96"/>
      <c r="HLI96"/>
      <c r="HLJ96"/>
      <c r="HLK96"/>
      <c r="HLL96"/>
      <c r="HLM96"/>
      <c r="HLN96"/>
      <c r="HLO96"/>
      <c r="HLP96"/>
      <c r="HLQ96"/>
      <c r="HLR96"/>
      <c r="HLS96"/>
      <c r="HLT96"/>
      <c r="HLU96"/>
      <c r="HLV96"/>
      <c r="HLW96"/>
      <c r="HLX96"/>
      <c r="HLY96"/>
      <c r="HLZ96"/>
      <c r="HMA96"/>
      <c r="HMB96"/>
      <c r="HMC96"/>
      <c r="HMD96"/>
      <c r="HME96"/>
      <c r="HMF96"/>
      <c r="HMG96"/>
      <c r="HMH96"/>
      <c r="HMI96"/>
      <c r="HMJ96"/>
      <c r="HMK96"/>
      <c r="HML96"/>
      <c r="HMM96"/>
      <c r="HMN96"/>
      <c r="HMO96"/>
      <c r="HMP96"/>
      <c r="HMQ96"/>
      <c r="HMR96"/>
      <c r="HMS96"/>
      <c r="HMT96"/>
      <c r="HMU96"/>
      <c r="HMV96"/>
      <c r="HMW96"/>
      <c r="HMX96"/>
      <c r="HMY96"/>
      <c r="HMZ96"/>
      <c r="HNA96"/>
      <c r="HNB96"/>
      <c r="HNC96"/>
      <c r="HND96"/>
      <c r="HNE96"/>
      <c r="HNF96"/>
      <c r="HNG96"/>
      <c r="HNH96"/>
      <c r="HNI96"/>
      <c r="HNJ96"/>
      <c r="HNK96"/>
      <c r="HNL96"/>
      <c r="HNM96"/>
      <c r="HNN96"/>
      <c r="HNO96"/>
      <c r="HNP96"/>
      <c r="HNQ96"/>
      <c r="HNR96"/>
      <c r="HNS96"/>
      <c r="HNT96"/>
      <c r="HNU96"/>
      <c r="HNV96"/>
      <c r="HNW96"/>
      <c r="HNX96"/>
      <c r="HNY96"/>
      <c r="HNZ96"/>
      <c r="HOA96"/>
      <c r="HOB96"/>
      <c r="HOC96"/>
      <c r="HOD96"/>
      <c r="HOE96"/>
      <c r="HOF96"/>
      <c r="HOG96"/>
      <c r="HOH96"/>
      <c r="HOI96"/>
      <c r="HOJ96"/>
      <c r="HOK96"/>
      <c r="HOL96"/>
      <c r="HOM96"/>
      <c r="HON96"/>
      <c r="HOO96"/>
      <c r="HOP96"/>
      <c r="HOQ96"/>
      <c r="HOR96"/>
      <c r="HOS96"/>
      <c r="HOT96"/>
      <c r="HOU96"/>
      <c r="HOV96"/>
      <c r="HOW96"/>
      <c r="HOX96"/>
      <c r="HOY96"/>
      <c r="HOZ96"/>
      <c r="HPA96"/>
      <c r="HPB96"/>
      <c r="HPC96"/>
      <c r="HPD96"/>
      <c r="HPE96"/>
      <c r="HPF96"/>
      <c r="HPG96"/>
      <c r="HPH96"/>
      <c r="HPI96"/>
      <c r="HPJ96"/>
      <c r="HPK96"/>
      <c r="HPL96"/>
      <c r="HPM96"/>
      <c r="HPN96"/>
      <c r="HPO96"/>
      <c r="HPP96"/>
      <c r="HPQ96"/>
      <c r="HPR96"/>
      <c r="HPS96"/>
      <c r="HPT96"/>
      <c r="HPU96"/>
      <c r="HPV96"/>
      <c r="HPW96"/>
      <c r="HPX96"/>
      <c r="HPY96"/>
      <c r="HPZ96"/>
      <c r="HQA96"/>
      <c r="HQB96"/>
      <c r="HQC96"/>
      <c r="HQD96"/>
      <c r="HQE96"/>
      <c r="HQF96"/>
      <c r="HQG96"/>
      <c r="HQH96"/>
      <c r="HQI96"/>
      <c r="HQJ96"/>
      <c r="HQK96"/>
      <c r="HQL96"/>
      <c r="HQM96"/>
      <c r="HQN96"/>
      <c r="HQO96"/>
      <c r="HQP96"/>
      <c r="HQQ96"/>
      <c r="HQR96"/>
      <c r="HQS96"/>
      <c r="HQT96"/>
      <c r="HQU96"/>
      <c r="HQV96"/>
      <c r="HQW96"/>
      <c r="HQX96"/>
      <c r="HQY96"/>
      <c r="HQZ96"/>
      <c r="HRA96"/>
      <c r="HRB96"/>
      <c r="HRC96"/>
      <c r="HRD96"/>
      <c r="HRE96"/>
      <c r="HRF96"/>
      <c r="HRG96"/>
      <c r="HRH96"/>
      <c r="HRI96"/>
      <c r="HRJ96"/>
      <c r="HRK96"/>
      <c r="HRL96"/>
      <c r="HRM96"/>
      <c r="HRN96"/>
      <c r="HRO96"/>
      <c r="HRP96"/>
      <c r="HRQ96"/>
      <c r="HRR96"/>
      <c r="HRS96"/>
      <c r="HRT96"/>
      <c r="HRU96"/>
      <c r="HRV96"/>
      <c r="HRW96"/>
      <c r="HRX96"/>
      <c r="HRY96"/>
      <c r="HRZ96"/>
      <c r="HSA96"/>
      <c r="HSB96"/>
      <c r="HSC96"/>
      <c r="HSD96"/>
      <c r="HSE96"/>
      <c r="HSF96"/>
      <c r="HSG96"/>
      <c r="HSH96"/>
      <c r="HSI96"/>
      <c r="HSJ96"/>
      <c r="HSK96"/>
      <c r="HSL96"/>
      <c r="HSM96"/>
      <c r="HSN96"/>
      <c r="HSO96"/>
      <c r="HSP96"/>
      <c r="HSQ96"/>
      <c r="HSR96"/>
      <c r="HSS96"/>
      <c r="HST96"/>
      <c r="HSU96"/>
      <c r="HSV96"/>
      <c r="HSW96"/>
      <c r="HSX96"/>
      <c r="HSY96"/>
      <c r="HSZ96"/>
      <c r="HTA96"/>
      <c r="HTB96"/>
      <c r="HTC96"/>
      <c r="HTD96"/>
      <c r="HTE96"/>
      <c r="HTF96"/>
      <c r="HTG96"/>
      <c r="HTH96"/>
      <c r="HTI96"/>
      <c r="HTJ96"/>
      <c r="HTK96"/>
      <c r="HTL96"/>
      <c r="HTM96"/>
      <c r="HTN96"/>
      <c r="HTO96"/>
      <c r="HTP96"/>
      <c r="HTQ96"/>
      <c r="HTR96"/>
      <c r="HTS96"/>
      <c r="HTT96"/>
      <c r="HTU96"/>
      <c r="HTV96"/>
      <c r="HTW96"/>
      <c r="HTX96"/>
      <c r="HTY96"/>
      <c r="HTZ96"/>
      <c r="HUA96"/>
      <c r="HUB96"/>
      <c r="HUC96"/>
      <c r="HUD96"/>
      <c r="HUE96"/>
      <c r="HUF96"/>
      <c r="HUG96"/>
      <c r="HUH96"/>
      <c r="HUI96"/>
      <c r="HUJ96"/>
      <c r="HUK96"/>
      <c r="HUL96"/>
      <c r="HUM96"/>
      <c r="HUN96"/>
      <c r="HUO96"/>
      <c r="HUP96"/>
      <c r="HUQ96"/>
      <c r="HUR96"/>
      <c r="HUS96"/>
      <c r="HUT96"/>
      <c r="HUU96"/>
      <c r="HUV96"/>
      <c r="HUW96"/>
      <c r="HUX96"/>
      <c r="HUY96"/>
      <c r="HUZ96"/>
      <c r="HVA96"/>
      <c r="HVB96"/>
      <c r="HVC96"/>
      <c r="HVD96"/>
      <c r="HVE96"/>
      <c r="HVF96"/>
      <c r="HVG96"/>
      <c r="HVH96"/>
      <c r="HVI96"/>
      <c r="HVJ96"/>
      <c r="HVK96"/>
      <c r="HVL96"/>
      <c r="HVM96"/>
      <c r="HVN96"/>
      <c r="HVO96"/>
      <c r="HVP96"/>
      <c r="HVQ96"/>
      <c r="HVR96"/>
      <c r="HVS96"/>
      <c r="HVT96"/>
      <c r="HVU96"/>
      <c r="HVV96"/>
      <c r="HVW96"/>
      <c r="HVX96"/>
      <c r="HVY96"/>
      <c r="HVZ96"/>
      <c r="HWA96"/>
      <c r="HWB96"/>
      <c r="HWC96"/>
      <c r="HWD96"/>
      <c r="HWE96"/>
      <c r="HWF96"/>
      <c r="HWG96"/>
      <c r="HWH96"/>
      <c r="HWI96"/>
      <c r="HWJ96"/>
      <c r="HWK96"/>
      <c r="HWL96"/>
      <c r="HWM96"/>
      <c r="HWN96"/>
      <c r="HWO96"/>
      <c r="HWP96"/>
      <c r="HWQ96"/>
      <c r="HWR96"/>
      <c r="HWS96"/>
      <c r="HWT96"/>
      <c r="HWU96"/>
      <c r="HWV96"/>
      <c r="HWW96"/>
      <c r="HWX96"/>
      <c r="HWY96"/>
      <c r="HWZ96"/>
      <c r="HXA96"/>
      <c r="HXB96"/>
      <c r="HXC96"/>
      <c r="HXD96"/>
      <c r="HXE96"/>
      <c r="HXF96"/>
      <c r="HXG96"/>
      <c r="HXH96"/>
      <c r="HXI96"/>
      <c r="HXJ96"/>
      <c r="HXK96"/>
      <c r="HXL96"/>
      <c r="HXM96"/>
      <c r="HXN96"/>
      <c r="HXO96"/>
      <c r="HXP96"/>
      <c r="HXQ96"/>
      <c r="HXR96"/>
      <c r="HXS96"/>
      <c r="HXT96"/>
      <c r="HXU96"/>
      <c r="HXV96"/>
      <c r="HXW96"/>
      <c r="HXX96"/>
      <c r="HXY96"/>
      <c r="HXZ96"/>
      <c r="HYA96"/>
      <c r="HYB96"/>
      <c r="HYC96"/>
      <c r="HYD96"/>
      <c r="HYE96"/>
      <c r="HYF96"/>
      <c r="HYG96"/>
      <c r="HYH96"/>
      <c r="HYI96"/>
      <c r="HYJ96"/>
      <c r="HYK96"/>
      <c r="HYL96"/>
      <c r="HYM96"/>
      <c r="HYN96"/>
      <c r="HYO96"/>
      <c r="HYP96"/>
      <c r="HYQ96"/>
      <c r="HYR96"/>
      <c r="HYS96"/>
      <c r="HYT96"/>
      <c r="HYU96"/>
      <c r="HYV96"/>
      <c r="HYW96"/>
      <c r="HYX96"/>
      <c r="HYY96"/>
      <c r="HYZ96"/>
      <c r="HZA96"/>
      <c r="HZB96"/>
      <c r="HZC96"/>
      <c r="HZD96"/>
      <c r="HZE96"/>
      <c r="HZF96"/>
      <c r="HZG96"/>
      <c r="HZH96"/>
      <c r="HZI96"/>
      <c r="HZJ96"/>
      <c r="HZK96"/>
      <c r="HZL96"/>
      <c r="HZM96"/>
      <c r="HZN96"/>
      <c r="HZO96"/>
      <c r="HZP96"/>
      <c r="HZQ96"/>
      <c r="HZR96"/>
      <c r="HZS96"/>
      <c r="HZT96"/>
      <c r="HZU96"/>
      <c r="HZV96"/>
      <c r="HZW96"/>
      <c r="HZX96"/>
      <c r="HZY96"/>
      <c r="HZZ96"/>
      <c r="IAA96"/>
      <c r="IAB96"/>
      <c r="IAC96"/>
      <c r="IAD96"/>
      <c r="IAE96"/>
      <c r="IAF96"/>
      <c r="IAG96"/>
      <c r="IAH96"/>
      <c r="IAI96"/>
      <c r="IAJ96"/>
      <c r="IAK96"/>
      <c r="IAL96"/>
      <c r="IAM96"/>
      <c r="IAN96"/>
      <c r="IAO96"/>
      <c r="IAP96"/>
      <c r="IAQ96"/>
      <c r="IAR96"/>
      <c r="IAS96"/>
      <c r="IAT96"/>
      <c r="IAU96"/>
      <c r="IAV96"/>
      <c r="IAW96"/>
      <c r="IAX96"/>
      <c r="IAY96"/>
      <c r="IAZ96"/>
      <c r="IBA96"/>
      <c r="IBB96"/>
      <c r="IBC96"/>
      <c r="IBD96"/>
      <c r="IBE96"/>
      <c r="IBF96"/>
      <c r="IBG96"/>
      <c r="IBH96"/>
      <c r="IBI96"/>
      <c r="IBJ96"/>
      <c r="IBK96"/>
      <c r="IBL96"/>
      <c r="IBM96"/>
      <c r="IBN96"/>
      <c r="IBO96"/>
      <c r="IBP96"/>
      <c r="IBQ96"/>
      <c r="IBR96"/>
      <c r="IBS96"/>
      <c r="IBT96"/>
      <c r="IBU96"/>
      <c r="IBV96"/>
      <c r="IBW96"/>
      <c r="IBX96"/>
      <c r="IBY96"/>
      <c r="IBZ96"/>
      <c r="ICA96"/>
      <c r="ICB96"/>
      <c r="ICC96"/>
      <c r="ICD96"/>
      <c r="ICE96"/>
      <c r="ICF96"/>
      <c r="ICG96"/>
      <c r="ICH96"/>
      <c r="ICI96"/>
      <c r="ICJ96"/>
      <c r="ICK96"/>
      <c r="ICL96"/>
      <c r="ICM96"/>
      <c r="ICN96"/>
      <c r="ICO96"/>
      <c r="ICP96"/>
      <c r="ICQ96"/>
      <c r="ICR96"/>
      <c r="ICS96"/>
      <c r="ICT96"/>
      <c r="ICU96"/>
      <c r="ICV96"/>
      <c r="ICW96"/>
      <c r="ICX96"/>
      <c r="ICY96"/>
      <c r="ICZ96"/>
      <c r="IDA96"/>
      <c r="IDB96"/>
      <c r="IDC96"/>
      <c r="IDD96"/>
      <c r="IDE96"/>
      <c r="IDF96"/>
      <c r="IDG96"/>
      <c r="IDH96"/>
      <c r="IDI96"/>
      <c r="IDJ96"/>
      <c r="IDK96"/>
      <c r="IDL96"/>
      <c r="IDM96"/>
      <c r="IDN96"/>
      <c r="IDO96"/>
      <c r="IDP96"/>
      <c r="IDQ96"/>
      <c r="IDR96"/>
      <c r="IDS96"/>
      <c r="IDT96"/>
      <c r="IDU96"/>
      <c r="IDV96"/>
      <c r="IDW96"/>
      <c r="IDX96"/>
      <c r="IDY96"/>
      <c r="IDZ96"/>
      <c r="IEA96"/>
      <c r="IEB96"/>
      <c r="IEC96"/>
      <c r="IED96"/>
      <c r="IEE96"/>
      <c r="IEF96"/>
      <c r="IEG96"/>
      <c r="IEH96"/>
      <c r="IEI96"/>
      <c r="IEJ96"/>
      <c r="IEK96"/>
      <c r="IEL96"/>
      <c r="IEM96"/>
      <c r="IEN96"/>
      <c r="IEO96"/>
      <c r="IEP96"/>
      <c r="IEQ96"/>
      <c r="IER96"/>
      <c r="IES96"/>
      <c r="IET96"/>
      <c r="IEU96"/>
      <c r="IEV96"/>
      <c r="IEW96"/>
      <c r="IEX96"/>
      <c r="IEY96"/>
      <c r="IEZ96"/>
      <c r="IFA96"/>
      <c r="IFB96"/>
      <c r="IFC96"/>
      <c r="IFD96"/>
      <c r="IFE96"/>
      <c r="IFF96"/>
      <c r="IFG96"/>
      <c r="IFH96"/>
      <c r="IFI96"/>
      <c r="IFJ96"/>
      <c r="IFK96"/>
      <c r="IFL96"/>
      <c r="IFM96"/>
      <c r="IFN96"/>
      <c r="IFO96"/>
      <c r="IFP96"/>
      <c r="IFQ96"/>
      <c r="IFR96"/>
      <c r="IFS96"/>
      <c r="IFT96"/>
      <c r="IFU96"/>
      <c r="IFV96"/>
      <c r="IFW96"/>
      <c r="IFX96"/>
      <c r="IFY96"/>
      <c r="IFZ96"/>
      <c r="IGA96"/>
      <c r="IGB96"/>
      <c r="IGC96"/>
      <c r="IGD96"/>
      <c r="IGE96"/>
      <c r="IGF96"/>
      <c r="IGG96"/>
      <c r="IGH96"/>
      <c r="IGI96"/>
      <c r="IGJ96"/>
      <c r="IGK96"/>
      <c r="IGL96"/>
      <c r="IGM96"/>
      <c r="IGN96"/>
      <c r="IGO96"/>
      <c r="IGP96"/>
      <c r="IGQ96"/>
      <c r="IGR96"/>
      <c r="IGS96"/>
      <c r="IGT96"/>
      <c r="IGU96"/>
      <c r="IGV96"/>
      <c r="IGW96"/>
      <c r="IGX96"/>
      <c r="IGY96"/>
      <c r="IGZ96"/>
      <c r="IHA96"/>
      <c r="IHB96"/>
      <c r="IHC96"/>
      <c r="IHD96"/>
      <c r="IHE96"/>
      <c r="IHF96"/>
      <c r="IHG96"/>
      <c r="IHH96"/>
      <c r="IHI96"/>
      <c r="IHJ96"/>
      <c r="IHK96"/>
      <c r="IHL96"/>
      <c r="IHM96"/>
      <c r="IHN96"/>
      <c r="IHO96"/>
      <c r="IHP96"/>
      <c r="IHQ96"/>
      <c r="IHR96"/>
      <c r="IHS96"/>
      <c r="IHT96"/>
      <c r="IHU96"/>
      <c r="IHV96"/>
      <c r="IHW96"/>
      <c r="IHX96"/>
      <c r="IHY96"/>
      <c r="IHZ96"/>
      <c r="IIA96"/>
      <c r="IIB96"/>
      <c r="IIC96"/>
      <c r="IID96"/>
      <c r="IIE96"/>
      <c r="IIF96"/>
      <c r="IIG96"/>
      <c r="IIH96"/>
      <c r="III96"/>
      <c r="IIJ96"/>
      <c r="IIK96"/>
      <c r="IIL96"/>
      <c r="IIM96"/>
      <c r="IIN96"/>
      <c r="IIO96"/>
      <c r="IIP96"/>
      <c r="IIQ96"/>
      <c r="IIR96"/>
      <c r="IIS96"/>
      <c r="IIT96"/>
      <c r="IIU96"/>
      <c r="IIV96"/>
      <c r="IIW96"/>
      <c r="IIX96"/>
      <c r="IIY96"/>
      <c r="IIZ96"/>
      <c r="IJA96"/>
      <c r="IJB96"/>
      <c r="IJC96"/>
      <c r="IJD96"/>
      <c r="IJE96"/>
      <c r="IJF96"/>
      <c r="IJG96"/>
      <c r="IJH96"/>
      <c r="IJI96"/>
      <c r="IJJ96"/>
      <c r="IJK96"/>
      <c r="IJL96"/>
      <c r="IJM96"/>
      <c r="IJN96"/>
      <c r="IJO96"/>
      <c r="IJP96"/>
      <c r="IJQ96"/>
      <c r="IJR96"/>
      <c r="IJS96"/>
      <c r="IJT96"/>
      <c r="IJU96"/>
      <c r="IJV96"/>
      <c r="IJW96"/>
      <c r="IJX96"/>
      <c r="IJY96"/>
      <c r="IJZ96"/>
      <c r="IKA96"/>
      <c r="IKB96"/>
      <c r="IKC96"/>
      <c r="IKD96"/>
      <c r="IKE96"/>
      <c r="IKF96"/>
      <c r="IKG96"/>
      <c r="IKH96"/>
      <c r="IKI96"/>
      <c r="IKJ96"/>
      <c r="IKK96"/>
      <c r="IKL96"/>
      <c r="IKM96"/>
      <c r="IKN96"/>
      <c r="IKO96"/>
      <c r="IKP96"/>
      <c r="IKQ96"/>
      <c r="IKR96"/>
      <c r="IKS96"/>
      <c r="IKT96"/>
      <c r="IKU96"/>
      <c r="IKV96"/>
      <c r="IKW96"/>
      <c r="IKX96"/>
      <c r="IKY96"/>
      <c r="IKZ96"/>
      <c r="ILA96"/>
      <c r="ILB96"/>
      <c r="ILC96"/>
      <c r="ILD96"/>
      <c r="ILE96"/>
      <c r="ILF96"/>
      <c r="ILG96"/>
      <c r="ILH96"/>
      <c r="ILI96"/>
      <c r="ILJ96"/>
      <c r="ILK96"/>
      <c r="ILL96"/>
      <c r="ILM96"/>
      <c r="ILN96"/>
      <c r="ILO96"/>
      <c r="ILP96"/>
      <c r="ILQ96"/>
      <c r="ILR96"/>
      <c r="ILS96"/>
      <c r="ILT96"/>
      <c r="ILU96"/>
      <c r="ILV96"/>
      <c r="ILW96"/>
      <c r="ILX96"/>
      <c r="ILY96"/>
      <c r="ILZ96"/>
      <c r="IMA96"/>
      <c r="IMB96"/>
      <c r="IMC96"/>
      <c r="IMD96"/>
      <c r="IME96"/>
      <c r="IMF96"/>
      <c r="IMG96"/>
      <c r="IMH96"/>
      <c r="IMI96"/>
      <c r="IMJ96"/>
      <c r="IMK96"/>
      <c r="IML96"/>
      <c r="IMM96"/>
      <c r="IMN96"/>
      <c r="IMO96"/>
      <c r="IMP96"/>
      <c r="IMQ96"/>
      <c r="IMR96"/>
      <c r="IMS96"/>
      <c r="IMT96"/>
      <c r="IMU96"/>
      <c r="IMV96"/>
      <c r="IMW96"/>
      <c r="IMX96"/>
      <c r="IMY96"/>
      <c r="IMZ96"/>
      <c r="INA96"/>
      <c r="INB96"/>
      <c r="INC96"/>
      <c r="IND96"/>
      <c r="INE96"/>
      <c r="INF96"/>
      <c r="ING96"/>
      <c r="INH96"/>
      <c r="INI96"/>
      <c r="INJ96"/>
      <c r="INK96"/>
      <c r="INL96"/>
      <c r="INM96"/>
      <c r="INN96"/>
      <c r="INO96"/>
      <c r="INP96"/>
      <c r="INQ96"/>
      <c r="INR96"/>
      <c r="INS96"/>
      <c r="INT96"/>
      <c r="INU96"/>
      <c r="INV96"/>
      <c r="INW96"/>
      <c r="INX96"/>
      <c r="INY96"/>
      <c r="INZ96"/>
      <c r="IOA96"/>
      <c r="IOB96"/>
      <c r="IOC96"/>
      <c r="IOD96"/>
      <c r="IOE96"/>
      <c r="IOF96"/>
      <c r="IOG96"/>
      <c r="IOH96"/>
      <c r="IOI96"/>
      <c r="IOJ96"/>
      <c r="IOK96"/>
      <c r="IOL96"/>
      <c r="IOM96"/>
      <c r="ION96"/>
      <c r="IOO96"/>
      <c r="IOP96"/>
      <c r="IOQ96"/>
      <c r="IOR96"/>
      <c r="IOS96"/>
      <c r="IOT96"/>
      <c r="IOU96"/>
      <c r="IOV96"/>
      <c r="IOW96"/>
      <c r="IOX96"/>
      <c r="IOY96"/>
      <c r="IOZ96"/>
      <c r="IPA96"/>
      <c r="IPB96"/>
      <c r="IPC96"/>
      <c r="IPD96"/>
      <c r="IPE96"/>
      <c r="IPF96"/>
      <c r="IPG96"/>
      <c r="IPH96"/>
      <c r="IPI96"/>
      <c r="IPJ96"/>
      <c r="IPK96"/>
      <c r="IPL96"/>
      <c r="IPM96"/>
      <c r="IPN96"/>
      <c r="IPO96"/>
      <c r="IPP96"/>
      <c r="IPQ96"/>
      <c r="IPR96"/>
      <c r="IPS96"/>
      <c r="IPT96"/>
      <c r="IPU96"/>
      <c r="IPV96"/>
      <c r="IPW96"/>
      <c r="IPX96"/>
      <c r="IPY96"/>
      <c r="IPZ96"/>
      <c r="IQA96"/>
      <c r="IQB96"/>
      <c r="IQC96"/>
      <c r="IQD96"/>
      <c r="IQE96"/>
      <c r="IQF96"/>
      <c r="IQG96"/>
      <c r="IQH96"/>
      <c r="IQI96"/>
      <c r="IQJ96"/>
      <c r="IQK96"/>
      <c r="IQL96"/>
      <c r="IQM96"/>
      <c r="IQN96"/>
      <c r="IQO96"/>
      <c r="IQP96"/>
      <c r="IQQ96"/>
      <c r="IQR96"/>
      <c r="IQS96"/>
      <c r="IQT96"/>
      <c r="IQU96"/>
      <c r="IQV96"/>
      <c r="IQW96"/>
      <c r="IQX96"/>
      <c r="IQY96"/>
      <c r="IQZ96"/>
      <c r="IRA96"/>
      <c r="IRB96"/>
      <c r="IRC96"/>
      <c r="IRD96"/>
      <c r="IRE96"/>
      <c r="IRF96"/>
      <c r="IRG96"/>
      <c r="IRH96"/>
      <c r="IRI96"/>
      <c r="IRJ96"/>
      <c r="IRK96"/>
      <c r="IRL96"/>
      <c r="IRM96"/>
      <c r="IRN96"/>
      <c r="IRO96"/>
      <c r="IRP96"/>
      <c r="IRQ96"/>
      <c r="IRR96"/>
      <c r="IRS96"/>
      <c r="IRT96"/>
      <c r="IRU96"/>
      <c r="IRV96"/>
      <c r="IRW96"/>
      <c r="IRX96"/>
      <c r="IRY96"/>
      <c r="IRZ96"/>
      <c r="ISA96"/>
      <c r="ISB96"/>
      <c r="ISC96"/>
      <c r="ISD96"/>
      <c r="ISE96"/>
      <c r="ISF96"/>
      <c r="ISG96"/>
      <c r="ISH96"/>
      <c r="ISI96"/>
      <c r="ISJ96"/>
      <c r="ISK96"/>
      <c r="ISL96"/>
      <c r="ISM96"/>
      <c r="ISN96"/>
      <c r="ISO96"/>
      <c r="ISP96"/>
      <c r="ISQ96"/>
      <c r="ISR96"/>
      <c r="ISS96"/>
      <c r="IST96"/>
      <c r="ISU96"/>
      <c r="ISV96"/>
      <c r="ISW96"/>
      <c r="ISX96"/>
      <c r="ISY96"/>
      <c r="ISZ96"/>
      <c r="ITA96"/>
      <c r="ITB96"/>
      <c r="ITC96"/>
      <c r="ITD96"/>
      <c r="ITE96"/>
      <c r="ITF96"/>
      <c r="ITG96"/>
      <c r="ITH96"/>
      <c r="ITI96"/>
      <c r="ITJ96"/>
      <c r="ITK96"/>
      <c r="ITL96"/>
      <c r="ITM96"/>
      <c r="ITN96"/>
      <c r="ITO96"/>
      <c r="ITP96"/>
      <c r="ITQ96"/>
      <c r="ITR96"/>
      <c r="ITS96"/>
      <c r="ITT96"/>
      <c r="ITU96"/>
      <c r="ITV96"/>
      <c r="ITW96"/>
      <c r="ITX96"/>
      <c r="ITY96"/>
      <c r="ITZ96"/>
      <c r="IUA96"/>
      <c r="IUB96"/>
      <c r="IUC96"/>
      <c r="IUD96"/>
      <c r="IUE96"/>
      <c r="IUF96"/>
      <c r="IUG96"/>
      <c r="IUH96"/>
      <c r="IUI96"/>
      <c r="IUJ96"/>
      <c r="IUK96"/>
      <c r="IUL96"/>
      <c r="IUM96"/>
      <c r="IUN96"/>
      <c r="IUO96"/>
      <c r="IUP96"/>
      <c r="IUQ96"/>
      <c r="IUR96"/>
      <c r="IUS96"/>
      <c r="IUT96"/>
      <c r="IUU96"/>
      <c r="IUV96"/>
      <c r="IUW96"/>
      <c r="IUX96"/>
      <c r="IUY96"/>
      <c r="IUZ96"/>
      <c r="IVA96"/>
      <c r="IVB96"/>
      <c r="IVC96"/>
      <c r="IVD96"/>
      <c r="IVE96"/>
      <c r="IVF96"/>
      <c r="IVG96"/>
      <c r="IVH96"/>
      <c r="IVI96"/>
      <c r="IVJ96"/>
      <c r="IVK96"/>
      <c r="IVL96"/>
      <c r="IVM96"/>
      <c r="IVN96"/>
      <c r="IVO96"/>
      <c r="IVP96"/>
      <c r="IVQ96"/>
      <c r="IVR96"/>
      <c r="IVS96"/>
      <c r="IVT96"/>
      <c r="IVU96"/>
      <c r="IVV96"/>
      <c r="IVW96"/>
      <c r="IVX96"/>
      <c r="IVY96"/>
      <c r="IVZ96"/>
      <c r="IWA96"/>
      <c r="IWB96"/>
      <c r="IWC96"/>
      <c r="IWD96"/>
      <c r="IWE96"/>
      <c r="IWF96"/>
      <c r="IWG96"/>
      <c r="IWH96"/>
      <c r="IWI96"/>
      <c r="IWJ96"/>
      <c r="IWK96"/>
      <c r="IWL96"/>
      <c r="IWM96"/>
      <c r="IWN96"/>
      <c r="IWO96"/>
      <c r="IWP96"/>
      <c r="IWQ96"/>
      <c r="IWR96"/>
      <c r="IWS96"/>
      <c r="IWT96"/>
      <c r="IWU96"/>
      <c r="IWV96"/>
      <c r="IWW96"/>
      <c r="IWX96"/>
      <c r="IWY96"/>
      <c r="IWZ96"/>
      <c r="IXA96"/>
      <c r="IXB96"/>
      <c r="IXC96"/>
      <c r="IXD96"/>
      <c r="IXE96"/>
      <c r="IXF96"/>
      <c r="IXG96"/>
      <c r="IXH96"/>
      <c r="IXI96"/>
      <c r="IXJ96"/>
      <c r="IXK96"/>
      <c r="IXL96"/>
      <c r="IXM96"/>
      <c r="IXN96"/>
      <c r="IXO96"/>
      <c r="IXP96"/>
      <c r="IXQ96"/>
      <c r="IXR96"/>
      <c r="IXS96"/>
      <c r="IXT96"/>
      <c r="IXU96"/>
      <c r="IXV96"/>
      <c r="IXW96"/>
      <c r="IXX96"/>
      <c r="IXY96"/>
      <c r="IXZ96"/>
      <c r="IYA96"/>
      <c r="IYB96"/>
      <c r="IYC96"/>
      <c r="IYD96"/>
      <c r="IYE96"/>
      <c r="IYF96"/>
      <c r="IYG96"/>
      <c r="IYH96"/>
      <c r="IYI96"/>
      <c r="IYJ96"/>
      <c r="IYK96"/>
      <c r="IYL96"/>
      <c r="IYM96"/>
      <c r="IYN96"/>
      <c r="IYO96"/>
      <c r="IYP96"/>
      <c r="IYQ96"/>
      <c r="IYR96"/>
      <c r="IYS96"/>
      <c r="IYT96"/>
      <c r="IYU96"/>
      <c r="IYV96"/>
      <c r="IYW96"/>
      <c r="IYX96"/>
      <c r="IYY96"/>
      <c r="IYZ96"/>
      <c r="IZA96"/>
      <c r="IZB96"/>
      <c r="IZC96"/>
      <c r="IZD96"/>
      <c r="IZE96"/>
      <c r="IZF96"/>
      <c r="IZG96"/>
      <c r="IZH96"/>
      <c r="IZI96"/>
      <c r="IZJ96"/>
      <c r="IZK96"/>
      <c r="IZL96"/>
      <c r="IZM96"/>
      <c r="IZN96"/>
      <c r="IZO96"/>
      <c r="IZP96"/>
      <c r="IZQ96"/>
      <c r="IZR96"/>
      <c r="IZS96"/>
      <c r="IZT96"/>
      <c r="IZU96"/>
      <c r="IZV96"/>
      <c r="IZW96"/>
      <c r="IZX96"/>
      <c r="IZY96"/>
      <c r="IZZ96"/>
      <c r="JAA96"/>
      <c r="JAB96"/>
      <c r="JAC96"/>
      <c r="JAD96"/>
      <c r="JAE96"/>
      <c r="JAF96"/>
      <c r="JAG96"/>
      <c r="JAH96"/>
      <c r="JAI96"/>
      <c r="JAJ96"/>
      <c r="JAK96"/>
      <c r="JAL96"/>
      <c r="JAM96"/>
      <c r="JAN96"/>
      <c r="JAO96"/>
      <c r="JAP96"/>
      <c r="JAQ96"/>
      <c r="JAR96"/>
      <c r="JAS96"/>
      <c r="JAT96"/>
      <c r="JAU96"/>
      <c r="JAV96"/>
      <c r="JAW96"/>
      <c r="JAX96"/>
      <c r="JAY96"/>
      <c r="JAZ96"/>
      <c r="JBA96"/>
      <c r="JBB96"/>
      <c r="JBC96"/>
      <c r="JBD96"/>
      <c r="JBE96"/>
      <c r="JBF96"/>
      <c r="JBG96"/>
      <c r="JBH96"/>
      <c r="JBI96"/>
      <c r="JBJ96"/>
      <c r="JBK96"/>
      <c r="JBL96"/>
      <c r="JBM96"/>
      <c r="JBN96"/>
      <c r="JBO96"/>
      <c r="JBP96"/>
      <c r="JBQ96"/>
      <c r="JBR96"/>
      <c r="JBS96"/>
      <c r="JBT96"/>
      <c r="JBU96"/>
      <c r="JBV96"/>
      <c r="JBW96"/>
      <c r="JBX96"/>
      <c r="JBY96"/>
      <c r="JBZ96"/>
      <c r="JCA96"/>
      <c r="JCB96"/>
      <c r="JCC96"/>
      <c r="JCD96"/>
      <c r="JCE96"/>
      <c r="JCF96"/>
      <c r="JCG96"/>
      <c r="JCH96"/>
      <c r="JCI96"/>
      <c r="JCJ96"/>
      <c r="JCK96"/>
      <c r="JCL96"/>
      <c r="JCM96"/>
      <c r="JCN96"/>
      <c r="JCO96"/>
      <c r="JCP96"/>
      <c r="JCQ96"/>
      <c r="JCR96"/>
      <c r="JCS96"/>
      <c r="JCT96"/>
      <c r="JCU96"/>
      <c r="JCV96"/>
      <c r="JCW96"/>
      <c r="JCX96"/>
      <c r="JCY96"/>
      <c r="JCZ96"/>
      <c r="JDA96"/>
      <c r="JDB96"/>
      <c r="JDC96"/>
      <c r="JDD96"/>
      <c r="JDE96"/>
      <c r="JDF96"/>
      <c r="JDG96"/>
      <c r="JDH96"/>
      <c r="JDI96"/>
      <c r="JDJ96"/>
      <c r="JDK96"/>
      <c r="JDL96"/>
      <c r="JDM96"/>
      <c r="JDN96"/>
      <c r="JDO96"/>
      <c r="JDP96"/>
      <c r="JDQ96"/>
      <c r="JDR96"/>
      <c r="JDS96"/>
      <c r="JDT96"/>
      <c r="JDU96"/>
      <c r="JDV96"/>
      <c r="JDW96"/>
      <c r="JDX96"/>
      <c r="JDY96"/>
      <c r="JDZ96"/>
      <c r="JEA96"/>
      <c r="JEB96"/>
      <c r="JEC96"/>
      <c r="JED96"/>
      <c r="JEE96"/>
      <c r="JEF96"/>
      <c r="JEG96"/>
      <c r="JEH96"/>
      <c r="JEI96"/>
      <c r="JEJ96"/>
      <c r="JEK96"/>
      <c r="JEL96"/>
      <c r="JEM96"/>
      <c r="JEN96"/>
      <c r="JEO96"/>
      <c r="JEP96"/>
      <c r="JEQ96"/>
      <c r="JER96"/>
      <c r="JES96"/>
      <c r="JET96"/>
      <c r="JEU96"/>
      <c r="JEV96"/>
      <c r="JEW96"/>
      <c r="JEX96"/>
      <c r="JEY96"/>
      <c r="JEZ96"/>
      <c r="JFA96"/>
      <c r="JFB96"/>
      <c r="JFC96"/>
      <c r="JFD96"/>
      <c r="JFE96"/>
      <c r="JFF96"/>
      <c r="JFG96"/>
      <c r="JFH96"/>
      <c r="JFI96"/>
      <c r="JFJ96"/>
      <c r="JFK96"/>
      <c r="JFL96"/>
      <c r="JFM96"/>
      <c r="JFN96"/>
      <c r="JFO96"/>
      <c r="JFP96"/>
      <c r="JFQ96"/>
      <c r="JFR96"/>
      <c r="JFS96"/>
      <c r="JFT96"/>
      <c r="JFU96"/>
      <c r="JFV96"/>
      <c r="JFW96"/>
      <c r="JFX96"/>
      <c r="JFY96"/>
      <c r="JFZ96"/>
      <c r="JGA96"/>
      <c r="JGB96"/>
      <c r="JGC96"/>
      <c r="JGD96"/>
      <c r="JGE96"/>
      <c r="JGF96"/>
      <c r="JGG96"/>
      <c r="JGH96"/>
      <c r="JGI96"/>
      <c r="JGJ96"/>
      <c r="JGK96"/>
      <c r="JGL96"/>
      <c r="JGM96"/>
      <c r="JGN96"/>
      <c r="JGO96"/>
      <c r="JGP96"/>
      <c r="JGQ96"/>
      <c r="JGR96"/>
      <c r="JGS96"/>
      <c r="JGT96"/>
      <c r="JGU96"/>
      <c r="JGV96"/>
      <c r="JGW96"/>
      <c r="JGX96"/>
      <c r="JGY96"/>
      <c r="JGZ96"/>
      <c r="JHA96"/>
      <c r="JHB96"/>
      <c r="JHC96"/>
      <c r="JHD96"/>
      <c r="JHE96"/>
      <c r="JHF96"/>
      <c r="JHG96"/>
      <c r="JHH96"/>
      <c r="JHI96"/>
      <c r="JHJ96"/>
      <c r="JHK96"/>
      <c r="JHL96"/>
      <c r="JHM96"/>
      <c r="JHN96"/>
      <c r="JHO96"/>
      <c r="JHP96"/>
      <c r="JHQ96"/>
      <c r="JHR96"/>
      <c r="JHS96"/>
      <c r="JHT96"/>
      <c r="JHU96"/>
      <c r="JHV96"/>
      <c r="JHW96"/>
      <c r="JHX96"/>
      <c r="JHY96"/>
      <c r="JHZ96"/>
      <c r="JIA96"/>
      <c r="JIB96"/>
      <c r="JIC96"/>
      <c r="JID96"/>
      <c r="JIE96"/>
      <c r="JIF96"/>
      <c r="JIG96"/>
      <c r="JIH96"/>
      <c r="JII96"/>
      <c r="JIJ96"/>
      <c r="JIK96"/>
      <c r="JIL96"/>
      <c r="JIM96"/>
      <c r="JIN96"/>
      <c r="JIO96"/>
      <c r="JIP96"/>
      <c r="JIQ96"/>
      <c r="JIR96"/>
      <c r="JIS96"/>
      <c r="JIT96"/>
      <c r="JIU96"/>
      <c r="JIV96"/>
      <c r="JIW96"/>
      <c r="JIX96"/>
      <c r="JIY96"/>
      <c r="JIZ96"/>
      <c r="JJA96"/>
      <c r="JJB96"/>
      <c r="JJC96"/>
      <c r="JJD96"/>
      <c r="JJE96"/>
      <c r="JJF96"/>
      <c r="JJG96"/>
      <c r="JJH96"/>
      <c r="JJI96"/>
      <c r="JJJ96"/>
      <c r="JJK96"/>
      <c r="JJL96"/>
      <c r="JJM96"/>
      <c r="JJN96"/>
      <c r="JJO96"/>
      <c r="JJP96"/>
      <c r="JJQ96"/>
      <c r="JJR96"/>
      <c r="JJS96"/>
      <c r="JJT96"/>
      <c r="JJU96"/>
      <c r="JJV96"/>
      <c r="JJW96"/>
      <c r="JJX96"/>
      <c r="JJY96"/>
      <c r="JJZ96"/>
      <c r="JKA96"/>
      <c r="JKB96"/>
      <c r="JKC96"/>
      <c r="JKD96"/>
      <c r="JKE96"/>
      <c r="JKF96"/>
      <c r="JKG96"/>
      <c r="JKH96"/>
      <c r="JKI96"/>
      <c r="JKJ96"/>
      <c r="JKK96"/>
      <c r="JKL96"/>
      <c r="JKM96"/>
      <c r="JKN96"/>
      <c r="JKO96"/>
      <c r="JKP96"/>
      <c r="JKQ96"/>
      <c r="JKR96"/>
      <c r="JKS96"/>
      <c r="JKT96"/>
      <c r="JKU96"/>
      <c r="JKV96"/>
      <c r="JKW96"/>
      <c r="JKX96"/>
      <c r="JKY96"/>
      <c r="JKZ96"/>
      <c r="JLA96"/>
      <c r="JLB96"/>
      <c r="JLC96"/>
      <c r="JLD96"/>
      <c r="JLE96"/>
      <c r="JLF96"/>
      <c r="JLG96"/>
      <c r="JLH96"/>
      <c r="JLI96"/>
      <c r="JLJ96"/>
      <c r="JLK96"/>
      <c r="JLL96"/>
      <c r="JLM96"/>
      <c r="JLN96"/>
      <c r="JLO96"/>
      <c r="JLP96"/>
      <c r="JLQ96"/>
      <c r="JLR96"/>
      <c r="JLS96"/>
      <c r="JLT96"/>
      <c r="JLU96"/>
      <c r="JLV96"/>
      <c r="JLW96"/>
      <c r="JLX96"/>
      <c r="JLY96"/>
      <c r="JLZ96"/>
      <c r="JMA96"/>
      <c r="JMB96"/>
      <c r="JMC96"/>
      <c r="JMD96"/>
      <c r="JME96"/>
      <c r="JMF96"/>
      <c r="JMG96"/>
      <c r="JMH96"/>
      <c r="JMI96"/>
      <c r="JMJ96"/>
      <c r="JMK96"/>
      <c r="JML96"/>
      <c r="JMM96"/>
      <c r="JMN96"/>
      <c r="JMO96"/>
      <c r="JMP96"/>
      <c r="JMQ96"/>
      <c r="JMR96"/>
      <c r="JMS96"/>
      <c r="JMT96"/>
      <c r="JMU96"/>
      <c r="JMV96"/>
      <c r="JMW96"/>
      <c r="JMX96"/>
      <c r="JMY96"/>
      <c r="JMZ96"/>
      <c r="JNA96"/>
      <c r="JNB96"/>
      <c r="JNC96"/>
      <c r="JND96"/>
      <c r="JNE96"/>
      <c r="JNF96"/>
      <c r="JNG96"/>
      <c r="JNH96"/>
      <c r="JNI96"/>
      <c r="JNJ96"/>
      <c r="JNK96"/>
      <c r="JNL96"/>
      <c r="JNM96"/>
      <c r="JNN96"/>
      <c r="JNO96"/>
      <c r="JNP96"/>
      <c r="JNQ96"/>
      <c r="JNR96"/>
      <c r="JNS96"/>
      <c r="JNT96"/>
      <c r="JNU96"/>
      <c r="JNV96"/>
      <c r="JNW96"/>
      <c r="JNX96"/>
      <c r="JNY96"/>
      <c r="JNZ96"/>
      <c r="JOA96"/>
      <c r="JOB96"/>
      <c r="JOC96"/>
      <c r="JOD96"/>
      <c r="JOE96"/>
      <c r="JOF96"/>
      <c r="JOG96"/>
      <c r="JOH96"/>
      <c r="JOI96"/>
      <c r="JOJ96"/>
      <c r="JOK96"/>
      <c r="JOL96"/>
      <c r="JOM96"/>
      <c r="JON96"/>
      <c r="JOO96"/>
      <c r="JOP96"/>
      <c r="JOQ96"/>
      <c r="JOR96"/>
      <c r="JOS96"/>
      <c r="JOT96"/>
      <c r="JOU96"/>
      <c r="JOV96"/>
      <c r="JOW96"/>
      <c r="JOX96"/>
      <c r="JOY96"/>
      <c r="JOZ96"/>
      <c r="JPA96"/>
      <c r="JPB96"/>
      <c r="JPC96"/>
      <c r="JPD96"/>
      <c r="JPE96"/>
      <c r="JPF96"/>
      <c r="JPG96"/>
      <c r="JPH96"/>
      <c r="JPI96"/>
      <c r="JPJ96"/>
      <c r="JPK96"/>
      <c r="JPL96"/>
      <c r="JPM96"/>
      <c r="JPN96"/>
      <c r="JPO96"/>
      <c r="JPP96"/>
      <c r="JPQ96"/>
      <c r="JPR96"/>
      <c r="JPS96"/>
      <c r="JPT96"/>
      <c r="JPU96"/>
      <c r="JPV96"/>
      <c r="JPW96"/>
      <c r="JPX96"/>
      <c r="JPY96"/>
      <c r="JPZ96"/>
      <c r="JQA96"/>
      <c r="JQB96"/>
      <c r="JQC96"/>
      <c r="JQD96"/>
      <c r="JQE96"/>
      <c r="JQF96"/>
      <c r="JQG96"/>
      <c r="JQH96"/>
      <c r="JQI96"/>
      <c r="JQJ96"/>
      <c r="JQK96"/>
      <c r="JQL96"/>
      <c r="JQM96"/>
      <c r="JQN96"/>
      <c r="JQO96"/>
      <c r="JQP96"/>
      <c r="JQQ96"/>
      <c r="JQR96"/>
      <c r="JQS96"/>
      <c r="JQT96"/>
      <c r="JQU96"/>
      <c r="JQV96"/>
      <c r="JQW96"/>
      <c r="JQX96"/>
      <c r="JQY96"/>
      <c r="JQZ96"/>
      <c r="JRA96"/>
      <c r="JRB96"/>
      <c r="JRC96"/>
      <c r="JRD96"/>
      <c r="JRE96"/>
      <c r="JRF96"/>
      <c r="JRG96"/>
      <c r="JRH96"/>
      <c r="JRI96"/>
      <c r="JRJ96"/>
      <c r="JRK96"/>
      <c r="JRL96"/>
      <c r="JRM96"/>
      <c r="JRN96"/>
      <c r="JRO96"/>
      <c r="JRP96"/>
      <c r="JRQ96"/>
      <c r="JRR96"/>
      <c r="JRS96"/>
      <c r="JRT96"/>
      <c r="JRU96"/>
      <c r="JRV96"/>
      <c r="JRW96"/>
      <c r="JRX96"/>
      <c r="JRY96"/>
      <c r="JRZ96"/>
      <c r="JSA96"/>
      <c r="JSB96"/>
      <c r="JSC96"/>
      <c r="JSD96"/>
      <c r="JSE96"/>
      <c r="JSF96"/>
      <c r="JSG96"/>
      <c r="JSH96"/>
      <c r="JSI96"/>
      <c r="JSJ96"/>
      <c r="JSK96"/>
      <c r="JSL96"/>
      <c r="JSM96"/>
      <c r="JSN96"/>
      <c r="JSO96"/>
      <c r="JSP96"/>
      <c r="JSQ96"/>
      <c r="JSR96"/>
      <c r="JSS96"/>
      <c r="JST96"/>
      <c r="JSU96"/>
      <c r="JSV96"/>
      <c r="JSW96"/>
      <c r="JSX96"/>
      <c r="JSY96"/>
      <c r="JSZ96"/>
      <c r="JTA96"/>
      <c r="JTB96"/>
      <c r="JTC96"/>
      <c r="JTD96"/>
      <c r="JTE96"/>
      <c r="JTF96"/>
      <c r="JTG96"/>
      <c r="JTH96"/>
      <c r="JTI96"/>
      <c r="JTJ96"/>
      <c r="JTK96"/>
      <c r="JTL96"/>
      <c r="JTM96"/>
      <c r="JTN96"/>
      <c r="JTO96"/>
      <c r="JTP96"/>
      <c r="JTQ96"/>
      <c r="JTR96"/>
      <c r="JTS96"/>
      <c r="JTT96"/>
      <c r="JTU96"/>
      <c r="JTV96"/>
      <c r="JTW96"/>
      <c r="JTX96"/>
      <c r="JTY96"/>
      <c r="JTZ96"/>
      <c r="JUA96"/>
      <c r="JUB96"/>
      <c r="JUC96"/>
      <c r="JUD96"/>
      <c r="JUE96"/>
      <c r="JUF96"/>
      <c r="JUG96"/>
      <c r="JUH96"/>
      <c r="JUI96"/>
      <c r="JUJ96"/>
      <c r="JUK96"/>
      <c r="JUL96"/>
      <c r="JUM96"/>
      <c r="JUN96"/>
      <c r="JUO96"/>
      <c r="JUP96"/>
      <c r="JUQ96"/>
      <c r="JUR96"/>
      <c r="JUS96"/>
      <c r="JUT96"/>
      <c r="JUU96"/>
      <c r="JUV96"/>
      <c r="JUW96"/>
      <c r="JUX96"/>
      <c r="JUY96"/>
      <c r="JUZ96"/>
      <c r="JVA96"/>
      <c r="JVB96"/>
      <c r="JVC96"/>
      <c r="JVD96"/>
      <c r="JVE96"/>
      <c r="JVF96"/>
      <c r="JVG96"/>
      <c r="JVH96"/>
      <c r="JVI96"/>
      <c r="JVJ96"/>
      <c r="JVK96"/>
      <c r="JVL96"/>
      <c r="JVM96"/>
      <c r="JVN96"/>
      <c r="JVO96"/>
      <c r="JVP96"/>
      <c r="JVQ96"/>
      <c r="JVR96"/>
      <c r="JVS96"/>
      <c r="JVT96"/>
      <c r="JVU96"/>
      <c r="JVV96"/>
      <c r="JVW96"/>
      <c r="JVX96"/>
      <c r="JVY96"/>
      <c r="JVZ96"/>
      <c r="JWA96"/>
      <c r="JWB96"/>
      <c r="JWC96"/>
      <c r="JWD96"/>
      <c r="JWE96"/>
      <c r="JWF96"/>
      <c r="JWG96"/>
      <c r="JWH96"/>
      <c r="JWI96"/>
      <c r="JWJ96"/>
      <c r="JWK96"/>
      <c r="JWL96"/>
      <c r="JWM96"/>
      <c r="JWN96"/>
      <c r="JWO96"/>
      <c r="JWP96"/>
      <c r="JWQ96"/>
      <c r="JWR96"/>
      <c r="JWS96"/>
      <c r="JWT96"/>
      <c r="JWU96"/>
      <c r="JWV96"/>
      <c r="JWW96"/>
      <c r="JWX96"/>
      <c r="JWY96"/>
      <c r="JWZ96"/>
      <c r="JXA96"/>
      <c r="JXB96"/>
      <c r="JXC96"/>
      <c r="JXD96"/>
      <c r="JXE96"/>
      <c r="JXF96"/>
      <c r="JXG96"/>
      <c r="JXH96"/>
      <c r="JXI96"/>
      <c r="JXJ96"/>
      <c r="JXK96"/>
      <c r="JXL96"/>
      <c r="JXM96"/>
      <c r="JXN96"/>
      <c r="JXO96"/>
      <c r="JXP96"/>
      <c r="JXQ96"/>
      <c r="JXR96"/>
      <c r="JXS96"/>
      <c r="JXT96"/>
      <c r="JXU96"/>
      <c r="JXV96"/>
      <c r="JXW96"/>
      <c r="JXX96"/>
      <c r="JXY96"/>
      <c r="JXZ96"/>
      <c r="JYA96"/>
      <c r="JYB96"/>
      <c r="JYC96"/>
      <c r="JYD96"/>
      <c r="JYE96"/>
      <c r="JYF96"/>
      <c r="JYG96"/>
      <c r="JYH96"/>
      <c r="JYI96"/>
      <c r="JYJ96"/>
      <c r="JYK96"/>
      <c r="JYL96"/>
      <c r="JYM96"/>
      <c r="JYN96"/>
      <c r="JYO96"/>
      <c r="JYP96"/>
      <c r="JYQ96"/>
      <c r="JYR96"/>
      <c r="JYS96"/>
      <c r="JYT96"/>
      <c r="JYU96"/>
      <c r="JYV96"/>
      <c r="JYW96"/>
      <c r="JYX96"/>
      <c r="JYY96"/>
      <c r="JYZ96"/>
      <c r="JZA96"/>
      <c r="JZB96"/>
      <c r="JZC96"/>
      <c r="JZD96"/>
      <c r="JZE96"/>
      <c r="JZF96"/>
      <c r="JZG96"/>
      <c r="JZH96"/>
      <c r="JZI96"/>
      <c r="JZJ96"/>
      <c r="JZK96"/>
      <c r="JZL96"/>
      <c r="JZM96"/>
      <c r="JZN96"/>
      <c r="JZO96"/>
      <c r="JZP96"/>
      <c r="JZQ96"/>
      <c r="JZR96"/>
      <c r="JZS96"/>
      <c r="JZT96"/>
      <c r="JZU96"/>
      <c r="JZV96"/>
      <c r="JZW96"/>
      <c r="JZX96"/>
      <c r="JZY96"/>
      <c r="JZZ96"/>
      <c r="KAA96"/>
      <c r="KAB96"/>
      <c r="KAC96"/>
      <c r="KAD96"/>
      <c r="KAE96"/>
      <c r="KAF96"/>
      <c r="KAG96"/>
      <c r="KAH96"/>
      <c r="KAI96"/>
      <c r="KAJ96"/>
      <c r="KAK96"/>
      <c r="KAL96"/>
      <c r="KAM96"/>
      <c r="KAN96"/>
      <c r="KAO96"/>
      <c r="KAP96"/>
      <c r="KAQ96"/>
      <c r="KAR96"/>
      <c r="KAS96"/>
      <c r="KAT96"/>
      <c r="KAU96"/>
      <c r="KAV96"/>
      <c r="KAW96"/>
      <c r="KAX96"/>
      <c r="KAY96"/>
      <c r="KAZ96"/>
      <c r="KBA96"/>
      <c r="KBB96"/>
      <c r="KBC96"/>
      <c r="KBD96"/>
      <c r="KBE96"/>
      <c r="KBF96"/>
      <c r="KBG96"/>
      <c r="KBH96"/>
      <c r="KBI96"/>
      <c r="KBJ96"/>
      <c r="KBK96"/>
      <c r="KBL96"/>
      <c r="KBM96"/>
      <c r="KBN96"/>
      <c r="KBO96"/>
      <c r="KBP96"/>
      <c r="KBQ96"/>
      <c r="KBR96"/>
      <c r="KBS96"/>
      <c r="KBT96"/>
      <c r="KBU96"/>
      <c r="KBV96"/>
      <c r="KBW96"/>
      <c r="KBX96"/>
      <c r="KBY96"/>
      <c r="KBZ96"/>
      <c r="KCA96"/>
      <c r="KCB96"/>
      <c r="KCC96"/>
      <c r="KCD96"/>
      <c r="KCE96"/>
      <c r="KCF96"/>
      <c r="KCG96"/>
      <c r="KCH96"/>
      <c r="KCI96"/>
      <c r="KCJ96"/>
      <c r="KCK96"/>
      <c r="KCL96"/>
      <c r="KCM96"/>
      <c r="KCN96"/>
      <c r="KCO96"/>
      <c r="KCP96"/>
      <c r="KCQ96"/>
      <c r="KCR96"/>
      <c r="KCS96"/>
      <c r="KCT96"/>
      <c r="KCU96"/>
      <c r="KCV96"/>
      <c r="KCW96"/>
      <c r="KCX96"/>
      <c r="KCY96"/>
      <c r="KCZ96"/>
      <c r="KDA96"/>
      <c r="KDB96"/>
      <c r="KDC96"/>
      <c r="KDD96"/>
      <c r="KDE96"/>
      <c r="KDF96"/>
      <c r="KDG96"/>
      <c r="KDH96"/>
      <c r="KDI96"/>
      <c r="KDJ96"/>
      <c r="KDK96"/>
      <c r="KDL96"/>
      <c r="KDM96"/>
      <c r="KDN96"/>
      <c r="KDO96"/>
      <c r="KDP96"/>
      <c r="KDQ96"/>
      <c r="KDR96"/>
      <c r="KDS96"/>
      <c r="KDT96"/>
      <c r="KDU96"/>
      <c r="KDV96"/>
      <c r="KDW96"/>
      <c r="KDX96"/>
      <c r="KDY96"/>
      <c r="KDZ96"/>
      <c r="KEA96"/>
      <c r="KEB96"/>
      <c r="KEC96"/>
      <c r="KED96"/>
      <c r="KEE96"/>
      <c r="KEF96"/>
      <c r="KEG96"/>
      <c r="KEH96"/>
      <c r="KEI96"/>
      <c r="KEJ96"/>
      <c r="KEK96"/>
      <c r="KEL96"/>
      <c r="KEM96"/>
      <c r="KEN96"/>
      <c r="KEO96"/>
      <c r="KEP96"/>
      <c r="KEQ96"/>
      <c r="KER96"/>
      <c r="KES96"/>
      <c r="KET96"/>
      <c r="KEU96"/>
      <c r="KEV96"/>
      <c r="KEW96"/>
      <c r="KEX96"/>
      <c r="KEY96"/>
      <c r="KEZ96"/>
      <c r="KFA96"/>
      <c r="KFB96"/>
      <c r="KFC96"/>
      <c r="KFD96"/>
      <c r="KFE96"/>
      <c r="KFF96"/>
      <c r="KFG96"/>
      <c r="KFH96"/>
      <c r="KFI96"/>
      <c r="KFJ96"/>
      <c r="KFK96"/>
      <c r="KFL96"/>
      <c r="KFM96"/>
      <c r="KFN96"/>
      <c r="KFO96"/>
      <c r="KFP96"/>
      <c r="KFQ96"/>
      <c r="KFR96"/>
      <c r="KFS96"/>
      <c r="KFT96"/>
      <c r="KFU96"/>
      <c r="KFV96"/>
      <c r="KFW96"/>
      <c r="KFX96"/>
      <c r="KFY96"/>
      <c r="KFZ96"/>
      <c r="KGA96"/>
      <c r="KGB96"/>
      <c r="KGC96"/>
      <c r="KGD96"/>
      <c r="KGE96"/>
      <c r="KGF96"/>
      <c r="KGG96"/>
      <c r="KGH96"/>
      <c r="KGI96"/>
      <c r="KGJ96"/>
      <c r="KGK96"/>
      <c r="KGL96"/>
      <c r="KGM96"/>
      <c r="KGN96"/>
      <c r="KGO96"/>
      <c r="KGP96"/>
      <c r="KGQ96"/>
      <c r="KGR96"/>
      <c r="KGS96"/>
      <c r="KGT96"/>
      <c r="KGU96"/>
      <c r="KGV96"/>
      <c r="KGW96"/>
      <c r="KGX96"/>
      <c r="KGY96"/>
      <c r="KGZ96"/>
      <c r="KHA96"/>
      <c r="KHB96"/>
      <c r="KHC96"/>
      <c r="KHD96"/>
      <c r="KHE96"/>
      <c r="KHF96"/>
      <c r="KHG96"/>
      <c r="KHH96"/>
      <c r="KHI96"/>
      <c r="KHJ96"/>
      <c r="KHK96"/>
      <c r="KHL96"/>
      <c r="KHM96"/>
      <c r="KHN96"/>
      <c r="KHO96"/>
      <c r="KHP96"/>
      <c r="KHQ96"/>
      <c r="KHR96"/>
      <c r="KHS96"/>
      <c r="KHT96"/>
      <c r="KHU96"/>
      <c r="KHV96"/>
      <c r="KHW96"/>
      <c r="KHX96"/>
      <c r="KHY96"/>
      <c r="KHZ96"/>
      <c r="KIA96"/>
      <c r="KIB96"/>
      <c r="KIC96"/>
      <c r="KID96"/>
      <c r="KIE96"/>
      <c r="KIF96"/>
      <c r="KIG96"/>
      <c r="KIH96"/>
      <c r="KII96"/>
      <c r="KIJ96"/>
      <c r="KIK96"/>
      <c r="KIL96"/>
      <c r="KIM96"/>
      <c r="KIN96"/>
      <c r="KIO96"/>
      <c r="KIP96"/>
      <c r="KIQ96"/>
      <c r="KIR96"/>
      <c r="KIS96"/>
      <c r="KIT96"/>
      <c r="KIU96"/>
      <c r="KIV96"/>
      <c r="KIW96"/>
      <c r="KIX96"/>
      <c r="KIY96"/>
      <c r="KIZ96"/>
      <c r="KJA96"/>
      <c r="KJB96"/>
      <c r="KJC96"/>
      <c r="KJD96"/>
      <c r="KJE96"/>
      <c r="KJF96"/>
      <c r="KJG96"/>
      <c r="KJH96"/>
      <c r="KJI96"/>
      <c r="KJJ96"/>
      <c r="KJK96"/>
      <c r="KJL96"/>
      <c r="KJM96"/>
      <c r="KJN96"/>
      <c r="KJO96"/>
      <c r="KJP96"/>
      <c r="KJQ96"/>
      <c r="KJR96"/>
      <c r="KJS96"/>
      <c r="KJT96"/>
      <c r="KJU96"/>
      <c r="KJV96"/>
      <c r="KJW96"/>
      <c r="KJX96"/>
      <c r="KJY96"/>
      <c r="KJZ96"/>
      <c r="KKA96"/>
      <c r="KKB96"/>
      <c r="KKC96"/>
      <c r="KKD96"/>
      <c r="KKE96"/>
      <c r="KKF96"/>
      <c r="KKG96"/>
      <c r="KKH96"/>
      <c r="KKI96"/>
      <c r="KKJ96"/>
      <c r="KKK96"/>
      <c r="KKL96"/>
      <c r="KKM96"/>
      <c r="KKN96"/>
      <c r="KKO96"/>
      <c r="KKP96"/>
      <c r="KKQ96"/>
      <c r="KKR96"/>
      <c r="KKS96"/>
      <c r="KKT96"/>
      <c r="KKU96"/>
      <c r="KKV96"/>
      <c r="KKW96"/>
      <c r="KKX96"/>
      <c r="KKY96"/>
      <c r="KKZ96"/>
      <c r="KLA96"/>
      <c r="KLB96"/>
      <c r="KLC96"/>
      <c r="KLD96"/>
      <c r="KLE96"/>
      <c r="KLF96"/>
      <c r="KLG96"/>
      <c r="KLH96"/>
      <c r="KLI96"/>
      <c r="KLJ96"/>
      <c r="KLK96"/>
      <c r="KLL96"/>
      <c r="KLM96"/>
      <c r="KLN96"/>
      <c r="KLO96"/>
      <c r="KLP96"/>
      <c r="KLQ96"/>
      <c r="KLR96"/>
      <c r="KLS96"/>
      <c r="KLT96"/>
      <c r="KLU96"/>
      <c r="KLV96"/>
      <c r="KLW96"/>
      <c r="KLX96"/>
      <c r="KLY96"/>
      <c r="KLZ96"/>
      <c r="KMA96"/>
      <c r="KMB96"/>
      <c r="KMC96"/>
      <c r="KMD96"/>
      <c r="KME96"/>
      <c r="KMF96"/>
      <c r="KMG96"/>
      <c r="KMH96"/>
      <c r="KMI96"/>
      <c r="KMJ96"/>
      <c r="KMK96"/>
      <c r="KML96"/>
      <c r="KMM96"/>
      <c r="KMN96"/>
      <c r="KMO96"/>
      <c r="KMP96"/>
      <c r="KMQ96"/>
      <c r="KMR96"/>
      <c r="KMS96"/>
      <c r="KMT96"/>
      <c r="KMU96"/>
      <c r="KMV96"/>
      <c r="KMW96"/>
      <c r="KMX96"/>
      <c r="KMY96"/>
      <c r="KMZ96"/>
      <c r="KNA96"/>
      <c r="KNB96"/>
      <c r="KNC96"/>
      <c r="KND96"/>
      <c r="KNE96"/>
      <c r="KNF96"/>
      <c r="KNG96"/>
      <c r="KNH96"/>
      <c r="KNI96"/>
      <c r="KNJ96"/>
      <c r="KNK96"/>
      <c r="KNL96"/>
      <c r="KNM96"/>
      <c r="KNN96"/>
      <c r="KNO96"/>
      <c r="KNP96"/>
      <c r="KNQ96"/>
      <c r="KNR96"/>
      <c r="KNS96"/>
      <c r="KNT96"/>
      <c r="KNU96"/>
      <c r="KNV96"/>
      <c r="KNW96"/>
      <c r="KNX96"/>
      <c r="KNY96"/>
      <c r="KNZ96"/>
      <c r="KOA96"/>
      <c r="KOB96"/>
      <c r="KOC96"/>
      <c r="KOD96"/>
      <c r="KOE96"/>
      <c r="KOF96"/>
      <c r="KOG96"/>
      <c r="KOH96"/>
      <c r="KOI96"/>
      <c r="KOJ96"/>
      <c r="KOK96"/>
      <c r="KOL96"/>
      <c r="KOM96"/>
      <c r="KON96"/>
      <c r="KOO96"/>
      <c r="KOP96"/>
      <c r="KOQ96"/>
      <c r="KOR96"/>
      <c r="KOS96"/>
      <c r="KOT96"/>
      <c r="KOU96"/>
      <c r="KOV96"/>
      <c r="KOW96"/>
      <c r="KOX96"/>
      <c r="KOY96"/>
      <c r="KOZ96"/>
      <c r="KPA96"/>
      <c r="KPB96"/>
      <c r="KPC96"/>
      <c r="KPD96"/>
      <c r="KPE96"/>
      <c r="KPF96"/>
      <c r="KPG96"/>
      <c r="KPH96"/>
      <c r="KPI96"/>
      <c r="KPJ96"/>
      <c r="KPK96"/>
      <c r="KPL96"/>
      <c r="KPM96"/>
      <c r="KPN96"/>
      <c r="KPO96"/>
      <c r="KPP96"/>
      <c r="KPQ96"/>
      <c r="KPR96"/>
      <c r="KPS96"/>
      <c r="KPT96"/>
      <c r="KPU96"/>
      <c r="KPV96"/>
      <c r="KPW96"/>
      <c r="KPX96"/>
      <c r="KPY96"/>
      <c r="KPZ96"/>
      <c r="KQA96"/>
      <c r="KQB96"/>
      <c r="KQC96"/>
      <c r="KQD96"/>
      <c r="KQE96"/>
      <c r="KQF96"/>
      <c r="KQG96"/>
      <c r="KQH96"/>
      <c r="KQI96"/>
      <c r="KQJ96"/>
      <c r="KQK96"/>
      <c r="KQL96"/>
      <c r="KQM96"/>
      <c r="KQN96"/>
      <c r="KQO96"/>
      <c r="KQP96"/>
      <c r="KQQ96"/>
      <c r="KQR96"/>
      <c r="KQS96"/>
      <c r="KQT96"/>
      <c r="KQU96"/>
      <c r="KQV96"/>
      <c r="KQW96"/>
      <c r="KQX96"/>
      <c r="KQY96"/>
      <c r="KQZ96"/>
      <c r="KRA96"/>
      <c r="KRB96"/>
      <c r="KRC96"/>
      <c r="KRD96"/>
      <c r="KRE96"/>
      <c r="KRF96"/>
      <c r="KRG96"/>
      <c r="KRH96"/>
      <c r="KRI96"/>
      <c r="KRJ96"/>
      <c r="KRK96"/>
      <c r="KRL96"/>
      <c r="KRM96"/>
      <c r="KRN96"/>
      <c r="KRO96"/>
      <c r="KRP96"/>
      <c r="KRQ96"/>
      <c r="KRR96"/>
      <c r="KRS96"/>
      <c r="KRT96"/>
      <c r="KRU96"/>
      <c r="KRV96"/>
      <c r="KRW96"/>
      <c r="KRX96"/>
      <c r="KRY96"/>
      <c r="KRZ96"/>
      <c r="KSA96"/>
      <c r="KSB96"/>
      <c r="KSC96"/>
      <c r="KSD96"/>
      <c r="KSE96"/>
      <c r="KSF96"/>
      <c r="KSG96"/>
      <c r="KSH96"/>
      <c r="KSI96"/>
      <c r="KSJ96"/>
      <c r="KSK96"/>
      <c r="KSL96"/>
      <c r="KSM96"/>
      <c r="KSN96"/>
      <c r="KSO96"/>
      <c r="KSP96"/>
      <c r="KSQ96"/>
      <c r="KSR96"/>
      <c r="KSS96"/>
      <c r="KST96"/>
      <c r="KSU96"/>
      <c r="KSV96"/>
      <c r="KSW96"/>
      <c r="KSX96"/>
      <c r="KSY96"/>
      <c r="KSZ96"/>
      <c r="KTA96"/>
      <c r="KTB96"/>
      <c r="KTC96"/>
      <c r="KTD96"/>
      <c r="KTE96"/>
      <c r="KTF96"/>
      <c r="KTG96"/>
      <c r="KTH96"/>
      <c r="KTI96"/>
      <c r="KTJ96"/>
      <c r="KTK96"/>
      <c r="KTL96"/>
      <c r="KTM96"/>
      <c r="KTN96"/>
      <c r="KTO96"/>
      <c r="KTP96"/>
      <c r="KTQ96"/>
      <c r="KTR96"/>
      <c r="KTS96"/>
      <c r="KTT96"/>
      <c r="KTU96"/>
      <c r="KTV96"/>
      <c r="KTW96"/>
      <c r="KTX96"/>
      <c r="KTY96"/>
      <c r="KTZ96"/>
      <c r="KUA96"/>
      <c r="KUB96"/>
      <c r="KUC96"/>
      <c r="KUD96"/>
      <c r="KUE96"/>
      <c r="KUF96"/>
      <c r="KUG96"/>
      <c r="KUH96"/>
      <c r="KUI96"/>
      <c r="KUJ96"/>
      <c r="KUK96"/>
      <c r="KUL96"/>
      <c r="KUM96"/>
      <c r="KUN96"/>
      <c r="KUO96"/>
      <c r="KUP96"/>
      <c r="KUQ96"/>
      <c r="KUR96"/>
      <c r="KUS96"/>
      <c r="KUT96"/>
      <c r="KUU96"/>
      <c r="KUV96"/>
      <c r="KUW96"/>
      <c r="KUX96"/>
      <c r="KUY96"/>
      <c r="KUZ96"/>
      <c r="KVA96"/>
      <c r="KVB96"/>
      <c r="KVC96"/>
      <c r="KVD96"/>
      <c r="KVE96"/>
      <c r="KVF96"/>
      <c r="KVG96"/>
      <c r="KVH96"/>
      <c r="KVI96"/>
      <c r="KVJ96"/>
      <c r="KVK96"/>
      <c r="KVL96"/>
      <c r="KVM96"/>
      <c r="KVN96"/>
      <c r="KVO96"/>
      <c r="KVP96"/>
      <c r="KVQ96"/>
      <c r="KVR96"/>
      <c r="KVS96"/>
      <c r="KVT96"/>
      <c r="KVU96"/>
      <c r="KVV96"/>
      <c r="KVW96"/>
      <c r="KVX96"/>
      <c r="KVY96"/>
      <c r="KVZ96"/>
      <c r="KWA96"/>
      <c r="KWB96"/>
      <c r="KWC96"/>
      <c r="KWD96"/>
      <c r="KWE96"/>
      <c r="KWF96"/>
      <c r="KWG96"/>
      <c r="KWH96"/>
      <c r="KWI96"/>
      <c r="KWJ96"/>
      <c r="KWK96"/>
      <c r="KWL96"/>
      <c r="KWM96"/>
      <c r="KWN96"/>
      <c r="KWO96"/>
      <c r="KWP96"/>
      <c r="KWQ96"/>
      <c r="KWR96"/>
      <c r="KWS96"/>
      <c r="KWT96"/>
      <c r="KWU96"/>
      <c r="KWV96"/>
      <c r="KWW96"/>
      <c r="KWX96"/>
      <c r="KWY96"/>
      <c r="KWZ96"/>
      <c r="KXA96"/>
      <c r="KXB96"/>
      <c r="KXC96"/>
      <c r="KXD96"/>
      <c r="KXE96"/>
      <c r="KXF96"/>
      <c r="KXG96"/>
      <c r="KXH96"/>
      <c r="KXI96"/>
      <c r="KXJ96"/>
      <c r="KXK96"/>
      <c r="KXL96"/>
      <c r="KXM96"/>
      <c r="KXN96"/>
      <c r="KXO96"/>
      <c r="KXP96"/>
      <c r="KXQ96"/>
      <c r="KXR96"/>
      <c r="KXS96"/>
      <c r="KXT96"/>
      <c r="KXU96"/>
      <c r="KXV96"/>
      <c r="KXW96"/>
      <c r="KXX96"/>
      <c r="KXY96"/>
      <c r="KXZ96"/>
      <c r="KYA96"/>
      <c r="KYB96"/>
      <c r="KYC96"/>
      <c r="KYD96"/>
      <c r="KYE96"/>
      <c r="KYF96"/>
      <c r="KYG96"/>
      <c r="KYH96"/>
      <c r="KYI96"/>
      <c r="KYJ96"/>
      <c r="KYK96"/>
      <c r="KYL96"/>
      <c r="KYM96"/>
      <c r="KYN96"/>
      <c r="KYO96"/>
      <c r="KYP96"/>
      <c r="KYQ96"/>
      <c r="KYR96"/>
      <c r="KYS96"/>
      <c r="KYT96"/>
      <c r="KYU96"/>
      <c r="KYV96"/>
      <c r="KYW96"/>
      <c r="KYX96"/>
      <c r="KYY96"/>
      <c r="KYZ96"/>
      <c r="KZA96"/>
      <c r="KZB96"/>
      <c r="KZC96"/>
      <c r="KZD96"/>
      <c r="KZE96"/>
      <c r="KZF96"/>
      <c r="KZG96"/>
      <c r="KZH96"/>
      <c r="KZI96"/>
      <c r="KZJ96"/>
      <c r="KZK96"/>
      <c r="KZL96"/>
      <c r="KZM96"/>
      <c r="KZN96"/>
      <c r="KZO96"/>
      <c r="KZP96"/>
      <c r="KZQ96"/>
      <c r="KZR96"/>
      <c r="KZS96"/>
      <c r="KZT96"/>
      <c r="KZU96"/>
      <c r="KZV96"/>
      <c r="KZW96"/>
      <c r="KZX96"/>
      <c r="KZY96"/>
      <c r="KZZ96"/>
      <c r="LAA96"/>
      <c r="LAB96"/>
      <c r="LAC96"/>
      <c r="LAD96"/>
      <c r="LAE96"/>
      <c r="LAF96"/>
      <c r="LAG96"/>
      <c r="LAH96"/>
      <c r="LAI96"/>
      <c r="LAJ96"/>
      <c r="LAK96"/>
      <c r="LAL96"/>
      <c r="LAM96"/>
      <c r="LAN96"/>
      <c r="LAO96"/>
      <c r="LAP96"/>
      <c r="LAQ96"/>
      <c r="LAR96"/>
      <c r="LAS96"/>
      <c r="LAT96"/>
      <c r="LAU96"/>
      <c r="LAV96"/>
      <c r="LAW96"/>
      <c r="LAX96"/>
      <c r="LAY96"/>
      <c r="LAZ96"/>
      <c r="LBA96"/>
      <c r="LBB96"/>
      <c r="LBC96"/>
      <c r="LBD96"/>
      <c r="LBE96"/>
      <c r="LBF96"/>
      <c r="LBG96"/>
      <c r="LBH96"/>
      <c r="LBI96"/>
      <c r="LBJ96"/>
      <c r="LBK96"/>
      <c r="LBL96"/>
      <c r="LBM96"/>
      <c r="LBN96"/>
      <c r="LBO96"/>
      <c r="LBP96"/>
      <c r="LBQ96"/>
      <c r="LBR96"/>
      <c r="LBS96"/>
      <c r="LBT96"/>
      <c r="LBU96"/>
      <c r="LBV96"/>
      <c r="LBW96"/>
      <c r="LBX96"/>
      <c r="LBY96"/>
      <c r="LBZ96"/>
      <c r="LCA96"/>
      <c r="LCB96"/>
      <c r="LCC96"/>
      <c r="LCD96"/>
      <c r="LCE96"/>
      <c r="LCF96"/>
      <c r="LCG96"/>
      <c r="LCH96"/>
      <c r="LCI96"/>
      <c r="LCJ96"/>
      <c r="LCK96"/>
      <c r="LCL96"/>
      <c r="LCM96"/>
      <c r="LCN96"/>
      <c r="LCO96"/>
      <c r="LCP96"/>
      <c r="LCQ96"/>
      <c r="LCR96"/>
      <c r="LCS96"/>
      <c r="LCT96"/>
      <c r="LCU96"/>
      <c r="LCV96"/>
      <c r="LCW96"/>
      <c r="LCX96"/>
      <c r="LCY96"/>
      <c r="LCZ96"/>
      <c r="LDA96"/>
      <c r="LDB96"/>
      <c r="LDC96"/>
      <c r="LDD96"/>
      <c r="LDE96"/>
      <c r="LDF96"/>
      <c r="LDG96"/>
      <c r="LDH96"/>
      <c r="LDI96"/>
      <c r="LDJ96"/>
      <c r="LDK96"/>
      <c r="LDL96"/>
      <c r="LDM96"/>
      <c r="LDN96"/>
      <c r="LDO96"/>
      <c r="LDP96"/>
      <c r="LDQ96"/>
      <c r="LDR96"/>
      <c r="LDS96"/>
      <c r="LDT96"/>
      <c r="LDU96"/>
      <c r="LDV96"/>
      <c r="LDW96"/>
      <c r="LDX96"/>
      <c r="LDY96"/>
      <c r="LDZ96"/>
      <c r="LEA96"/>
      <c r="LEB96"/>
      <c r="LEC96"/>
      <c r="LED96"/>
      <c r="LEE96"/>
      <c r="LEF96"/>
      <c r="LEG96"/>
      <c r="LEH96"/>
      <c r="LEI96"/>
      <c r="LEJ96"/>
      <c r="LEK96"/>
      <c r="LEL96"/>
      <c r="LEM96"/>
      <c r="LEN96"/>
      <c r="LEO96"/>
      <c r="LEP96"/>
      <c r="LEQ96"/>
      <c r="LER96"/>
      <c r="LES96"/>
      <c r="LET96"/>
      <c r="LEU96"/>
      <c r="LEV96"/>
      <c r="LEW96"/>
      <c r="LEX96"/>
      <c r="LEY96"/>
      <c r="LEZ96"/>
      <c r="LFA96"/>
      <c r="LFB96"/>
      <c r="LFC96"/>
      <c r="LFD96"/>
      <c r="LFE96"/>
      <c r="LFF96"/>
      <c r="LFG96"/>
      <c r="LFH96"/>
      <c r="LFI96"/>
      <c r="LFJ96"/>
      <c r="LFK96"/>
      <c r="LFL96"/>
      <c r="LFM96"/>
      <c r="LFN96"/>
      <c r="LFO96"/>
      <c r="LFP96"/>
      <c r="LFQ96"/>
      <c r="LFR96"/>
      <c r="LFS96"/>
      <c r="LFT96"/>
      <c r="LFU96"/>
      <c r="LFV96"/>
      <c r="LFW96"/>
      <c r="LFX96"/>
      <c r="LFY96"/>
      <c r="LFZ96"/>
      <c r="LGA96"/>
      <c r="LGB96"/>
      <c r="LGC96"/>
      <c r="LGD96"/>
      <c r="LGE96"/>
      <c r="LGF96"/>
      <c r="LGG96"/>
      <c r="LGH96"/>
      <c r="LGI96"/>
      <c r="LGJ96"/>
      <c r="LGK96"/>
      <c r="LGL96"/>
      <c r="LGM96"/>
      <c r="LGN96"/>
      <c r="LGO96"/>
      <c r="LGP96"/>
      <c r="LGQ96"/>
      <c r="LGR96"/>
      <c r="LGS96"/>
      <c r="LGT96"/>
      <c r="LGU96"/>
      <c r="LGV96"/>
      <c r="LGW96"/>
      <c r="LGX96"/>
      <c r="LGY96"/>
      <c r="LGZ96"/>
      <c r="LHA96"/>
      <c r="LHB96"/>
      <c r="LHC96"/>
      <c r="LHD96"/>
      <c r="LHE96"/>
      <c r="LHF96"/>
      <c r="LHG96"/>
      <c r="LHH96"/>
      <c r="LHI96"/>
      <c r="LHJ96"/>
      <c r="LHK96"/>
      <c r="LHL96"/>
      <c r="LHM96"/>
      <c r="LHN96"/>
      <c r="LHO96"/>
      <c r="LHP96"/>
      <c r="LHQ96"/>
      <c r="LHR96"/>
      <c r="LHS96"/>
      <c r="LHT96"/>
      <c r="LHU96"/>
      <c r="LHV96"/>
      <c r="LHW96"/>
      <c r="LHX96"/>
      <c r="LHY96"/>
      <c r="LHZ96"/>
      <c r="LIA96"/>
      <c r="LIB96"/>
      <c r="LIC96"/>
      <c r="LID96"/>
      <c r="LIE96"/>
      <c r="LIF96"/>
      <c r="LIG96"/>
      <c r="LIH96"/>
      <c r="LII96"/>
      <c r="LIJ96"/>
      <c r="LIK96"/>
      <c r="LIL96"/>
      <c r="LIM96"/>
      <c r="LIN96"/>
      <c r="LIO96"/>
      <c r="LIP96"/>
      <c r="LIQ96"/>
      <c r="LIR96"/>
      <c r="LIS96"/>
      <c r="LIT96"/>
      <c r="LIU96"/>
      <c r="LIV96"/>
      <c r="LIW96"/>
      <c r="LIX96"/>
      <c r="LIY96"/>
      <c r="LIZ96"/>
      <c r="LJA96"/>
      <c r="LJB96"/>
      <c r="LJC96"/>
      <c r="LJD96"/>
      <c r="LJE96"/>
      <c r="LJF96"/>
      <c r="LJG96"/>
      <c r="LJH96"/>
      <c r="LJI96"/>
      <c r="LJJ96"/>
      <c r="LJK96"/>
      <c r="LJL96"/>
      <c r="LJM96"/>
      <c r="LJN96"/>
      <c r="LJO96"/>
      <c r="LJP96"/>
      <c r="LJQ96"/>
      <c r="LJR96"/>
      <c r="LJS96"/>
      <c r="LJT96"/>
      <c r="LJU96"/>
      <c r="LJV96"/>
      <c r="LJW96"/>
      <c r="LJX96"/>
      <c r="LJY96"/>
      <c r="LJZ96"/>
      <c r="LKA96"/>
      <c r="LKB96"/>
      <c r="LKC96"/>
      <c r="LKD96"/>
      <c r="LKE96"/>
      <c r="LKF96"/>
      <c r="LKG96"/>
      <c r="LKH96"/>
      <c r="LKI96"/>
      <c r="LKJ96"/>
      <c r="LKK96"/>
      <c r="LKL96"/>
      <c r="LKM96"/>
      <c r="LKN96"/>
      <c r="LKO96"/>
      <c r="LKP96"/>
      <c r="LKQ96"/>
      <c r="LKR96"/>
      <c r="LKS96"/>
      <c r="LKT96"/>
      <c r="LKU96"/>
      <c r="LKV96"/>
      <c r="LKW96"/>
      <c r="LKX96"/>
      <c r="LKY96"/>
      <c r="LKZ96"/>
      <c r="LLA96"/>
      <c r="LLB96"/>
      <c r="LLC96"/>
      <c r="LLD96"/>
      <c r="LLE96"/>
      <c r="LLF96"/>
      <c r="LLG96"/>
      <c r="LLH96"/>
      <c r="LLI96"/>
      <c r="LLJ96"/>
      <c r="LLK96"/>
      <c r="LLL96"/>
      <c r="LLM96"/>
      <c r="LLN96"/>
      <c r="LLO96"/>
      <c r="LLP96"/>
      <c r="LLQ96"/>
      <c r="LLR96"/>
      <c r="LLS96"/>
      <c r="LLT96"/>
      <c r="LLU96"/>
      <c r="LLV96"/>
      <c r="LLW96"/>
      <c r="LLX96"/>
      <c r="LLY96"/>
      <c r="LLZ96"/>
      <c r="LMA96"/>
      <c r="LMB96"/>
      <c r="LMC96"/>
      <c r="LMD96"/>
      <c r="LME96"/>
      <c r="LMF96"/>
      <c r="LMG96"/>
      <c r="LMH96"/>
      <c r="LMI96"/>
      <c r="LMJ96"/>
      <c r="LMK96"/>
      <c r="LML96"/>
      <c r="LMM96"/>
      <c r="LMN96"/>
      <c r="LMO96"/>
      <c r="LMP96"/>
      <c r="LMQ96"/>
      <c r="LMR96"/>
      <c r="LMS96"/>
      <c r="LMT96"/>
      <c r="LMU96"/>
      <c r="LMV96"/>
      <c r="LMW96"/>
      <c r="LMX96"/>
      <c r="LMY96"/>
      <c r="LMZ96"/>
      <c r="LNA96"/>
      <c r="LNB96"/>
      <c r="LNC96"/>
      <c r="LND96"/>
      <c r="LNE96"/>
      <c r="LNF96"/>
      <c r="LNG96"/>
      <c r="LNH96"/>
      <c r="LNI96"/>
      <c r="LNJ96"/>
      <c r="LNK96"/>
      <c r="LNL96"/>
      <c r="LNM96"/>
      <c r="LNN96"/>
      <c r="LNO96"/>
      <c r="LNP96"/>
      <c r="LNQ96"/>
      <c r="LNR96"/>
      <c r="LNS96"/>
      <c r="LNT96"/>
      <c r="LNU96"/>
      <c r="LNV96"/>
      <c r="LNW96"/>
      <c r="LNX96"/>
      <c r="LNY96"/>
      <c r="LNZ96"/>
      <c r="LOA96"/>
      <c r="LOB96"/>
      <c r="LOC96"/>
      <c r="LOD96"/>
      <c r="LOE96"/>
      <c r="LOF96"/>
      <c r="LOG96"/>
      <c r="LOH96"/>
      <c r="LOI96"/>
      <c r="LOJ96"/>
      <c r="LOK96"/>
      <c r="LOL96"/>
      <c r="LOM96"/>
      <c r="LON96"/>
      <c r="LOO96"/>
      <c r="LOP96"/>
      <c r="LOQ96"/>
      <c r="LOR96"/>
      <c r="LOS96"/>
      <c r="LOT96"/>
      <c r="LOU96"/>
      <c r="LOV96"/>
      <c r="LOW96"/>
      <c r="LOX96"/>
      <c r="LOY96"/>
      <c r="LOZ96"/>
      <c r="LPA96"/>
      <c r="LPB96"/>
      <c r="LPC96"/>
      <c r="LPD96"/>
      <c r="LPE96"/>
      <c r="LPF96"/>
      <c r="LPG96"/>
      <c r="LPH96"/>
      <c r="LPI96"/>
      <c r="LPJ96"/>
      <c r="LPK96"/>
      <c r="LPL96"/>
      <c r="LPM96"/>
      <c r="LPN96"/>
      <c r="LPO96"/>
      <c r="LPP96"/>
      <c r="LPQ96"/>
      <c r="LPR96"/>
      <c r="LPS96"/>
      <c r="LPT96"/>
      <c r="LPU96"/>
      <c r="LPV96"/>
      <c r="LPW96"/>
      <c r="LPX96"/>
      <c r="LPY96"/>
      <c r="LPZ96"/>
      <c r="LQA96"/>
      <c r="LQB96"/>
      <c r="LQC96"/>
      <c r="LQD96"/>
      <c r="LQE96"/>
      <c r="LQF96"/>
      <c r="LQG96"/>
      <c r="LQH96"/>
      <c r="LQI96"/>
      <c r="LQJ96"/>
      <c r="LQK96"/>
      <c r="LQL96"/>
      <c r="LQM96"/>
      <c r="LQN96"/>
      <c r="LQO96"/>
      <c r="LQP96"/>
      <c r="LQQ96"/>
      <c r="LQR96"/>
      <c r="LQS96"/>
      <c r="LQT96"/>
      <c r="LQU96"/>
      <c r="LQV96"/>
      <c r="LQW96"/>
      <c r="LQX96"/>
      <c r="LQY96"/>
      <c r="LQZ96"/>
      <c r="LRA96"/>
      <c r="LRB96"/>
      <c r="LRC96"/>
      <c r="LRD96"/>
      <c r="LRE96"/>
      <c r="LRF96"/>
      <c r="LRG96"/>
      <c r="LRH96"/>
      <c r="LRI96"/>
      <c r="LRJ96"/>
      <c r="LRK96"/>
      <c r="LRL96"/>
      <c r="LRM96"/>
      <c r="LRN96"/>
      <c r="LRO96"/>
      <c r="LRP96"/>
      <c r="LRQ96"/>
      <c r="LRR96"/>
      <c r="LRS96"/>
      <c r="LRT96"/>
      <c r="LRU96"/>
      <c r="LRV96"/>
      <c r="LRW96"/>
      <c r="LRX96"/>
      <c r="LRY96"/>
      <c r="LRZ96"/>
      <c r="LSA96"/>
      <c r="LSB96"/>
      <c r="LSC96"/>
      <c r="LSD96"/>
      <c r="LSE96"/>
      <c r="LSF96"/>
      <c r="LSG96"/>
      <c r="LSH96"/>
      <c r="LSI96"/>
      <c r="LSJ96"/>
      <c r="LSK96"/>
      <c r="LSL96"/>
      <c r="LSM96"/>
      <c r="LSN96"/>
      <c r="LSO96"/>
      <c r="LSP96"/>
      <c r="LSQ96"/>
      <c r="LSR96"/>
      <c r="LSS96"/>
      <c r="LST96"/>
      <c r="LSU96"/>
      <c r="LSV96"/>
      <c r="LSW96"/>
      <c r="LSX96"/>
      <c r="LSY96"/>
      <c r="LSZ96"/>
      <c r="LTA96"/>
      <c r="LTB96"/>
      <c r="LTC96"/>
      <c r="LTD96"/>
      <c r="LTE96"/>
      <c r="LTF96"/>
      <c r="LTG96"/>
      <c r="LTH96"/>
      <c r="LTI96"/>
      <c r="LTJ96"/>
      <c r="LTK96"/>
      <c r="LTL96"/>
      <c r="LTM96"/>
      <c r="LTN96"/>
      <c r="LTO96"/>
      <c r="LTP96"/>
      <c r="LTQ96"/>
      <c r="LTR96"/>
      <c r="LTS96"/>
      <c r="LTT96"/>
      <c r="LTU96"/>
      <c r="LTV96"/>
      <c r="LTW96"/>
      <c r="LTX96"/>
      <c r="LTY96"/>
      <c r="LTZ96"/>
      <c r="LUA96"/>
      <c r="LUB96"/>
      <c r="LUC96"/>
      <c r="LUD96"/>
      <c r="LUE96"/>
      <c r="LUF96"/>
      <c r="LUG96"/>
      <c r="LUH96"/>
      <c r="LUI96"/>
      <c r="LUJ96"/>
      <c r="LUK96"/>
      <c r="LUL96"/>
      <c r="LUM96"/>
      <c r="LUN96"/>
      <c r="LUO96"/>
      <c r="LUP96"/>
      <c r="LUQ96"/>
      <c r="LUR96"/>
      <c r="LUS96"/>
      <c r="LUT96"/>
      <c r="LUU96"/>
      <c r="LUV96"/>
      <c r="LUW96"/>
      <c r="LUX96"/>
      <c r="LUY96"/>
      <c r="LUZ96"/>
      <c r="LVA96"/>
      <c r="LVB96"/>
      <c r="LVC96"/>
      <c r="LVD96"/>
      <c r="LVE96"/>
      <c r="LVF96"/>
      <c r="LVG96"/>
      <c r="LVH96"/>
      <c r="LVI96"/>
      <c r="LVJ96"/>
      <c r="LVK96"/>
      <c r="LVL96"/>
      <c r="LVM96"/>
      <c r="LVN96"/>
      <c r="LVO96"/>
      <c r="LVP96"/>
      <c r="LVQ96"/>
      <c r="LVR96"/>
      <c r="LVS96"/>
      <c r="LVT96"/>
      <c r="LVU96"/>
      <c r="LVV96"/>
      <c r="LVW96"/>
      <c r="LVX96"/>
      <c r="LVY96"/>
      <c r="LVZ96"/>
      <c r="LWA96"/>
      <c r="LWB96"/>
      <c r="LWC96"/>
      <c r="LWD96"/>
      <c r="LWE96"/>
      <c r="LWF96"/>
      <c r="LWG96"/>
      <c r="LWH96"/>
      <c r="LWI96"/>
      <c r="LWJ96"/>
      <c r="LWK96"/>
      <c r="LWL96"/>
      <c r="LWM96"/>
      <c r="LWN96"/>
      <c r="LWO96"/>
      <c r="LWP96"/>
      <c r="LWQ96"/>
      <c r="LWR96"/>
      <c r="LWS96"/>
      <c r="LWT96"/>
      <c r="LWU96"/>
      <c r="LWV96"/>
      <c r="LWW96"/>
      <c r="LWX96"/>
      <c r="LWY96"/>
      <c r="LWZ96"/>
      <c r="LXA96"/>
      <c r="LXB96"/>
      <c r="LXC96"/>
      <c r="LXD96"/>
      <c r="LXE96"/>
      <c r="LXF96"/>
      <c r="LXG96"/>
      <c r="LXH96"/>
      <c r="LXI96"/>
      <c r="LXJ96"/>
      <c r="LXK96"/>
      <c r="LXL96"/>
      <c r="LXM96"/>
      <c r="LXN96"/>
      <c r="LXO96"/>
      <c r="LXP96"/>
      <c r="LXQ96"/>
      <c r="LXR96"/>
      <c r="LXS96"/>
      <c r="LXT96"/>
      <c r="LXU96"/>
      <c r="LXV96"/>
      <c r="LXW96"/>
      <c r="LXX96"/>
      <c r="LXY96"/>
      <c r="LXZ96"/>
      <c r="LYA96"/>
      <c r="LYB96"/>
      <c r="LYC96"/>
      <c r="LYD96"/>
      <c r="LYE96"/>
      <c r="LYF96"/>
      <c r="LYG96"/>
      <c r="LYH96"/>
      <c r="LYI96"/>
      <c r="LYJ96"/>
      <c r="LYK96"/>
      <c r="LYL96"/>
      <c r="LYM96"/>
      <c r="LYN96"/>
      <c r="LYO96"/>
      <c r="LYP96"/>
      <c r="LYQ96"/>
      <c r="LYR96"/>
      <c r="LYS96"/>
      <c r="LYT96"/>
      <c r="LYU96"/>
      <c r="LYV96"/>
      <c r="LYW96"/>
      <c r="LYX96"/>
      <c r="LYY96"/>
      <c r="LYZ96"/>
      <c r="LZA96"/>
      <c r="LZB96"/>
      <c r="LZC96"/>
      <c r="LZD96"/>
      <c r="LZE96"/>
      <c r="LZF96"/>
      <c r="LZG96"/>
      <c r="LZH96"/>
      <c r="LZI96"/>
      <c r="LZJ96"/>
      <c r="LZK96"/>
      <c r="LZL96"/>
      <c r="LZM96"/>
      <c r="LZN96"/>
      <c r="LZO96"/>
      <c r="LZP96"/>
      <c r="LZQ96"/>
      <c r="LZR96"/>
      <c r="LZS96"/>
      <c r="LZT96"/>
      <c r="LZU96"/>
      <c r="LZV96"/>
      <c r="LZW96"/>
      <c r="LZX96"/>
      <c r="LZY96"/>
      <c r="LZZ96"/>
      <c r="MAA96"/>
      <c r="MAB96"/>
      <c r="MAC96"/>
      <c r="MAD96"/>
      <c r="MAE96"/>
      <c r="MAF96"/>
      <c r="MAG96"/>
      <c r="MAH96"/>
      <c r="MAI96"/>
      <c r="MAJ96"/>
      <c r="MAK96"/>
      <c r="MAL96"/>
      <c r="MAM96"/>
      <c r="MAN96"/>
      <c r="MAO96"/>
      <c r="MAP96"/>
      <c r="MAQ96"/>
      <c r="MAR96"/>
      <c r="MAS96"/>
      <c r="MAT96"/>
      <c r="MAU96"/>
      <c r="MAV96"/>
      <c r="MAW96"/>
      <c r="MAX96"/>
      <c r="MAY96"/>
      <c r="MAZ96"/>
      <c r="MBA96"/>
      <c r="MBB96"/>
      <c r="MBC96"/>
      <c r="MBD96"/>
      <c r="MBE96"/>
      <c r="MBF96"/>
      <c r="MBG96"/>
      <c r="MBH96"/>
      <c r="MBI96"/>
      <c r="MBJ96"/>
      <c r="MBK96"/>
      <c r="MBL96"/>
      <c r="MBM96"/>
      <c r="MBN96"/>
      <c r="MBO96"/>
      <c r="MBP96"/>
      <c r="MBQ96"/>
      <c r="MBR96"/>
      <c r="MBS96"/>
      <c r="MBT96"/>
      <c r="MBU96"/>
      <c r="MBV96"/>
      <c r="MBW96"/>
      <c r="MBX96"/>
      <c r="MBY96"/>
      <c r="MBZ96"/>
      <c r="MCA96"/>
      <c r="MCB96"/>
      <c r="MCC96"/>
      <c r="MCD96"/>
      <c r="MCE96"/>
      <c r="MCF96"/>
      <c r="MCG96"/>
      <c r="MCH96"/>
      <c r="MCI96"/>
      <c r="MCJ96"/>
      <c r="MCK96"/>
      <c r="MCL96"/>
      <c r="MCM96"/>
      <c r="MCN96"/>
      <c r="MCO96"/>
      <c r="MCP96"/>
      <c r="MCQ96"/>
      <c r="MCR96"/>
      <c r="MCS96"/>
      <c r="MCT96"/>
      <c r="MCU96"/>
      <c r="MCV96"/>
      <c r="MCW96"/>
      <c r="MCX96"/>
      <c r="MCY96"/>
      <c r="MCZ96"/>
      <c r="MDA96"/>
      <c r="MDB96"/>
      <c r="MDC96"/>
      <c r="MDD96"/>
      <c r="MDE96"/>
      <c r="MDF96"/>
      <c r="MDG96"/>
      <c r="MDH96"/>
      <c r="MDI96"/>
      <c r="MDJ96"/>
      <c r="MDK96"/>
      <c r="MDL96"/>
      <c r="MDM96"/>
      <c r="MDN96"/>
      <c r="MDO96"/>
      <c r="MDP96"/>
      <c r="MDQ96"/>
      <c r="MDR96"/>
      <c r="MDS96"/>
      <c r="MDT96"/>
      <c r="MDU96"/>
      <c r="MDV96"/>
      <c r="MDW96"/>
      <c r="MDX96"/>
      <c r="MDY96"/>
      <c r="MDZ96"/>
      <c r="MEA96"/>
      <c r="MEB96"/>
      <c r="MEC96"/>
      <c r="MED96"/>
      <c r="MEE96"/>
      <c r="MEF96"/>
      <c r="MEG96"/>
      <c r="MEH96"/>
      <c r="MEI96"/>
      <c r="MEJ96"/>
      <c r="MEK96"/>
      <c r="MEL96"/>
      <c r="MEM96"/>
      <c r="MEN96"/>
      <c r="MEO96"/>
      <c r="MEP96"/>
      <c r="MEQ96"/>
      <c r="MER96"/>
      <c r="MES96"/>
      <c r="MET96"/>
      <c r="MEU96"/>
      <c r="MEV96"/>
      <c r="MEW96"/>
      <c r="MEX96"/>
      <c r="MEY96"/>
      <c r="MEZ96"/>
      <c r="MFA96"/>
      <c r="MFB96"/>
      <c r="MFC96"/>
      <c r="MFD96"/>
      <c r="MFE96"/>
      <c r="MFF96"/>
      <c r="MFG96"/>
      <c r="MFH96"/>
      <c r="MFI96"/>
      <c r="MFJ96"/>
      <c r="MFK96"/>
      <c r="MFL96"/>
      <c r="MFM96"/>
      <c r="MFN96"/>
      <c r="MFO96"/>
      <c r="MFP96"/>
      <c r="MFQ96"/>
      <c r="MFR96"/>
      <c r="MFS96"/>
      <c r="MFT96"/>
      <c r="MFU96"/>
      <c r="MFV96"/>
      <c r="MFW96"/>
      <c r="MFX96"/>
      <c r="MFY96"/>
      <c r="MFZ96"/>
      <c r="MGA96"/>
      <c r="MGB96"/>
      <c r="MGC96"/>
      <c r="MGD96"/>
      <c r="MGE96"/>
      <c r="MGF96"/>
      <c r="MGG96"/>
      <c r="MGH96"/>
      <c r="MGI96"/>
      <c r="MGJ96"/>
      <c r="MGK96"/>
      <c r="MGL96"/>
      <c r="MGM96"/>
      <c r="MGN96"/>
      <c r="MGO96"/>
      <c r="MGP96"/>
      <c r="MGQ96"/>
      <c r="MGR96"/>
      <c r="MGS96"/>
      <c r="MGT96"/>
      <c r="MGU96"/>
      <c r="MGV96"/>
      <c r="MGW96"/>
      <c r="MGX96"/>
      <c r="MGY96"/>
      <c r="MGZ96"/>
      <c r="MHA96"/>
      <c r="MHB96"/>
      <c r="MHC96"/>
      <c r="MHD96"/>
      <c r="MHE96"/>
      <c r="MHF96"/>
      <c r="MHG96"/>
      <c r="MHH96"/>
      <c r="MHI96"/>
      <c r="MHJ96"/>
      <c r="MHK96"/>
      <c r="MHL96"/>
      <c r="MHM96"/>
      <c r="MHN96"/>
      <c r="MHO96"/>
      <c r="MHP96"/>
      <c r="MHQ96"/>
      <c r="MHR96"/>
      <c r="MHS96"/>
      <c r="MHT96"/>
      <c r="MHU96"/>
      <c r="MHV96"/>
      <c r="MHW96"/>
      <c r="MHX96"/>
      <c r="MHY96"/>
      <c r="MHZ96"/>
      <c r="MIA96"/>
      <c r="MIB96"/>
      <c r="MIC96"/>
      <c r="MID96"/>
      <c r="MIE96"/>
      <c r="MIF96"/>
      <c r="MIG96"/>
      <c r="MIH96"/>
      <c r="MII96"/>
      <c r="MIJ96"/>
      <c r="MIK96"/>
      <c r="MIL96"/>
      <c r="MIM96"/>
      <c r="MIN96"/>
      <c r="MIO96"/>
      <c r="MIP96"/>
      <c r="MIQ96"/>
      <c r="MIR96"/>
      <c r="MIS96"/>
      <c r="MIT96"/>
      <c r="MIU96"/>
      <c r="MIV96"/>
      <c r="MIW96"/>
      <c r="MIX96"/>
      <c r="MIY96"/>
      <c r="MIZ96"/>
      <c r="MJA96"/>
      <c r="MJB96"/>
      <c r="MJC96"/>
      <c r="MJD96"/>
      <c r="MJE96"/>
      <c r="MJF96"/>
      <c r="MJG96"/>
      <c r="MJH96"/>
      <c r="MJI96"/>
      <c r="MJJ96"/>
      <c r="MJK96"/>
      <c r="MJL96"/>
      <c r="MJM96"/>
      <c r="MJN96"/>
      <c r="MJO96"/>
      <c r="MJP96"/>
      <c r="MJQ96"/>
      <c r="MJR96"/>
      <c r="MJS96"/>
      <c r="MJT96"/>
      <c r="MJU96"/>
      <c r="MJV96"/>
      <c r="MJW96"/>
      <c r="MJX96"/>
      <c r="MJY96"/>
      <c r="MJZ96"/>
      <c r="MKA96"/>
      <c r="MKB96"/>
      <c r="MKC96"/>
      <c r="MKD96"/>
      <c r="MKE96"/>
      <c r="MKF96"/>
      <c r="MKG96"/>
      <c r="MKH96"/>
      <c r="MKI96"/>
      <c r="MKJ96"/>
      <c r="MKK96"/>
      <c r="MKL96"/>
      <c r="MKM96"/>
      <c r="MKN96"/>
      <c r="MKO96"/>
      <c r="MKP96"/>
      <c r="MKQ96"/>
      <c r="MKR96"/>
      <c r="MKS96"/>
      <c r="MKT96"/>
      <c r="MKU96"/>
      <c r="MKV96"/>
      <c r="MKW96"/>
      <c r="MKX96"/>
      <c r="MKY96"/>
      <c r="MKZ96"/>
      <c r="MLA96"/>
      <c r="MLB96"/>
      <c r="MLC96"/>
      <c r="MLD96"/>
      <c r="MLE96"/>
      <c r="MLF96"/>
      <c r="MLG96"/>
      <c r="MLH96"/>
      <c r="MLI96"/>
      <c r="MLJ96"/>
      <c r="MLK96"/>
      <c r="MLL96"/>
      <c r="MLM96"/>
      <c r="MLN96"/>
      <c r="MLO96"/>
      <c r="MLP96"/>
      <c r="MLQ96"/>
      <c r="MLR96"/>
      <c r="MLS96"/>
      <c r="MLT96"/>
      <c r="MLU96"/>
      <c r="MLV96"/>
      <c r="MLW96"/>
      <c r="MLX96"/>
      <c r="MLY96"/>
      <c r="MLZ96"/>
      <c r="MMA96"/>
      <c r="MMB96"/>
      <c r="MMC96"/>
      <c r="MMD96"/>
      <c r="MME96"/>
      <c r="MMF96"/>
      <c r="MMG96"/>
      <c r="MMH96"/>
      <c r="MMI96"/>
      <c r="MMJ96"/>
      <c r="MMK96"/>
      <c r="MML96"/>
      <c r="MMM96"/>
      <c r="MMN96"/>
      <c r="MMO96"/>
      <c r="MMP96"/>
      <c r="MMQ96"/>
      <c r="MMR96"/>
      <c r="MMS96"/>
      <c r="MMT96"/>
      <c r="MMU96"/>
      <c r="MMV96"/>
      <c r="MMW96"/>
      <c r="MMX96"/>
      <c r="MMY96"/>
      <c r="MMZ96"/>
      <c r="MNA96"/>
      <c r="MNB96"/>
      <c r="MNC96"/>
      <c r="MND96"/>
      <c r="MNE96"/>
      <c r="MNF96"/>
      <c r="MNG96"/>
      <c r="MNH96"/>
      <c r="MNI96"/>
      <c r="MNJ96"/>
      <c r="MNK96"/>
      <c r="MNL96"/>
      <c r="MNM96"/>
      <c r="MNN96"/>
      <c r="MNO96"/>
      <c r="MNP96"/>
      <c r="MNQ96"/>
      <c r="MNR96"/>
      <c r="MNS96"/>
      <c r="MNT96"/>
      <c r="MNU96"/>
      <c r="MNV96"/>
      <c r="MNW96"/>
      <c r="MNX96"/>
      <c r="MNY96"/>
      <c r="MNZ96"/>
      <c r="MOA96"/>
      <c r="MOB96"/>
      <c r="MOC96"/>
      <c r="MOD96"/>
      <c r="MOE96"/>
      <c r="MOF96"/>
      <c r="MOG96"/>
      <c r="MOH96"/>
      <c r="MOI96"/>
      <c r="MOJ96"/>
      <c r="MOK96"/>
      <c r="MOL96"/>
      <c r="MOM96"/>
      <c r="MON96"/>
      <c r="MOO96"/>
      <c r="MOP96"/>
      <c r="MOQ96"/>
      <c r="MOR96"/>
      <c r="MOS96"/>
      <c r="MOT96"/>
      <c r="MOU96"/>
      <c r="MOV96"/>
      <c r="MOW96"/>
      <c r="MOX96"/>
      <c r="MOY96"/>
      <c r="MOZ96"/>
      <c r="MPA96"/>
      <c r="MPB96"/>
      <c r="MPC96"/>
      <c r="MPD96"/>
      <c r="MPE96"/>
      <c r="MPF96"/>
      <c r="MPG96"/>
      <c r="MPH96"/>
      <c r="MPI96"/>
      <c r="MPJ96"/>
      <c r="MPK96"/>
      <c r="MPL96"/>
      <c r="MPM96"/>
      <c r="MPN96"/>
      <c r="MPO96"/>
      <c r="MPP96"/>
      <c r="MPQ96"/>
      <c r="MPR96"/>
      <c r="MPS96"/>
      <c r="MPT96"/>
      <c r="MPU96"/>
      <c r="MPV96"/>
      <c r="MPW96"/>
      <c r="MPX96"/>
      <c r="MPY96"/>
      <c r="MPZ96"/>
      <c r="MQA96"/>
      <c r="MQB96"/>
      <c r="MQC96"/>
      <c r="MQD96"/>
      <c r="MQE96"/>
      <c r="MQF96"/>
      <c r="MQG96"/>
      <c r="MQH96"/>
      <c r="MQI96"/>
      <c r="MQJ96"/>
      <c r="MQK96"/>
      <c r="MQL96"/>
      <c r="MQM96"/>
      <c r="MQN96"/>
      <c r="MQO96"/>
      <c r="MQP96"/>
      <c r="MQQ96"/>
      <c r="MQR96"/>
      <c r="MQS96"/>
      <c r="MQT96"/>
      <c r="MQU96"/>
      <c r="MQV96"/>
      <c r="MQW96"/>
      <c r="MQX96"/>
      <c r="MQY96"/>
      <c r="MQZ96"/>
      <c r="MRA96"/>
      <c r="MRB96"/>
      <c r="MRC96"/>
      <c r="MRD96"/>
      <c r="MRE96"/>
      <c r="MRF96"/>
      <c r="MRG96"/>
      <c r="MRH96"/>
      <c r="MRI96"/>
      <c r="MRJ96"/>
      <c r="MRK96"/>
      <c r="MRL96"/>
      <c r="MRM96"/>
      <c r="MRN96"/>
      <c r="MRO96"/>
      <c r="MRP96"/>
      <c r="MRQ96"/>
      <c r="MRR96"/>
      <c r="MRS96"/>
      <c r="MRT96"/>
      <c r="MRU96"/>
      <c r="MRV96"/>
      <c r="MRW96"/>
      <c r="MRX96"/>
      <c r="MRY96"/>
      <c r="MRZ96"/>
      <c r="MSA96"/>
      <c r="MSB96"/>
      <c r="MSC96"/>
      <c r="MSD96"/>
      <c r="MSE96"/>
      <c r="MSF96"/>
      <c r="MSG96"/>
      <c r="MSH96"/>
      <c r="MSI96"/>
      <c r="MSJ96"/>
      <c r="MSK96"/>
      <c r="MSL96"/>
      <c r="MSM96"/>
      <c r="MSN96"/>
      <c r="MSO96"/>
      <c r="MSP96"/>
      <c r="MSQ96"/>
      <c r="MSR96"/>
      <c r="MSS96"/>
      <c r="MST96"/>
      <c r="MSU96"/>
      <c r="MSV96"/>
      <c r="MSW96"/>
      <c r="MSX96"/>
      <c r="MSY96"/>
      <c r="MSZ96"/>
      <c r="MTA96"/>
      <c r="MTB96"/>
      <c r="MTC96"/>
      <c r="MTD96"/>
      <c r="MTE96"/>
      <c r="MTF96"/>
      <c r="MTG96"/>
      <c r="MTH96"/>
      <c r="MTI96"/>
      <c r="MTJ96"/>
      <c r="MTK96"/>
      <c r="MTL96"/>
      <c r="MTM96"/>
      <c r="MTN96"/>
      <c r="MTO96"/>
      <c r="MTP96"/>
      <c r="MTQ96"/>
      <c r="MTR96"/>
      <c r="MTS96"/>
      <c r="MTT96"/>
      <c r="MTU96"/>
      <c r="MTV96"/>
      <c r="MTW96"/>
      <c r="MTX96"/>
      <c r="MTY96"/>
      <c r="MTZ96"/>
      <c r="MUA96"/>
      <c r="MUB96"/>
      <c r="MUC96"/>
      <c r="MUD96"/>
      <c r="MUE96"/>
      <c r="MUF96"/>
      <c r="MUG96"/>
      <c r="MUH96"/>
      <c r="MUI96"/>
      <c r="MUJ96"/>
      <c r="MUK96"/>
      <c r="MUL96"/>
      <c r="MUM96"/>
      <c r="MUN96"/>
      <c r="MUO96"/>
      <c r="MUP96"/>
      <c r="MUQ96"/>
      <c r="MUR96"/>
      <c r="MUS96"/>
      <c r="MUT96"/>
      <c r="MUU96"/>
      <c r="MUV96"/>
      <c r="MUW96"/>
      <c r="MUX96"/>
      <c r="MUY96"/>
      <c r="MUZ96"/>
      <c r="MVA96"/>
      <c r="MVB96"/>
      <c r="MVC96"/>
      <c r="MVD96"/>
      <c r="MVE96"/>
      <c r="MVF96"/>
      <c r="MVG96"/>
      <c r="MVH96"/>
      <c r="MVI96"/>
      <c r="MVJ96"/>
      <c r="MVK96"/>
      <c r="MVL96"/>
      <c r="MVM96"/>
      <c r="MVN96"/>
      <c r="MVO96"/>
      <c r="MVP96"/>
      <c r="MVQ96"/>
      <c r="MVR96"/>
      <c r="MVS96"/>
      <c r="MVT96"/>
      <c r="MVU96"/>
      <c r="MVV96"/>
      <c r="MVW96"/>
      <c r="MVX96"/>
      <c r="MVY96"/>
      <c r="MVZ96"/>
      <c r="MWA96"/>
      <c r="MWB96"/>
      <c r="MWC96"/>
      <c r="MWD96"/>
      <c r="MWE96"/>
      <c r="MWF96"/>
      <c r="MWG96"/>
      <c r="MWH96"/>
      <c r="MWI96"/>
      <c r="MWJ96"/>
      <c r="MWK96"/>
      <c r="MWL96"/>
      <c r="MWM96"/>
      <c r="MWN96"/>
      <c r="MWO96"/>
      <c r="MWP96"/>
      <c r="MWQ96"/>
      <c r="MWR96"/>
      <c r="MWS96"/>
      <c r="MWT96"/>
      <c r="MWU96"/>
      <c r="MWV96"/>
      <c r="MWW96"/>
      <c r="MWX96"/>
      <c r="MWY96"/>
      <c r="MWZ96"/>
      <c r="MXA96"/>
      <c r="MXB96"/>
      <c r="MXC96"/>
      <c r="MXD96"/>
      <c r="MXE96"/>
      <c r="MXF96"/>
      <c r="MXG96"/>
      <c r="MXH96"/>
      <c r="MXI96"/>
      <c r="MXJ96"/>
      <c r="MXK96"/>
      <c r="MXL96"/>
      <c r="MXM96"/>
      <c r="MXN96"/>
      <c r="MXO96"/>
      <c r="MXP96"/>
      <c r="MXQ96"/>
      <c r="MXR96"/>
      <c r="MXS96"/>
      <c r="MXT96"/>
      <c r="MXU96"/>
      <c r="MXV96"/>
      <c r="MXW96"/>
      <c r="MXX96"/>
      <c r="MXY96"/>
      <c r="MXZ96"/>
      <c r="MYA96"/>
      <c r="MYB96"/>
      <c r="MYC96"/>
      <c r="MYD96"/>
      <c r="MYE96"/>
      <c r="MYF96"/>
      <c r="MYG96"/>
      <c r="MYH96"/>
      <c r="MYI96"/>
      <c r="MYJ96"/>
      <c r="MYK96"/>
      <c r="MYL96"/>
      <c r="MYM96"/>
      <c r="MYN96"/>
      <c r="MYO96"/>
      <c r="MYP96"/>
      <c r="MYQ96"/>
      <c r="MYR96"/>
      <c r="MYS96"/>
      <c r="MYT96"/>
      <c r="MYU96"/>
      <c r="MYV96"/>
      <c r="MYW96"/>
      <c r="MYX96"/>
      <c r="MYY96"/>
      <c r="MYZ96"/>
      <c r="MZA96"/>
      <c r="MZB96"/>
      <c r="MZC96"/>
      <c r="MZD96"/>
      <c r="MZE96"/>
      <c r="MZF96"/>
      <c r="MZG96"/>
      <c r="MZH96"/>
      <c r="MZI96"/>
      <c r="MZJ96"/>
      <c r="MZK96"/>
      <c r="MZL96"/>
      <c r="MZM96"/>
      <c r="MZN96"/>
      <c r="MZO96"/>
      <c r="MZP96"/>
      <c r="MZQ96"/>
      <c r="MZR96"/>
      <c r="MZS96"/>
      <c r="MZT96"/>
      <c r="MZU96"/>
      <c r="MZV96"/>
      <c r="MZW96"/>
      <c r="MZX96"/>
      <c r="MZY96"/>
      <c r="MZZ96"/>
      <c r="NAA96"/>
      <c r="NAB96"/>
      <c r="NAC96"/>
      <c r="NAD96"/>
      <c r="NAE96"/>
      <c r="NAF96"/>
      <c r="NAG96"/>
      <c r="NAH96"/>
      <c r="NAI96"/>
      <c r="NAJ96"/>
      <c r="NAK96"/>
      <c r="NAL96"/>
      <c r="NAM96"/>
      <c r="NAN96"/>
      <c r="NAO96"/>
      <c r="NAP96"/>
      <c r="NAQ96"/>
      <c r="NAR96"/>
      <c r="NAS96"/>
      <c r="NAT96"/>
      <c r="NAU96"/>
      <c r="NAV96"/>
      <c r="NAW96"/>
      <c r="NAX96"/>
      <c r="NAY96"/>
      <c r="NAZ96"/>
      <c r="NBA96"/>
      <c r="NBB96"/>
      <c r="NBC96"/>
      <c r="NBD96"/>
      <c r="NBE96"/>
      <c r="NBF96"/>
      <c r="NBG96"/>
      <c r="NBH96"/>
      <c r="NBI96"/>
      <c r="NBJ96"/>
      <c r="NBK96"/>
      <c r="NBL96"/>
      <c r="NBM96"/>
      <c r="NBN96"/>
      <c r="NBO96"/>
      <c r="NBP96"/>
      <c r="NBQ96"/>
      <c r="NBR96"/>
      <c r="NBS96"/>
      <c r="NBT96"/>
      <c r="NBU96"/>
      <c r="NBV96"/>
      <c r="NBW96"/>
      <c r="NBX96"/>
      <c r="NBY96"/>
      <c r="NBZ96"/>
      <c r="NCA96"/>
      <c r="NCB96"/>
      <c r="NCC96"/>
      <c r="NCD96"/>
      <c r="NCE96"/>
      <c r="NCF96"/>
      <c r="NCG96"/>
      <c r="NCH96"/>
      <c r="NCI96"/>
      <c r="NCJ96"/>
      <c r="NCK96"/>
      <c r="NCL96"/>
      <c r="NCM96"/>
      <c r="NCN96"/>
      <c r="NCO96"/>
      <c r="NCP96"/>
      <c r="NCQ96"/>
      <c r="NCR96"/>
      <c r="NCS96"/>
      <c r="NCT96"/>
      <c r="NCU96"/>
      <c r="NCV96"/>
      <c r="NCW96"/>
      <c r="NCX96"/>
      <c r="NCY96"/>
      <c r="NCZ96"/>
      <c r="NDA96"/>
      <c r="NDB96"/>
      <c r="NDC96"/>
      <c r="NDD96"/>
      <c r="NDE96"/>
      <c r="NDF96"/>
      <c r="NDG96"/>
      <c r="NDH96"/>
      <c r="NDI96"/>
      <c r="NDJ96"/>
      <c r="NDK96"/>
      <c r="NDL96"/>
      <c r="NDM96"/>
      <c r="NDN96"/>
      <c r="NDO96"/>
      <c r="NDP96"/>
      <c r="NDQ96"/>
      <c r="NDR96"/>
      <c r="NDS96"/>
      <c r="NDT96"/>
      <c r="NDU96"/>
      <c r="NDV96"/>
      <c r="NDW96"/>
      <c r="NDX96"/>
      <c r="NDY96"/>
      <c r="NDZ96"/>
      <c r="NEA96"/>
      <c r="NEB96"/>
      <c r="NEC96"/>
      <c r="NED96"/>
      <c r="NEE96"/>
      <c r="NEF96"/>
      <c r="NEG96"/>
      <c r="NEH96"/>
      <c r="NEI96"/>
      <c r="NEJ96"/>
      <c r="NEK96"/>
      <c r="NEL96"/>
      <c r="NEM96"/>
      <c r="NEN96"/>
      <c r="NEO96"/>
      <c r="NEP96"/>
      <c r="NEQ96"/>
      <c r="NER96"/>
      <c r="NES96"/>
      <c r="NET96"/>
      <c r="NEU96"/>
      <c r="NEV96"/>
      <c r="NEW96"/>
      <c r="NEX96"/>
      <c r="NEY96"/>
      <c r="NEZ96"/>
      <c r="NFA96"/>
      <c r="NFB96"/>
      <c r="NFC96"/>
      <c r="NFD96"/>
      <c r="NFE96"/>
      <c r="NFF96"/>
      <c r="NFG96"/>
      <c r="NFH96"/>
      <c r="NFI96"/>
      <c r="NFJ96"/>
      <c r="NFK96"/>
      <c r="NFL96"/>
      <c r="NFM96"/>
      <c r="NFN96"/>
      <c r="NFO96"/>
      <c r="NFP96"/>
      <c r="NFQ96"/>
      <c r="NFR96"/>
      <c r="NFS96"/>
      <c r="NFT96"/>
      <c r="NFU96"/>
      <c r="NFV96"/>
      <c r="NFW96"/>
      <c r="NFX96"/>
      <c r="NFY96"/>
      <c r="NFZ96"/>
      <c r="NGA96"/>
      <c r="NGB96"/>
      <c r="NGC96"/>
      <c r="NGD96"/>
      <c r="NGE96"/>
      <c r="NGF96"/>
      <c r="NGG96"/>
      <c r="NGH96"/>
      <c r="NGI96"/>
      <c r="NGJ96"/>
      <c r="NGK96"/>
      <c r="NGL96"/>
      <c r="NGM96"/>
      <c r="NGN96"/>
      <c r="NGO96"/>
      <c r="NGP96"/>
      <c r="NGQ96"/>
      <c r="NGR96"/>
      <c r="NGS96"/>
      <c r="NGT96"/>
      <c r="NGU96"/>
      <c r="NGV96"/>
      <c r="NGW96"/>
      <c r="NGX96"/>
      <c r="NGY96"/>
      <c r="NGZ96"/>
      <c r="NHA96"/>
      <c r="NHB96"/>
      <c r="NHC96"/>
      <c r="NHD96"/>
      <c r="NHE96"/>
      <c r="NHF96"/>
      <c r="NHG96"/>
      <c r="NHH96"/>
      <c r="NHI96"/>
      <c r="NHJ96"/>
      <c r="NHK96"/>
      <c r="NHL96"/>
      <c r="NHM96"/>
      <c r="NHN96"/>
      <c r="NHO96"/>
      <c r="NHP96"/>
      <c r="NHQ96"/>
      <c r="NHR96"/>
      <c r="NHS96"/>
      <c r="NHT96"/>
      <c r="NHU96"/>
      <c r="NHV96"/>
      <c r="NHW96"/>
      <c r="NHX96"/>
      <c r="NHY96"/>
      <c r="NHZ96"/>
      <c r="NIA96"/>
      <c r="NIB96"/>
      <c r="NIC96"/>
      <c r="NID96"/>
      <c r="NIE96"/>
      <c r="NIF96"/>
      <c r="NIG96"/>
      <c r="NIH96"/>
      <c r="NII96"/>
      <c r="NIJ96"/>
      <c r="NIK96"/>
      <c r="NIL96"/>
      <c r="NIM96"/>
      <c r="NIN96"/>
      <c r="NIO96"/>
      <c r="NIP96"/>
      <c r="NIQ96"/>
      <c r="NIR96"/>
      <c r="NIS96"/>
      <c r="NIT96"/>
      <c r="NIU96"/>
      <c r="NIV96"/>
      <c r="NIW96"/>
      <c r="NIX96"/>
      <c r="NIY96"/>
      <c r="NIZ96"/>
      <c r="NJA96"/>
      <c r="NJB96"/>
      <c r="NJC96"/>
      <c r="NJD96"/>
      <c r="NJE96"/>
      <c r="NJF96"/>
      <c r="NJG96"/>
      <c r="NJH96"/>
      <c r="NJI96"/>
      <c r="NJJ96"/>
      <c r="NJK96"/>
      <c r="NJL96"/>
      <c r="NJM96"/>
      <c r="NJN96"/>
      <c r="NJO96"/>
      <c r="NJP96"/>
      <c r="NJQ96"/>
      <c r="NJR96"/>
      <c r="NJS96"/>
      <c r="NJT96"/>
      <c r="NJU96"/>
      <c r="NJV96"/>
      <c r="NJW96"/>
      <c r="NJX96"/>
      <c r="NJY96"/>
      <c r="NJZ96"/>
      <c r="NKA96"/>
      <c r="NKB96"/>
      <c r="NKC96"/>
      <c r="NKD96"/>
      <c r="NKE96"/>
      <c r="NKF96"/>
      <c r="NKG96"/>
      <c r="NKH96"/>
      <c r="NKI96"/>
      <c r="NKJ96"/>
      <c r="NKK96"/>
      <c r="NKL96"/>
      <c r="NKM96"/>
      <c r="NKN96"/>
      <c r="NKO96"/>
      <c r="NKP96"/>
      <c r="NKQ96"/>
      <c r="NKR96"/>
      <c r="NKS96"/>
      <c r="NKT96"/>
      <c r="NKU96"/>
      <c r="NKV96"/>
      <c r="NKW96"/>
      <c r="NKX96"/>
      <c r="NKY96"/>
      <c r="NKZ96"/>
      <c r="NLA96"/>
      <c r="NLB96"/>
      <c r="NLC96"/>
      <c r="NLD96"/>
      <c r="NLE96"/>
      <c r="NLF96"/>
      <c r="NLG96"/>
      <c r="NLH96"/>
      <c r="NLI96"/>
      <c r="NLJ96"/>
      <c r="NLK96"/>
      <c r="NLL96"/>
      <c r="NLM96"/>
      <c r="NLN96"/>
      <c r="NLO96"/>
      <c r="NLP96"/>
      <c r="NLQ96"/>
      <c r="NLR96"/>
      <c r="NLS96"/>
      <c r="NLT96"/>
      <c r="NLU96"/>
      <c r="NLV96"/>
      <c r="NLW96"/>
      <c r="NLX96"/>
      <c r="NLY96"/>
      <c r="NLZ96"/>
      <c r="NMA96"/>
      <c r="NMB96"/>
      <c r="NMC96"/>
      <c r="NMD96"/>
      <c r="NME96"/>
      <c r="NMF96"/>
      <c r="NMG96"/>
      <c r="NMH96"/>
      <c r="NMI96"/>
      <c r="NMJ96"/>
      <c r="NMK96"/>
      <c r="NML96"/>
      <c r="NMM96"/>
      <c r="NMN96"/>
      <c r="NMO96"/>
      <c r="NMP96"/>
      <c r="NMQ96"/>
      <c r="NMR96"/>
      <c r="NMS96"/>
      <c r="NMT96"/>
      <c r="NMU96"/>
      <c r="NMV96"/>
      <c r="NMW96"/>
      <c r="NMX96"/>
      <c r="NMY96"/>
      <c r="NMZ96"/>
      <c r="NNA96"/>
      <c r="NNB96"/>
      <c r="NNC96"/>
      <c r="NND96"/>
      <c r="NNE96"/>
      <c r="NNF96"/>
      <c r="NNG96"/>
      <c r="NNH96"/>
      <c r="NNI96"/>
      <c r="NNJ96"/>
      <c r="NNK96"/>
      <c r="NNL96"/>
      <c r="NNM96"/>
      <c r="NNN96"/>
      <c r="NNO96"/>
      <c r="NNP96"/>
      <c r="NNQ96"/>
      <c r="NNR96"/>
      <c r="NNS96"/>
      <c r="NNT96"/>
      <c r="NNU96"/>
      <c r="NNV96"/>
      <c r="NNW96"/>
      <c r="NNX96"/>
      <c r="NNY96"/>
      <c r="NNZ96"/>
      <c r="NOA96"/>
      <c r="NOB96"/>
      <c r="NOC96"/>
      <c r="NOD96"/>
      <c r="NOE96"/>
      <c r="NOF96"/>
      <c r="NOG96"/>
      <c r="NOH96"/>
      <c r="NOI96"/>
      <c r="NOJ96"/>
      <c r="NOK96"/>
      <c r="NOL96"/>
      <c r="NOM96"/>
      <c r="NON96"/>
      <c r="NOO96"/>
      <c r="NOP96"/>
      <c r="NOQ96"/>
      <c r="NOR96"/>
      <c r="NOS96"/>
      <c r="NOT96"/>
      <c r="NOU96"/>
      <c r="NOV96"/>
      <c r="NOW96"/>
      <c r="NOX96"/>
      <c r="NOY96"/>
      <c r="NOZ96"/>
      <c r="NPA96"/>
      <c r="NPB96"/>
      <c r="NPC96"/>
      <c r="NPD96"/>
      <c r="NPE96"/>
      <c r="NPF96"/>
      <c r="NPG96"/>
      <c r="NPH96"/>
      <c r="NPI96"/>
      <c r="NPJ96"/>
      <c r="NPK96"/>
      <c r="NPL96"/>
      <c r="NPM96"/>
      <c r="NPN96"/>
      <c r="NPO96"/>
      <c r="NPP96"/>
      <c r="NPQ96"/>
      <c r="NPR96"/>
      <c r="NPS96"/>
      <c r="NPT96"/>
      <c r="NPU96"/>
      <c r="NPV96"/>
      <c r="NPW96"/>
      <c r="NPX96"/>
      <c r="NPY96"/>
      <c r="NPZ96"/>
      <c r="NQA96"/>
      <c r="NQB96"/>
      <c r="NQC96"/>
      <c r="NQD96"/>
      <c r="NQE96"/>
      <c r="NQF96"/>
      <c r="NQG96"/>
      <c r="NQH96"/>
      <c r="NQI96"/>
      <c r="NQJ96"/>
      <c r="NQK96"/>
      <c r="NQL96"/>
      <c r="NQM96"/>
      <c r="NQN96"/>
      <c r="NQO96"/>
      <c r="NQP96"/>
      <c r="NQQ96"/>
      <c r="NQR96"/>
      <c r="NQS96"/>
      <c r="NQT96"/>
      <c r="NQU96"/>
      <c r="NQV96"/>
      <c r="NQW96"/>
      <c r="NQX96"/>
      <c r="NQY96"/>
      <c r="NQZ96"/>
      <c r="NRA96"/>
      <c r="NRB96"/>
      <c r="NRC96"/>
      <c r="NRD96"/>
      <c r="NRE96"/>
      <c r="NRF96"/>
      <c r="NRG96"/>
      <c r="NRH96"/>
      <c r="NRI96"/>
      <c r="NRJ96"/>
      <c r="NRK96"/>
      <c r="NRL96"/>
      <c r="NRM96"/>
      <c r="NRN96"/>
      <c r="NRO96"/>
      <c r="NRP96"/>
      <c r="NRQ96"/>
      <c r="NRR96"/>
      <c r="NRS96"/>
      <c r="NRT96"/>
      <c r="NRU96"/>
      <c r="NRV96"/>
      <c r="NRW96"/>
      <c r="NRX96"/>
      <c r="NRY96"/>
      <c r="NRZ96"/>
      <c r="NSA96"/>
      <c r="NSB96"/>
      <c r="NSC96"/>
      <c r="NSD96"/>
      <c r="NSE96"/>
      <c r="NSF96"/>
      <c r="NSG96"/>
      <c r="NSH96"/>
      <c r="NSI96"/>
      <c r="NSJ96"/>
      <c r="NSK96"/>
      <c r="NSL96"/>
      <c r="NSM96"/>
      <c r="NSN96"/>
      <c r="NSO96"/>
      <c r="NSP96"/>
      <c r="NSQ96"/>
      <c r="NSR96"/>
      <c r="NSS96"/>
      <c r="NST96"/>
      <c r="NSU96"/>
      <c r="NSV96"/>
      <c r="NSW96"/>
      <c r="NSX96"/>
      <c r="NSY96"/>
      <c r="NSZ96"/>
      <c r="NTA96"/>
      <c r="NTB96"/>
      <c r="NTC96"/>
      <c r="NTD96"/>
      <c r="NTE96"/>
      <c r="NTF96"/>
      <c r="NTG96"/>
      <c r="NTH96"/>
      <c r="NTI96"/>
      <c r="NTJ96"/>
      <c r="NTK96"/>
      <c r="NTL96"/>
      <c r="NTM96"/>
      <c r="NTN96"/>
      <c r="NTO96"/>
      <c r="NTP96"/>
      <c r="NTQ96"/>
      <c r="NTR96"/>
      <c r="NTS96"/>
      <c r="NTT96"/>
      <c r="NTU96"/>
      <c r="NTV96"/>
      <c r="NTW96"/>
      <c r="NTX96"/>
      <c r="NTY96"/>
      <c r="NTZ96"/>
      <c r="NUA96"/>
      <c r="NUB96"/>
      <c r="NUC96"/>
      <c r="NUD96"/>
      <c r="NUE96"/>
      <c r="NUF96"/>
      <c r="NUG96"/>
      <c r="NUH96"/>
      <c r="NUI96"/>
      <c r="NUJ96"/>
      <c r="NUK96"/>
      <c r="NUL96"/>
      <c r="NUM96"/>
      <c r="NUN96"/>
      <c r="NUO96"/>
      <c r="NUP96"/>
      <c r="NUQ96"/>
      <c r="NUR96"/>
      <c r="NUS96"/>
      <c r="NUT96"/>
      <c r="NUU96"/>
      <c r="NUV96"/>
      <c r="NUW96"/>
      <c r="NUX96"/>
      <c r="NUY96"/>
      <c r="NUZ96"/>
      <c r="NVA96"/>
      <c r="NVB96"/>
      <c r="NVC96"/>
      <c r="NVD96"/>
      <c r="NVE96"/>
      <c r="NVF96"/>
      <c r="NVG96"/>
      <c r="NVH96"/>
      <c r="NVI96"/>
      <c r="NVJ96"/>
      <c r="NVK96"/>
      <c r="NVL96"/>
      <c r="NVM96"/>
      <c r="NVN96"/>
      <c r="NVO96"/>
      <c r="NVP96"/>
      <c r="NVQ96"/>
      <c r="NVR96"/>
      <c r="NVS96"/>
      <c r="NVT96"/>
      <c r="NVU96"/>
      <c r="NVV96"/>
      <c r="NVW96"/>
      <c r="NVX96"/>
      <c r="NVY96"/>
      <c r="NVZ96"/>
      <c r="NWA96"/>
      <c r="NWB96"/>
      <c r="NWC96"/>
      <c r="NWD96"/>
      <c r="NWE96"/>
      <c r="NWF96"/>
      <c r="NWG96"/>
      <c r="NWH96"/>
      <c r="NWI96"/>
      <c r="NWJ96"/>
      <c r="NWK96"/>
      <c r="NWL96"/>
      <c r="NWM96"/>
      <c r="NWN96"/>
      <c r="NWO96"/>
      <c r="NWP96"/>
      <c r="NWQ96"/>
      <c r="NWR96"/>
      <c r="NWS96"/>
      <c r="NWT96"/>
      <c r="NWU96"/>
      <c r="NWV96"/>
      <c r="NWW96"/>
      <c r="NWX96"/>
      <c r="NWY96"/>
      <c r="NWZ96"/>
      <c r="NXA96"/>
      <c r="NXB96"/>
      <c r="NXC96"/>
      <c r="NXD96"/>
      <c r="NXE96"/>
      <c r="NXF96"/>
      <c r="NXG96"/>
      <c r="NXH96"/>
      <c r="NXI96"/>
      <c r="NXJ96"/>
      <c r="NXK96"/>
      <c r="NXL96"/>
      <c r="NXM96"/>
      <c r="NXN96"/>
      <c r="NXO96"/>
      <c r="NXP96"/>
      <c r="NXQ96"/>
      <c r="NXR96"/>
      <c r="NXS96"/>
      <c r="NXT96"/>
      <c r="NXU96"/>
      <c r="NXV96"/>
      <c r="NXW96"/>
      <c r="NXX96"/>
      <c r="NXY96"/>
      <c r="NXZ96"/>
      <c r="NYA96"/>
      <c r="NYB96"/>
      <c r="NYC96"/>
      <c r="NYD96"/>
      <c r="NYE96"/>
      <c r="NYF96"/>
      <c r="NYG96"/>
      <c r="NYH96"/>
      <c r="NYI96"/>
      <c r="NYJ96"/>
      <c r="NYK96"/>
      <c r="NYL96"/>
      <c r="NYM96"/>
      <c r="NYN96"/>
      <c r="NYO96"/>
      <c r="NYP96"/>
      <c r="NYQ96"/>
      <c r="NYR96"/>
      <c r="NYS96"/>
      <c r="NYT96"/>
      <c r="NYU96"/>
      <c r="NYV96"/>
      <c r="NYW96"/>
      <c r="NYX96"/>
      <c r="NYY96"/>
      <c r="NYZ96"/>
      <c r="NZA96"/>
      <c r="NZB96"/>
      <c r="NZC96"/>
      <c r="NZD96"/>
      <c r="NZE96"/>
      <c r="NZF96"/>
      <c r="NZG96"/>
      <c r="NZH96"/>
      <c r="NZI96"/>
      <c r="NZJ96"/>
      <c r="NZK96"/>
      <c r="NZL96"/>
      <c r="NZM96"/>
      <c r="NZN96"/>
      <c r="NZO96"/>
      <c r="NZP96"/>
      <c r="NZQ96"/>
      <c r="NZR96"/>
      <c r="NZS96"/>
      <c r="NZT96"/>
      <c r="NZU96"/>
      <c r="NZV96"/>
      <c r="NZW96"/>
      <c r="NZX96"/>
      <c r="NZY96"/>
      <c r="NZZ96"/>
      <c r="OAA96"/>
      <c r="OAB96"/>
      <c r="OAC96"/>
      <c r="OAD96"/>
      <c r="OAE96"/>
      <c r="OAF96"/>
      <c r="OAG96"/>
      <c r="OAH96"/>
      <c r="OAI96"/>
      <c r="OAJ96"/>
      <c r="OAK96"/>
      <c r="OAL96"/>
      <c r="OAM96"/>
      <c r="OAN96"/>
      <c r="OAO96"/>
      <c r="OAP96"/>
      <c r="OAQ96"/>
      <c r="OAR96"/>
      <c r="OAS96"/>
      <c r="OAT96"/>
      <c r="OAU96"/>
      <c r="OAV96"/>
      <c r="OAW96"/>
      <c r="OAX96"/>
      <c r="OAY96"/>
      <c r="OAZ96"/>
      <c r="OBA96"/>
      <c r="OBB96"/>
      <c r="OBC96"/>
      <c r="OBD96"/>
      <c r="OBE96"/>
      <c r="OBF96"/>
      <c r="OBG96"/>
      <c r="OBH96"/>
      <c r="OBI96"/>
      <c r="OBJ96"/>
      <c r="OBK96"/>
      <c r="OBL96"/>
      <c r="OBM96"/>
      <c r="OBN96"/>
      <c r="OBO96"/>
      <c r="OBP96"/>
      <c r="OBQ96"/>
      <c r="OBR96"/>
      <c r="OBS96"/>
      <c r="OBT96"/>
      <c r="OBU96"/>
      <c r="OBV96"/>
      <c r="OBW96"/>
      <c r="OBX96"/>
      <c r="OBY96"/>
      <c r="OBZ96"/>
      <c r="OCA96"/>
      <c r="OCB96"/>
      <c r="OCC96"/>
      <c r="OCD96"/>
      <c r="OCE96"/>
      <c r="OCF96"/>
      <c r="OCG96"/>
      <c r="OCH96"/>
      <c r="OCI96"/>
      <c r="OCJ96"/>
      <c r="OCK96"/>
      <c r="OCL96"/>
      <c r="OCM96"/>
      <c r="OCN96"/>
      <c r="OCO96"/>
      <c r="OCP96"/>
      <c r="OCQ96"/>
      <c r="OCR96"/>
      <c r="OCS96"/>
      <c r="OCT96"/>
      <c r="OCU96"/>
      <c r="OCV96"/>
      <c r="OCW96"/>
      <c r="OCX96"/>
      <c r="OCY96"/>
      <c r="OCZ96"/>
      <c r="ODA96"/>
      <c r="ODB96"/>
      <c r="ODC96"/>
      <c r="ODD96"/>
      <c r="ODE96"/>
      <c r="ODF96"/>
      <c r="ODG96"/>
      <c r="ODH96"/>
      <c r="ODI96"/>
      <c r="ODJ96"/>
      <c r="ODK96"/>
      <c r="ODL96"/>
      <c r="ODM96"/>
      <c r="ODN96"/>
      <c r="ODO96"/>
      <c r="ODP96"/>
      <c r="ODQ96"/>
      <c r="ODR96"/>
      <c r="ODS96"/>
      <c r="ODT96"/>
      <c r="ODU96"/>
      <c r="ODV96"/>
      <c r="ODW96"/>
      <c r="ODX96"/>
      <c r="ODY96"/>
      <c r="ODZ96"/>
      <c r="OEA96"/>
      <c r="OEB96"/>
      <c r="OEC96"/>
      <c r="OED96"/>
      <c r="OEE96"/>
      <c r="OEF96"/>
      <c r="OEG96"/>
      <c r="OEH96"/>
      <c r="OEI96"/>
      <c r="OEJ96"/>
      <c r="OEK96"/>
      <c r="OEL96"/>
      <c r="OEM96"/>
      <c r="OEN96"/>
      <c r="OEO96"/>
      <c r="OEP96"/>
      <c r="OEQ96"/>
      <c r="OER96"/>
      <c r="OES96"/>
      <c r="OET96"/>
      <c r="OEU96"/>
      <c r="OEV96"/>
      <c r="OEW96"/>
      <c r="OEX96"/>
      <c r="OEY96"/>
      <c r="OEZ96"/>
      <c r="OFA96"/>
      <c r="OFB96"/>
      <c r="OFC96"/>
      <c r="OFD96"/>
      <c r="OFE96"/>
      <c r="OFF96"/>
      <c r="OFG96"/>
      <c r="OFH96"/>
      <c r="OFI96"/>
      <c r="OFJ96"/>
      <c r="OFK96"/>
      <c r="OFL96"/>
      <c r="OFM96"/>
      <c r="OFN96"/>
      <c r="OFO96"/>
      <c r="OFP96"/>
      <c r="OFQ96"/>
      <c r="OFR96"/>
      <c r="OFS96"/>
      <c r="OFT96"/>
      <c r="OFU96"/>
      <c r="OFV96"/>
      <c r="OFW96"/>
      <c r="OFX96"/>
      <c r="OFY96"/>
      <c r="OFZ96"/>
      <c r="OGA96"/>
      <c r="OGB96"/>
      <c r="OGC96"/>
      <c r="OGD96"/>
      <c r="OGE96"/>
      <c r="OGF96"/>
      <c r="OGG96"/>
      <c r="OGH96"/>
      <c r="OGI96"/>
      <c r="OGJ96"/>
      <c r="OGK96"/>
      <c r="OGL96"/>
      <c r="OGM96"/>
      <c r="OGN96"/>
      <c r="OGO96"/>
      <c r="OGP96"/>
      <c r="OGQ96"/>
      <c r="OGR96"/>
      <c r="OGS96"/>
      <c r="OGT96"/>
      <c r="OGU96"/>
      <c r="OGV96"/>
      <c r="OGW96"/>
      <c r="OGX96"/>
      <c r="OGY96"/>
      <c r="OGZ96"/>
      <c r="OHA96"/>
      <c r="OHB96"/>
      <c r="OHC96"/>
      <c r="OHD96"/>
      <c r="OHE96"/>
      <c r="OHF96"/>
      <c r="OHG96"/>
      <c r="OHH96"/>
      <c r="OHI96"/>
      <c r="OHJ96"/>
      <c r="OHK96"/>
      <c r="OHL96"/>
      <c r="OHM96"/>
      <c r="OHN96"/>
      <c r="OHO96"/>
      <c r="OHP96"/>
      <c r="OHQ96"/>
      <c r="OHR96"/>
      <c r="OHS96"/>
      <c r="OHT96"/>
      <c r="OHU96"/>
      <c r="OHV96"/>
      <c r="OHW96"/>
      <c r="OHX96"/>
      <c r="OHY96"/>
      <c r="OHZ96"/>
      <c r="OIA96"/>
      <c r="OIB96"/>
      <c r="OIC96"/>
      <c r="OID96"/>
      <c r="OIE96"/>
      <c r="OIF96"/>
      <c r="OIG96"/>
      <c r="OIH96"/>
      <c r="OII96"/>
      <c r="OIJ96"/>
      <c r="OIK96"/>
      <c r="OIL96"/>
      <c r="OIM96"/>
      <c r="OIN96"/>
      <c r="OIO96"/>
      <c r="OIP96"/>
      <c r="OIQ96"/>
      <c r="OIR96"/>
      <c r="OIS96"/>
      <c r="OIT96"/>
      <c r="OIU96"/>
      <c r="OIV96"/>
      <c r="OIW96"/>
      <c r="OIX96"/>
      <c r="OIY96"/>
      <c r="OIZ96"/>
      <c r="OJA96"/>
      <c r="OJB96"/>
      <c r="OJC96"/>
      <c r="OJD96"/>
      <c r="OJE96"/>
      <c r="OJF96"/>
      <c r="OJG96"/>
      <c r="OJH96"/>
      <c r="OJI96"/>
      <c r="OJJ96"/>
      <c r="OJK96"/>
      <c r="OJL96"/>
      <c r="OJM96"/>
      <c r="OJN96"/>
      <c r="OJO96"/>
      <c r="OJP96"/>
      <c r="OJQ96"/>
      <c r="OJR96"/>
      <c r="OJS96"/>
      <c r="OJT96"/>
      <c r="OJU96"/>
      <c r="OJV96"/>
      <c r="OJW96"/>
      <c r="OJX96"/>
      <c r="OJY96"/>
      <c r="OJZ96"/>
      <c r="OKA96"/>
      <c r="OKB96"/>
      <c r="OKC96"/>
      <c r="OKD96"/>
      <c r="OKE96"/>
      <c r="OKF96"/>
      <c r="OKG96"/>
      <c r="OKH96"/>
      <c r="OKI96"/>
      <c r="OKJ96"/>
      <c r="OKK96"/>
      <c r="OKL96"/>
      <c r="OKM96"/>
      <c r="OKN96"/>
      <c r="OKO96"/>
      <c r="OKP96"/>
      <c r="OKQ96"/>
      <c r="OKR96"/>
      <c r="OKS96"/>
      <c r="OKT96"/>
      <c r="OKU96"/>
      <c r="OKV96"/>
      <c r="OKW96"/>
      <c r="OKX96"/>
      <c r="OKY96"/>
      <c r="OKZ96"/>
      <c r="OLA96"/>
      <c r="OLB96"/>
      <c r="OLC96"/>
      <c r="OLD96"/>
      <c r="OLE96"/>
      <c r="OLF96"/>
      <c r="OLG96"/>
      <c r="OLH96"/>
      <c r="OLI96"/>
      <c r="OLJ96"/>
      <c r="OLK96"/>
      <c r="OLL96"/>
      <c r="OLM96"/>
      <c r="OLN96"/>
      <c r="OLO96"/>
      <c r="OLP96"/>
      <c r="OLQ96"/>
      <c r="OLR96"/>
      <c r="OLS96"/>
      <c r="OLT96"/>
      <c r="OLU96"/>
      <c r="OLV96"/>
      <c r="OLW96"/>
      <c r="OLX96"/>
      <c r="OLY96"/>
      <c r="OLZ96"/>
      <c r="OMA96"/>
      <c r="OMB96"/>
      <c r="OMC96"/>
      <c r="OMD96"/>
      <c r="OME96"/>
      <c r="OMF96"/>
      <c r="OMG96"/>
      <c r="OMH96"/>
      <c r="OMI96"/>
      <c r="OMJ96"/>
      <c r="OMK96"/>
      <c r="OML96"/>
      <c r="OMM96"/>
      <c r="OMN96"/>
      <c r="OMO96"/>
      <c r="OMP96"/>
      <c r="OMQ96"/>
      <c r="OMR96"/>
      <c r="OMS96"/>
      <c r="OMT96"/>
      <c r="OMU96"/>
      <c r="OMV96"/>
      <c r="OMW96"/>
      <c r="OMX96"/>
      <c r="OMY96"/>
      <c r="OMZ96"/>
      <c r="ONA96"/>
      <c r="ONB96"/>
      <c r="ONC96"/>
      <c r="OND96"/>
      <c r="ONE96"/>
      <c r="ONF96"/>
      <c r="ONG96"/>
      <c r="ONH96"/>
      <c r="ONI96"/>
      <c r="ONJ96"/>
      <c r="ONK96"/>
      <c r="ONL96"/>
      <c r="ONM96"/>
      <c r="ONN96"/>
      <c r="ONO96"/>
      <c r="ONP96"/>
      <c r="ONQ96"/>
      <c r="ONR96"/>
      <c r="ONS96"/>
      <c r="ONT96"/>
      <c r="ONU96"/>
      <c r="ONV96"/>
      <c r="ONW96"/>
      <c r="ONX96"/>
      <c r="ONY96"/>
      <c r="ONZ96"/>
      <c r="OOA96"/>
      <c r="OOB96"/>
      <c r="OOC96"/>
      <c r="OOD96"/>
      <c r="OOE96"/>
      <c r="OOF96"/>
      <c r="OOG96"/>
      <c r="OOH96"/>
      <c r="OOI96"/>
      <c r="OOJ96"/>
      <c r="OOK96"/>
      <c r="OOL96"/>
      <c r="OOM96"/>
      <c r="OON96"/>
      <c r="OOO96"/>
      <c r="OOP96"/>
      <c r="OOQ96"/>
      <c r="OOR96"/>
      <c r="OOS96"/>
      <c r="OOT96"/>
      <c r="OOU96"/>
      <c r="OOV96"/>
      <c r="OOW96"/>
      <c r="OOX96"/>
      <c r="OOY96"/>
      <c r="OOZ96"/>
      <c r="OPA96"/>
      <c r="OPB96"/>
      <c r="OPC96"/>
      <c r="OPD96"/>
      <c r="OPE96"/>
      <c r="OPF96"/>
      <c r="OPG96"/>
      <c r="OPH96"/>
      <c r="OPI96"/>
      <c r="OPJ96"/>
      <c r="OPK96"/>
      <c r="OPL96"/>
      <c r="OPM96"/>
      <c r="OPN96"/>
      <c r="OPO96"/>
      <c r="OPP96"/>
      <c r="OPQ96"/>
      <c r="OPR96"/>
      <c r="OPS96"/>
      <c r="OPT96"/>
      <c r="OPU96"/>
      <c r="OPV96"/>
      <c r="OPW96"/>
      <c r="OPX96"/>
      <c r="OPY96"/>
      <c r="OPZ96"/>
      <c r="OQA96"/>
      <c r="OQB96"/>
      <c r="OQC96"/>
      <c r="OQD96"/>
      <c r="OQE96"/>
      <c r="OQF96"/>
      <c r="OQG96"/>
      <c r="OQH96"/>
      <c r="OQI96"/>
      <c r="OQJ96"/>
      <c r="OQK96"/>
      <c r="OQL96"/>
      <c r="OQM96"/>
      <c r="OQN96"/>
      <c r="OQO96"/>
      <c r="OQP96"/>
      <c r="OQQ96"/>
      <c r="OQR96"/>
      <c r="OQS96"/>
      <c r="OQT96"/>
      <c r="OQU96"/>
      <c r="OQV96"/>
      <c r="OQW96"/>
      <c r="OQX96"/>
      <c r="OQY96"/>
      <c r="OQZ96"/>
      <c r="ORA96"/>
      <c r="ORB96"/>
      <c r="ORC96"/>
      <c r="ORD96"/>
      <c r="ORE96"/>
      <c r="ORF96"/>
      <c r="ORG96"/>
      <c r="ORH96"/>
      <c r="ORI96"/>
      <c r="ORJ96"/>
      <c r="ORK96"/>
      <c r="ORL96"/>
      <c r="ORM96"/>
      <c r="ORN96"/>
      <c r="ORO96"/>
      <c r="ORP96"/>
      <c r="ORQ96"/>
      <c r="ORR96"/>
      <c r="ORS96"/>
      <c r="ORT96"/>
      <c r="ORU96"/>
      <c r="ORV96"/>
      <c r="ORW96"/>
      <c r="ORX96"/>
      <c r="ORY96"/>
      <c r="ORZ96"/>
      <c r="OSA96"/>
      <c r="OSB96"/>
      <c r="OSC96"/>
      <c r="OSD96"/>
      <c r="OSE96"/>
      <c r="OSF96"/>
      <c r="OSG96"/>
      <c r="OSH96"/>
      <c r="OSI96"/>
      <c r="OSJ96"/>
      <c r="OSK96"/>
      <c r="OSL96"/>
      <c r="OSM96"/>
      <c r="OSN96"/>
      <c r="OSO96"/>
      <c r="OSP96"/>
      <c r="OSQ96"/>
      <c r="OSR96"/>
      <c r="OSS96"/>
      <c r="OST96"/>
      <c r="OSU96"/>
      <c r="OSV96"/>
      <c r="OSW96"/>
      <c r="OSX96"/>
      <c r="OSY96"/>
      <c r="OSZ96"/>
      <c r="OTA96"/>
      <c r="OTB96"/>
      <c r="OTC96"/>
      <c r="OTD96"/>
      <c r="OTE96"/>
      <c r="OTF96"/>
      <c r="OTG96"/>
      <c r="OTH96"/>
      <c r="OTI96"/>
      <c r="OTJ96"/>
      <c r="OTK96"/>
      <c r="OTL96"/>
      <c r="OTM96"/>
      <c r="OTN96"/>
      <c r="OTO96"/>
      <c r="OTP96"/>
      <c r="OTQ96"/>
      <c r="OTR96"/>
      <c r="OTS96"/>
      <c r="OTT96"/>
      <c r="OTU96"/>
      <c r="OTV96"/>
      <c r="OTW96"/>
      <c r="OTX96"/>
      <c r="OTY96"/>
      <c r="OTZ96"/>
      <c r="OUA96"/>
      <c r="OUB96"/>
      <c r="OUC96"/>
      <c r="OUD96"/>
      <c r="OUE96"/>
      <c r="OUF96"/>
      <c r="OUG96"/>
      <c r="OUH96"/>
      <c r="OUI96"/>
      <c r="OUJ96"/>
      <c r="OUK96"/>
      <c r="OUL96"/>
      <c r="OUM96"/>
      <c r="OUN96"/>
      <c r="OUO96"/>
      <c r="OUP96"/>
      <c r="OUQ96"/>
      <c r="OUR96"/>
      <c r="OUS96"/>
      <c r="OUT96"/>
      <c r="OUU96"/>
      <c r="OUV96"/>
      <c r="OUW96"/>
      <c r="OUX96"/>
      <c r="OUY96"/>
      <c r="OUZ96"/>
      <c r="OVA96"/>
      <c r="OVB96"/>
      <c r="OVC96"/>
      <c r="OVD96"/>
      <c r="OVE96"/>
      <c r="OVF96"/>
      <c r="OVG96"/>
      <c r="OVH96"/>
      <c r="OVI96"/>
      <c r="OVJ96"/>
      <c r="OVK96"/>
      <c r="OVL96"/>
      <c r="OVM96"/>
      <c r="OVN96"/>
      <c r="OVO96"/>
      <c r="OVP96"/>
      <c r="OVQ96"/>
      <c r="OVR96"/>
      <c r="OVS96"/>
      <c r="OVT96"/>
      <c r="OVU96"/>
      <c r="OVV96"/>
      <c r="OVW96"/>
      <c r="OVX96"/>
      <c r="OVY96"/>
      <c r="OVZ96"/>
      <c r="OWA96"/>
      <c r="OWB96"/>
      <c r="OWC96"/>
      <c r="OWD96"/>
      <c r="OWE96"/>
      <c r="OWF96"/>
      <c r="OWG96"/>
      <c r="OWH96"/>
      <c r="OWI96"/>
      <c r="OWJ96"/>
      <c r="OWK96"/>
      <c r="OWL96"/>
      <c r="OWM96"/>
      <c r="OWN96"/>
      <c r="OWO96"/>
      <c r="OWP96"/>
      <c r="OWQ96"/>
      <c r="OWR96"/>
      <c r="OWS96"/>
      <c r="OWT96"/>
      <c r="OWU96"/>
      <c r="OWV96"/>
      <c r="OWW96"/>
      <c r="OWX96"/>
      <c r="OWY96"/>
      <c r="OWZ96"/>
      <c r="OXA96"/>
      <c r="OXB96"/>
      <c r="OXC96"/>
      <c r="OXD96"/>
      <c r="OXE96"/>
      <c r="OXF96"/>
      <c r="OXG96"/>
      <c r="OXH96"/>
      <c r="OXI96"/>
      <c r="OXJ96"/>
      <c r="OXK96"/>
      <c r="OXL96"/>
      <c r="OXM96"/>
      <c r="OXN96"/>
      <c r="OXO96"/>
      <c r="OXP96"/>
      <c r="OXQ96"/>
      <c r="OXR96"/>
      <c r="OXS96"/>
      <c r="OXT96"/>
      <c r="OXU96"/>
      <c r="OXV96"/>
      <c r="OXW96"/>
      <c r="OXX96"/>
      <c r="OXY96"/>
      <c r="OXZ96"/>
      <c r="OYA96"/>
      <c r="OYB96"/>
      <c r="OYC96"/>
      <c r="OYD96"/>
      <c r="OYE96"/>
      <c r="OYF96"/>
      <c r="OYG96"/>
      <c r="OYH96"/>
      <c r="OYI96"/>
      <c r="OYJ96"/>
      <c r="OYK96"/>
      <c r="OYL96"/>
      <c r="OYM96"/>
      <c r="OYN96"/>
      <c r="OYO96"/>
      <c r="OYP96"/>
      <c r="OYQ96"/>
      <c r="OYR96"/>
      <c r="OYS96"/>
      <c r="OYT96"/>
      <c r="OYU96"/>
      <c r="OYV96"/>
      <c r="OYW96"/>
      <c r="OYX96"/>
      <c r="OYY96"/>
      <c r="OYZ96"/>
      <c r="OZA96"/>
      <c r="OZB96"/>
      <c r="OZC96"/>
      <c r="OZD96"/>
      <c r="OZE96"/>
      <c r="OZF96"/>
      <c r="OZG96"/>
      <c r="OZH96"/>
      <c r="OZI96"/>
      <c r="OZJ96"/>
      <c r="OZK96"/>
      <c r="OZL96"/>
      <c r="OZM96"/>
      <c r="OZN96"/>
      <c r="OZO96"/>
      <c r="OZP96"/>
      <c r="OZQ96"/>
      <c r="OZR96"/>
      <c r="OZS96"/>
      <c r="OZT96"/>
      <c r="OZU96"/>
      <c r="OZV96"/>
      <c r="OZW96"/>
      <c r="OZX96"/>
      <c r="OZY96"/>
      <c r="OZZ96"/>
      <c r="PAA96"/>
      <c r="PAB96"/>
      <c r="PAC96"/>
      <c r="PAD96"/>
      <c r="PAE96"/>
      <c r="PAF96"/>
      <c r="PAG96"/>
      <c r="PAH96"/>
      <c r="PAI96"/>
      <c r="PAJ96"/>
      <c r="PAK96"/>
      <c r="PAL96"/>
      <c r="PAM96"/>
      <c r="PAN96"/>
      <c r="PAO96"/>
      <c r="PAP96"/>
      <c r="PAQ96"/>
      <c r="PAR96"/>
      <c r="PAS96"/>
      <c r="PAT96"/>
      <c r="PAU96"/>
      <c r="PAV96"/>
      <c r="PAW96"/>
      <c r="PAX96"/>
      <c r="PAY96"/>
      <c r="PAZ96"/>
      <c r="PBA96"/>
      <c r="PBB96"/>
      <c r="PBC96"/>
      <c r="PBD96"/>
      <c r="PBE96"/>
      <c r="PBF96"/>
      <c r="PBG96"/>
      <c r="PBH96"/>
      <c r="PBI96"/>
      <c r="PBJ96"/>
      <c r="PBK96"/>
      <c r="PBL96"/>
      <c r="PBM96"/>
      <c r="PBN96"/>
      <c r="PBO96"/>
      <c r="PBP96"/>
      <c r="PBQ96"/>
      <c r="PBR96"/>
      <c r="PBS96"/>
      <c r="PBT96"/>
      <c r="PBU96"/>
      <c r="PBV96"/>
      <c r="PBW96"/>
      <c r="PBX96"/>
      <c r="PBY96"/>
      <c r="PBZ96"/>
      <c r="PCA96"/>
      <c r="PCB96"/>
      <c r="PCC96"/>
      <c r="PCD96"/>
      <c r="PCE96"/>
      <c r="PCF96"/>
      <c r="PCG96"/>
      <c r="PCH96"/>
      <c r="PCI96"/>
      <c r="PCJ96"/>
      <c r="PCK96"/>
      <c r="PCL96"/>
      <c r="PCM96"/>
      <c r="PCN96"/>
      <c r="PCO96"/>
      <c r="PCP96"/>
      <c r="PCQ96"/>
      <c r="PCR96"/>
      <c r="PCS96"/>
      <c r="PCT96"/>
      <c r="PCU96"/>
      <c r="PCV96"/>
      <c r="PCW96"/>
      <c r="PCX96"/>
      <c r="PCY96"/>
      <c r="PCZ96"/>
      <c r="PDA96"/>
      <c r="PDB96"/>
      <c r="PDC96"/>
      <c r="PDD96"/>
      <c r="PDE96"/>
      <c r="PDF96"/>
      <c r="PDG96"/>
      <c r="PDH96"/>
      <c r="PDI96"/>
      <c r="PDJ96"/>
      <c r="PDK96"/>
      <c r="PDL96"/>
      <c r="PDM96"/>
      <c r="PDN96"/>
      <c r="PDO96"/>
      <c r="PDP96"/>
      <c r="PDQ96"/>
      <c r="PDR96"/>
      <c r="PDS96"/>
      <c r="PDT96"/>
      <c r="PDU96"/>
      <c r="PDV96"/>
      <c r="PDW96"/>
      <c r="PDX96"/>
      <c r="PDY96"/>
      <c r="PDZ96"/>
      <c r="PEA96"/>
      <c r="PEB96"/>
      <c r="PEC96"/>
      <c r="PED96"/>
      <c r="PEE96"/>
      <c r="PEF96"/>
      <c r="PEG96"/>
      <c r="PEH96"/>
      <c r="PEI96"/>
      <c r="PEJ96"/>
      <c r="PEK96"/>
      <c r="PEL96"/>
      <c r="PEM96"/>
      <c r="PEN96"/>
      <c r="PEO96"/>
      <c r="PEP96"/>
      <c r="PEQ96"/>
      <c r="PER96"/>
      <c r="PES96"/>
      <c r="PET96"/>
      <c r="PEU96"/>
      <c r="PEV96"/>
      <c r="PEW96"/>
      <c r="PEX96"/>
      <c r="PEY96"/>
      <c r="PEZ96"/>
      <c r="PFA96"/>
      <c r="PFB96"/>
      <c r="PFC96"/>
      <c r="PFD96"/>
      <c r="PFE96"/>
      <c r="PFF96"/>
      <c r="PFG96"/>
      <c r="PFH96"/>
      <c r="PFI96"/>
      <c r="PFJ96"/>
      <c r="PFK96"/>
      <c r="PFL96"/>
      <c r="PFM96"/>
      <c r="PFN96"/>
      <c r="PFO96"/>
      <c r="PFP96"/>
      <c r="PFQ96"/>
      <c r="PFR96"/>
      <c r="PFS96"/>
      <c r="PFT96"/>
      <c r="PFU96"/>
      <c r="PFV96"/>
      <c r="PFW96"/>
      <c r="PFX96"/>
      <c r="PFY96"/>
      <c r="PFZ96"/>
      <c r="PGA96"/>
      <c r="PGB96"/>
      <c r="PGC96"/>
      <c r="PGD96"/>
      <c r="PGE96"/>
      <c r="PGF96"/>
      <c r="PGG96"/>
      <c r="PGH96"/>
      <c r="PGI96"/>
      <c r="PGJ96"/>
      <c r="PGK96"/>
      <c r="PGL96"/>
      <c r="PGM96"/>
      <c r="PGN96"/>
      <c r="PGO96"/>
      <c r="PGP96"/>
      <c r="PGQ96"/>
      <c r="PGR96"/>
      <c r="PGS96"/>
      <c r="PGT96"/>
      <c r="PGU96"/>
      <c r="PGV96"/>
      <c r="PGW96"/>
      <c r="PGX96"/>
      <c r="PGY96"/>
      <c r="PGZ96"/>
      <c r="PHA96"/>
      <c r="PHB96"/>
      <c r="PHC96"/>
      <c r="PHD96"/>
      <c r="PHE96"/>
      <c r="PHF96"/>
      <c r="PHG96"/>
      <c r="PHH96"/>
      <c r="PHI96"/>
      <c r="PHJ96"/>
      <c r="PHK96"/>
      <c r="PHL96"/>
      <c r="PHM96"/>
      <c r="PHN96"/>
      <c r="PHO96"/>
      <c r="PHP96"/>
      <c r="PHQ96"/>
      <c r="PHR96"/>
      <c r="PHS96"/>
      <c r="PHT96"/>
      <c r="PHU96"/>
      <c r="PHV96"/>
      <c r="PHW96"/>
      <c r="PHX96"/>
      <c r="PHY96"/>
      <c r="PHZ96"/>
      <c r="PIA96"/>
      <c r="PIB96"/>
      <c r="PIC96"/>
      <c r="PID96"/>
      <c r="PIE96"/>
      <c r="PIF96"/>
      <c r="PIG96"/>
      <c r="PIH96"/>
      <c r="PII96"/>
      <c r="PIJ96"/>
      <c r="PIK96"/>
      <c r="PIL96"/>
      <c r="PIM96"/>
      <c r="PIN96"/>
      <c r="PIO96"/>
      <c r="PIP96"/>
      <c r="PIQ96"/>
      <c r="PIR96"/>
      <c r="PIS96"/>
      <c r="PIT96"/>
      <c r="PIU96"/>
      <c r="PIV96"/>
      <c r="PIW96"/>
      <c r="PIX96"/>
      <c r="PIY96"/>
      <c r="PIZ96"/>
      <c r="PJA96"/>
      <c r="PJB96"/>
      <c r="PJC96"/>
      <c r="PJD96"/>
      <c r="PJE96"/>
      <c r="PJF96"/>
      <c r="PJG96"/>
      <c r="PJH96"/>
      <c r="PJI96"/>
      <c r="PJJ96"/>
      <c r="PJK96"/>
      <c r="PJL96"/>
      <c r="PJM96"/>
      <c r="PJN96"/>
      <c r="PJO96"/>
      <c r="PJP96"/>
      <c r="PJQ96"/>
      <c r="PJR96"/>
      <c r="PJS96"/>
      <c r="PJT96"/>
      <c r="PJU96"/>
      <c r="PJV96"/>
      <c r="PJW96"/>
      <c r="PJX96"/>
      <c r="PJY96"/>
      <c r="PJZ96"/>
      <c r="PKA96"/>
      <c r="PKB96"/>
      <c r="PKC96"/>
      <c r="PKD96"/>
      <c r="PKE96"/>
      <c r="PKF96"/>
      <c r="PKG96"/>
      <c r="PKH96"/>
      <c r="PKI96"/>
      <c r="PKJ96"/>
      <c r="PKK96"/>
      <c r="PKL96"/>
      <c r="PKM96"/>
      <c r="PKN96"/>
      <c r="PKO96"/>
      <c r="PKP96"/>
      <c r="PKQ96"/>
      <c r="PKR96"/>
      <c r="PKS96"/>
      <c r="PKT96"/>
      <c r="PKU96"/>
      <c r="PKV96"/>
      <c r="PKW96"/>
      <c r="PKX96"/>
      <c r="PKY96"/>
      <c r="PKZ96"/>
      <c r="PLA96"/>
      <c r="PLB96"/>
      <c r="PLC96"/>
      <c r="PLD96"/>
      <c r="PLE96"/>
      <c r="PLF96"/>
      <c r="PLG96"/>
      <c r="PLH96"/>
      <c r="PLI96"/>
      <c r="PLJ96"/>
      <c r="PLK96"/>
      <c r="PLL96"/>
      <c r="PLM96"/>
      <c r="PLN96"/>
      <c r="PLO96"/>
      <c r="PLP96"/>
      <c r="PLQ96"/>
      <c r="PLR96"/>
      <c r="PLS96"/>
      <c r="PLT96"/>
      <c r="PLU96"/>
      <c r="PLV96"/>
      <c r="PLW96"/>
      <c r="PLX96"/>
      <c r="PLY96"/>
      <c r="PLZ96"/>
      <c r="PMA96"/>
      <c r="PMB96"/>
      <c r="PMC96"/>
      <c r="PMD96"/>
      <c r="PME96"/>
      <c r="PMF96"/>
      <c r="PMG96"/>
      <c r="PMH96"/>
      <c r="PMI96"/>
      <c r="PMJ96"/>
      <c r="PMK96"/>
      <c r="PML96"/>
      <c r="PMM96"/>
      <c r="PMN96"/>
      <c r="PMO96"/>
      <c r="PMP96"/>
      <c r="PMQ96"/>
      <c r="PMR96"/>
      <c r="PMS96"/>
      <c r="PMT96"/>
      <c r="PMU96"/>
      <c r="PMV96"/>
      <c r="PMW96"/>
      <c r="PMX96"/>
      <c r="PMY96"/>
      <c r="PMZ96"/>
      <c r="PNA96"/>
      <c r="PNB96"/>
      <c r="PNC96"/>
      <c r="PND96"/>
      <c r="PNE96"/>
      <c r="PNF96"/>
      <c r="PNG96"/>
      <c r="PNH96"/>
      <c r="PNI96"/>
      <c r="PNJ96"/>
      <c r="PNK96"/>
      <c r="PNL96"/>
      <c r="PNM96"/>
      <c r="PNN96"/>
      <c r="PNO96"/>
      <c r="PNP96"/>
      <c r="PNQ96"/>
      <c r="PNR96"/>
      <c r="PNS96"/>
      <c r="PNT96"/>
      <c r="PNU96"/>
      <c r="PNV96"/>
      <c r="PNW96"/>
      <c r="PNX96"/>
      <c r="PNY96"/>
      <c r="PNZ96"/>
      <c r="POA96"/>
      <c r="POB96"/>
      <c r="POC96"/>
      <c r="POD96"/>
      <c r="POE96"/>
      <c r="POF96"/>
      <c r="POG96"/>
      <c r="POH96"/>
      <c r="POI96"/>
      <c r="POJ96"/>
      <c r="POK96"/>
      <c r="POL96"/>
      <c r="POM96"/>
      <c r="PON96"/>
      <c r="POO96"/>
      <c r="POP96"/>
      <c r="POQ96"/>
      <c r="POR96"/>
      <c r="POS96"/>
      <c r="POT96"/>
      <c r="POU96"/>
      <c r="POV96"/>
      <c r="POW96"/>
      <c r="POX96"/>
      <c r="POY96"/>
      <c r="POZ96"/>
      <c r="PPA96"/>
      <c r="PPB96"/>
      <c r="PPC96"/>
      <c r="PPD96"/>
      <c r="PPE96"/>
      <c r="PPF96"/>
      <c r="PPG96"/>
      <c r="PPH96"/>
      <c r="PPI96"/>
      <c r="PPJ96"/>
      <c r="PPK96"/>
      <c r="PPL96"/>
      <c r="PPM96"/>
      <c r="PPN96"/>
      <c r="PPO96"/>
      <c r="PPP96"/>
      <c r="PPQ96"/>
      <c r="PPR96"/>
      <c r="PPS96"/>
      <c r="PPT96"/>
      <c r="PPU96"/>
      <c r="PPV96"/>
      <c r="PPW96"/>
      <c r="PPX96"/>
      <c r="PPY96"/>
      <c r="PPZ96"/>
      <c r="PQA96"/>
      <c r="PQB96"/>
      <c r="PQC96"/>
      <c r="PQD96"/>
      <c r="PQE96"/>
      <c r="PQF96"/>
      <c r="PQG96"/>
      <c r="PQH96"/>
      <c r="PQI96"/>
      <c r="PQJ96"/>
      <c r="PQK96"/>
      <c r="PQL96"/>
      <c r="PQM96"/>
      <c r="PQN96"/>
      <c r="PQO96"/>
      <c r="PQP96"/>
      <c r="PQQ96"/>
      <c r="PQR96"/>
      <c r="PQS96"/>
      <c r="PQT96"/>
      <c r="PQU96"/>
      <c r="PQV96"/>
      <c r="PQW96"/>
      <c r="PQX96"/>
      <c r="PQY96"/>
      <c r="PQZ96"/>
      <c r="PRA96"/>
      <c r="PRB96"/>
      <c r="PRC96"/>
      <c r="PRD96"/>
      <c r="PRE96"/>
      <c r="PRF96"/>
      <c r="PRG96"/>
      <c r="PRH96"/>
      <c r="PRI96"/>
      <c r="PRJ96"/>
      <c r="PRK96"/>
      <c r="PRL96"/>
      <c r="PRM96"/>
      <c r="PRN96"/>
      <c r="PRO96"/>
      <c r="PRP96"/>
      <c r="PRQ96"/>
      <c r="PRR96"/>
      <c r="PRS96"/>
      <c r="PRT96"/>
      <c r="PRU96"/>
      <c r="PRV96"/>
      <c r="PRW96"/>
      <c r="PRX96"/>
      <c r="PRY96"/>
      <c r="PRZ96"/>
      <c r="PSA96"/>
      <c r="PSB96"/>
      <c r="PSC96"/>
      <c r="PSD96"/>
      <c r="PSE96"/>
      <c r="PSF96"/>
      <c r="PSG96"/>
      <c r="PSH96"/>
      <c r="PSI96"/>
      <c r="PSJ96"/>
      <c r="PSK96"/>
      <c r="PSL96"/>
      <c r="PSM96"/>
      <c r="PSN96"/>
      <c r="PSO96"/>
      <c r="PSP96"/>
      <c r="PSQ96"/>
      <c r="PSR96"/>
      <c r="PSS96"/>
      <c r="PST96"/>
      <c r="PSU96"/>
      <c r="PSV96"/>
      <c r="PSW96"/>
      <c r="PSX96"/>
      <c r="PSY96"/>
      <c r="PSZ96"/>
      <c r="PTA96"/>
      <c r="PTB96"/>
      <c r="PTC96"/>
      <c r="PTD96"/>
      <c r="PTE96"/>
      <c r="PTF96"/>
      <c r="PTG96"/>
      <c r="PTH96"/>
      <c r="PTI96"/>
      <c r="PTJ96"/>
      <c r="PTK96"/>
      <c r="PTL96"/>
      <c r="PTM96"/>
      <c r="PTN96"/>
      <c r="PTO96"/>
      <c r="PTP96"/>
      <c r="PTQ96"/>
      <c r="PTR96"/>
      <c r="PTS96"/>
      <c r="PTT96"/>
      <c r="PTU96"/>
      <c r="PTV96"/>
      <c r="PTW96"/>
      <c r="PTX96"/>
      <c r="PTY96"/>
      <c r="PTZ96"/>
      <c r="PUA96"/>
      <c r="PUB96"/>
      <c r="PUC96"/>
      <c r="PUD96"/>
      <c r="PUE96"/>
      <c r="PUF96"/>
      <c r="PUG96"/>
      <c r="PUH96"/>
      <c r="PUI96"/>
      <c r="PUJ96"/>
      <c r="PUK96"/>
      <c r="PUL96"/>
      <c r="PUM96"/>
      <c r="PUN96"/>
      <c r="PUO96"/>
      <c r="PUP96"/>
      <c r="PUQ96"/>
      <c r="PUR96"/>
      <c r="PUS96"/>
      <c r="PUT96"/>
      <c r="PUU96"/>
      <c r="PUV96"/>
      <c r="PUW96"/>
      <c r="PUX96"/>
      <c r="PUY96"/>
      <c r="PUZ96"/>
      <c r="PVA96"/>
      <c r="PVB96"/>
      <c r="PVC96"/>
      <c r="PVD96"/>
      <c r="PVE96"/>
      <c r="PVF96"/>
      <c r="PVG96"/>
      <c r="PVH96"/>
      <c r="PVI96"/>
      <c r="PVJ96"/>
      <c r="PVK96"/>
      <c r="PVL96"/>
      <c r="PVM96"/>
      <c r="PVN96"/>
      <c r="PVO96"/>
      <c r="PVP96"/>
      <c r="PVQ96"/>
      <c r="PVR96"/>
      <c r="PVS96"/>
      <c r="PVT96"/>
      <c r="PVU96"/>
      <c r="PVV96"/>
      <c r="PVW96"/>
      <c r="PVX96"/>
      <c r="PVY96"/>
      <c r="PVZ96"/>
      <c r="PWA96"/>
      <c r="PWB96"/>
      <c r="PWC96"/>
      <c r="PWD96"/>
      <c r="PWE96"/>
      <c r="PWF96"/>
      <c r="PWG96"/>
      <c r="PWH96"/>
      <c r="PWI96"/>
      <c r="PWJ96"/>
      <c r="PWK96"/>
      <c r="PWL96"/>
      <c r="PWM96"/>
      <c r="PWN96"/>
      <c r="PWO96"/>
      <c r="PWP96"/>
      <c r="PWQ96"/>
      <c r="PWR96"/>
      <c r="PWS96"/>
      <c r="PWT96"/>
      <c r="PWU96"/>
      <c r="PWV96"/>
      <c r="PWW96"/>
      <c r="PWX96"/>
      <c r="PWY96"/>
      <c r="PWZ96"/>
      <c r="PXA96"/>
      <c r="PXB96"/>
      <c r="PXC96"/>
      <c r="PXD96"/>
      <c r="PXE96"/>
      <c r="PXF96"/>
      <c r="PXG96"/>
      <c r="PXH96"/>
      <c r="PXI96"/>
      <c r="PXJ96"/>
      <c r="PXK96"/>
      <c r="PXL96"/>
      <c r="PXM96"/>
      <c r="PXN96"/>
      <c r="PXO96"/>
      <c r="PXP96"/>
      <c r="PXQ96"/>
      <c r="PXR96"/>
      <c r="PXS96"/>
      <c r="PXT96"/>
      <c r="PXU96"/>
      <c r="PXV96"/>
      <c r="PXW96"/>
      <c r="PXX96"/>
      <c r="PXY96"/>
      <c r="PXZ96"/>
      <c r="PYA96"/>
      <c r="PYB96"/>
      <c r="PYC96"/>
      <c r="PYD96"/>
      <c r="PYE96"/>
      <c r="PYF96"/>
      <c r="PYG96"/>
      <c r="PYH96"/>
      <c r="PYI96"/>
      <c r="PYJ96"/>
      <c r="PYK96"/>
      <c r="PYL96"/>
      <c r="PYM96"/>
      <c r="PYN96"/>
      <c r="PYO96"/>
      <c r="PYP96"/>
      <c r="PYQ96"/>
      <c r="PYR96"/>
      <c r="PYS96"/>
      <c r="PYT96"/>
      <c r="PYU96"/>
      <c r="PYV96"/>
      <c r="PYW96"/>
      <c r="PYX96"/>
      <c r="PYY96"/>
      <c r="PYZ96"/>
      <c r="PZA96"/>
      <c r="PZB96"/>
      <c r="PZC96"/>
      <c r="PZD96"/>
      <c r="PZE96"/>
      <c r="PZF96"/>
      <c r="PZG96"/>
      <c r="PZH96"/>
      <c r="PZI96"/>
      <c r="PZJ96"/>
      <c r="PZK96"/>
      <c r="PZL96"/>
      <c r="PZM96"/>
      <c r="PZN96"/>
      <c r="PZO96"/>
      <c r="PZP96"/>
      <c r="PZQ96"/>
      <c r="PZR96"/>
      <c r="PZS96"/>
      <c r="PZT96"/>
      <c r="PZU96"/>
      <c r="PZV96"/>
      <c r="PZW96"/>
      <c r="PZX96"/>
      <c r="PZY96"/>
      <c r="PZZ96"/>
      <c r="QAA96"/>
      <c r="QAB96"/>
      <c r="QAC96"/>
      <c r="QAD96"/>
      <c r="QAE96"/>
      <c r="QAF96"/>
      <c r="QAG96"/>
      <c r="QAH96"/>
      <c r="QAI96"/>
      <c r="QAJ96"/>
      <c r="QAK96"/>
      <c r="QAL96"/>
      <c r="QAM96"/>
      <c r="QAN96"/>
      <c r="QAO96"/>
      <c r="QAP96"/>
      <c r="QAQ96"/>
      <c r="QAR96"/>
      <c r="QAS96"/>
      <c r="QAT96"/>
      <c r="QAU96"/>
      <c r="QAV96"/>
      <c r="QAW96"/>
      <c r="QAX96"/>
      <c r="QAY96"/>
      <c r="QAZ96"/>
      <c r="QBA96"/>
      <c r="QBB96"/>
      <c r="QBC96"/>
      <c r="QBD96"/>
      <c r="QBE96"/>
      <c r="QBF96"/>
      <c r="QBG96"/>
      <c r="QBH96"/>
      <c r="QBI96"/>
      <c r="QBJ96"/>
      <c r="QBK96"/>
      <c r="QBL96"/>
      <c r="QBM96"/>
      <c r="QBN96"/>
      <c r="QBO96"/>
      <c r="QBP96"/>
      <c r="QBQ96"/>
      <c r="QBR96"/>
      <c r="QBS96"/>
      <c r="QBT96"/>
      <c r="QBU96"/>
      <c r="QBV96"/>
      <c r="QBW96"/>
      <c r="QBX96"/>
      <c r="QBY96"/>
      <c r="QBZ96"/>
      <c r="QCA96"/>
      <c r="QCB96"/>
      <c r="QCC96"/>
      <c r="QCD96"/>
      <c r="QCE96"/>
      <c r="QCF96"/>
      <c r="QCG96"/>
      <c r="QCH96"/>
      <c r="QCI96"/>
      <c r="QCJ96"/>
      <c r="QCK96"/>
      <c r="QCL96"/>
      <c r="QCM96"/>
      <c r="QCN96"/>
      <c r="QCO96"/>
      <c r="QCP96"/>
      <c r="QCQ96"/>
      <c r="QCR96"/>
      <c r="QCS96"/>
      <c r="QCT96"/>
      <c r="QCU96"/>
      <c r="QCV96"/>
      <c r="QCW96"/>
      <c r="QCX96"/>
      <c r="QCY96"/>
      <c r="QCZ96"/>
      <c r="QDA96"/>
      <c r="QDB96"/>
      <c r="QDC96"/>
      <c r="QDD96"/>
      <c r="QDE96"/>
      <c r="QDF96"/>
      <c r="QDG96"/>
      <c r="QDH96"/>
      <c r="QDI96"/>
      <c r="QDJ96"/>
      <c r="QDK96"/>
      <c r="QDL96"/>
      <c r="QDM96"/>
      <c r="QDN96"/>
      <c r="QDO96"/>
      <c r="QDP96"/>
      <c r="QDQ96"/>
      <c r="QDR96"/>
      <c r="QDS96"/>
      <c r="QDT96"/>
      <c r="QDU96"/>
      <c r="QDV96"/>
      <c r="QDW96"/>
      <c r="QDX96"/>
      <c r="QDY96"/>
      <c r="QDZ96"/>
      <c r="QEA96"/>
      <c r="QEB96"/>
      <c r="QEC96"/>
      <c r="QED96"/>
      <c r="QEE96"/>
      <c r="QEF96"/>
      <c r="QEG96"/>
      <c r="QEH96"/>
      <c r="QEI96"/>
      <c r="QEJ96"/>
      <c r="QEK96"/>
      <c r="QEL96"/>
      <c r="QEM96"/>
      <c r="QEN96"/>
      <c r="QEO96"/>
      <c r="QEP96"/>
      <c r="QEQ96"/>
      <c r="QER96"/>
      <c r="QES96"/>
      <c r="QET96"/>
      <c r="QEU96"/>
      <c r="QEV96"/>
      <c r="QEW96"/>
      <c r="QEX96"/>
      <c r="QEY96"/>
      <c r="QEZ96"/>
      <c r="QFA96"/>
      <c r="QFB96"/>
      <c r="QFC96"/>
      <c r="QFD96"/>
      <c r="QFE96"/>
      <c r="QFF96"/>
      <c r="QFG96"/>
      <c r="QFH96"/>
      <c r="QFI96"/>
      <c r="QFJ96"/>
      <c r="QFK96"/>
      <c r="QFL96"/>
      <c r="QFM96"/>
      <c r="QFN96"/>
      <c r="QFO96"/>
      <c r="QFP96"/>
      <c r="QFQ96"/>
      <c r="QFR96"/>
      <c r="QFS96"/>
      <c r="QFT96"/>
      <c r="QFU96"/>
      <c r="QFV96"/>
      <c r="QFW96"/>
      <c r="QFX96"/>
      <c r="QFY96"/>
      <c r="QFZ96"/>
      <c r="QGA96"/>
      <c r="QGB96"/>
      <c r="QGC96"/>
      <c r="QGD96"/>
      <c r="QGE96"/>
      <c r="QGF96"/>
      <c r="QGG96"/>
      <c r="QGH96"/>
      <c r="QGI96"/>
      <c r="QGJ96"/>
      <c r="QGK96"/>
      <c r="QGL96"/>
      <c r="QGM96"/>
      <c r="QGN96"/>
      <c r="QGO96"/>
      <c r="QGP96"/>
      <c r="QGQ96"/>
      <c r="QGR96"/>
      <c r="QGS96"/>
      <c r="QGT96"/>
      <c r="QGU96"/>
      <c r="QGV96"/>
      <c r="QGW96"/>
      <c r="QGX96"/>
      <c r="QGY96"/>
      <c r="QGZ96"/>
      <c r="QHA96"/>
      <c r="QHB96"/>
      <c r="QHC96"/>
      <c r="QHD96"/>
      <c r="QHE96"/>
      <c r="QHF96"/>
      <c r="QHG96"/>
      <c r="QHH96"/>
      <c r="QHI96"/>
      <c r="QHJ96"/>
      <c r="QHK96"/>
      <c r="QHL96"/>
      <c r="QHM96"/>
      <c r="QHN96"/>
      <c r="QHO96"/>
      <c r="QHP96"/>
      <c r="QHQ96"/>
      <c r="QHR96"/>
      <c r="QHS96"/>
      <c r="QHT96"/>
      <c r="QHU96"/>
      <c r="QHV96"/>
      <c r="QHW96"/>
      <c r="QHX96"/>
      <c r="QHY96"/>
      <c r="QHZ96"/>
      <c r="QIA96"/>
      <c r="QIB96"/>
      <c r="QIC96"/>
      <c r="QID96"/>
      <c r="QIE96"/>
      <c r="QIF96"/>
      <c r="QIG96"/>
      <c r="QIH96"/>
      <c r="QII96"/>
      <c r="QIJ96"/>
      <c r="QIK96"/>
      <c r="QIL96"/>
      <c r="QIM96"/>
      <c r="QIN96"/>
      <c r="QIO96"/>
      <c r="QIP96"/>
      <c r="QIQ96"/>
      <c r="QIR96"/>
      <c r="QIS96"/>
      <c r="QIT96"/>
      <c r="QIU96"/>
      <c r="QIV96"/>
      <c r="QIW96"/>
      <c r="QIX96"/>
      <c r="QIY96"/>
      <c r="QIZ96"/>
      <c r="QJA96"/>
      <c r="QJB96"/>
      <c r="QJC96"/>
      <c r="QJD96"/>
      <c r="QJE96"/>
      <c r="QJF96"/>
      <c r="QJG96"/>
      <c r="QJH96"/>
      <c r="QJI96"/>
      <c r="QJJ96"/>
      <c r="QJK96"/>
      <c r="QJL96"/>
      <c r="QJM96"/>
      <c r="QJN96"/>
      <c r="QJO96"/>
      <c r="QJP96"/>
      <c r="QJQ96"/>
      <c r="QJR96"/>
      <c r="QJS96"/>
      <c r="QJT96"/>
      <c r="QJU96"/>
      <c r="QJV96"/>
      <c r="QJW96"/>
      <c r="QJX96"/>
      <c r="QJY96"/>
      <c r="QJZ96"/>
      <c r="QKA96"/>
      <c r="QKB96"/>
      <c r="QKC96"/>
      <c r="QKD96"/>
      <c r="QKE96"/>
      <c r="QKF96"/>
      <c r="QKG96"/>
      <c r="QKH96"/>
      <c r="QKI96"/>
      <c r="QKJ96"/>
      <c r="QKK96"/>
      <c r="QKL96"/>
      <c r="QKM96"/>
      <c r="QKN96"/>
      <c r="QKO96"/>
      <c r="QKP96"/>
      <c r="QKQ96"/>
      <c r="QKR96"/>
      <c r="QKS96"/>
      <c r="QKT96"/>
      <c r="QKU96"/>
      <c r="QKV96"/>
      <c r="QKW96"/>
      <c r="QKX96"/>
      <c r="QKY96"/>
      <c r="QKZ96"/>
      <c r="QLA96"/>
      <c r="QLB96"/>
      <c r="QLC96"/>
      <c r="QLD96"/>
      <c r="QLE96"/>
      <c r="QLF96"/>
      <c r="QLG96"/>
      <c r="QLH96"/>
      <c r="QLI96"/>
      <c r="QLJ96"/>
      <c r="QLK96"/>
      <c r="QLL96"/>
      <c r="QLM96"/>
      <c r="QLN96"/>
      <c r="QLO96"/>
      <c r="QLP96"/>
      <c r="QLQ96"/>
      <c r="QLR96"/>
      <c r="QLS96"/>
      <c r="QLT96"/>
      <c r="QLU96"/>
      <c r="QLV96"/>
      <c r="QLW96"/>
      <c r="QLX96"/>
      <c r="QLY96"/>
      <c r="QLZ96"/>
      <c r="QMA96"/>
      <c r="QMB96"/>
      <c r="QMC96"/>
      <c r="QMD96"/>
      <c r="QME96"/>
      <c r="QMF96"/>
      <c r="QMG96"/>
      <c r="QMH96"/>
      <c r="QMI96"/>
      <c r="QMJ96"/>
      <c r="QMK96"/>
      <c r="QML96"/>
      <c r="QMM96"/>
      <c r="QMN96"/>
      <c r="QMO96"/>
      <c r="QMP96"/>
      <c r="QMQ96"/>
      <c r="QMR96"/>
      <c r="QMS96"/>
      <c r="QMT96"/>
      <c r="QMU96"/>
      <c r="QMV96"/>
      <c r="QMW96"/>
      <c r="QMX96"/>
      <c r="QMY96"/>
      <c r="QMZ96"/>
      <c r="QNA96"/>
      <c r="QNB96"/>
      <c r="QNC96"/>
      <c r="QND96"/>
      <c r="QNE96"/>
      <c r="QNF96"/>
      <c r="QNG96"/>
      <c r="QNH96"/>
      <c r="QNI96"/>
      <c r="QNJ96"/>
      <c r="QNK96"/>
      <c r="QNL96"/>
      <c r="QNM96"/>
      <c r="QNN96"/>
      <c r="QNO96"/>
      <c r="QNP96"/>
      <c r="QNQ96"/>
      <c r="QNR96"/>
      <c r="QNS96"/>
      <c r="QNT96"/>
      <c r="QNU96"/>
      <c r="QNV96"/>
      <c r="QNW96"/>
      <c r="QNX96"/>
      <c r="QNY96"/>
      <c r="QNZ96"/>
      <c r="QOA96"/>
      <c r="QOB96"/>
      <c r="QOC96"/>
      <c r="QOD96"/>
      <c r="QOE96"/>
      <c r="QOF96"/>
      <c r="QOG96"/>
      <c r="QOH96"/>
      <c r="QOI96"/>
      <c r="QOJ96"/>
      <c r="QOK96"/>
      <c r="QOL96"/>
      <c r="QOM96"/>
      <c r="QON96"/>
      <c r="QOO96"/>
      <c r="QOP96"/>
      <c r="QOQ96"/>
      <c r="QOR96"/>
      <c r="QOS96"/>
      <c r="QOT96"/>
      <c r="QOU96"/>
      <c r="QOV96"/>
      <c r="QOW96"/>
      <c r="QOX96"/>
      <c r="QOY96"/>
      <c r="QOZ96"/>
      <c r="QPA96"/>
      <c r="QPB96"/>
      <c r="QPC96"/>
      <c r="QPD96"/>
      <c r="QPE96"/>
      <c r="QPF96"/>
      <c r="QPG96"/>
      <c r="QPH96"/>
      <c r="QPI96"/>
      <c r="QPJ96"/>
      <c r="QPK96"/>
      <c r="QPL96"/>
      <c r="QPM96"/>
      <c r="QPN96"/>
      <c r="QPO96"/>
      <c r="QPP96"/>
      <c r="QPQ96"/>
      <c r="QPR96"/>
      <c r="QPS96"/>
      <c r="QPT96"/>
      <c r="QPU96"/>
      <c r="QPV96"/>
      <c r="QPW96"/>
      <c r="QPX96"/>
      <c r="QPY96"/>
      <c r="QPZ96"/>
      <c r="QQA96"/>
      <c r="QQB96"/>
      <c r="QQC96"/>
      <c r="QQD96"/>
      <c r="QQE96"/>
      <c r="QQF96"/>
      <c r="QQG96"/>
      <c r="QQH96"/>
      <c r="QQI96"/>
      <c r="QQJ96"/>
      <c r="QQK96"/>
      <c r="QQL96"/>
      <c r="QQM96"/>
      <c r="QQN96"/>
      <c r="QQO96"/>
      <c r="QQP96"/>
      <c r="QQQ96"/>
      <c r="QQR96"/>
      <c r="QQS96"/>
      <c r="QQT96"/>
      <c r="QQU96"/>
      <c r="QQV96"/>
      <c r="QQW96"/>
      <c r="QQX96"/>
      <c r="QQY96"/>
      <c r="QQZ96"/>
      <c r="QRA96"/>
      <c r="QRB96"/>
      <c r="QRC96"/>
      <c r="QRD96"/>
      <c r="QRE96"/>
      <c r="QRF96"/>
      <c r="QRG96"/>
      <c r="QRH96"/>
      <c r="QRI96"/>
      <c r="QRJ96"/>
      <c r="QRK96"/>
      <c r="QRL96"/>
      <c r="QRM96"/>
      <c r="QRN96"/>
      <c r="QRO96"/>
      <c r="QRP96"/>
      <c r="QRQ96"/>
      <c r="QRR96"/>
      <c r="QRS96"/>
      <c r="QRT96"/>
      <c r="QRU96"/>
      <c r="QRV96"/>
      <c r="QRW96"/>
      <c r="QRX96"/>
      <c r="QRY96"/>
      <c r="QRZ96"/>
      <c r="QSA96"/>
      <c r="QSB96"/>
      <c r="QSC96"/>
      <c r="QSD96"/>
      <c r="QSE96"/>
      <c r="QSF96"/>
      <c r="QSG96"/>
      <c r="QSH96"/>
      <c r="QSI96"/>
      <c r="QSJ96"/>
      <c r="QSK96"/>
      <c r="QSL96"/>
      <c r="QSM96"/>
      <c r="QSN96"/>
      <c r="QSO96"/>
      <c r="QSP96"/>
      <c r="QSQ96"/>
      <c r="QSR96"/>
      <c r="QSS96"/>
      <c r="QST96"/>
      <c r="QSU96"/>
      <c r="QSV96"/>
      <c r="QSW96"/>
      <c r="QSX96"/>
      <c r="QSY96"/>
      <c r="QSZ96"/>
      <c r="QTA96"/>
      <c r="QTB96"/>
      <c r="QTC96"/>
      <c r="QTD96"/>
      <c r="QTE96"/>
      <c r="QTF96"/>
      <c r="QTG96"/>
      <c r="QTH96"/>
      <c r="QTI96"/>
      <c r="QTJ96"/>
      <c r="QTK96"/>
      <c r="QTL96"/>
      <c r="QTM96"/>
      <c r="QTN96"/>
      <c r="QTO96"/>
      <c r="QTP96"/>
      <c r="QTQ96"/>
      <c r="QTR96"/>
      <c r="QTS96"/>
      <c r="QTT96"/>
      <c r="QTU96"/>
      <c r="QTV96"/>
      <c r="QTW96"/>
      <c r="QTX96"/>
      <c r="QTY96"/>
      <c r="QTZ96"/>
      <c r="QUA96"/>
      <c r="QUB96"/>
      <c r="QUC96"/>
      <c r="QUD96"/>
      <c r="QUE96"/>
      <c r="QUF96"/>
      <c r="QUG96"/>
      <c r="QUH96"/>
      <c r="QUI96"/>
      <c r="QUJ96"/>
      <c r="QUK96"/>
      <c r="QUL96"/>
      <c r="QUM96"/>
      <c r="QUN96"/>
      <c r="QUO96"/>
      <c r="QUP96"/>
      <c r="QUQ96"/>
      <c r="QUR96"/>
      <c r="QUS96"/>
      <c r="QUT96"/>
      <c r="QUU96"/>
      <c r="QUV96"/>
      <c r="QUW96"/>
      <c r="QUX96"/>
      <c r="QUY96"/>
      <c r="QUZ96"/>
      <c r="QVA96"/>
      <c r="QVB96"/>
      <c r="QVC96"/>
      <c r="QVD96"/>
      <c r="QVE96"/>
      <c r="QVF96"/>
      <c r="QVG96"/>
      <c r="QVH96"/>
      <c r="QVI96"/>
      <c r="QVJ96"/>
      <c r="QVK96"/>
      <c r="QVL96"/>
      <c r="QVM96"/>
      <c r="QVN96"/>
      <c r="QVO96"/>
      <c r="QVP96"/>
      <c r="QVQ96"/>
      <c r="QVR96"/>
      <c r="QVS96"/>
      <c r="QVT96"/>
      <c r="QVU96"/>
      <c r="QVV96"/>
      <c r="QVW96"/>
      <c r="QVX96"/>
      <c r="QVY96"/>
      <c r="QVZ96"/>
      <c r="QWA96"/>
      <c r="QWB96"/>
      <c r="QWC96"/>
      <c r="QWD96"/>
      <c r="QWE96"/>
      <c r="QWF96"/>
      <c r="QWG96"/>
      <c r="QWH96"/>
      <c r="QWI96"/>
      <c r="QWJ96"/>
      <c r="QWK96"/>
      <c r="QWL96"/>
      <c r="QWM96"/>
      <c r="QWN96"/>
      <c r="QWO96"/>
      <c r="QWP96"/>
      <c r="QWQ96"/>
      <c r="QWR96"/>
      <c r="QWS96"/>
      <c r="QWT96"/>
      <c r="QWU96"/>
      <c r="QWV96"/>
      <c r="QWW96"/>
      <c r="QWX96"/>
      <c r="QWY96"/>
      <c r="QWZ96"/>
      <c r="QXA96"/>
      <c r="QXB96"/>
      <c r="QXC96"/>
      <c r="QXD96"/>
      <c r="QXE96"/>
      <c r="QXF96"/>
      <c r="QXG96"/>
      <c r="QXH96"/>
      <c r="QXI96"/>
      <c r="QXJ96"/>
      <c r="QXK96"/>
      <c r="QXL96"/>
      <c r="QXM96"/>
      <c r="QXN96"/>
      <c r="QXO96"/>
      <c r="QXP96"/>
      <c r="QXQ96"/>
      <c r="QXR96"/>
      <c r="QXS96"/>
      <c r="QXT96"/>
      <c r="QXU96"/>
      <c r="QXV96"/>
      <c r="QXW96"/>
      <c r="QXX96"/>
      <c r="QXY96"/>
      <c r="QXZ96"/>
      <c r="QYA96"/>
      <c r="QYB96"/>
      <c r="QYC96"/>
      <c r="QYD96"/>
      <c r="QYE96"/>
      <c r="QYF96"/>
      <c r="QYG96"/>
      <c r="QYH96"/>
      <c r="QYI96"/>
      <c r="QYJ96"/>
      <c r="QYK96"/>
      <c r="QYL96"/>
      <c r="QYM96"/>
      <c r="QYN96"/>
      <c r="QYO96"/>
      <c r="QYP96"/>
      <c r="QYQ96"/>
      <c r="QYR96"/>
      <c r="QYS96"/>
      <c r="QYT96"/>
      <c r="QYU96"/>
      <c r="QYV96"/>
      <c r="QYW96"/>
      <c r="QYX96"/>
      <c r="QYY96"/>
      <c r="QYZ96"/>
      <c r="QZA96"/>
      <c r="QZB96"/>
      <c r="QZC96"/>
      <c r="QZD96"/>
      <c r="QZE96"/>
      <c r="QZF96"/>
      <c r="QZG96"/>
      <c r="QZH96"/>
      <c r="QZI96"/>
      <c r="QZJ96"/>
      <c r="QZK96"/>
      <c r="QZL96"/>
      <c r="QZM96"/>
      <c r="QZN96"/>
      <c r="QZO96"/>
      <c r="QZP96"/>
      <c r="QZQ96"/>
      <c r="QZR96"/>
      <c r="QZS96"/>
      <c r="QZT96"/>
      <c r="QZU96"/>
      <c r="QZV96"/>
      <c r="QZW96"/>
      <c r="QZX96"/>
      <c r="QZY96"/>
      <c r="QZZ96"/>
      <c r="RAA96"/>
      <c r="RAB96"/>
      <c r="RAC96"/>
      <c r="RAD96"/>
      <c r="RAE96"/>
      <c r="RAF96"/>
      <c r="RAG96"/>
      <c r="RAH96"/>
      <c r="RAI96"/>
      <c r="RAJ96"/>
      <c r="RAK96"/>
      <c r="RAL96"/>
      <c r="RAM96"/>
      <c r="RAN96"/>
      <c r="RAO96"/>
      <c r="RAP96"/>
      <c r="RAQ96"/>
      <c r="RAR96"/>
      <c r="RAS96"/>
      <c r="RAT96"/>
      <c r="RAU96"/>
      <c r="RAV96"/>
      <c r="RAW96"/>
      <c r="RAX96"/>
      <c r="RAY96"/>
      <c r="RAZ96"/>
      <c r="RBA96"/>
      <c r="RBB96"/>
      <c r="RBC96"/>
      <c r="RBD96"/>
      <c r="RBE96"/>
      <c r="RBF96"/>
      <c r="RBG96"/>
      <c r="RBH96"/>
      <c r="RBI96"/>
      <c r="RBJ96"/>
      <c r="RBK96"/>
      <c r="RBL96"/>
      <c r="RBM96"/>
      <c r="RBN96"/>
      <c r="RBO96"/>
      <c r="RBP96"/>
      <c r="RBQ96"/>
      <c r="RBR96"/>
      <c r="RBS96"/>
      <c r="RBT96"/>
      <c r="RBU96"/>
      <c r="RBV96"/>
      <c r="RBW96"/>
      <c r="RBX96"/>
      <c r="RBY96"/>
      <c r="RBZ96"/>
      <c r="RCA96"/>
      <c r="RCB96"/>
      <c r="RCC96"/>
      <c r="RCD96"/>
      <c r="RCE96"/>
      <c r="RCF96"/>
      <c r="RCG96"/>
      <c r="RCH96"/>
      <c r="RCI96"/>
      <c r="RCJ96"/>
      <c r="RCK96"/>
      <c r="RCL96"/>
      <c r="RCM96"/>
      <c r="RCN96"/>
      <c r="RCO96"/>
      <c r="RCP96"/>
      <c r="RCQ96"/>
      <c r="RCR96"/>
      <c r="RCS96"/>
      <c r="RCT96"/>
      <c r="RCU96"/>
      <c r="RCV96"/>
      <c r="RCW96"/>
      <c r="RCX96"/>
      <c r="RCY96"/>
      <c r="RCZ96"/>
      <c r="RDA96"/>
      <c r="RDB96"/>
      <c r="RDC96"/>
      <c r="RDD96"/>
      <c r="RDE96"/>
      <c r="RDF96"/>
      <c r="RDG96"/>
      <c r="RDH96"/>
      <c r="RDI96"/>
      <c r="RDJ96"/>
      <c r="RDK96"/>
      <c r="RDL96"/>
      <c r="RDM96"/>
      <c r="RDN96"/>
      <c r="RDO96"/>
      <c r="RDP96"/>
      <c r="RDQ96"/>
      <c r="RDR96"/>
      <c r="RDS96"/>
      <c r="RDT96"/>
      <c r="RDU96"/>
      <c r="RDV96"/>
      <c r="RDW96"/>
      <c r="RDX96"/>
      <c r="RDY96"/>
      <c r="RDZ96"/>
      <c r="REA96"/>
      <c r="REB96"/>
      <c r="REC96"/>
      <c r="RED96"/>
      <c r="REE96"/>
      <c r="REF96"/>
      <c r="REG96"/>
      <c r="REH96"/>
      <c r="REI96"/>
      <c r="REJ96"/>
      <c r="REK96"/>
      <c r="REL96"/>
      <c r="REM96"/>
      <c r="REN96"/>
      <c r="REO96"/>
      <c r="REP96"/>
      <c r="REQ96"/>
      <c r="RER96"/>
      <c r="RES96"/>
      <c r="RET96"/>
      <c r="REU96"/>
      <c r="REV96"/>
      <c r="REW96"/>
      <c r="REX96"/>
      <c r="REY96"/>
      <c r="REZ96"/>
      <c r="RFA96"/>
      <c r="RFB96"/>
      <c r="RFC96"/>
      <c r="RFD96"/>
      <c r="RFE96"/>
      <c r="RFF96"/>
      <c r="RFG96"/>
      <c r="RFH96"/>
      <c r="RFI96"/>
      <c r="RFJ96"/>
      <c r="RFK96"/>
      <c r="RFL96"/>
      <c r="RFM96"/>
      <c r="RFN96"/>
      <c r="RFO96"/>
      <c r="RFP96"/>
      <c r="RFQ96"/>
      <c r="RFR96"/>
      <c r="RFS96"/>
      <c r="RFT96"/>
      <c r="RFU96"/>
      <c r="RFV96"/>
      <c r="RFW96"/>
      <c r="RFX96"/>
      <c r="RFY96"/>
      <c r="RFZ96"/>
      <c r="RGA96"/>
      <c r="RGB96"/>
      <c r="RGC96"/>
      <c r="RGD96"/>
      <c r="RGE96"/>
      <c r="RGF96"/>
      <c r="RGG96"/>
      <c r="RGH96"/>
      <c r="RGI96"/>
      <c r="RGJ96"/>
      <c r="RGK96"/>
      <c r="RGL96"/>
      <c r="RGM96"/>
      <c r="RGN96"/>
      <c r="RGO96"/>
      <c r="RGP96"/>
      <c r="RGQ96"/>
      <c r="RGR96"/>
      <c r="RGS96"/>
      <c r="RGT96"/>
      <c r="RGU96"/>
      <c r="RGV96"/>
      <c r="RGW96"/>
      <c r="RGX96"/>
      <c r="RGY96"/>
      <c r="RGZ96"/>
      <c r="RHA96"/>
      <c r="RHB96"/>
      <c r="RHC96"/>
      <c r="RHD96"/>
      <c r="RHE96"/>
      <c r="RHF96"/>
      <c r="RHG96"/>
      <c r="RHH96"/>
      <c r="RHI96"/>
      <c r="RHJ96"/>
      <c r="RHK96"/>
      <c r="RHL96"/>
      <c r="RHM96"/>
      <c r="RHN96"/>
      <c r="RHO96"/>
      <c r="RHP96"/>
      <c r="RHQ96"/>
      <c r="RHR96"/>
      <c r="RHS96"/>
      <c r="RHT96"/>
      <c r="RHU96"/>
      <c r="RHV96"/>
      <c r="RHW96"/>
      <c r="RHX96"/>
      <c r="RHY96"/>
      <c r="RHZ96"/>
      <c r="RIA96"/>
      <c r="RIB96"/>
      <c r="RIC96"/>
      <c r="RID96"/>
      <c r="RIE96"/>
      <c r="RIF96"/>
      <c r="RIG96"/>
      <c r="RIH96"/>
      <c r="RII96"/>
      <c r="RIJ96"/>
      <c r="RIK96"/>
      <c r="RIL96"/>
      <c r="RIM96"/>
      <c r="RIN96"/>
      <c r="RIO96"/>
      <c r="RIP96"/>
      <c r="RIQ96"/>
      <c r="RIR96"/>
      <c r="RIS96"/>
      <c r="RIT96"/>
      <c r="RIU96"/>
      <c r="RIV96"/>
      <c r="RIW96"/>
      <c r="RIX96"/>
      <c r="RIY96"/>
      <c r="RIZ96"/>
      <c r="RJA96"/>
      <c r="RJB96"/>
      <c r="RJC96"/>
      <c r="RJD96"/>
      <c r="RJE96"/>
      <c r="RJF96"/>
      <c r="RJG96"/>
      <c r="RJH96"/>
      <c r="RJI96"/>
      <c r="RJJ96"/>
      <c r="RJK96"/>
      <c r="RJL96"/>
      <c r="RJM96"/>
      <c r="RJN96"/>
      <c r="RJO96"/>
      <c r="RJP96"/>
      <c r="RJQ96"/>
      <c r="RJR96"/>
      <c r="RJS96"/>
      <c r="RJT96"/>
      <c r="RJU96"/>
      <c r="RJV96"/>
      <c r="RJW96"/>
      <c r="RJX96"/>
      <c r="RJY96"/>
      <c r="RJZ96"/>
      <c r="RKA96"/>
      <c r="RKB96"/>
      <c r="RKC96"/>
      <c r="RKD96"/>
      <c r="RKE96"/>
      <c r="RKF96"/>
      <c r="RKG96"/>
      <c r="RKH96"/>
      <c r="RKI96"/>
      <c r="RKJ96"/>
      <c r="RKK96"/>
      <c r="RKL96"/>
      <c r="RKM96"/>
      <c r="RKN96"/>
      <c r="RKO96"/>
      <c r="RKP96"/>
      <c r="RKQ96"/>
      <c r="RKR96"/>
      <c r="RKS96"/>
      <c r="RKT96"/>
      <c r="RKU96"/>
      <c r="RKV96"/>
      <c r="RKW96"/>
      <c r="RKX96"/>
      <c r="RKY96"/>
      <c r="RKZ96"/>
      <c r="RLA96"/>
      <c r="RLB96"/>
      <c r="RLC96"/>
      <c r="RLD96"/>
      <c r="RLE96"/>
      <c r="RLF96"/>
      <c r="RLG96"/>
      <c r="RLH96"/>
      <c r="RLI96"/>
      <c r="RLJ96"/>
      <c r="RLK96"/>
      <c r="RLL96"/>
      <c r="RLM96"/>
      <c r="RLN96"/>
      <c r="RLO96"/>
      <c r="RLP96"/>
      <c r="RLQ96"/>
      <c r="RLR96"/>
      <c r="RLS96"/>
      <c r="RLT96"/>
      <c r="RLU96"/>
      <c r="RLV96"/>
      <c r="RLW96"/>
      <c r="RLX96"/>
      <c r="RLY96"/>
      <c r="RLZ96"/>
      <c r="RMA96"/>
      <c r="RMB96"/>
      <c r="RMC96"/>
      <c r="RMD96"/>
      <c r="RME96"/>
      <c r="RMF96"/>
      <c r="RMG96"/>
      <c r="RMH96"/>
      <c r="RMI96"/>
      <c r="RMJ96"/>
      <c r="RMK96"/>
      <c r="RML96"/>
      <c r="RMM96"/>
      <c r="RMN96"/>
      <c r="RMO96"/>
      <c r="RMP96"/>
      <c r="RMQ96"/>
      <c r="RMR96"/>
      <c r="RMS96"/>
      <c r="RMT96"/>
      <c r="RMU96"/>
      <c r="RMV96"/>
      <c r="RMW96"/>
      <c r="RMX96"/>
      <c r="RMY96"/>
      <c r="RMZ96"/>
      <c r="RNA96"/>
      <c r="RNB96"/>
      <c r="RNC96"/>
      <c r="RND96"/>
      <c r="RNE96"/>
      <c r="RNF96"/>
      <c r="RNG96"/>
      <c r="RNH96"/>
      <c r="RNI96"/>
      <c r="RNJ96"/>
      <c r="RNK96"/>
      <c r="RNL96"/>
      <c r="RNM96"/>
      <c r="RNN96"/>
      <c r="RNO96"/>
      <c r="RNP96"/>
      <c r="RNQ96"/>
      <c r="RNR96"/>
      <c r="RNS96"/>
      <c r="RNT96"/>
      <c r="RNU96"/>
      <c r="RNV96"/>
      <c r="RNW96"/>
      <c r="RNX96"/>
      <c r="RNY96"/>
      <c r="RNZ96"/>
      <c r="ROA96"/>
      <c r="ROB96"/>
      <c r="ROC96"/>
      <c r="ROD96"/>
      <c r="ROE96"/>
      <c r="ROF96"/>
      <c r="ROG96"/>
      <c r="ROH96"/>
      <c r="ROI96"/>
      <c r="ROJ96"/>
      <c r="ROK96"/>
      <c r="ROL96"/>
      <c r="ROM96"/>
      <c r="RON96"/>
      <c r="ROO96"/>
      <c r="ROP96"/>
      <c r="ROQ96"/>
      <c r="ROR96"/>
      <c r="ROS96"/>
      <c r="ROT96"/>
      <c r="ROU96"/>
      <c r="ROV96"/>
      <c r="ROW96"/>
      <c r="ROX96"/>
      <c r="ROY96"/>
      <c r="ROZ96"/>
      <c r="RPA96"/>
      <c r="RPB96"/>
      <c r="RPC96"/>
      <c r="RPD96"/>
      <c r="RPE96"/>
      <c r="RPF96"/>
      <c r="RPG96"/>
      <c r="RPH96"/>
      <c r="RPI96"/>
      <c r="RPJ96"/>
      <c r="RPK96"/>
      <c r="RPL96"/>
      <c r="RPM96"/>
      <c r="RPN96"/>
      <c r="RPO96"/>
      <c r="RPP96"/>
      <c r="RPQ96"/>
      <c r="RPR96"/>
      <c r="RPS96"/>
      <c r="RPT96"/>
      <c r="RPU96"/>
      <c r="RPV96"/>
      <c r="RPW96"/>
      <c r="RPX96"/>
      <c r="RPY96"/>
      <c r="RPZ96"/>
      <c r="RQA96"/>
      <c r="RQB96"/>
      <c r="RQC96"/>
      <c r="RQD96"/>
      <c r="RQE96"/>
      <c r="RQF96"/>
      <c r="RQG96"/>
      <c r="RQH96"/>
      <c r="RQI96"/>
      <c r="RQJ96"/>
      <c r="RQK96"/>
      <c r="RQL96"/>
      <c r="RQM96"/>
      <c r="RQN96"/>
      <c r="RQO96"/>
      <c r="RQP96"/>
      <c r="RQQ96"/>
      <c r="RQR96"/>
      <c r="RQS96"/>
      <c r="RQT96"/>
      <c r="RQU96"/>
      <c r="RQV96"/>
      <c r="RQW96"/>
      <c r="RQX96"/>
      <c r="RQY96"/>
      <c r="RQZ96"/>
      <c r="RRA96"/>
      <c r="RRB96"/>
      <c r="RRC96"/>
      <c r="RRD96"/>
      <c r="RRE96"/>
      <c r="RRF96"/>
      <c r="RRG96"/>
      <c r="RRH96"/>
      <c r="RRI96"/>
      <c r="RRJ96"/>
      <c r="RRK96"/>
      <c r="RRL96"/>
      <c r="RRM96"/>
      <c r="RRN96"/>
      <c r="RRO96"/>
      <c r="RRP96"/>
      <c r="RRQ96"/>
      <c r="RRR96"/>
      <c r="RRS96"/>
      <c r="RRT96"/>
      <c r="RRU96"/>
      <c r="RRV96"/>
      <c r="RRW96"/>
      <c r="RRX96"/>
      <c r="RRY96"/>
      <c r="RRZ96"/>
      <c r="RSA96"/>
      <c r="RSB96"/>
      <c r="RSC96"/>
      <c r="RSD96"/>
      <c r="RSE96"/>
      <c r="RSF96"/>
      <c r="RSG96"/>
      <c r="RSH96"/>
      <c r="RSI96"/>
      <c r="RSJ96"/>
      <c r="RSK96"/>
      <c r="RSL96"/>
      <c r="RSM96"/>
      <c r="RSN96"/>
      <c r="RSO96"/>
      <c r="RSP96"/>
      <c r="RSQ96"/>
      <c r="RSR96"/>
      <c r="RSS96"/>
      <c r="RST96"/>
      <c r="RSU96"/>
      <c r="RSV96"/>
      <c r="RSW96"/>
      <c r="RSX96"/>
      <c r="RSY96"/>
      <c r="RSZ96"/>
      <c r="RTA96"/>
      <c r="RTB96"/>
      <c r="RTC96"/>
      <c r="RTD96"/>
      <c r="RTE96"/>
      <c r="RTF96"/>
      <c r="RTG96"/>
      <c r="RTH96"/>
      <c r="RTI96"/>
      <c r="RTJ96"/>
      <c r="RTK96"/>
      <c r="RTL96"/>
      <c r="RTM96"/>
      <c r="RTN96"/>
      <c r="RTO96"/>
      <c r="RTP96"/>
      <c r="RTQ96"/>
      <c r="RTR96"/>
      <c r="RTS96"/>
      <c r="RTT96"/>
      <c r="RTU96"/>
      <c r="RTV96"/>
      <c r="RTW96"/>
      <c r="RTX96"/>
      <c r="RTY96"/>
      <c r="RTZ96"/>
      <c r="RUA96"/>
      <c r="RUB96"/>
      <c r="RUC96"/>
      <c r="RUD96"/>
      <c r="RUE96"/>
      <c r="RUF96"/>
      <c r="RUG96"/>
      <c r="RUH96"/>
      <c r="RUI96"/>
      <c r="RUJ96"/>
      <c r="RUK96"/>
      <c r="RUL96"/>
      <c r="RUM96"/>
      <c r="RUN96"/>
      <c r="RUO96"/>
      <c r="RUP96"/>
      <c r="RUQ96"/>
      <c r="RUR96"/>
      <c r="RUS96"/>
      <c r="RUT96"/>
      <c r="RUU96"/>
      <c r="RUV96"/>
      <c r="RUW96"/>
      <c r="RUX96"/>
      <c r="RUY96"/>
      <c r="RUZ96"/>
      <c r="RVA96"/>
      <c r="RVB96"/>
      <c r="RVC96"/>
      <c r="RVD96"/>
      <c r="RVE96"/>
      <c r="RVF96"/>
      <c r="RVG96"/>
      <c r="RVH96"/>
      <c r="RVI96"/>
      <c r="RVJ96"/>
      <c r="RVK96"/>
      <c r="RVL96"/>
      <c r="RVM96"/>
      <c r="RVN96"/>
      <c r="RVO96"/>
      <c r="RVP96"/>
      <c r="RVQ96"/>
      <c r="RVR96"/>
      <c r="RVS96"/>
      <c r="RVT96"/>
      <c r="RVU96"/>
      <c r="RVV96"/>
      <c r="RVW96"/>
      <c r="RVX96"/>
      <c r="RVY96"/>
      <c r="RVZ96"/>
      <c r="RWA96"/>
      <c r="RWB96"/>
      <c r="RWC96"/>
      <c r="RWD96"/>
      <c r="RWE96"/>
      <c r="RWF96"/>
      <c r="RWG96"/>
      <c r="RWH96"/>
      <c r="RWI96"/>
      <c r="RWJ96"/>
      <c r="RWK96"/>
      <c r="RWL96"/>
      <c r="RWM96"/>
      <c r="RWN96"/>
      <c r="RWO96"/>
      <c r="RWP96"/>
      <c r="RWQ96"/>
      <c r="RWR96"/>
      <c r="RWS96"/>
      <c r="RWT96"/>
      <c r="RWU96"/>
      <c r="RWV96"/>
      <c r="RWW96"/>
      <c r="RWX96"/>
      <c r="RWY96"/>
      <c r="RWZ96"/>
      <c r="RXA96"/>
      <c r="RXB96"/>
      <c r="RXC96"/>
      <c r="RXD96"/>
      <c r="RXE96"/>
      <c r="RXF96"/>
      <c r="RXG96"/>
      <c r="RXH96"/>
      <c r="RXI96"/>
      <c r="RXJ96"/>
      <c r="RXK96"/>
      <c r="RXL96"/>
      <c r="RXM96"/>
      <c r="RXN96"/>
      <c r="RXO96"/>
      <c r="RXP96"/>
      <c r="RXQ96"/>
      <c r="RXR96"/>
      <c r="RXS96"/>
      <c r="RXT96"/>
      <c r="RXU96"/>
      <c r="RXV96"/>
      <c r="RXW96"/>
      <c r="RXX96"/>
      <c r="RXY96"/>
      <c r="RXZ96"/>
      <c r="RYA96"/>
      <c r="RYB96"/>
      <c r="RYC96"/>
      <c r="RYD96"/>
      <c r="RYE96"/>
      <c r="RYF96"/>
      <c r="RYG96"/>
      <c r="RYH96"/>
      <c r="RYI96"/>
      <c r="RYJ96"/>
      <c r="RYK96"/>
      <c r="RYL96"/>
      <c r="RYM96"/>
      <c r="RYN96"/>
      <c r="RYO96"/>
      <c r="RYP96"/>
      <c r="RYQ96"/>
      <c r="RYR96"/>
      <c r="RYS96"/>
      <c r="RYT96"/>
      <c r="RYU96"/>
      <c r="RYV96"/>
      <c r="RYW96"/>
      <c r="RYX96"/>
      <c r="RYY96"/>
      <c r="RYZ96"/>
      <c r="RZA96"/>
      <c r="RZB96"/>
      <c r="RZC96"/>
      <c r="RZD96"/>
      <c r="RZE96"/>
      <c r="RZF96"/>
      <c r="RZG96"/>
      <c r="RZH96"/>
      <c r="RZI96"/>
      <c r="RZJ96"/>
      <c r="RZK96"/>
      <c r="RZL96"/>
      <c r="RZM96"/>
      <c r="RZN96"/>
      <c r="RZO96"/>
      <c r="RZP96"/>
      <c r="RZQ96"/>
      <c r="RZR96"/>
      <c r="RZS96"/>
      <c r="RZT96"/>
      <c r="RZU96"/>
      <c r="RZV96"/>
      <c r="RZW96"/>
      <c r="RZX96"/>
      <c r="RZY96"/>
      <c r="RZZ96"/>
      <c r="SAA96"/>
      <c r="SAB96"/>
      <c r="SAC96"/>
      <c r="SAD96"/>
      <c r="SAE96"/>
      <c r="SAF96"/>
      <c r="SAG96"/>
      <c r="SAH96"/>
      <c r="SAI96"/>
      <c r="SAJ96"/>
      <c r="SAK96"/>
      <c r="SAL96"/>
      <c r="SAM96"/>
      <c r="SAN96"/>
      <c r="SAO96"/>
      <c r="SAP96"/>
      <c r="SAQ96"/>
      <c r="SAR96"/>
      <c r="SAS96"/>
      <c r="SAT96"/>
      <c r="SAU96"/>
      <c r="SAV96"/>
      <c r="SAW96"/>
      <c r="SAX96"/>
      <c r="SAY96"/>
      <c r="SAZ96"/>
      <c r="SBA96"/>
      <c r="SBB96"/>
      <c r="SBC96"/>
      <c r="SBD96"/>
      <c r="SBE96"/>
      <c r="SBF96"/>
      <c r="SBG96"/>
      <c r="SBH96"/>
      <c r="SBI96"/>
      <c r="SBJ96"/>
      <c r="SBK96"/>
      <c r="SBL96"/>
      <c r="SBM96"/>
      <c r="SBN96"/>
      <c r="SBO96"/>
      <c r="SBP96"/>
      <c r="SBQ96"/>
      <c r="SBR96"/>
      <c r="SBS96"/>
      <c r="SBT96"/>
      <c r="SBU96"/>
      <c r="SBV96"/>
      <c r="SBW96"/>
      <c r="SBX96"/>
      <c r="SBY96"/>
      <c r="SBZ96"/>
      <c r="SCA96"/>
      <c r="SCB96"/>
      <c r="SCC96"/>
      <c r="SCD96"/>
      <c r="SCE96"/>
      <c r="SCF96"/>
      <c r="SCG96"/>
      <c r="SCH96"/>
      <c r="SCI96"/>
      <c r="SCJ96"/>
      <c r="SCK96"/>
      <c r="SCL96"/>
      <c r="SCM96"/>
      <c r="SCN96"/>
      <c r="SCO96"/>
      <c r="SCP96"/>
      <c r="SCQ96"/>
      <c r="SCR96"/>
      <c r="SCS96"/>
      <c r="SCT96"/>
      <c r="SCU96"/>
      <c r="SCV96"/>
      <c r="SCW96"/>
      <c r="SCX96"/>
      <c r="SCY96"/>
      <c r="SCZ96"/>
      <c r="SDA96"/>
      <c r="SDB96"/>
      <c r="SDC96"/>
      <c r="SDD96"/>
      <c r="SDE96"/>
      <c r="SDF96"/>
      <c r="SDG96"/>
      <c r="SDH96"/>
      <c r="SDI96"/>
      <c r="SDJ96"/>
      <c r="SDK96"/>
      <c r="SDL96"/>
      <c r="SDM96"/>
      <c r="SDN96"/>
      <c r="SDO96"/>
      <c r="SDP96"/>
      <c r="SDQ96"/>
      <c r="SDR96"/>
      <c r="SDS96"/>
      <c r="SDT96"/>
      <c r="SDU96"/>
      <c r="SDV96"/>
      <c r="SDW96"/>
      <c r="SDX96"/>
      <c r="SDY96"/>
      <c r="SDZ96"/>
      <c r="SEA96"/>
      <c r="SEB96"/>
      <c r="SEC96"/>
      <c r="SED96"/>
      <c r="SEE96"/>
      <c r="SEF96"/>
      <c r="SEG96"/>
      <c r="SEH96"/>
      <c r="SEI96"/>
      <c r="SEJ96"/>
      <c r="SEK96"/>
      <c r="SEL96"/>
      <c r="SEM96"/>
      <c r="SEN96"/>
      <c r="SEO96"/>
      <c r="SEP96"/>
      <c r="SEQ96"/>
      <c r="SER96"/>
      <c r="SES96"/>
      <c r="SET96"/>
      <c r="SEU96"/>
      <c r="SEV96"/>
      <c r="SEW96"/>
      <c r="SEX96"/>
      <c r="SEY96"/>
      <c r="SEZ96"/>
      <c r="SFA96"/>
      <c r="SFB96"/>
      <c r="SFC96"/>
      <c r="SFD96"/>
      <c r="SFE96"/>
      <c r="SFF96"/>
      <c r="SFG96"/>
      <c r="SFH96"/>
      <c r="SFI96"/>
      <c r="SFJ96"/>
      <c r="SFK96"/>
      <c r="SFL96"/>
      <c r="SFM96"/>
      <c r="SFN96"/>
      <c r="SFO96"/>
      <c r="SFP96"/>
      <c r="SFQ96"/>
      <c r="SFR96"/>
      <c r="SFS96"/>
      <c r="SFT96"/>
      <c r="SFU96"/>
      <c r="SFV96"/>
      <c r="SFW96"/>
      <c r="SFX96"/>
      <c r="SFY96"/>
      <c r="SFZ96"/>
      <c r="SGA96"/>
      <c r="SGB96"/>
      <c r="SGC96"/>
      <c r="SGD96"/>
      <c r="SGE96"/>
      <c r="SGF96"/>
      <c r="SGG96"/>
      <c r="SGH96"/>
      <c r="SGI96"/>
      <c r="SGJ96"/>
      <c r="SGK96"/>
      <c r="SGL96"/>
      <c r="SGM96"/>
      <c r="SGN96"/>
      <c r="SGO96"/>
      <c r="SGP96"/>
      <c r="SGQ96"/>
      <c r="SGR96"/>
      <c r="SGS96"/>
      <c r="SGT96"/>
      <c r="SGU96"/>
      <c r="SGV96"/>
      <c r="SGW96"/>
      <c r="SGX96"/>
      <c r="SGY96"/>
      <c r="SGZ96"/>
      <c r="SHA96"/>
      <c r="SHB96"/>
      <c r="SHC96"/>
      <c r="SHD96"/>
      <c r="SHE96"/>
      <c r="SHF96"/>
      <c r="SHG96"/>
      <c r="SHH96"/>
      <c r="SHI96"/>
      <c r="SHJ96"/>
      <c r="SHK96"/>
      <c r="SHL96"/>
      <c r="SHM96"/>
      <c r="SHN96"/>
      <c r="SHO96"/>
      <c r="SHP96"/>
      <c r="SHQ96"/>
      <c r="SHR96"/>
      <c r="SHS96"/>
      <c r="SHT96"/>
      <c r="SHU96"/>
      <c r="SHV96"/>
      <c r="SHW96"/>
      <c r="SHX96"/>
      <c r="SHY96"/>
      <c r="SHZ96"/>
      <c r="SIA96"/>
      <c r="SIB96"/>
      <c r="SIC96"/>
      <c r="SID96"/>
      <c r="SIE96"/>
      <c r="SIF96"/>
      <c r="SIG96"/>
      <c r="SIH96"/>
      <c r="SII96"/>
      <c r="SIJ96"/>
      <c r="SIK96"/>
      <c r="SIL96"/>
      <c r="SIM96"/>
      <c r="SIN96"/>
      <c r="SIO96"/>
      <c r="SIP96"/>
      <c r="SIQ96"/>
      <c r="SIR96"/>
      <c r="SIS96"/>
      <c r="SIT96"/>
      <c r="SIU96"/>
      <c r="SIV96"/>
      <c r="SIW96"/>
      <c r="SIX96"/>
      <c r="SIY96"/>
      <c r="SIZ96"/>
      <c r="SJA96"/>
      <c r="SJB96"/>
      <c r="SJC96"/>
      <c r="SJD96"/>
      <c r="SJE96"/>
      <c r="SJF96"/>
      <c r="SJG96"/>
      <c r="SJH96"/>
      <c r="SJI96"/>
      <c r="SJJ96"/>
      <c r="SJK96"/>
      <c r="SJL96"/>
      <c r="SJM96"/>
      <c r="SJN96"/>
      <c r="SJO96"/>
      <c r="SJP96"/>
      <c r="SJQ96"/>
      <c r="SJR96"/>
      <c r="SJS96"/>
      <c r="SJT96"/>
      <c r="SJU96"/>
      <c r="SJV96"/>
      <c r="SJW96"/>
      <c r="SJX96"/>
      <c r="SJY96"/>
      <c r="SJZ96"/>
      <c r="SKA96"/>
      <c r="SKB96"/>
      <c r="SKC96"/>
      <c r="SKD96"/>
      <c r="SKE96"/>
      <c r="SKF96"/>
      <c r="SKG96"/>
      <c r="SKH96"/>
      <c r="SKI96"/>
      <c r="SKJ96"/>
      <c r="SKK96"/>
      <c r="SKL96"/>
      <c r="SKM96"/>
      <c r="SKN96"/>
      <c r="SKO96"/>
      <c r="SKP96"/>
      <c r="SKQ96"/>
      <c r="SKR96"/>
      <c r="SKS96"/>
      <c r="SKT96"/>
      <c r="SKU96"/>
      <c r="SKV96"/>
      <c r="SKW96"/>
      <c r="SKX96"/>
      <c r="SKY96"/>
      <c r="SKZ96"/>
      <c r="SLA96"/>
      <c r="SLB96"/>
      <c r="SLC96"/>
      <c r="SLD96"/>
      <c r="SLE96"/>
      <c r="SLF96"/>
      <c r="SLG96"/>
      <c r="SLH96"/>
      <c r="SLI96"/>
      <c r="SLJ96"/>
      <c r="SLK96"/>
      <c r="SLL96"/>
      <c r="SLM96"/>
      <c r="SLN96"/>
      <c r="SLO96"/>
      <c r="SLP96"/>
      <c r="SLQ96"/>
      <c r="SLR96"/>
      <c r="SLS96"/>
      <c r="SLT96"/>
      <c r="SLU96"/>
      <c r="SLV96"/>
      <c r="SLW96"/>
      <c r="SLX96"/>
      <c r="SLY96"/>
      <c r="SLZ96"/>
      <c r="SMA96"/>
      <c r="SMB96"/>
      <c r="SMC96"/>
      <c r="SMD96"/>
      <c r="SME96"/>
      <c r="SMF96"/>
      <c r="SMG96"/>
      <c r="SMH96"/>
      <c r="SMI96"/>
      <c r="SMJ96"/>
      <c r="SMK96"/>
      <c r="SML96"/>
      <c r="SMM96"/>
      <c r="SMN96"/>
      <c r="SMO96"/>
      <c r="SMP96"/>
      <c r="SMQ96"/>
      <c r="SMR96"/>
      <c r="SMS96"/>
      <c r="SMT96"/>
      <c r="SMU96"/>
      <c r="SMV96"/>
      <c r="SMW96"/>
      <c r="SMX96"/>
      <c r="SMY96"/>
      <c r="SMZ96"/>
      <c r="SNA96"/>
      <c r="SNB96"/>
      <c r="SNC96"/>
      <c r="SND96"/>
      <c r="SNE96"/>
      <c r="SNF96"/>
      <c r="SNG96"/>
      <c r="SNH96"/>
      <c r="SNI96"/>
      <c r="SNJ96"/>
      <c r="SNK96"/>
      <c r="SNL96"/>
      <c r="SNM96"/>
      <c r="SNN96"/>
      <c r="SNO96"/>
      <c r="SNP96"/>
      <c r="SNQ96"/>
      <c r="SNR96"/>
      <c r="SNS96"/>
      <c r="SNT96"/>
      <c r="SNU96"/>
      <c r="SNV96"/>
      <c r="SNW96"/>
      <c r="SNX96"/>
      <c r="SNY96"/>
      <c r="SNZ96"/>
      <c r="SOA96"/>
      <c r="SOB96"/>
      <c r="SOC96"/>
      <c r="SOD96"/>
      <c r="SOE96"/>
      <c r="SOF96"/>
      <c r="SOG96"/>
      <c r="SOH96"/>
      <c r="SOI96"/>
      <c r="SOJ96"/>
      <c r="SOK96"/>
      <c r="SOL96"/>
      <c r="SOM96"/>
      <c r="SON96"/>
      <c r="SOO96"/>
      <c r="SOP96"/>
      <c r="SOQ96"/>
      <c r="SOR96"/>
      <c r="SOS96"/>
      <c r="SOT96"/>
      <c r="SOU96"/>
      <c r="SOV96"/>
      <c r="SOW96"/>
      <c r="SOX96"/>
      <c r="SOY96"/>
      <c r="SOZ96"/>
      <c r="SPA96"/>
      <c r="SPB96"/>
      <c r="SPC96"/>
      <c r="SPD96"/>
      <c r="SPE96"/>
      <c r="SPF96"/>
      <c r="SPG96"/>
      <c r="SPH96"/>
      <c r="SPI96"/>
      <c r="SPJ96"/>
      <c r="SPK96"/>
      <c r="SPL96"/>
      <c r="SPM96"/>
      <c r="SPN96"/>
      <c r="SPO96"/>
      <c r="SPP96"/>
      <c r="SPQ96"/>
      <c r="SPR96"/>
      <c r="SPS96"/>
      <c r="SPT96"/>
      <c r="SPU96"/>
      <c r="SPV96"/>
      <c r="SPW96"/>
      <c r="SPX96"/>
      <c r="SPY96"/>
      <c r="SPZ96"/>
      <c r="SQA96"/>
      <c r="SQB96"/>
      <c r="SQC96"/>
      <c r="SQD96"/>
      <c r="SQE96"/>
      <c r="SQF96"/>
      <c r="SQG96"/>
      <c r="SQH96"/>
      <c r="SQI96"/>
      <c r="SQJ96"/>
      <c r="SQK96"/>
      <c r="SQL96"/>
      <c r="SQM96"/>
      <c r="SQN96"/>
      <c r="SQO96"/>
      <c r="SQP96"/>
      <c r="SQQ96"/>
      <c r="SQR96"/>
      <c r="SQS96"/>
      <c r="SQT96"/>
      <c r="SQU96"/>
      <c r="SQV96"/>
      <c r="SQW96"/>
      <c r="SQX96"/>
      <c r="SQY96"/>
      <c r="SQZ96"/>
      <c r="SRA96"/>
      <c r="SRB96"/>
      <c r="SRC96"/>
      <c r="SRD96"/>
      <c r="SRE96"/>
      <c r="SRF96"/>
      <c r="SRG96"/>
      <c r="SRH96"/>
      <c r="SRI96"/>
      <c r="SRJ96"/>
      <c r="SRK96"/>
      <c r="SRL96"/>
      <c r="SRM96"/>
      <c r="SRN96"/>
      <c r="SRO96"/>
      <c r="SRP96"/>
      <c r="SRQ96"/>
      <c r="SRR96"/>
      <c r="SRS96"/>
      <c r="SRT96"/>
      <c r="SRU96"/>
      <c r="SRV96"/>
      <c r="SRW96"/>
      <c r="SRX96"/>
      <c r="SRY96"/>
      <c r="SRZ96"/>
      <c r="SSA96"/>
      <c r="SSB96"/>
      <c r="SSC96"/>
      <c r="SSD96"/>
      <c r="SSE96"/>
      <c r="SSF96"/>
      <c r="SSG96"/>
      <c r="SSH96"/>
      <c r="SSI96"/>
      <c r="SSJ96"/>
      <c r="SSK96"/>
      <c r="SSL96"/>
      <c r="SSM96"/>
      <c r="SSN96"/>
      <c r="SSO96"/>
      <c r="SSP96"/>
      <c r="SSQ96"/>
      <c r="SSR96"/>
      <c r="SSS96"/>
      <c r="SST96"/>
      <c r="SSU96"/>
      <c r="SSV96"/>
      <c r="SSW96"/>
      <c r="SSX96"/>
      <c r="SSY96"/>
      <c r="SSZ96"/>
      <c r="STA96"/>
      <c r="STB96"/>
      <c r="STC96"/>
      <c r="STD96"/>
      <c r="STE96"/>
      <c r="STF96"/>
      <c r="STG96"/>
      <c r="STH96"/>
      <c r="STI96"/>
      <c r="STJ96"/>
      <c r="STK96"/>
      <c r="STL96"/>
      <c r="STM96"/>
      <c r="STN96"/>
      <c r="STO96"/>
      <c r="STP96"/>
      <c r="STQ96"/>
      <c r="STR96"/>
      <c r="STS96"/>
      <c r="STT96"/>
      <c r="STU96"/>
      <c r="STV96"/>
      <c r="STW96"/>
      <c r="STX96"/>
      <c r="STY96"/>
      <c r="STZ96"/>
      <c r="SUA96"/>
      <c r="SUB96"/>
      <c r="SUC96"/>
      <c r="SUD96"/>
      <c r="SUE96"/>
      <c r="SUF96"/>
      <c r="SUG96"/>
      <c r="SUH96"/>
      <c r="SUI96"/>
      <c r="SUJ96"/>
      <c r="SUK96"/>
      <c r="SUL96"/>
      <c r="SUM96"/>
      <c r="SUN96"/>
      <c r="SUO96"/>
      <c r="SUP96"/>
      <c r="SUQ96"/>
      <c r="SUR96"/>
      <c r="SUS96"/>
      <c r="SUT96"/>
      <c r="SUU96"/>
      <c r="SUV96"/>
      <c r="SUW96"/>
      <c r="SUX96"/>
      <c r="SUY96"/>
      <c r="SUZ96"/>
      <c r="SVA96"/>
      <c r="SVB96"/>
      <c r="SVC96"/>
      <c r="SVD96"/>
      <c r="SVE96"/>
      <c r="SVF96"/>
      <c r="SVG96"/>
      <c r="SVH96"/>
      <c r="SVI96"/>
      <c r="SVJ96"/>
      <c r="SVK96"/>
      <c r="SVL96"/>
      <c r="SVM96"/>
      <c r="SVN96"/>
      <c r="SVO96"/>
      <c r="SVP96"/>
      <c r="SVQ96"/>
      <c r="SVR96"/>
      <c r="SVS96"/>
      <c r="SVT96"/>
      <c r="SVU96"/>
      <c r="SVV96"/>
      <c r="SVW96"/>
      <c r="SVX96"/>
      <c r="SVY96"/>
      <c r="SVZ96"/>
      <c r="SWA96"/>
      <c r="SWB96"/>
      <c r="SWC96"/>
      <c r="SWD96"/>
      <c r="SWE96"/>
      <c r="SWF96"/>
      <c r="SWG96"/>
      <c r="SWH96"/>
      <c r="SWI96"/>
      <c r="SWJ96"/>
      <c r="SWK96"/>
      <c r="SWL96"/>
      <c r="SWM96"/>
      <c r="SWN96"/>
      <c r="SWO96"/>
      <c r="SWP96"/>
      <c r="SWQ96"/>
      <c r="SWR96"/>
      <c r="SWS96"/>
      <c r="SWT96"/>
      <c r="SWU96"/>
      <c r="SWV96"/>
      <c r="SWW96"/>
      <c r="SWX96"/>
      <c r="SWY96"/>
      <c r="SWZ96"/>
      <c r="SXA96"/>
      <c r="SXB96"/>
      <c r="SXC96"/>
      <c r="SXD96"/>
      <c r="SXE96"/>
      <c r="SXF96"/>
      <c r="SXG96"/>
      <c r="SXH96"/>
      <c r="SXI96"/>
      <c r="SXJ96"/>
      <c r="SXK96"/>
      <c r="SXL96"/>
      <c r="SXM96"/>
      <c r="SXN96"/>
      <c r="SXO96"/>
      <c r="SXP96"/>
      <c r="SXQ96"/>
      <c r="SXR96"/>
      <c r="SXS96"/>
      <c r="SXT96"/>
      <c r="SXU96"/>
      <c r="SXV96"/>
      <c r="SXW96"/>
      <c r="SXX96"/>
      <c r="SXY96"/>
      <c r="SXZ96"/>
      <c r="SYA96"/>
      <c r="SYB96"/>
      <c r="SYC96"/>
      <c r="SYD96"/>
      <c r="SYE96"/>
      <c r="SYF96"/>
      <c r="SYG96"/>
      <c r="SYH96"/>
      <c r="SYI96"/>
      <c r="SYJ96"/>
      <c r="SYK96"/>
      <c r="SYL96"/>
      <c r="SYM96"/>
      <c r="SYN96"/>
      <c r="SYO96"/>
      <c r="SYP96"/>
      <c r="SYQ96"/>
      <c r="SYR96"/>
      <c r="SYS96"/>
      <c r="SYT96"/>
      <c r="SYU96"/>
      <c r="SYV96"/>
      <c r="SYW96"/>
      <c r="SYX96"/>
      <c r="SYY96"/>
      <c r="SYZ96"/>
      <c r="SZA96"/>
      <c r="SZB96"/>
      <c r="SZC96"/>
      <c r="SZD96"/>
      <c r="SZE96"/>
      <c r="SZF96"/>
      <c r="SZG96"/>
      <c r="SZH96"/>
      <c r="SZI96"/>
      <c r="SZJ96"/>
      <c r="SZK96"/>
      <c r="SZL96"/>
      <c r="SZM96"/>
      <c r="SZN96"/>
      <c r="SZO96"/>
      <c r="SZP96"/>
      <c r="SZQ96"/>
      <c r="SZR96"/>
      <c r="SZS96"/>
      <c r="SZT96"/>
      <c r="SZU96"/>
      <c r="SZV96"/>
      <c r="SZW96"/>
      <c r="SZX96"/>
      <c r="SZY96"/>
      <c r="SZZ96"/>
      <c r="TAA96"/>
      <c r="TAB96"/>
      <c r="TAC96"/>
      <c r="TAD96"/>
      <c r="TAE96"/>
      <c r="TAF96"/>
      <c r="TAG96"/>
      <c r="TAH96"/>
      <c r="TAI96"/>
      <c r="TAJ96"/>
      <c r="TAK96"/>
      <c r="TAL96"/>
      <c r="TAM96"/>
      <c r="TAN96"/>
      <c r="TAO96"/>
      <c r="TAP96"/>
      <c r="TAQ96"/>
      <c r="TAR96"/>
      <c r="TAS96"/>
      <c r="TAT96"/>
      <c r="TAU96"/>
      <c r="TAV96"/>
      <c r="TAW96"/>
      <c r="TAX96"/>
      <c r="TAY96"/>
      <c r="TAZ96"/>
      <c r="TBA96"/>
      <c r="TBB96"/>
      <c r="TBC96"/>
      <c r="TBD96"/>
      <c r="TBE96"/>
      <c r="TBF96"/>
      <c r="TBG96"/>
      <c r="TBH96"/>
      <c r="TBI96"/>
      <c r="TBJ96"/>
      <c r="TBK96"/>
      <c r="TBL96"/>
      <c r="TBM96"/>
      <c r="TBN96"/>
      <c r="TBO96"/>
      <c r="TBP96"/>
      <c r="TBQ96"/>
      <c r="TBR96"/>
      <c r="TBS96"/>
      <c r="TBT96"/>
      <c r="TBU96"/>
      <c r="TBV96"/>
      <c r="TBW96"/>
      <c r="TBX96"/>
      <c r="TBY96"/>
      <c r="TBZ96"/>
      <c r="TCA96"/>
      <c r="TCB96"/>
      <c r="TCC96"/>
      <c r="TCD96"/>
      <c r="TCE96"/>
      <c r="TCF96"/>
      <c r="TCG96"/>
      <c r="TCH96"/>
      <c r="TCI96"/>
      <c r="TCJ96"/>
      <c r="TCK96"/>
      <c r="TCL96"/>
      <c r="TCM96"/>
      <c r="TCN96"/>
      <c r="TCO96"/>
      <c r="TCP96"/>
      <c r="TCQ96"/>
      <c r="TCR96"/>
      <c r="TCS96"/>
      <c r="TCT96"/>
      <c r="TCU96"/>
      <c r="TCV96"/>
      <c r="TCW96"/>
      <c r="TCX96"/>
      <c r="TCY96"/>
      <c r="TCZ96"/>
      <c r="TDA96"/>
      <c r="TDB96"/>
      <c r="TDC96"/>
      <c r="TDD96"/>
      <c r="TDE96"/>
      <c r="TDF96"/>
      <c r="TDG96"/>
      <c r="TDH96"/>
      <c r="TDI96"/>
      <c r="TDJ96"/>
      <c r="TDK96"/>
      <c r="TDL96"/>
      <c r="TDM96"/>
      <c r="TDN96"/>
      <c r="TDO96"/>
      <c r="TDP96"/>
      <c r="TDQ96"/>
      <c r="TDR96"/>
      <c r="TDS96"/>
      <c r="TDT96"/>
      <c r="TDU96"/>
      <c r="TDV96"/>
      <c r="TDW96"/>
      <c r="TDX96"/>
      <c r="TDY96"/>
      <c r="TDZ96"/>
      <c r="TEA96"/>
      <c r="TEB96"/>
      <c r="TEC96"/>
      <c r="TED96"/>
      <c r="TEE96"/>
      <c r="TEF96"/>
      <c r="TEG96"/>
      <c r="TEH96"/>
      <c r="TEI96"/>
      <c r="TEJ96"/>
      <c r="TEK96"/>
      <c r="TEL96"/>
      <c r="TEM96"/>
      <c r="TEN96"/>
      <c r="TEO96"/>
      <c r="TEP96"/>
      <c r="TEQ96"/>
      <c r="TER96"/>
      <c r="TES96"/>
      <c r="TET96"/>
      <c r="TEU96"/>
      <c r="TEV96"/>
      <c r="TEW96"/>
      <c r="TEX96"/>
      <c r="TEY96"/>
      <c r="TEZ96"/>
      <c r="TFA96"/>
      <c r="TFB96"/>
      <c r="TFC96"/>
      <c r="TFD96"/>
      <c r="TFE96"/>
      <c r="TFF96"/>
      <c r="TFG96"/>
      <c r="TFH96"/>
      <c r="TFI96"/>
      <c r="TFJ96"/>
      <c r="TFK96"/>
      <c r="TFL96"/>
      <c r="TFM96"/>
      <c r="TFN96"/>
      <c r="TFO96"/>
      <c r="TFP96"/>
      <c r="TFQ96"/>
      <c r="TFR96"/>
      <c r="TFS96"/>
      <c r="TFT96"/>
      <c r="TFU96"/>
      <c r="TFV96"/>
      <c r="TFW96"/>
      <c r="TFX96"/>
      <c r="TFY96"/>
      <c r="TFZ96"/>
      <c r="TGA96"/>
      <c r="TGB96"/>
      <c r="TGC96"/>
      <c r="TGD96"/>
      <c r="TGE96"/>
      <c r="TGF96"/>
      <c r="TGG96"/>
      <c r="TGH96"/>
      <c r="TGI96"/>
      <c r="TGJ96"/>
      <c r="TGK96"/>
      <c r="TGL96"/>
      <c r="TGM96"/>
      <c r="TGN96"/>
      <c r="TGO96"/>
      <c r="TGP96"/>
      <c r="TGQ96"/>
      <c r="TGR96"/>
      <c r="TGS96"/>
      <c r="TGT96"/>
      <c r="TGU96"/>
      <c r="TGV96"/>
      <c r="TGW96"/>
      <c r="TGX96"/>
      <c r="TGY96"/>
      <c r="TGZ96"/>
      <c r="THA96"/>
      <c r="THB96"/>
      <c r="THC96"/>
      <c r="THD96"/>
      <c r="THE96"/>
      <c r="THF96"/>
      <c r="THG96"/>
      <c r="THH96"/>
      <c r="THI96"/>
      <c r="THJ96"/>
      <c r="THK96"/>
      <c r="THL96"/>
      <c r="THM96"/>
      <c r="THN96"/>
      <c r="THO96"/>
      <c r="THP96"/>
      <c r="THQ96"/>
      <c r="THR96"/>
      <c r="THS96"/>
      <c r="THT96"/>
      <c r="THU96"/>
      <c r="THV96"/>
      <c r="THW96"/>
      <c r="THX96"/>
      <c r="THY96"/>
      <c r="THZ96"/>
      <c r="TIA96"/>
      <c r="TIB96"/>
      <c r="TIC96"/>
      <c r="TID96"/>
      <c r="TIE96"/>
      <c r="TIF96"/>
      <c r="TIG96"/>
      <c r="TIH96"/>
      <c r="TII96"/>
      <c r="TIJ96"/>
      <c r="TIK96"/>
      <c r="TIL96"/>
      <c r="TIM96"/>
      <c r="TIN96"/>
      <c r="TIO96"/>
      <c r="TIP96"/>
      <c r="TIQ96"/>
      <c r="TIR96"/>
      <c r="TIS96"/>
      <c r="TIT96"/>
      <c r="TIU96"/>
      <c r="TIV96"/>
      <c r="TIW96"/>
      <c r="TIX96"/>
      <c r="TIY96"/>
      <c r="TIZ96"/>
      <c r="TJA96"/>
      <c r="TJB96"/>
      <c r="TJC96"/>
      <c r="TJD96"/>
      <c r="TJE96"/>
      <c r="TJF96"/>
      <c r="TJG96"/>
      <c r="TJH96"/>
      <c r="TJI96"/>
      <c r="TJJ96"/>
      <c r="TJK96"/>
      <c r="TJL96"/>
      <c r="TJM96"/>
      <c r="TJN96"/>
      <c r="TJO96"/>
      <c r="TJP96"/>
      <c r="TJQ96"/>
      <c r="TJR96"/>
      <c r="TJS96"/>
      <c r="TJT96"/>
      <c r="TJU96"/>
      <c r="TJV96"/>
      <c r="TJW96"/>
      <c r="TJX96"/>
      <c r="TJY96"/>
      <c r="TJZ96"/>
      <c r="TKA96"/>
      <c r="TKB96"/>
      <c r="TKC96"/>
      <c r="TKD96"/>
      <c r="TKE96"/>
      <c r="TKF96"/>
      <c r="TKG96"/>
      <c r="TKH96"/>
      <c r="TKI96"/>
      <c r="TKJ96"/>
      <c r="TKK96"/>
      <c r="TKL96"/>
      <c r="TKM96"/>
      <c r="TKN96"/>
      <c r="TKO96"/>
      <c r="TKP96"/>
      <c r="TKQ96"/>
      <c r="TKR96"/>
      <c r="TKS96"/>
      <c r="TKT96"/>
      <c r="TKU96"/>
      <c r="TKV96"/>
      <c r="TKW96"/>
      <c r="TKX96"/>
      <c r="TKY96"/>
      <c r="TKZ96"/>
      <c r="TLA96"/>
      <c r="TLB96"/>
      <c r="TLC96"/>
      <c r="TLD96"/>
      <c r="TLE96"/>
      <c r="TLF96"/>
      <c r="TLG96"/>
      <c r="TLH96"/>
      <c r="TLI96"/>
      <c r="TLJ96"/>
      <c r="TLK96"/>
      <c r="TLL96"/>
      <c r="TLM96"/>
      <c r="TLN96"/>
      <c r="TLO96"/>
      <c r="TLP96"/>
      <c r="TLQ96"/>
      <c r="TLR96"/>
      <c r="TLS96"/>
      <c r="TLT96"/>
      <c r="TLU96"/>
      <c r="TLV96"/>
      <c r="TLW96"/>
      <c r="TLX96"/>
      <c r="TLY96"/>
      <c r="TLZ96"/>
      <c r="TMA96"/>
      <c r="TMB96"/>
      <c r="TMC96"/>
      <c r="TMD96"/>
      <c r="TME96"/>
      <c r="TMF96"/>
      <c r="TMG96"/>
      <c r="TMH96"/>
      <c r="TMI96"/>
      <c r="TMJ96"/>
      <c r="TMK96"/>
      <c r="TML96"/>
      <c r="TMM96"/>
      <c r="TMN96"/>
      <c r="TMO96"/>
      <c r="TMP96"/>
      <c r="TMQ96"/>
      <c r="TMR96"/>
      <c r="TMS96"/>
      <c r="TMT96"/>
      <c r="TMU96"/>
      <c r="TMV96"/>
      <c r="TMW96"/>
      <c r="TMX96"/>
      <c r="TMY96"/>
      <c r="TMZ96"/>
      <c r="TNA96"/>
      <c r="TNB96"/>
      <c r="TNC96"/>
      <c r="TND96"/>
      <c r="TNE96"/>
      <c r="TNF96"/>
      <c r="TNG96"/>
      <c r="TNH96"/>
      <c r="TNI96"/>
      <c r="TNJ96"/>
      <c r="TNK96"/>
      <c r="TNL96"/>
      <c r="TNM96"/>
      <c r="TNN96"/>
      <c r="TNO96"/>
      <c r="TNP96"/>
      <c r="TNQ96"/>
      <c r="TNR96"/>
      <c r="TNS96"/>
      <c r="TNT96"/>
      <c r="TNU96"/>
      <c r="TNV96"/>
      <c r="TNW96"/>
      <c r="TNX96"/>
      <c r="TNY96"/>
      <c r="TNZ96"/>
      <c r="TOA96"/>
      <c r="TOB96"/>
      <c r="TOC96"/>
      <c r="TOD96"/>
      <c r="TOE96"/>
      <c r="TOF96"/>
      <c r="TOG96"/>
      <c r="TOH96"/>
      <c r="TOI96"/>
      <c r="TOJ96"/>
      <c r="TOK96"/>
      <c r="TOL96"/>
      <c r="TOM96"/>
      <c r="TON96"/>
      <c r="TOO96"/>
      <c r="TOP96"/>
      <c r="TOQ96"/>
      <c r="TOR96"/>
      <c r="TOS96"/>
      <c r="TOT96"/>
      <c r="TOU96"/>
      <c r="TOV96"/>
      <c r="TOW96"/>
      <c r="TOX96"/>
      <c r="TOY96"/>
      <c r="TOZ96"/>
      <c r="TPA96"/>
      <c r="TPB96"/>
      <c r="TPC96"/>
      <c r="TPD96"/>
      <c r="TPE96"/>
      <c r="TPF96"/>
      <c r="TPG96"/>
      <c r="TPH96"/>
      <c r="TPI96"/>
      <c r="TPJ96"/>
      <c r="TPK96"/>
      <c r="TPL96"/>
      <c r="TPM96"/>
      <c r="TPN96"/>
      <c r="TPO96"/>
      <c r="TPP96"/>
      <c r="TPQ96"/>
      <c r="TPR96"/>
      <c r="TPS96"/>
      <c r="TPT96"/>
      <c r="TPU96"/>
      <c r="TPV96"/>
      <c r="TPW96"/>
      <c r="TPX96"/>
      <c r="TPY96"/>
      <c r="TPZ96"/>
      <c r="TQA96"/>
      <c r="TQB96"/>
      <c r="TQC96"/>
      <c r="TQD96"/>
      <c r="TQE96"/>
      <c r="TQF96"/>
      <c r="TQG96"/>
      <c r="TQH96"/>
      <c r="TQI96"/>
      <c r="TQJ96"/>
      <c r="TQK96"/>
      <c r="TQL96"/>
      <c r="TQM96"/>
      <c r="TQN96"/>
      <c r="TQO96"/>
      <c r="TQP96"/>
      <c r="TQQ96"/>
      <c r="TQR96"/>
      <c r="TQS96"/>
      <c r="TQT96"/>
      <c r="TQU96"/>
      <c r="TQV96"/>
      <c r="TQW96"/>
      <c r="TQX96"/>
      <c r="TQY96"/>
      <c r="TQZ96"/>
      <c r="TRA96"/>
      <c r="TRB96"/>
      <c r="TRC96"/>
      <c r="TRD96"/>
      <c r="TRE96"/>
      <c r="TRF96"/>
      <c r="TRG96"/>
      <c r="TRH96"/>
      <c r="TRI96"/>
      <c r="TRJ96"/>
      <c r="TRK96"/>
      <c r="TRL96"/>
      <c r="TRM96"/>
      <c r="TRN96"/>
      <c r="TRO96"/>
      <c r="TRP96"/>
      <c r="TRQ96"/>
      <c r="TRR96"/>
      <c r="TRS96"/>
      <c r="TRT96"/>
      <c r="TRU96"/>
      <c r="TRV96"/>
      <c r="TRW96"/>
      <c r="TRX96"/>
      <c r="TRY96"/>
      <c r="TRZ96"/>
      <c r="TSA96"/>
      <c r="TSB96"/>
      <c r="TSC96"/>
      <c r="TSD96"/>
      <c r="TSE96"/>
      <c r="TSF96"/>
      <c r="TSG96"/>
      <c r="TSH96"/>
      <c r="TSI96"/>
      <c r="TSJ96"/>
      <c r="TSK96"/>
      <c r="TSL96"/>
      <c r="TSM96"/>
      <c r="TSN96"/>
      <c r="TSO96"/>
      <c r="TSP96"/>
      <c r="TSQ96"/>
      <c r="TSR96"/>
      <c r="TSS96"/>
      <c r="TST96"/>
      <c r="TSU96"/>
      <c r="TSV96"/>
      <c r="TSW96"/>
      <c r="TSX96"/>
      <c r="TSY96"/>
      <c r="TSZ96"/>
      <c r="TTA96"/>
      <c r="TTB96"/>
      <c r="TTC96"/>
      <c r="TTD96"/>
      <c r="TTE96"/>
      <c r="TTF96"/>
      <c r="TTG96"/>
      <c r="TTH96"/>
      <c r="TTI96"/>
      <c r="TTJ96"/>
      <c r="TTK96"/>
      <c r="TTL96"/>
      <c r="TTM96"/>
      <c r="TTN96"/>
      <c r="TTO96"/>
      <c r="TTP96"/>
      <c r="TTQ96"/>
      <c r="TTR96"/>
      <c r="TTS96"/>
      <c r="TTT96"/>
      <c r="TTU96"/>
      <c r="TTV96"/>
      <c r="TTW96"/>
      <c r="TTX96"/>
      <c r="TTY96"/>
      <c r="TTZ96"/>
      <c r="TUA96"/>
      <c r="TUB96"/>
      <c r="TUC96"/>
      <c r="TUD96"/>
      <c r="TUE96"/>
      <c r="TUF96"/>
      <c r="TUG96"/>
      <c r="TUH96"/>
      <c r="TUI96"/>
      <c r="TUJ96"/>
      <c r="TUK96"/>
      <c r="TUL96"/>
      <c r="TUM96"/>
      <c r="TUN96"/>
      <c r="TUO96"/>
      <c r="TUP96"/>
      <c r="TUQ96"/>
      <c r="TUR96"/>
      <c r="TUS96"/>
      <c r="TUT96"/>
      <c r="TUU96"/>
      <c r="TUV96"/>
      <c r="TUW96"/>
      <c r="TUX96"/>
      <c r="TUY96"/>
      <c r="TUZ96"/>
      <c r="TVA96"/>
      <c r="TVB96"/>
      <c r="TVC96"/>
      <c r="TVD96"/>
      <c r="TVE96"/>
      <c r="TVF96"/>
      <c r="TVG96"/>
      <c r="TVH96"/>
      <c r="TVI96"/>
      <c r="TVJ96"/>
      <c r="TVK96"/>
      <c r="TVL96"/>
      <c r="TVM96"/>
      <c r="TVN96"/>
      <c r="TVO96"/>
      <c r="TVP96"/>
      <c r="TVQ96"/>
      <c r="TVR96"/>
      <c r="TVS96"/>
      <c r="TVT96"/>
      <c r="TVU96"/>
      <c r="TVV96"/>
      <c r="TVW96"/>
      <c r="TVX96"/>
      <c r="TVY96"/>
      <c r="TVZ96"/>
      <c r="TWA96"/>
      <c r="TWB96"/>
      <c r="TWC96"/>
      <c r="TWD96"/>
      <c r="TWE96"/>
      <c r="TWF96"/>
      <c r="TWG96"/>
      <c r="TWH96"/>
      <c r="TWI96"/>
      <c r="TWJ96"/>
      <c r="TWK96"/>
      <c r="TWL96"/>
      <c r="TWM96"/>
      <c r="TWN96"/>
      <c r="TWO96"/>
      <c r="TWP96"/>
      <c r="TWQ96"/>
      <c r="TWR96"/>
      <c r="TWS96"/>
      <c r="TWT96"/>
      <c r="TWU96"/>
      <c r="TWV96"/>
      <c r="TWW96"/>
      <c r="TWX96"/>
      <c r="TWY96"/>
      <c r="TWZ96"/>
      <c r="TXA96"/>
      <c r="TXB96"/>
      <c r="TXC96"/>
      <c r="TXD96"/>
      <c r="TXE96"/>
      <c r="TXF96"/>
      <c r="TXG96"/>
      <c r="TXH96"/>
      <c r="TXI96"/>
      <c r="TXJ96"/>
      <c r="TXK96"/>
      <c r="TXL96"/>
      <c r="TXM96"/>
      <c r="TXN96"/>
      <c r="TXO96"/>
      <c r="TXP96"/>
      <c r="TXQ96"/>
      <c r="TXR96"/>
      <c r="TXS96"/>
      <c r="TXT96"/>
      <c r="TXU96"/>
      <c r="TXV96"/>
      <c r="TXW96"/>
      <c r="TXX96"/>
      <c r="TXY96"/>
      <c r="TXZ96"/>
      <c r="TYA96"/>
      <c r="TYB96"/>
      <c r="TYC96"/>
      <c r="TYD96"/>
      <c r="TYE96"/>
      <c r="TYF96"/>
      <c r="TYG96"/>
      <c r="TYH96"/>
      <c r="TYI96"/>
      <c r="TYJ96"/>
      <c r="TYK96"/>
      <c r="TYL96"/>
      <c r="TYM96"/>
      <c r="TYN96"/>
      <c r="TYO96"/>
      <c r="TYP96"/>
      <c r="TYQ96"/>
      <c r="TYR96"/>
      <c r="TYS96"/>
      <c r="TYT96"/>
      <c r="TYU96"/>
      <c r="TYV96"/>
      <c r="TYW96"/>
      <c r="TYX96"/>
      <c r="TYY96"/>
      <c r="TYZ96"/>
      <c r="TZA96"/>
      <c r="TZB96"/>
      <c r="TZC96"/>
      <c r="TZD96"/>
      <c r="TZE96"/>
      <c r="TZF96"/>
      <c r="TZG96"/>
      <c r="TZH96"/>
      <c r="TZI96"/>
      <c r="TZJ96"/>
      <c r="TZK96"/>
      <c r="TZL96"/>
      <c r="TZM96"/>
      <c r="TZN96"/>
      <c r="TZO96"/>
      <c r="TZP96"/>
      <c r="TZQ96"/>
      <c r="TZR96"/>
      <c r="TZS96"/>
      <c r="TZT96"/>
      <c r="TZU96"/>
      <c r="TZV96"/>
      <c r="TZW96"/>
      <c r="TZX96"/>
      <c r="TZY96"/>
      <c r="TZZ96"/>
      <c r="UAA96"/>
      <c r="UAB96"/>
      <c r="UAC96"/>
      <c r="UAD96"/>
      <c r="UAE96"/>
      <c r="UAF96"/>
      <c r="UAG96"/>
      <c r="UAH96"/>
      <c r="UAI96"/>
      <c r="UAJ96"/>
      <c r="UAK96"/>
      <c r="UAL96"/>
      <c r="UAM96"/>
      <c r="UAN96"/>
      <c r="UAO96"/>
      <c r="UAP96"/>
      <c r="UAQ96"/>
      <c r="UAR96"/>
      <c r="UAS96"/>
      <c r="UAT96"/>
      <c r="UAU96"/>
      <c r="UAV96"/>
      <c r="UAW96"/>
      <c r="UAX96"/>
      <c r="UAY96"/>
      <c r="UAZ96"/>
      <c r="UBA96"/>
      <c r="UBB96"/>
      <c r="UBC96"/>
      <c r="UBD96"/>
      <c r="UBE96"/>
      <c r="UBF96"/>
      <c r="UBG96"/>
      <c r="UBH96"/>
      <c r="UBI96"/>
      <c r="UBJ96"/>
      <c r="UBK96"/>
      <c r="UBL96"/>
      <c r="UBM96"/>
      <c r="UBN96"/>
      <c r="UBO96"/>
      <c r="UBP96"/>
      <c r="UBQ96"/>
      <c r="UBR96"/>
      <c r="UBS96"/>
      <c r="UBT96"/>
      <c r="UBU96"/>
      <c r="UBV96"/>
      <c r="UBW96"/>
      <c r="UBX96"/>
      <c r="UBY96"/>
      <c r="UBZ96"/>
      <c r="UCA96"/>
      <c r="UCB96"/>
      <c r="UCC96"/>
      <c r="UCD96"/>
      <c r="UCE96"/>
      <c r="UCF96"/>
      <c r="UCG96"/>
      <c r="UCH96"/>
      <c r="UCI96"/>
      <c r="UCJ96"/>
      <c r="UCK96"/>
      <c r="UCL96"/>
      <c r="UCM96"/>
      <c r="UCN96"/>
      <c r="UCO96"/>
      <c r="UCP96"/>
      <c r="UCQ96"/>
      <c r="UCR96"/>
      <c r="UCS96"/>
      <c r="UCT96"/>
      <c r="UCU96"/>
      <c r="UCV96"/>
      <c r="UCW96"/>
      <c r="UCX96"/>
      <c r="UCY96"/>
      <c r="UCZ96"/>
      <c r="UDA96"/>
      <c r="UDB96"/>
      <c r="UDC96"/>
      <c r="UDD96"/>
      <c r="UDE96"/>
      <c r="UDF96"/>
      <c r="UDG96"/>
      <c r="UDH96"/>
      <c r="UDI96"/>
      <c r="UDJ96"/>
      <c r="UDK96"/>
      <c r="UDL96"/>
      <c r="UDM96"/>
      <c r="UDN96"/>
      <c r="UDO96"/>
      <c r="UDP96"/>
      <c r="UDQ96"/>
      <c r="UDR96"/>
      <c r="UDS96"/>
      <c r="UDT96"/>
      <c r="UDU96"/>
      <c r="UDV96"/>
      <c r="UDW96"/>
      <c r="UDX96"/>
      <c r="UDY96"/>
      <c r="UDZ96"/>
      <c r="UEA96"/>
      <c r="UEB96"/>
      <c r="UEC96"/>
      <c r="UED96"/>
      <c r="UEE96"/>
      <c r="UEF96"/>
      <c r="UEG96"/>
      <c r="UEH96"/>
      <c r="UEI96"/>
      <c r="UEJ96"/>
      <c r="UEK96"/>
      <c r="UEL96"/>
      <c r="UEM96"/>
      <c r="UEN96"/>
      <c r="UEO96"/>
      <c r="UEP96"/>
      <c r="UEQ96"/>
      <c r="UER96"/>
      <c r="UES96"/>
      <c r="UET96"/>
      <c r="UEU96"/>
      <c r="UEV96"/>
      <c r="UEW96"/>
      <c r="UEX96"/>
      <c r="UEY96"/>
      <c r="UEZ96"/>
      <c r="UFA96"/>
      <c r="UFB96"/>
      <c r="UFC96"/>
      <c r="UFD96"/>
      <c r="UFE96"/>
      <c r="UFF96"/>
      <c r="UFG96"/>
      <c r="UFH96"/>
      <c r="UFI96"/>
      <c r="UFJ96"/>
      <c r="UFK96"/>
      <c r="UFL96"/>
      <c r="UFM96"/>
      <c r="UFN96"/>
      <c r="UFO96"/>
      <c r="UFP96"/>
      <c r="UFQ96"/>
      <c r="UFR96"/>
      <c r="UFS96"/>
      <c r="UFT96"/>
      <c r="UFU96"/>
      <c r="UFV96"/>
      <c r="UFW96"/>
      <c r="UFX96"/>
      <c r="UFY96"/>
      <c r="UFZ96"/>
      <c r="UGA96"/>
      <c r="UGB96"/>
      <c r="UGC96"/>
      <c r="UGD96"/>
      <c r="UGE96"/>
      <c r="UGF96"/>
      <c r="UGG96"/>
      <c r="UGH96"/>
      <c r="UGI96"/>
      <c r="UGJ96"/>
      <c r="UGK96"/>
      <c r="UGL96"/>
      <c r="UGM96"/>
      <c r="UGN96"/>
      <c r="UGO96"/>
      <c r="UGP96"/>
      <c r="UGQ96"/>
      <c r="UGR96"/>
      <c r="UGS96"/>
      <c r="UGT96"/>
      <c r="UGU96"/>
      <c r="UGV96"/>
      <c r="UGW96"/>
      <c r="UGX96"/>
      <c r="UGY96"/>
      <c r="UGZ96"/>
      <c r="UHA96"/>
      <c r="UHB96"/>
      <c r="UHC96"/>
      <c r="UHD96"/>
      <c r="UHE96"/>
      <c r="UHF96"/>
      <c r="UHG96"/>
      <c r="UHH96"/>
      <c r="UHI96"/>
      <c r="UHJ96"/>
      <c r="UHK96"/>
      <c r="UHL96"/>
      <c r="UHM96"/>
      <c r="UHN96"/>
      <c r="UHO96"/>
      <c r="UHP96"/>
      <c r="UHQ96"/>
      <c r="UHR96"/>
      <c r="UHS96"/>
      <c r="UHT96"/>
      <c r="UHU96"/>
      <c r="UHV96"/>
      <c r="UHW96"/>
      <c r="UHX96"/>
      <c r="UHY96"/>
      <c r="UHZ96"/>
      <c r="UIA96"/>
      <c r="UIB96"/>
      <c r="UIC96"/>
      <c r="UID96"/>
      <c r="UIE96"/>
      <c r="UIF96"/>
      <c r="UIG96"/>
      <c r="UIH96"/>
      <c r="UII96"/>
      <c r="UIJ96"/>
      <c r="UIK96"/>
      <c r="UIL96"/>
      <c r="UIM96"/>
      <c r="UIN96"/>
      <c r="UIO96"/>
      <c r="UIP96"/>
      <c r="UIQ96"/>
      <c r="UIR96"/>
      <c r="UIS96"/>
      <c r="UIT96"/>
      <c r="UIU96"/>
      <c r="UIV96"/>
      <c r="UIW96"/>
      <c r="UIX96"/>
      <c r="UIY96"/>
      <c r="UIZ96"/>
      <c r="UJA96"/>
      <c r="UJB96"/>
      <c r="UJC96"/>
      <c r="UJD96"/>
      <c r="UJE96"/>
      <c r="UJF96"/>
      <c r="UJG96"/>
      <c r="UJH96"/>
      <c r="UJI96"/>
      <c r="UJJ96"/>
      <c r="UJK96"/>
      <c r="UJL96"/>
      <c r="UJM96"/>
      <c r="UJN96"/>
      <c r="UJO96"/>
      <c r="UJP96"/>
      <c r="UJQ96"/>
      <c r="UJR96"/>
      <c r="UJS96"/>
      <c r="UJT96"/>
      <c r="UJU96"/>
      <c r="UJV96"/>
      <c r="UJW96"/>
      <c r="UJX96"/>
      <c r="UJY96"/>
      <c r="UJZ96"/>
      <c r="UKA96"/>
      <c r="UKB96"/>
      <c r="UKC96"/>
      <c r="UKD96"/>
      <c r="UKE96"/>
      <c r="UKF96"/>
      <c r="UKG96"/>
      <c r="UKH96"/>
      <c r="UKI96"/>
      <c r="UKJ96"/>
      <c r="UKK96"/>
      <c r="UKL96"/>
      <c r="UKM96"/>
      <c r="UKN96"/>
      <c r="UKO96"/>
      <c r="UKP96"/>
      <c r="UKQ96"/>
      <c r="UKR96"/>
      <c r="UKS96"/>
      <c r="UKT96"/>
      <c r="UKU96"/>
      <c r="UKV96"/>
      <c r="UKW96"/>
      <c r="UKX96"/>
      <c r="UKY96"/>
      <c r="UKZ96"/>
      <c r="ULA96"/>
      <c r="ULB96"/>
      <c r="ULC96"/>
      <c r="ULD96"/>
      <c r="ULE96"/>
      <c r="ULF96"/>
      <c r="ULG96"/>
      <c r="ULH96"/>
      <c r="ULI96"/>
      <c r="ULJ96"/>
      <c r="ULK96"/>
      <c r="ULL96"/>
      <c r="ULM96"/>
      <c r="ULN96"/>
      <c r="ULO96"/>
      <c r="ULP96"/>
      <c r="ULQ96"/>
      <c r="ULR96"/>
      <c r="ULS96"/>
      <c r="ULT96"/>
      <c r="ULU96"/>
      <c r="ULV96"/>
      <c r="ULW96"/>
      <c r="ULX96"/>
      <c r="ULY96"/>
      <c r="ULZ96"/>
      <c r="UMA96"/>
      <c r="UMB96"/>
      <c r="UMC96"/>
      <c r="UMD96"/>
      <c r="UME96"/>
      <c r="UMF96"/>
      <c r="UMG96"/>
      <c r="UMH96"/>
      <c r="UMI96"/>
      <c r="UMJ96"/>
      <c r="UMK96"/>
      <c r="UML96"/>
      <c r="UMM96"/>
      <c r="UMN96"/>
      <c r="UMO96"/>
      <c r="UMP96"/>
      <c r="UMQ96"/>
      <c r="UMR96"/>
      <c r="UMS96"/>
      <c r="UMT96"/>
      <c r="UMU96"/>
      <c r="UMV96"/>
      <c r="UMW96"/>
      <c r="UMX96"/>
      <c r="UMY96"/>
      <c r="UMZ96"/>
      <c r="UNA96"/>
      <c r="UNB96"/>
      <c r="UNC96"/>
      <c r="UND96"/>
      <c r="UNE96"/>
      <c r="UNF96"/>
      <c r="UNG96"/>
      <c r="UNH96"/>
      <c r="UNI96"/>
      <c r="UNJ96"/>
      <c r="UNK96"/>
      <c r="UNL96"/>
      <c r="UNM96"/>
      <c r="UNN96"/>
      <c r="UNO96"/>
      <c r="UNP96"/>
      <c r="UNQ96"/>
      <c r="UNR96"/>
      <c r="UNS96"/>
      <c r="UNT96"/>
      <c r="UNU96"/>
      <c r="UNV96"/>
      <c r="UNW96"/>
      <c r="UNX96"/>
      <c r="UNY96"/>
      <c r="UNZ96"/>
      <c r="UOA96"/>
      <c r="UOB96"/>
      <c r="UOC96"/>
      <c r="UOD96"/>
      <c r="UOE96"/>
      <c r="UOF96"/>
      <c r="UOG96"/>
      <c r="UOH96"/>
      <c r="UOI96"/>
      <c r="UOJ96"/>
      <c r="UOK96"/>
      <c r="UOL96"/>
      <c r="UOM96"/>
      <c r="UON96"/>
      <c r="UOO96"/>
      <c r="UOP96"/>
      <c r="UOQ96"/>
      <c r="UOR96"/>
      <c r="UOS96"/>
      <c r="UOT96"/>
      <c r="UOU96"/>
      <c r="UOV96"/>
      <c r="UOW96"/>
      <c r="UOX96"/>
      <c r="UOY96"/>
      <c r="UOZ96"/>
      <c r="UPA96"/>
      <c r="UPB96"/>
      <c r="UPC96"/>
      <c r="UPD96"/>
      <c r="UPE96"/>
      <c r="UPF96"/>
      <c r="UPG96"/>
      <c r="UPH96"/>
      <c r="UPI96"/>
      <c r="UPJ96"/>
      <c r="UPK96"/>
      <c r="UPL96"/>
      <c r="UPM96"/>
      <c r="UPN96"/>
      <c r="UPO96"/>
      <c r="UPP96"/>
      <c r="UPQ96"/>
      <c r="UPR96"/>
      <c r="UPS96"/>
      <c r="UPT96"/>
      <c r="UPU96"/>
      <c r="UPV96"/>
      <c r="UPW96"/>
      <c r="UPX96"/>
      <c r="UPY96"/>
      <c r="UPZ96"/>
      <c r="UQA96"/>
      <c r="UQB96"/>
      <c r="UQC96"/>
      <c r="UQD96"/>
      <c r="UQE96"/>
      <c r="UQF96"/>
      <c r="UQG96"/>
      <c r="UQH96"/>
      <c r="UQI96"/>
      <c r="UQJ96"/>
      <c r="UQK96"/>
      <c r="UQL96"/>
      <c r="UQM96"/>
      <c r="UQN96"/>
      <c r="UQO96"/>
      <c r="UQP96"/>
      <c r="UQQ96"/>
      <c r="UQR96"/>
      <c r="UQS96"/>
      <c r="UQT96"/>
      <c r="UQU96"/>
      <c r="UQV96"/>
      <c r="UQW96"/>
      <c r="UQX96"/>
      <c r="UQY96"/>
      <c r="UQZ96"/>
      <c r="URA96"/>
      <c r="URB96"/>
      <c r="URC96"/>
      <c r="URD96"/>
      <c r="URE96"/>
      <c r="URF96"/>
      <c r="URG96"/>
      <c r="URH96"/>
      <c r="URI96"/>
      <c r="URJ96"/>
      <c r="URK96"/>
      <c r="URL96"/>
      <c r="URM96"/>
      <c r="URN96"/>
      <c r="URO96"/>
      <c r="URP96"/>
      <c r="URQ96"/>
      <c r="URR96"/>
      <c r="URS96"/>
      <c r="URT96"/>
      <c r="URU96"/>
      <c r="URV96"/>
      <c r="URW96"/>
      <c r="URX96"/>
      <c r="URY96"/>
      <c r="URZ96"/>
      <c r="USA96"/>
      <c r="USB96"/>
      <c r="USC96"/>
      <c r="USD96"/>
      <c r="USE96"/>
      <c r="USF96"/>
      <c r="USG96"/>
      <c r="USH96"/>
      <c r="USI96"/>
      <c r="USJ96"/>
      <c r="USK96"/>
      <c r="USL96"/>
      <c r="USM96"/>
      <c r="USN96"/>
      <c r="USO96"/>
      <c r="USP96"/>
      <c r="USQ96"/>
      <c r="USR96"/>
      <c r="USS96"/>
      <c r="UST96"/>
      <c r="USU96"/>
      <c r="USV96"/>
      <c r="USW96"/>
      <c r="USX96"/>
      <c r="USY96"/>
      <c r="USZ96"/>
      <c r="UTA96"/>
      <c r="UTB96"/>
      <c r="UTC96"/>
      <c r="UTD96"/>
      <c r="UTE96"/>
      <c r="UTF96"/>
      <c r="UTG96"/>
      <c r="UTH96"/>
      <c r="UTI96"/>
      <c r="UTJ96"/>
      <c r="UTK96"/>
      <c r="UTL96"/>
      <c r="UTM96"/>
      <c r="UTN96"/>
      <c r="UTO96"/>
      <c r="UTP96"/>
      <c r="UTQ96"/>
      <c r="UTR96"/>
      <c r="UTS96"/>
      <c r="UTT96"/>
      <c r="UTU96"/>
      <c r="UTV96"/>
      <c r="UTW96"/>
      <c r="UTX96"/>
      <c r="UTY96"/>
      <c r="UTZ96"/>
      <c r="UUA96"/>
      <c r="UUB96"/>
      <c r="UUC96"/>
      <c r="UUD96"/>
      <c r="UUE96"/>
      <c r="UUF96"/>
      <c r="UUG96"/>
      <c r="UUH96"/>
      <c r="UUI96"/>
      <c r="UUJ96"/>
      <c r="UUK96"/>
      <c r="UUL96"/>
      <c r="UUM96"/>
      <c r="UUN96"/>
      <c r="UUO96"/>
      <c r="UUP96"/>
      <c r="UUQ96"/>
      <c r="UUR96"/>
      <c r="UUS96"/>
      <c r="UUT96"/>
      <c r="UUU96"/>
      <c r="UUV96"/>
      <c r="UUW96"/>
      <c r="UUX96"/>
      <c r="UUY96"/>
      <c r="UUZ96"/>
      <c r="UVA96"/>
      <c r="UVB96"/>
      <c r="UVC96"/>
      <c r="UVD96"/>
      <c r="UVE96"/>
      <c r="UVF96"/>
      <c r="UVG96"/>
      <c r="UVH96"/>
      <c r="UVI96"/>
      <c r="UVJ96"/>
      <c r="UVK96"/>
      <c r="UVL96"/>
      <c r="UVM96"/>
      <c r="UVN96"/>
      <c r="UVO96"/>
      <c r="UVP96"/>
      <c r="UVQ96"/>
      <c r="UVR96"/>
      <c r="UVS96"/>
      <c r="UVT96"/>
      <c r="UVU96"/>
      <c r="UVV96"/>
      <c r="UVW96"/>
      <c r="UVX96"/>
      <c r="UVY96"/>
      <c r="UVZ96"/>
      <c r="UWA96"/>
      <c r="UWB96"/>
      <c r="UWC96"/>
      <c r="UWD96"/>
      <c r="UWE96"/>
      <c r="UWF96"/>
      <c r="UWG96"/>
      <c r="UWH96"/>
      <c r="UWI96"/>
      <c r="UWJ96"/>
      <c r="UWK96"/>
      <c r="UWL96"/>
      <c r="UWM96"/>
      <c r="UWN96"/>
      <c r="UWO96"/>
      <c r="UWP96"/>
      <c r="UWQ96"/>
      <c r="UWR96"/>
      <c r="UWS96"/>
      <c r="UWT96"/>
      <c r="UWU96"/>
      <c r="UWV96"/>
      <c r="UWW96"/>
      <c r="UWX96"/>
      <c r="UWY96"/>
      <c r="UWZ96"/>
      <c r="UXA96"/>
      <c r="UXB96"/>
      <c r="UXC96"/>
      <c r="UXD96"/>
      <c r="UXE96"/>
      <c r="UXF96"/>
      <c r="UXG96"/>
      <c r="UXH96"/>
      <c r="UXI96"/>
      <c r="UXJ96"/>
      <c r="UXK96"/>
      <c r="UXL96"/>
      <c r="UXM96"/>
      <c r="UXN96"/>
      <c r="UXO96"/>
      <c r="UXP96"/>
      <c r="UXQ96"/>
      <c r="UXR96"/>
      <c r="UXS96"/>
      <c r="UXT96"/>
      <c r="UXU96"/>
      <c r="UXV96"/>
      <c r="UXW96"/>
      <c r="UXX96"/>
      <c r="UXY96"/>
      <c r="UXZ96"/>
      <c r="UYA96"/>
      <c r="UYB96"/>
      <c r="UYC96"/>
      <c r="UYD96"/>
      <c r="UYE96"/>
      <c r="UYF96"/>
      <c r="UYG96"/>
      <c r="UYH96"/>
      <c r="UYI96"/>
      <c r="UYJ96"/>
      <c r="UYK96"/>
      <c r="UYL96"/>
      <c r="UYM96"/>
      <c r="UYN96"/>
      <c r="UYO96"/>
      <c r="UYP96"/>
      <c r="UYQ96"/>
      <c r="UYR96"/>
      <c r="UYS96"/>
      <c r="UYT96"/>
      <c r="UYU96"/>
      <c r="UYV96"/>
      <c r="UYW96"/>
      <c r="UYX96"/>
      <c r="UYY96"/>
      <c r="UYZ96"/>
      <c r="UZA96"/>
      <c r="UZB96"/>
      <c r="UZC96"/>
      <c r="UZD96"/>
      <c r="UZE96"/>
      <c r="UZF96"/>
      <c r="UZG96"/>
      <c r="UZH96"/>
      <c r="UZI96"/>
      <c r="UZJ96"/>
      <c r="UZK96"/>
      <c r="UZL96"/>
      <c r="UZM96"/>
      <c r="UZN96"/>
      <c r="UZO96"/>
      <c r="UZP96"/>
      <c r="UZQ96"/>
      <c r="UZR96"/>
      <c r="UZS96"/>
      <c r="UZT96"/>
      <c r="UZU96"/>
      <c r="UZV96"/>
      <c r="UZW96"/>
      <c r="UZX96"/>
      <c r="UZY96"/>
      <c r="UZZ96"/>
      <c r="VAA96"/>
      <c r="VAB96"/>
      <c r="VAC96"/>
      <c r="VAD96"/>
      <c r="VAE96"/>
      <c r="VAF96"/>
      <c r="VAG96"/>
      <c r="VAH96"/>
      <c r="VAI96"/>
      <c r="VAJ96"/>
      <c r="VAK96"/>
      <c r="VAL96"/>
      <c r="VAM96"/>
      <c r="VAN96"/>
      <c r="VAO96"/>
      <c r="VAP96"/>
      <c r="VAQ96"/>
      <c r="VAR96"/>
      <c r="VAS96"/>
      <c r="VAT96"/>
      <c r="VAU96"/>
      <c r="VAV96"/>
      <c r="VAW96"/>
      <c r="VAX96"/>
      <c r="VAY96"/>
      <c r="VAZ96"/>
      <c r="VBA96"/>
      <c r="VBB96"/>
      <c r="VBC96"/>
      <c r="VBD96"/>
      <c r="VBE96"/>
      <c r="VBF96"/>
      <c r="VBG96"/>
      <c r="VBH96"/>
      <c r="VBI96"/>
      <c r="VBJ96"/>
      <c r="VBK96"/>
      <c r="VBL96"/>
      <c r="VBM96"/>
      <c r="VBN96"/>
      <c r="VBO96"/>
      <c r="VBP96"/>
      <c r="VBQ96"/>
      <c r="VBR96"/>
      <c r="VBS96"/>
      <c r="VBT96"/>
      <c r="VBU96"/>
      <c r="VBV96"/>
      <c r="VBW96"/>
      <c r="VBX96"/>
      <c r="VBY96"/>
      <c r="VBZ96"/>
      <c r="VCA96"/>
      <c r="VCB96"/>
      <c r="VCC96"/>
      <c r="VCD96"/>
      <c r="VCE96"/>
      <c r="VCF96"/>
      <c r="VCG96"/>
      <c r="VCH96"/>
      <c r="VCI96"/>
      <c r="VCJ96"/>
      <c r="VCK96"/>
      <c r="VCL96"/>
      <c r="VCM96"/>
      <c r="VCN96"/>
      <c r="VCO96"/>
      <c r="VCP96"/>
      <c r="VCQ96"/>
      <c r="VCR96"/>
      <c r="VCS96"/>
      <c r="VCT96"/>
      <c r="VCU96"/>
      <c r="VCV96"/>
      <c r="VCW96"/>
      <c r="VCX96"/>
      <c r="VCY96"/>
      <c r="VCZ96"/>
      <c r="VDA96"/>
      <c r="VDB96"/>
      <c r="VDC96"/>
      <c r="VDD96"/>
      <c r="VDE96"/>
      <c r="VDF96"/>
      <c r="VDG96"/>
      <c r="VDH96"/>
      <c r="VDI96"/>
      <c r="VDJ96"/>
      <c r="VDK96"/>
      <c r="VDL96"/>
      <c r="VDM96"/>
      <c r="VDN96"/>
      <c r="VDO96"/>
      <c r="VDP96"/>
      <c r="VDQ96"/>
      <c r="VDR96"/>
      <c r="VDS96"/>
      <c r="VDT96"/>
      <c r="VDU96"/>
      <c r="VDV96"/>
      <c r="VDW96"/>
      <c r="VDX96"/>
      <c r="VDY96"/>
      <c r="VDZ96"/>
      <c r="VEA96"/>
      <c r="VEB96"/>
      <c r="VEC96"/>
      <c r="VED96"/>
      <c r="VEE96"/>
      <c r="VEF96"/>
      <c r="VEG96"/>
      <c r="VEH96"/>
      <c r="VEI96"/>
      <c r="VEJ96"/>
      <c r="VEK96"/>
      <c r="VEL96"/>
      <c r="VEM96"/>
      <c r="VEN96"/>
      <c r="VEO96"/>
      <c r="VEP96"/>
      <c r="VEQ96"/>
      <c r="VER96"/>
      <c r="VES96"/>
      <c r="VET96"/>
      <c r="VEU96"/>
      <c r="VEV96"/>
      <c r="VEW96"/>
      <c r="VEX96"/>
      <c r="VEY96"/>
      <c r="VEZ96"/>
      <c r="VFA96"/>
      <c r="VFB96"/>
      <c r="VFC96"/>
      <c r="VFD96"/>
      <c r="VFE96"/>
      <c r="VFF96"/>
      <c r="VFG96"/>
      <c r="VFH96"/>
      <c r="VFI96"/>
      <c r="VFJ96"/>
      <c r="VFK96"/>
      <c r="VFL96"/>
      <c r="VFM96"/>
      <c r="VFN96"/>
      <c r="VFO96"/>
      <c r="VFP96"/>
      <c r="VFQ96"/>
      <c r="VFR96"/>
      <c r="VFS96"/>
      <c r="VFT96"/>
      <c r="VFU96"/>
      <c r="VFV96"/>
      <c r="VFW96"/>
      <c r="VFX96"/>
      <c r="VFY96"/>
      <c r="VFZ96"/>
      <c r="VGA96"/>
      <c r="VGB96"/>
      <c r="VGC96"/>
      <c r="VGD96"/>
      <c r="VGE96"/>
      <c r="VGF96"/>
      <c r="VGG96"/>
      <c r="VGH96"/>
      <c r="VGI96"/>
      <c r="VGJ96"/>
      <c r="VGK96"/>
      <c r="VGL96"/>
      <c r="VGM96"/>
      <c r="VGN96"/>
      <c r="VGO96"/>
      <c r="VGP96"/>
      <c r="VGQ96"/>
      <c r="VGR96"/>
      <c r="VGS96"/>
      <c r="VGT96"/>
      <c r="VGU96"/>
      <c r="VGV96"/>
      <c r="VGW96"/>
      <c r="VGX96"/>
      <c r="VGY96"/>
      <c r="VGZ96"/>
      <c r="VHA96"/>
      <c r="VHB96"/>
      <c r="VHC96"/>
      <c r="VHD96"/>
      <c r="VHE96"/>
      <c r="VHF96"/>
      <c r="VHG96"/>
      <c r="VHH96"/>
      <c r="VHI96"/>
      <c r="VHJ96"/>
      <c r="VHK96"/>
      <c r="VHL96"/>
      <c r="VHM96"/>
      <c r="VHN96"/>
      <c r="VHO96"/>
      <c r="VHP96"/>
      <c r="VHQ96"/>
      <c r="VHR96"/>
      <c r="VHS96"/>
      <c r="VHT96"/>
      <c r="VHU96"/>
      <c r="VHV96"/>
      <c r="VHW96"/>
      <c r="VHX96"/>
      <c r="VHY96"/>
      <c r="VHZ96"/>
      <c r="VIA96"/>
      <c r="VIB96"/>
      <c r="VIC96"/>
      <c r="VID96"/>
      <c r="VIE96"/>
      <c r="VIF96"/>
      <c r="VIG96"/>
      <c r="VIH96"/>
      <c r="VII96"/>
      <c r="VIJ96"/>
      <c r="VIK96"/>
      <c r="VIL96"/>
      <c r="VIM96"/>
      <c r="VIN96"/>
      <c r="VIO96"/>
      <c r="VIP96"/>
      <c r="VIQ96"/>
      <c r="VIR96"/>
      <c r="VIS96"/>
      <c r="VIT96"/>
      <c r="VIU96"/>
      <c r="VIV96"/>
      <c r="VIW96"/>
      <c r="VIX96"/>
      <c r="VIY96"/>
      <c r="VIZ96"/>
      <c r="VJA96"/>
      <c r="VJB96"/>
      <c r="VJC96"/>
      <c r="VJD96"/>
      <c r="VJE96"/>
      <c r="VJF96"/>
      <c r="VJG96"/>
      <c r="VJH96"/>
      <c r="VJI96"/>
      <c r="VJJ96"/>
      <c r="VJK96"/>
      <c r="VJL96"/>
      <c r="VJM96"/>
      <c r="VJN96"/>
      <c r="VJO96"/>
      <c r="VJP96"/>
      <c r="VJQ96"/>
      <c r="VJR96"/>
      <c r="VJS96"/>
      <c r="VJT96"/>
      <c r="VJU96"/>
      <c r="VJV96"/>
      <c r="VJW96"/>
      <c r="VJX96"/>
      <c r="VJY96"/>
      <c r="VJZ96"/>
      <c r="VKA96"/>
      <c r="VKB96"/>
      <c r="VKC96"/>
      <c r="VKD96"/>
      <c r="VKE96"/>
      <c r="VKF96"/>
      <c r="VKG96"/>
      <c r="VKH96"/>
      <c r="VKI96"/>
      <c r="VKJ96"/>
      <c r="VKK96"/>
      <c r="VKL96"/>
      <c r="VKM96"/>
      <c r="VKN96"/>
      <c r="VKO96"/>
      <c r="VKP96"/>
      <c r="VKQ96"/>
      <c r="VKR96"/>
      <c r="VKS96"/>
      <c r="VKT96"/>
      <c r="VKU96"/>
      <c r="VKV96"/>
      <c r="VKW96"/>
      <c r="VKX96"/>
      <c r="VKY96"/>
      <c r="VKZ96"/>
      <c r="VLA96"/>
      <c r="VLB96"/>
      <c r="VLC96"/>
      <c r="VLD96"/>
      <c r="VLE96"/>
      <c r="VLF96"/>
      <c r="VLG96"/>
      <c r="VLH96"/>
      <c r="VLI96"/>
      <c r="VLJ96"/>
      <c r="VLK96"/>
      <c r="VLL96"/>
      <c r="VLM96"/>
      <c r="VLN96"/>
      <c r="VLO96"/>
      <c r="VLP96"/>
      <c r="VLQ96"/>
      <c r="VLR96"/>
      <c r="VLS96"/>
      <c r="VLT96"/>
      <c r="VLU96"/>
      <c r="VLV96"/>
      <c r="VLW96"/>
      <c r="VLX96"/>
      <c r="VLY96"/>
      <c r="VLZ96"/>
      <c r="VMA96"/>
      <c r="VMB96"/>
      <c r="VMC96"/>
      <c r="VMD96"/>
      <c r="VME96"/>
      <c r="VMF96"/>
      <c r="VMG96"/>
      <c r="VMH96"/>
      <c r="VMI96"/>
      <c r="VMJ96"/>
      <c r="VMK96"/>
      <c r="VML96"/>
      <c r="VMM96"/>
      <c r="VMN96"/>
      <c r="VMO96"/>
      <c r="VMP96"/>
      <c r="VMQ96"/>
      <c r="VMR96"/>
      <c r="VMS96"/>
      <c r="VMT96"/>
      <c r="VMU96"/>
      <c r="VMV96"/>
      <c r="VMW96"/>
      <c r="VMX96"/>
      <c r="VMY96"/>
      <c r="VMZ96"/>
      <c r="VNA96"/>
      <c r="VNB96"/>
      <c r="VNC96"/>
      <c r="VND96"/>
      <c r="VNE96"/>
      <c r="VNF96"/>
      <c r="VNG96"/>
      <c r="VNH96"/>
      <c r="VNI96"/>
      <c r="VNJ96"/>
      <c r="VNK96"/>
      <c r="VNL96"/>
      <c r="VNM96"/>
      <c r="VNN96"/>
      <c r="VNO96"/>
      <c r="VNP96"/>
      <c r="VNQ96"/>
      <c r="VNR96"/>
      <c r="VNS96"/>
      <c r="VNT96"/>
      <c r="VNU96"/>
      <c r="VNV96"/>
      <c r="VNW96"/>
      <c r="VNX96"/>
      <c r="VNY96"/>
      <c r="VNZ96"/>
      <c r="VOA96"/>
      <c r="VOB96"/>
      <c r="VOC96"/>
      <c r="VOD96"/>
      <c r="VOE96"/>
      <c r="VOF96"/>
      <c r="VOG96"/>
      <c r="VOH96"/>
      <c r="VOI96"/>
      <c r="VOJ96"/>
      <c r="VOK96"/>
      <c r="VOL96"/>
      <c r="VOM96"/>
      <c r="VON96"/>
      <c r="VOO96"/>
      <c r="VOP96"/>
      <c r="VOQ96"/>
      <c r="VOR96"/>
      <c r="VOS96"/>
      <c r="VOT96"/>
      <c r="VOU96"/>
      <c r="VOV96"/>
      <c r="VOW96"/>
      <c r="VOX96"/>
      <c r="VOY96"/>
      <c r="VOZ96"/>
      <c r="VPA96"/>
      <c r="VPB96"/>
      <c r="VPC96"/>
      <c r="VPD96"/>
      <c r="VPE96"/>
      <c r="VPF96"/>
      <c r="VPG96"/>
      <c r="VPH96"/>
      <c r="VPI96"/>
      <c r="VPJ96"/>
      <c r="VPK96"/>
      <c r="VPL96"/>
      <c r="VPM96"/>
      <c r="VPN96"/>
      <c r="VPO96"/>
      <c r="VPP96"/>
      <c r="VPQ96"/>
      <c r="VPR96"/>
      <c r="VPS96"/>
      <c r="VPT96"/>
      <c r="VPU96"/>
      <c r="VPV96"/>
      <c r="VPW96"/>
      <c r="VPX96"/>
      <c r="VPY96"/>
      <c r="VPZ96"/>
      <c r="VQA96"/>
      <c r="VQB96"/>
      <c r="VQC96"/>
      <c r="VQD96"/>
      <c r="VQE96"/>
      <c r="VQF96"/>
      <c r="VQG96"/>
      <c r="VQH96"/>
      <c r="VQI96"/>
      <c r="VQJ96"/>
      <c r="VQK96"/>
      <c r="VQL96"/>
      <c r="VQM96"/>
      <c r="VQN96"/>
      <c r="VQO96"/>
      <c r="VQP96"/>
      <c r="VQQ96"/>
      <c r="VQR96"/>
      <c r="VQS96"/>
      <c r="VQT96"/>
      <c r="VQU96"/>
      <c r="VQV96"/>
      <c r="VQW96"/>
      <c r="VQX96"/>
      <c r="VQY96"/>
      <c r="VQZ96"/>
      <c r="VRA96"/>
      <c r="VRB96"/>
      <c r="VRC96"/>
      <c r="VRD96"/>
      <c r="VRE96"/>
      <c r="VRF96"/>
      <c r="VRG96"/>
      <c r="VRH96"/>
      <c r="VRI96"/>
      <c r="VRJ96"/>
      <c r="VRK96"/>
      <c r="VRL96"/>
      <c r="VRM96"/>
      <c r="VRN96"/>
      <c r="VRO96"/>
      <c r="VRP96"/>
      <c r="VRQ96"/>
      <c r="VRR96"/>
      <c r="VRS96"/>
      <c r="VRT96"/>
      <c r="VRU96"/>
      <c r="VRV96"/>
      <c r="VRW96"/>
      <c r="VRX96"/>
      <c r="VRY96"/>
      <c r="VRZ96"/>
      <c r="VSA96"/>
      <c r="VSB96"/>
      <c r="VSC96"/>
      <c r="VSD96"/>
      <c r="VSE96"/>
      <c r="VSF96"/>
      <c r="VSG96"/>
      <c r="VSH96"/>
      <c r="VSI96"/>
      <c r="VSJ96"/>
      <c r="VSK96"/>
      <c r="VSL96"/>
      <c r="VSM96"/>
      <c r="VSN96"/>
      <c r="VSO96"/>
      <c r="VSP96"/>
      <c r="VSQ96"/>
      <c r="VSR96"/>
      <c r="VSS96"/>
      <c r="VST96"/>
      <c r="VSU96"/>
      <c r="VSV96"/>
      <c r="VSW96"/>
      <c r="VSX96"/>
      <c r="VSY96"/>
      <c r="VSZ96"/>
      <c r="VTA96"/>
      <c r="VTB96"/>
      <c r="VTC96"/>
      <c r="VTD96"/>
      <c r="VTE96"/>
      <c r="VTF96"/>
      <c r="VTG96"/>
      <c r="VTH96"/>
      <c r="VTI96"/>
      <c r="VTJ96"/>
      <c r="VTK96"/>
      <c r="VTL96"/>
      <c r="VTM96"/>
      <c r="VTN96"/>
      <c r="VTO96"/>
      <c r="VTP96"/>
      <c r="VTQ96"/>
      <c r="VTR96"/>
      <c r="VTS96"/>
      <c r="VTT96"/>
      <c r="VTU96"/>
      <c r="VTV96"/>
      <c r="VTW96"/>
      <c r="VTX96"/>
      <c r="VTY96"/>
      <c r="VTZ96"/>
      <c r="VUA96"/>
      <c r="VUB96"/>
      <c r="VUC96"/>
      <c r="VUD96"/>
      <c r="VUE96"/>
      <c r="VUF96"/>
      <c r="VUG96"/>
      <c r="VUH96"/>
      <c r="VUI96"/>
      <c r="VUJ96"/>
      <c r="VUK96"/>
      <c r="VUL96"/>
      <c r="VUM96"/>
      <c r="VUN96"/>
      <c r="VUO96"/>
      <c r="VUP96"/>
      <c r="VUQ96"/>
      <c r="VUR96"/>
      <c r="VUS96"/>
      <c r="VUT96"/>
      <c r="VUU96"/>
      <c r="VUV96"/>
      <c r="VUW96"/>
      <c r="VUX96"/>
      <c r="VUY96"/>
      <c r="VUZ96"/>
      <c r="VVA96"/>
      <c r="VVB96"/>
      <c r="VVC96"/>
      <c r="VVD96"/>
      <c r="VVE96"/>
      <c r="VVF96"/>
      <c r="VVG96"/>
      <c r="VVH96"/>
      <c r="VVI96"/>
      <c r="VVJ96"/>
      <c r="VVK96"/>
      <c r="VVL96"/>
      <c r="VVM96"/>
      <c r="VVN96"/>
      <c r="VVO96"/>
      <c r="VVP96"/>
      <c r="VVQ96"/>
      <c r="VVR96"/>
      <c r="VVS96"/>
      <c r="VVT96"/>
      <c r="VVU96"/>
      <c r="VVV96"/>
      <c r="VVW96"/>
      <c r="VVX96"/>
      <c r="VVY96"/>
      <c r="VVZ96"/>
      <c r="VWA96"/>
      <c r="VWB96"/>
      <c r="VWC96"/>
      <c r="VWD96"/>
      <c r="VWE96"/>
      <c r="VWF96"/>
      <c r="VWG96"/>
      <c r="VWH96"/>
      <c r="VWI96"/>
      <c r="VWJ96"/>
      <c r="VWK96"/>
      <c r="VWL96"/>
      <c r="VWM96"/>
      <c r="VWN96"/>
      <c r="VWO96"/>
      <c r="VWP96"/>
      <c r="VWQ96"/>
      <c r="VWR96"/>
      <c r="VWS96"/>
      <c r="VWT96"/>
      <c r="VWU96"/>
      <c r="VWV96"/>
      <c r="VWW96"/>
      <c r="VWX96"/>
      <c r="VWY96"/>
      <c r="VWZ96"/>
      <c r="VXA96"/>
      <c r="VXB96"/>
      <c r="VXC96"/>
      <c r="VXD96"/>
      <c r="VXE96"/>
      <c r="VXF96"/>
      <c r="VXG96"/>
      <c r="VXH96"/>
      <c r="VXI96"/>
      <c r="VXJ96"/>
      <c r="VXK96"/>
      <c r="VXL96"/>
      <c r="VXM96"/>
      <c r="VXN96"/>
      <c r="VXO96"/>
      <c r="VXP96"/>
      <c r="VXQ96"/>
      <c r="VXR96"/>
      <c r="VXS96"/>
      <c r="VXT96"/>
      <c r="VXU96"/>
      <c r="VXV96"/>
      <c r="VXW96"/>
      <c r="VXX96"/>
      <c r="VXY96"/>
      <c r="VXZ96"/>
      <c r="VYA96"/>
      <c r="VYB96"/>
      <c r="VYC96"/>
      <c r="VYD96"/>
      <c r="VYE96"/>
      <c r="VYF96"/>
      <c r="VYG96"/>
      <c r="VYH96"/>
      <c r="VYI96"/>
      <c r="VYJ96"/>
      <c r="VYK96"/>
      <c r="VYL96"/>
      <c r="VYM96"/>
      <c r="VYN96"/>
      <c r="VYO96"/>
      <c r="VYP96"/>
      <c r="VYQ96"/>
      <c r="VYR96"/>
      <c r="VYS96"/>
      <c r="VYT96"/>
      <c r="VYU96"/>
      <c r="VYV96"/>
      <c r="VYW96"/>
      <c r="VYX96"/>
      <c r="VYY96"/>
      <c r="VYZ96"/>
      <c r="VZA96"/>
      <c r="VZB96"/>
      <c r="VZC96"/>
      <c r="VZD96"/>
      <c r="VZE96"/>
      <c r="VZF96"/>
      <c r="VZG96"/>
      <c r="VZH96"/>
      <c r="VZI96"/>
      <c r="VZJ96"/>
      <c r="VZK96"/>
      <c r="VZL96"/>
      <c r="VZM96"/>
      <c r="VZN96"/>
      <c r="VZO96"/>
      <c r="VZP96"/>
      <c r="VZQ96"/>
      <c r="VZR96"/>
      <c r="VZS96"/>
      <c r="VZT96"/>
      <c r="VZU96"/>
      <c r="VZV96"/>
      <c r="VZW96"/>
      <c r="VZX96"/>
      <c r="VZY96"/>
      <c r="VZZ96"/>
      <c r="WAA96"/>
      <c r="WAB96"/>
      <c r="WAC96"/>
      <c r="WAD96"/>
      <c r="WAE96"/>
      <c r="WAF96"/>
      <c r="WAG96"/>
      <c r="WAH96"/>
      <c r="WAI96"/>
      <c r="WAJ96"/>
      <c r="WAK96"/>
      <c r="WAL96"/>
      <c r="WAM96"/>
      <c r="WAN96"/>
      <c r="WAO96"/>
      <c r="WAP96"/>
      <c r="WAQ96"/>
      <c r="WAR96"/>
      <c r="WAS96"/>
      <c r="WAT96"/>
      <c r="WAU96"/>
      <c r="WAV96"/>
      <c r="WAW96"/>
      <c r="WAX96"/>
      <c r="WAY96"/>
      <c r="WAZ96"/>
      <c r="WBA96"/>
      <c r="WBB96"/>
      <c r="WBC96"/>
      <c r="WBD96"/>
      <c r="WBE96"/>
      <c r="WBF96"/>
      <c r="WBG96"/>
      <c r="WBH96"/>
      <c r="WBI96"/>
      <c r="WBJ96"/>
      <c r="WBK96"/>
      <c r="WBL96"/>
      <c r="WBM96"/>
      <c r="WBN96"/>
      <c r="WBO96"/>
      <c r="WBP96"/>
      <c r="WBQ96"/>
      <c r="WBR96"/>
      <c r="WBS96"/>
      <c r="WBT96"/>
      <c r="WBU96"/>
      <c r="WBV96"/>
      <c r="WBW96"/>
      <c r="WBX96"/>
      <c r="WBY96"/>
      <c r="WBZ96"/>
      <c r="WCA96"/>
      <c r="WCB96"/>
      <c r="WCC96"/>
      <c r="WCD96"/>
      <c r="WCE96"/>
      <c r="WCF96"/>
      <c r="WCG96"/>
      <c r="WCH96"/>
      <c r="WCI96"/>
      <c r="WCJ96"/>
      <c r="WCK96"/>
      <c r="WCL96"/>
      <c r="WCM96"/>
      <c r="WCN96"/>
      <c r="WCO96"/>
      <c r="WCP96"/>
      <c r="WCQ96"/>
      <c r="WCR96"/>
      <c r="WCS96"/>
      <c r="WCT96"/>
      <c r="WCU96"/>
      <c r="WCV96"/>
      <c r="WCW96"/>
      <c r="WCX96"/>
      <c r="WCY96"/>
      <c r="WCZ96"/>
      <c r="WDA96"/>
      <c r="WDB96"/>
      <c r="WDC96"/>
      <c r="WDD96"/>
      <c r="WDE96"/>
      <c r="WDF96"/>
      <c r="WDG96"/>
      <c r="WDH96"/>
      <c r="WDI96"/>
      <c r="WDJ96"/>
      <c r="WDK96"/>
      <c r="WDL96"/>
      <c r="WDM96"/>
      <c r="WDN96"/>
      <c r="WDO96"/>
      <c r="WDP96"/>
      <c r="WDQ96"/>
      <c r="WDR96"/>
      <c r="WDS96"/>
      <c r="WDT96"/>
      <c r="WDU96"/>
      <c r="WDV96"/>
      <c r="WDW96"/>
      <c r="WDX96"/>
      <c r="WDY96"/>
      <c r="WDZ96"/>
      <c r="WEA96"/>
      <c r="WEB96"/>
      <c r="WEC96"/>
      <c r="WED96"/>
      <c r="WEE96"/>
      <c r="WEF96"/>
      <c r="WEG96"/>
      <c r="WEH96"/>
      <c r="WEI96"/>
      <c r="WEJ96"/>
      <c r="WEK96"/>
      <c r="WEL96"/>
      <c r="WEM96"/>
      <c r="WEN96"/>
      <c r="WEO96"/>
      <c r="WEP96"/>
      <c r="WEQ96"/>
      <c r="WER96"/>
      <c r="WES96"/>
      <c r="WET96"/>
      <c r="WEU96"/>
      <c r="WEV96"/>
      <c r="WEW96"/>
      <c r="WEX96"/>
      <c r="WEY96"/>
      <c r="WEZ96"/>
      <c r="WFA96"/>
      <c r="WFB96"/>
      <c r="WFC96"/>
      <c r="WFD96"/>
      <c r="WFE96"/>
      <c r="WFF96"/>
      <c r="WFG96"/>
      <c r="WFH96"/>
      <c r="WFI96"/>
      <c r="WFJ96"/>
      <c r="WFK96"/>
      <c r="WFL96"/>
      <c r="WFM96"/>
      <c r="WFN96"/>
      <c r="WFO96"/>
      <c r="WFP96"/>
      <c r="WFQ96"/>
      <c r="WFR96"/>
      <c r="WFS96"/>
      <c r="WFT96"/>
      <c r="WFU96"/>
      <c r="WFV96"/>
      <c r="WFW96"/>
      <c r="WFX96"/>
      <c r="WFY96"/>
      <c r="WFZ96"/>
      <c r="WGA96"/>
      <c r="WGB96"/>
      <c r="WGC96"/>
      <c r="WGD96"/>
      <c r="WGE96"/>
      <c r="WGF96"/>
      <c r="WGG96"/>
      <c r="WGH96"/>
      <c r="WGI96"/>
      <c r="WGJ96"/>
      <c r="WGK96"/>
      <c r="WGL96"/>
      <c r="WGM96"/>
      <c r="WGN96"/>
      <c r="WGO96"/>
      <c r="WGP96"/>
      <c r="WGQ96"/>
      <c r="WGR96"/>
      <c r="WGS96"/>
      <c r="WGT96"/>
      <c r="WGU96"/>
      <c r="WGV96"/>
      <c r="WGW96"/>
      <c r="WGX96"/>
      <c r="WGY96"/>
      <c r="WGZ96"/>
      <c r="WHA96"/>
      <c r="WHB96"/>
      <c r="WHC96"/>
      <c r="WHD96"/>
      <c r="WHE96"/>
      <c r="WHF96"/>
      <c r="WHG96"/>
      <c r="WHH96"/>
      <c r="WHI96"/>
      <c r="WHJ96"/>
      <c r="WHK96"/>
      <c r="WHL96"/>
      <c r="WHM96"/>
      <c r="WHN96"/>
      <c r="WHO96"/>
      <c r="WHP96"/>
      <c r="WHQ96"/>
      <c r="WHR96"/>
      <c r="WHS96"/>
      <c r="WHT96"/>
      <c r="WHU96"/>
      <c r="WHV96"/>
      <c r="WHW96"/>
      <c r="WHX96"/>
      <c r="WHY96"/>
      <c r="WHZ96"/>
      <c r="WIA96"/>
      <c r="WIB96"/>
      <c r="WIC96"/>
      <c r="WID96"/>
      <c r="WIE96"/>
      <c r="WIF96"/>
      <c r="WIG96"/>
      <c r="WIH96"/>
      <c r="WII96"/>
      <c r="WIJ96"/>
      <c r="WIK96"/>
      <c r="WIL96"/>
      <c r="WIM96"/>
      <c r="WIN96"/>
      <c r="WIO96"/>
      <c r="WIP96"/>
      <c r="WIQ96"/>
      <c r="WIR96"/>
      <c r="WIS96"/>
      <c r="WIT96"/>
      <c r="WIU96"/>
      <c r="WIV96"/>
      <c r="WIW96"/>
      <c r="WIX96"/>
      <c r="WIY96"/>
      <c r="WIZ96"/>
      <c r="WJA96"/>
      <c r="WJB96"/>
      <c r="WJC96"/>
      <c r="WJD96"/>
      <c r="WJE96"/>
      <c r="WJF96"/>
      <c r="WJG96"/>
      <c r="WJH96"/>
      <c r="WJI96"/>
      <c r="WJJ96"/>
      <c r="WJK96"/>
      <c r="WJL96"/>
      <c r="WJM96"/>
      <c r="WJN96"/>
      <c r="WJO96"/>
      <c r="WJP96"/>
      <c r="WJQ96"/>
      <c r="WJR96"/>
      <c r="WJS96"/>
      <c r="WJT96"/>
      <c r="WJU96"/>
      <c r="WJV96"/>
      <c r="WJW96"/>
      <c r="WJX96"/>
      <c r="WJY96"/>
      <c r="WJZ96"/>
      <c r="WKA96"/>
      <c r="WKB96"/>
      <c r="WKC96"/>
      <c r="WKD96"/>
      <c r="WKE96"/>
      <c r="WKF96"/>
      <c r="WKG96"/>
      <c r="WKH96"/>
      <c r="WKI96"/>
      <c r="WKJ96"/>
      <c r="WKK96"/>
      <c r="WKL96"/>
      <c r="WKM96"/>
      <c r="WKN96"/>
      <c r="WKO96"/>
      <c r="WKP96"/>
      <c r="WKQ96"/>
      <c r="WKR96"/>
      <c r="WKS96"/>
      <c r="WKT96"/>
      <c r="WKU96"/>
      <c r="WKV96"/>
      <c r="WKW96"/>
      <c r="WKX96"/>
      <c r="WKY96"/>
      <c r="WKZ96"/>
      <c r="WLA96"/>
      <c r="WLB96"/>
      <c r="WLC96"/>
      <c r="WLD96"/>
      <c r="WLE96"/>
      <c r="WLF96"/>
      <c r="WLG96"/>
      <c r="WLH96"/>
      <c r="WLI96"/>
      <c r="WLJ96"/>
      <c r="WLK96"/>
      <c r="WLL96"/>
      <c r="WLM96"/>
      <c r="WLN96"/>
      <c r="WLO96"/>
      <c r="WLP96"/>
      <c r="WLQ96"/>
      <c r="WLR96"/>
      <c r="WLS96"/>
      <c r="WLT96"/>
      <c r="WLU96"/>
      <c r="WLV96"/>
      <c r="WLW96"/>
      <c r="WLX96"/>
      <c r="WLY96"/>
      <c r="WLZ96"/>
      <c r="WMA96"/>
      <c r="WMB96"/>
      <c r="WMC96"/>
      <c r="WMD96"/>
      <c r="WME96"/>
      <c r="WMF96"/>
      <c r="WMG96"/>
      <c r="WMH96"/>
      <c r="WMI96"/>
      <c r="WMJ96"/>
      <c r="WMK96"/>
      <c r="WML96"/>
      <c r="WMM96"/>
      <c r="WMN96"/>
      <c r="WMO96"/>
      <c r="WMP96"/>
      <c r="WMQ96"/>
      <c r="WMR96"/>
      <c r="WMS96"/>
      <c r="WMT96"/>
      <c r="WMU96"/>
      <c r="WMV96"/>
      <c r="WMW96"/>
      <c r="WMX96"/>
      <c r="WMY96"/>
      <c r="WMZ96"/>
      <c r="WNA96"/>
      <c r="WNB96"/>
      <c r="WNC96"/>
      <c r="WND96"/>
      <c r="WNE96"/>
      <c r="WNF96"/>
      <c r="WNG96"/>
      <c r="WNH96"/>
      <c r="WNI96"/>
      <c r="WNJ96"/>
      <c r="WNK96"/>
      <c r="WNL96"/>
      <c r="WNM96"/>
      <c r="WNN96"/>
      <c r="WNO96"/>
      <c r="WNP96"/>
      <c r="WNQ96"/>
      <c r="WNR96"/>
      <c r="WNS96"/>
      <c r="WNT96"/>
      <c r="WNU96"/>
      <c r="WNV96"/>
      <c r="WNW96"/>
      <c r="WNX96"/>
      <c r="WNY96"/>
      <c r="WNZ96"/>
      <c r="WOA96"/>
      <c r="WOB96"/>
      <c r="WOC96"/>
      <c r="WOD96"/>
      <c r="WOE96"/>
      <c r="WOF96"/>
      <c r="WOG96"/>
      <c r="WOH96"/>
      <c r="WOI96"/>
      <c r="WOJ96"/>
      <c r="WOK96"/>
      <c r="WOL96"/>
      <c r="WOM96"/>
      <c r="WON96"/>
      <c r="WOO96"/>
      <c r="WOP96"/>
      <c r="WOQ96"/>
      <c r="WOR96"/>
      <c r="WOS96"/>
      <c r="WOT96"/>
      <c r="WOU96"/>
      <c r="WOV96"/>
      <c r="WOW96"/>
      <c r="WOX96"/>
      <c r="WOY96"/>
      <c r="WOZ96"/>
      <c r="WPA96"/>
      <c r="WPB96"/>
      <c r="WPC96"/>
      <c r="WPD96"/>
      <c r="WPE96"/>
      <c r="WPF96"/>
      <c r="WPG96"/>
      <c r="WPH96"/>
      <c r="WPI96"/>
      <c r="WPJ96"/>
      <c r="WPK96"/>
      <c r="WPL96"/>
      <c r="WPM96"/>
      <c r="WPN96"/>
      <c r="WPO96"/>
      <c r="WPP96"/>
      <c r="WPQ96"/>
      <c r="WPR96"/>
      <c r="WPS96"/>
      <c r="WPT96"/>
      <c r="WPU96"/>
      <c r="WPV96"/>
      <c r="WPW96"/>
      <c r="WPX96"/>
      <c r="WPY96"/>
      <c r="WPZ96"/>
      <c r="WQA96"/>
      <c r="WQB96"/>
      <c r="WQC96"/>
      <c r="WQD96"/>
      <c r="WQE96"/>
      <c r="WQF96"/>
      <c r="WQG96"/>
      <c r="WQH96"/>
      <c r="WQI96"/>
      <c r="WQJ96"/>
      <c r="WQK96"/>
      <c r="WQL96"/>
      <c r="WQM96"/>
      <c r="WQN96"/>
      <c r="WQO96"/>
      <c r="WQP96"/>
      <c r="WQQ96"/>
      <c r="WQR96"/>
      <c r="WQS96"/>
      <c r="WQT96"/>
      <c r="WQU96"/>
      <c r="WQV96"/>
      <c r="WQW96"/>
      <c r="WQX96"/>
      <c r="WQY96"/>
      <c r="WQZ96"/>
      <c r="WRA96"/>
      <c r="WRB96"/>
      <c r="WRC96"/>
      <c r="WRD96"/>
      <c r="WRE96"/>
      <c r="WRF96"/>
      <c r="WRG96"/>
      <c r="WRH96"/>
      <c r="WRI96"/>
      <c r="WRJ96"/>
      <c r="WRK96"/>
      <c r="WRL96"/>
      <c r="WRM96"/>
      <c r="WRN96"/>
      <c r="WRO96"/>
      <c r="WRP96"/>
      <c r="WRQ96"/>
      <c r="WRR96"/>
      <c r="WRS96"/>
      <c r="WRT96"/>
      <c r="WRU96"/>
      <c r="WRV96"/>
      <c r="WRW96"/>
      <c r="WRX96"/>
      <c r="WRY96"/>
      <c r="WRZ96"/>
      <c r="WSA96"/>
      <c r="WSB96"/>
      <c r="WSC96"/>
      <c r="WSD96"/>
      <c r="WSE96"/>
      <c r="WSF96"/>
      <c r="WSG96"/>
      <c r="WSH96"/>
      <c r="WSI96"/>
      <c r="WSJ96"/>
      <c r="WSK96"/>
      <c r="WSL96"/>
      <c r="WSM96"/>
      <c r="WSN96"/>
      <c r="WSO96"/>
      <c r="WSP96"/>
      <c r="WSQ96"/>
      <c r="WSR96"/>
      <c r="WSS96"/>
      <c r="WST96"/>
      <c r="WSU96"/>
      <c r="WSV96"/>
      <c r="WSW96"/>
      <c r="WSX96"/>
      <c r="WSY96"/>
      <c r="WSZ96"/>
      <c r="WTA96"/>
      <c r="WTB96"/>
      <c r="WTC96"/>
      <c r="WTD96"/>
      <c r="WTE96"/>
      <c r="WTF96"/>
      <c r="WTG96"/>
      <c r="WTH96"/>
      <c r="WTI96"/>
      <c r="WTJ96"/>
      <c r="WTK96"/>
      <c r="WTL96"/>
      <c r="WTM96"/>
      <c r="WTN96"/>
      <c r="WTO96"/>
      <c r="WTP96"/>
      <c r="WTQ96"/>
      <c r="WTR96"/>
      <c r="WTS96"/>
      <c r="WTT96"/>
      <c r="WTU96"/>
      <c r="WTV96"/>
      <c r="WTW96"/>
      <c r="WTX96"/>
      <c r="WTY96"/>
      <c r="WTZ96"/>
      <c r="WUA96"/>
      <c r="WUB96"/>
      <c r="WUC96"/>
      <c r="WUD96"/>
      <c r="WUE96"/>
      <c r="WUF96"/>
      <c r="WUG96"/>
      <c r="WUH96"/>
      <c r="WUI96"/>
      <c r="WUJ96"/>
      <c r="WUK96"/>
      <c r="WUL96"/>
      <c r="WUM96"/>
      <c r="WUN96"/>
      <c r="WUO96"/>
      <c r="WUP96"/>
      <c r="WUQ96"/>
      <c r="WUR96"/>
      <c r="WUS96"/>
      <c r="WUT96"/>
      <c r="WUU96"/>
      <c r="WUV96"/>
      <c r="WUW96"/>
      <c r="WUX96"/>
      <c r="WUY96"/>
      <c r="WUZ96"/>
      <c r="WVA96"/>
      <c r="WVB96"/>
      <c r="WVC96"/>
      <c r="WVD96"/>
      <c r="WVE96"/>
      <c r="WVF96"/>
      <c r="WVG96"/>
      <c r="WVH96"/>
      <c r="WVI96"/>
      <c r="WVJ96"/>
      <c r="WVK96"/>
      <c r="WVL96"/>
      <c r="WVM96"/>
      <c r="WVN96"/>
      <c r="WVO96"/>
      <c r="WVP96"/>
      <c r="WVQ96"/>
      <c r="WVR96"/>
      <c r="WVS96"/>
      <c r="WVT96"/>
      <c r="WVU96"/>
      <c r="WVV96"/>
      <c r="WVW96"/>
      <c r="WVX96"/>
      <c r="WVY96"/>
      <c r="WVZ96"/>
      <c r="WWA96"/>
      <c r="WWB96"/>
      <c r="WWC96"/>
      <c r="WWD96"/>
      <c r="WWE96"/>
      <c r="WWF96"/>
      <c r="WWG96"/>
      <c r="WWH96"/>
      <c r="WWI96"/>
      <c r="WWJ96"/>
      <c r="WWK96"/>
      <c r="WWL96"/>
      <c r="WWM96"/>
      <c r="WWN96"/>
      <c r="WWO96"/>
      <c r="WWP96"/>
      <c r="WWQ96"/>
      <c r="WWR96"/>
      <c r="WWS96"/>
      <c r="WWT96"/>
      <c r="WWU96"/>
      <c r="WWV96"/>
      <c r="WWW96"/>
      <c r="WWX96"/>
      <c r="WWY96"/>
      <c r="WWZ96"/>
      <c r="WXA96"/>
      <c r="WXB96"/>
      <c r="WXC96"/>
      <c r="WXD96"/>
      <c r="WXE96"/>
      <c r="WXF96"/>
      <c r="WXG96"/>
      <c r="WXH96"/>
      <c r="WXI96"/>
      <c r="WXJ96"/>
      <c r="WXK96"/>
      <c r="WXL96"/>
      <c r="WXM96"/>
      <c r="WXN96"/>
      <c r="WXO96"/>
      <c r="WXP96"/>
      <c r="WXQ96"/>
      <c r="WXR96"/>
      <c r="WXS96"/>
      <c r="WXT96"/>
      <c r="WXU96"/>
      <c r="WXV96"/>
      <c r="WXW96"/>
      <c r="WXX96"/>
      <c r="WXY96"/>
      <c r="WXZ96"/>
      <c r="WYA96"/>
      <c r="WYB96"/>
      <c r="WYC96"/>
      <c r="WYD96"/>
      <c r="WYE96"/>
      <c r="WYF96"/>
      <c r="WYG96"/>
      <c r="WYH96"/>
      <c r="WYI96"/>
      <c r="WYJ96"/>
      <c r="WYK96"/>
      <c r="WYL96"/>
      <c r="WYM96"/>
      <c r="WYN96"/>
      <c r="WYO96"/>
      <c r="WYP96"/>
      <c r="WYQ96"/>
      <c r="WYR96"/>
      <c r="WYS96"/>
      <c r="WYT96"/>
      <c r="WYU96"/>
      <c r="WYV96"/>
      <c r="WYW96"/>
      <c r="WYX96"/>
      <c r="WYY96"/>
      <c r="WYZ96"/>
      <c r="WZA96"/>
      <c r="WZB96"/>
      <c r="WZC96"/>
      <c r="WZD96"/>
      <c r="WZE96"/>
      <c r="WZF96"/>
      <c r="WZG96"/>
      <c r="WZH96"/>
      <c r="WZI96"/>
      <c r="WZJ96"/>
      <c r="WZK96"/>
      <c r="WZL96"/>
      <c r="WZM96"/>
      <c r="WZN96"/>
      <c r="WZO96"/>
      <c r="WZP96"/>
      <c r="WZQ96"/>
      <c r="WZR96"/>
      <c r="WZS96"/>
      <c r="WZT96"/>
      <c r="WZU96"/>
      <c r="WZV96"/>
      <c r="WZW96"/>
      <c r="WZX96"/>
      <c r="WZY96"/>
      <c r="WZZ96"/>
      <c r="XAA96"/>
      <c r="XAB96"/>
      <c r="XAC96"/>
      <c r="XAD96"/>
      <c r="XAE96"/>
      <c r="XAF96"/>
      <c r="XAG96"/>
      <c r="XAH96"/>
      <c r="XAI96"/>
      <c r="XAJ96"/>
      <c r="XAK96"/>
      <c r="XAL96"/>
      <c r="XAM96"/>
      <c r="XAN96"/>
      <c r="XAO96"/>
      <c r="XAP96"/>
      <c r="XAQ96"/>
      <c r="XAR96"/>
      <c r="XAS96"/>
      <c r="XAT96"/>
      <c r="XAU96"/>
      <c r="XAV96"/>
      <c r="XAW96"/>
      <c r="XAX96"/>
      <c r="XAY96"/>
      <c r="XAZ96"/>
      <c r="XBA96"/>
      <c r="XBB96"/>
      <c r="XBC96"/>
      <c r="XBD96"/>
      <c r="XBE96"/>
      <c r="XBF96"/>
      <c r="XBG96"/>
      <c r="XBH96"/>
      <c r="XBI96"/>
      <c r="XBJ96"/>
      <c r="XBK96"/>
      <c r="XBL96"/>
      <c r="XBM96"/>
      <c r="XBN96"/>
      <c r="XBO96"/>
      <c r="XBP96"/>
      <c r="XBQ96"/>
      <c r="XBR96"/>
      <c r="XBS96"/>
      <c r="XBT96"/>
      <c r="XBU96"/>
      <c r="XBV96"/>
      <c r="XBW96"/>
      <c r="XBX96"/>
      <c r="XBY96"/>
      <c r="XBZ96"/>
      <c r="XCA96"/>
      <c r="XCB96"/>
      <c r="XCC96"/>
      <c r="XCD96"/>
      <c r="XCE96"/>
      <c r="XCF96"/>
      <c r="XCG96"/>
      <c r="XCH96"/>
      <c r="XCI96"/>
      <c r="XCJ96"/>
      <c r="XCK96"/>
      <c r="XCL96"/>
      <c r="XCM96"/>
      <c r="XCN96"/>
      <c r="XCO96"/>
      <c r="XCP96"/>
      <c r="XCQ96"/>
      <c r="XCR96"/>
      <c r="XCS96"/>
      <c r="XCT96"/>
      <c r="XCU96"/>
      <c r="XCV96"/>
      <c r="XCW96"/>
      <c r="XCX96"/>
      <c r="XCY96"/>
      <c r="XCZ96"/>
      <c r="XDA96"/>
      <c r="XDB96"/>
      <c r="XDC96"/>
      <c r="XDD96"/>
      <c r="XDE96"/>
      <c r="XDF96"/>
      <c r="XDG96"/>
      <c r="XDH96"/>
      <c r="XDI96"/>
      <c r="XDJ96"/>
      <c r="XDK96"/>
      <c r="XDL96"/>
      <c r="XDM96"/>
      <c r="XDN96"/>
      <c r="XDO96"/>
      <c r="XDP96"/>
      <c r="XDQ96"/>
      <c r="XDR96"/>
      <c r="XDS96"/>
      <c r="XDT96"/>
      <c r="XDU96"/>
      <c r="XDV96"/>
      <c r="XDW96"/>
      <c r="XDX96"/>
      <c r="XDY96"/>
      <c r="XDZ96"/>
      <c r="XEA96"/>
      <c r="XEB96"/>
      <c r="XEC96"/>
      <c r="XED96"/>
      <c r="XEE96"/>
      <c r="XEF96"/>
      <c r="XEG96"/>
      <c r="XEH96"/>
      <c r="XEI96"/>
      <c r="XEJ96"/>
      <c r="XEK96"/>
      <c r="XEL96"/>
      <c r="XEM96"/>
      <c r="XEN96"/>
      <c r="XEO96"/>
      <c r="XEP96"/>
      <c r="XEQ96"/>
      <c r="XER96"/>
      <c r="XES96"/>
      <c r="XET96"/>
      <c r="XEU96"/>
      <c r="XEV96"/>
      <c r="XEW96"/>
      <c r="XEX96"/>
      <c r="XEY96"/>
      <c r="XEZ96"/>
      <c r="XFA96"/>
      <c r="XFB96"/>
      <c r="XFC96"/>
      <c r="XFD96"/>
    </row>
    <row r="97" spans="1:16384" s="580" customFormat="1">
      <c r="A97"/>
      <c r="B97" s="35">
        <v>2</v>
      </c>
      <c r="C97" s="71" t="s">
        <v>122</v>
      </c>
      <c r="D97" s="35">
        <v>515</v>
      </c>
      <c r="E97" s="544">
        <v>1</v>
      </c>
      <c r="F97" s="72"/>
      <c r="G97" s="72" t="str">
        <f>IF(OR(ISBLANK(C97),ISBLANK(D97)),"",TEXT(C97,"000")&amp;TEXT(D97,"000"))</f>
        <v>045515</v>
      </c>
      <c r="H97" s="46"/>
      <c r="I97"/>
      <c r="J97"/>
      <c r="K97" s="564" t="s">
        <v>66</v>
      </c>
      <c r="L97"/>
      <c r="M97" s="76">
        <f>SUM(M4:M96)</f>
        <v>7</v>
      </c>
      <c r="N97" s="76">
        <f>SUM(N4:N96)</f>
        <v>22436</v>
      </c>
      <c r="O97" s="76">
        <f>SUM(O4:O96)</f>
        <v>164</v>
      </c>
      <c r="P97" s="76">
        <f>SUM(P4:P96)</f>
        <v>258</v>
      </c>
      <c r="Q97" s="76">
        <f>SUM(Q4:Q96)</f>
        <v>932</v>
      </c>
      <c r="R97"/>
      <c r="S97" s="603">
        <v>0</v>
      </c>
      <c r="T97" s="603">
        <v>0</v>
      </c>
      <c r="U97" s="603">
        <v>0</v>
      </c>
      <c r="V97" s="603">
        <v>0</v>
      </c>
      <c r="W97" s="603">
        <v>0</v>
      </c>
      <c r="X97"/>
      <c r="Y97" s="77">
        <f>ROUND(SUM(Y4:Y96),2)</f>
        <v>181.27</v>
      </c>
      <c r="Z97" s="77">
        <f>ROUND(SUM(Z4:Z96),2)</f>
        <v>350635.22</v>
      </c>
      <c r="AA97" s="77">
        <f>ROUND(SUM(AA4:AA96),2)</f>
        <v>1995.6</v>
      </c>
      <c r="AB97" s="141">
        <f>ROUND(SUM(AB4:AB96),2)</f>
        <v>2720.82</v>
      </c>
      <c r="AC97" s="77">
        <f>ROUND(SUM(AC4:AC96),2)</f>
        <v>9042.34</v>
      </c>
      <c r="AD97"/>
      <c r="AE97" s="76">
        <f>SUM(AE4:AE96)</f>
        <v>7</v>
      </c>
      <c r="AF97" s="76">
        <f>SUM(AF4:AF96)</f>
        <v>22436</v>
      </c>
      <c r="AG97" s="76">
        <f>SUM(AG4:AG96)</f>
        <v>164</v>
      </c>
      <c r="AH97" s="76">
        <f>SUM(AH4:AH96)</f>
        <v>258</v>
      </c>
      <c r="AI97" s="76">
        <f>SUM(AI4:AI96)</f>
        <v>932</v>
      </c>
      <c r="AJ97"/>
      <c r="AK97" s="423">
        <f t="shared" si="235"/>
        <v>0</v>
      </c>
      <c r="AL97" s="423">
        <f t="shared" si="233"/>
        <v>0</v>
      </c>
      <c r="AM97" s="423">
        <f t="shared" ref="AM97:AM102" si="238">ROUND(U97*(1+AM$1),2)</f>
        <v>0</v>
      </c>
      <c r="AN97" s="423">
        <f t="shared" si="236"/>
        <v>0</v>
      </c>
      <c r="AO97" s="423">
        <f t="shared" si="236"/>
        <v>0</v>
      </c>
      <c r="AP97"/>
      <c r="AQ97" s="141">
        <f>ROUND(SUM(AQ4:AQ96),2)</f>
        <v>187.32</v>
      </c>
      <c r="AR97" s="141">
        <f>ROUND(SUM(AR4:AR96),2)</f>
        <v>363360.69</v>
      </c>
      <c r="AS97" s="141">
        <f>ROUND(SUM(AS4:AS96),2)</f>
        <v>2062.14</v>
      </c>
      <c r="AT97" s="141">
        <f>ROUND(SUM(AT4:AT96),2)</f>
        <v>2811.32</v>
      </c>
      <c r="AU97" s="141">
        <f>ROUND(SUM(AU4:AU96),2)</f>
        <v>9344.7900000000009</v>
      </c>
      <c r="AV97"/>
      <c r="AW97" s="738"/>
      <c r="AX97" s="434"/>
      <c r="AY97" s="567"/>
      <c r="AZ97" s="567"/>
      <c r="BA97" s="567"/>
      <c r="BB97" s="567"/>
      <c r="BC97" s="567"/>
      <c r="BD97" s="139"/>
      <c r="BE97" s="573"/>
      <c r="BF97" s="53"/>
      <c r="BG97" s="53"/>
      <c r="BH97" s="53"/>
      <c r="BI97" s="53"/>
      <c r="BJ97" s="53"/>
      <c r="BK97"/>
      <c r="BL97"/>
      <c r="BM97" s="278">
        <f t="shared" si="237"/>
        <v>0</v>
      </c>
      <c r="BN97" s="278">
        <f t="shared" ref="BN97:BN102" si="239">AL97*$BM$1</f>
        <v>0</v>
      </c>
      <c r="BO97" s="278">
        <f t="shared" si="76"/>
        <v>0</v>
      </c>
      <c r="BP97" s="278">
        <f t="shared" si="77"/>
        <v>0</v>
      </c>
      <c r="BQ97" s="278">
        <f t="shared" si="78"/>
        <v>0</v>
      </c>
      <c r="BR97"/>
      <c r="BS97" s="53"/>
      <c r="BT97" s="53"/>
      <c r="BU97" s="53"/>
      <c r="BV97" s="53"/>
      <c r="BW97" s="53"/>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s="671"/>
      <c r="DU97" s="671"/>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pans="1:16384" ht="18">
      <c r="B98" s="35">
        <v>2</v>
      </c>
      <c r="C98" s="71" t="s">
        <v>122</v>
      </c>
      <c r="D98" s="35">
        <v>615</v>
      </c>
      <c r="E98" s="544">
        <v>87</v>
      </c>
      <c r="F98" s="72"/>
      <c r="G98" s="72" t="str">
        <f t="shared" si="150"/>
        <v>045615</v>
      </c>
      <c r="H98" s="46"/>
      <c r="I98" s="717" t="s">
        <v>872</v>
      </c>
      <c r="Q98" s="68">
        <f>SUM(M97:Q97)</f>
        <v>23797</v>
      </c>
      <c r="S98" s="603">
        <v>0</v>
      </c>
      <c r="T98" s="603">
        <v>0</v>
      </c>
      <c r="U98" s="603">
        <v>0</v>
      </c>
      <c r="V98" s="603">
        <v>0</v>
      </c>
      <c r="W98" s="603">
        <v>0</v>
      </c>
      <c r="Y98" s="78"/>
      <c r="Z98" s="78"/>
      <c r="AA98" s="78"/>
      <c r="AB98" s="78"/>
      <c r="AC98" s="78"/>
      <c r="AD98" s="668"/>
      <c r="AI98" s="68">
        <f>SUM(AE97:AI97)</f>
        <v>23797</v>
      </c>
      <c r="AK98" s="423">
        <f t="shared" si="235"/>
        <v>0</v>
      </c>
      <c r="AL98" s="423">
        <f t="shared" si="233"/>
        <v>0</v>
      </c>
      <c r="AM98" s="423">
        <f t="shared" si="238"/>
        <v>0</v>
      </c>
      <c r="AN98" s="423">
        <f t="shared" si="236"/>
        <v>0</v>
      </c>
      <c r="AO98" s="423">
        <f t="shared" si="236"/>
        <v>0</v>
      </c>
      <c r="AQ98" s="69"/>
      <c r="AR98" s="69"/>
      <c r="AS98" s="69"/>
      <c r="AT98" s="69"/>
      <c r="AU98" s="78">
        <f>SUM(AQ97:AU97)</f>
        <v>377766.26</v>
      </c>
      <c r="AX98" s="434"/>
      <c r="AY98" s="567"/>
      <c r="AZ98" s="567"/>
      <c r="BA98" s="567"/>
      <c r="BB98" s="567"/>
      <c r="BC98" s="567"/>
      <c r="BD98" s="139"/>
      <c r="BE98" s="573"/>
      <c r="BF98" s="53"/>
      <c r="BG98" s="53"/>
      <c r="BH98" s="53"/>
      <c r="BI98" s="53"/>
      <c r="BJ98" s="53"/>
      <c r="BM98" s="278">
        <f t="shared" si="237"/>
        <v>0</v>
      </c>
      <c r="BN98" s="278">
        <f t="shared" si="239"/>
        <v>0</v>
      </c>
      <c r="BO98" s="278">
        <f t="shared" si="76"/>
        <v>0</v>
      </c>
      <c r="BP98" s="278">
        <f t="shared" si="77"/>
        <v>0</v>
      </c>
      <c r="BQ98" s="278">
        <f t="shared" si="78"/>
        <v>0</v>
      </c>
      <c r="BS98" s="53"/>
      <c r="BT98" s="53"/>
      <c r="BU98" s="53"/>
      <c r="BV98" s="53"/>
      <c r="BW98" s="53"/>
      <c r="DW98" s="671"/>
      <c r="DX98" s="671"/>
      <c r="DY98" s="671"/>
      <c r="DZ98" s="671"/>
      <c r="EA98" s="671"/>
      <c r="EB98" s="671"/>
      <c r="EC98" s="671"/>
      <c r="ED98" s="671"/>
      <c r="EE98" s="671"/>
      <c r="EF98" s="671"/>
      <c r="EG98" s="671"/>
      <c r="EH98" s="671"/>
      <c r="EI98" s="671"/>
      <c r="EJ98" s="671"/>
      <c r="EK98" s="671"/>
      <c r="EL98" s="671"/>
      <c r="EM98" s="671"/>
      <c r="EN98" s="671"/>
      <c r="EO98" s="671"/>
      <c r="EP98" s="671"/>
      <c r="EQ98" s="671"/>
      <c r="ER98" s="671"/>
      <c r="ES98" s="671"/>
      <c r="ET98" s="671"/>
      <c r="EU98" s="671"/>
      <c r="EV98" s="671"/>
      <c r="EW98" s="671"/>
      <c r="EX98" s="671"/>
      <c r="EY98" s="671"/>
      <c r="EZ98" s="671"/>
    </row>
    <row r="99" spans="1:16384">
      <c r="A99" s="732"/>
      <c r="B99" s="527">
        <v>2</v>
      </c>
      <c r="C99" s="71" t="s">
        <v>122</v>
      </c>
      <c r="D99" s="527">
        <v>618</v>
      </c>
      <c r="E99" s="549">
        <v>87</v>
      </c>
      <c r="F99" s="72"/>
      <c r="G99" s="72" t="str">
        <f t="shared" ref="G99" si="240">IF(OR(ISBLANK(C99),ISBLANK(D99)),"",TEXT(C99,"000")&amp;TEXT(D99,"000"))</f>
        <v>045618</v>
      </c>
      <c r="H99" s="46"/>
      <c r="I99" s="590"/>
      <c r="J99" s="19"/>
      <c r="K99" s="85"/>
      <c r="L99" s="19"/>
      <c r="Q99" s="72">
        <f>ROUND(Q98-E138,0)</f>
        <v>0</v>
      </c>
      <c r="S99" s="603">
        <v>0</v>
      </c>
      <c r="T99" s="603">
        <v>0</v>
      </c>
      <c r="U99" s="603">
        <v>0</v>
      </c>
      <c r="V99" s="603">
        <v>0</v>
      </c>
      <c r="W99" s="603">
        <v>0</v>
      </c>
      <c r="X99" s="116"/>
      <c r="Y99" s="69"/>
      <c r="Z99" s="69"/>
      <c r="AA99" s="69"/>
      <c r="AB99" s="69"/>
      <c r="AC99" s="78">
        <f>SUM(Y97:AC97)</f>
        <v>364575.25</v>
      </c>
      <c r="AD99" s="432"/>
      <c r="AI99" s="72">
        <f>AI98-Q98</f>
        <v>0</v>
      </c>
      <c r="AL99" s="423">
        <f t="shared" si="233"/>
        <v>0</v>
      </c>
      <c r="AM99" s="423">
        <f t="shared" si="238"/>
        <v>0</v>
      </c>
      <c r="AN99" s="423">
        <f t="shared" si="236"/>
        <v>0</v>
      </c>
      <c r="AO99" s="423">
        <f t="shared" si="236"/>
        <v>0</v>
      </c>
      <c r="AU99" s="84">
        <f>AU98/AC99-1</f>
        <v>3.618185820348474E-2</v>
      </c>
      <c r="AX99" s="434"/>
      <c r="AY99" s="567"/>
      <c r="AZ99" s="567"/>
      <c r="BA99" s="567"/>
      <c r="BB99" s="567"/>
      <c r="BC99" s="567"/>
      <c r="BD99" s="139"/>
      <c r="BE99" s="573"/>
      <c r="BF99" s="53"/>
      <c r="BG99" s="53"/>
      <c r="BH99" s="53"/>
      <c r="BI99" s="53"/>
      <c r="BJ99" s="53"/>
      <c r="BM99" s="278">
        <f>X99*$BM$1</f>
        <v>0</v>
      </c>
      <c r="BN99" s="278">
        <f t="shared" si="239"/>
        <v>0</v>
      </c>
      <c r="BO99" s="278">
        <f t="shared" si="76"/>
        <v>0</v>
      </c>
      <c r="BP99" s="278">
        <f t="shared" si="77"/>
        <v>0</v>
      </c>
      <c r="BQ99" s="278">
        <f t="shared" si="78"/>
        <v>0</v>
      </c>
      <c r="BS99" s="53"/>
      <c r="BT99" s="53"/>
      <c r="BU99" s="53"/>
      <c r="BV99" s="53"/>
      <c r="BW99" s="53"/>
      <c r="DM99" s="580"/>
      <c r="DW99" s="671"/>
      <c r="DX99" s="671"/>
      <c r="DY99" s="671"/>
      <c r="DZ99" s="671"/>
      <c r="EA99" s="671"/>
      <c r="EB99" s="671"/>
      <c r="EC99" s="671"/>
      <c r="ED99" s="671"/>
      <c r="EE99" s="671"/>
      <c r="EF99" s="671"/>
      <c r="EG99" s="671"/>
      <c r="EH99" s="671"/>
      <c r="EI99" s="671"/>
      <c r="EJ99" s="671"/>
      <c r="EK99" s="671"/>
      <c r="EL99" s="671"/>
      <c r="EM99" s="671"/>
      <c r="EN99" s="671"/>
      <c r="EO99" s="671"/>
      <c r="EP99" s="671"/>
      <c r="EQ99" s="671"/>
      <c r="ER99" s="671"/>
      <c r="ES99" s="671"/>
      <c r="ET99" s="671"/>
      <c r="EU99" s="671"/>
      <c r="EV99" s="671"/>
      <c r="EW99" s="671"/>
      <c r="EX99" s="671"/>
      <c r="EY99" s="671"/>
      <c r="EZ99" s="671"/>
    </row>
    <row r="100" spans="1:16384">
      <c r="B100" s="35">
        <v>2</v>
      </c>
      <c r="C100" s="71" t="s">
        <v>122</v>
      </c>
      <c r="D100" s="35">
        <v>715</v>
      </c>
      <c r="E100" s="544">
        <v>6</v>
      </c>
      <c r="F100" s="72"/>
      <c r="G100" s="72" t="str">
        <f t="shared" si="150"/>
        <v>045715</v>
      </c>
      <c r="H100" s="46"/>
      <c r="S100" s="603"/>
      <c r="T100" s="603"/>
      <c r="U100" s="603"/>
      <c r="V100" s="603"/>
      <c r="W100" s="603"/>
      <c r="Y100" s="433"/>
      <c r="Z100" s="433"/>
      <c r="AA100" s="433"/>
      <c r="AB100" s="433"/>
      <c r="AC100" s="433"/>
      <c r="AD100" s="597"/>
      <c r="AK100" s="423">
        <f t="shared" si="235"/>
        <v>0</v>
      </c>
      <c r="AL100" s="423">
        <f t="shared" si="233"/>
        <v>0</v>
      </c>
      <c r="AM100" s="423">
        <f t="shared" si="238"/>
        <v>0</v>
      </c>
      <c r="AN100" s="423">
        <f t="shared" si="236"/>
        <v>0</v>
      </c>
      <c r="AO100" s="423">
        <f t="shared" si="236"/>
        <v>0</v>
      </c>
      <c r="AX100" s="434"/>
      <c r="AY100" s="567"/>
      <c r="AZ100" s="567"/>
      <c r="BA100" s="567"/>
      <c r="BB100" s="567"/>
      <c r="BC100" s="567"/>
      <c r="BD100" s="139"/>
      <c r="BE100" s="573"/>
      <c r="BF100" s="53"/>
      <c r="BG100" s="53"/>
      <c r="BH100" s="53"/>
      <c r="BI100" s="53"/>
      <c r="BJ100" s="53"/>
      <c r="BM100" s="278">
        <f t="shared" si="237"/>
        <v>0</v>
      </c>
      <c r="BN100" s="278">
        <f t="shared" si="239"/>
        <v>0</v>
      </c>
      <c r="BO100" s="278">
        <f t="shared" si="76"/>
        <v>0</v>
      </c>
      <c r="BP100" s="278">
        <f t="shared" si="77"/>
        <v>0</v>
      </c>
      <c r="BQ100" s="278">
        <f t="shared" si="78"/>
        <v>0</v>
      </c>
      <c r="BS100" s="53"/>
      <c r="BT100" s="53"/>
      <c r="BU100" s="53"/>
      <c r="BV100" s="53"/>
      <c r="BW100" s="53"/>
      <c r="DH100" s="580"/>
      <c r="DI100" s="580"/>
      <c r="DJ100" s="580"/>
      <c r="DK100" s="580"/>
      <c r="DL100" s="580"/>
      <c r="DM100" s="580"/>
      <c r="DW100" s="671"/>
      <c r="DX100" s="671"/>
      <c r="DY100" s="671"/>
      <c r="DZ100" s="671"/>
      <c r="EA100" s="671"/>
      <c r="EB100" s="671"/>
      <c r="EC100" s="671"/>
      <c r="ED100" s="671"/>
      <c r="EE100" s="671"/>
      <c r="EF100" s="671"/>
      <c r="EG100" s="671"/>
      <c r="EH100" s="671"/>
      <c r="EI100" s="671"/>
      <c r="EJ100" s="671"/>
      <c r="EK100" s="671"/>
      <c r="EL100" s="671"/>
      <c r="EM100" s="671"/>
      <c r="EN100" s="671"/>
      <c r="EO100" s="671"/>
      <c r="EP100" s="671"/>
      <c r="EQ100" s="671"/>
      <c r="ER100" s="671"/>
      <c r="ES100" s="671"/>
      <c r="ET100" s="671"/>
      <c r="EU100" s="671"/>
      <c r="EV100" s="671"/>
      <c r="EW100" s="671"/>
      <c r="EX100" s="671"/>
      <c r="EY100" s="671"/>
      <c r="EZ100" s="671"/>
    </row>
    <row r="101" spans="1:16384">
      <c r="E101" s="73">
        <f>SUM(E95:E100)</f>
        <v>258</v>
      </c>
      <c r="F101" s="74"/>
      <c r="G101" s="72" t="str">
        <f t="shared" si="150"/>
        <v/>
      </c>
      <c r="H101" s="46"/>
      <c r="I101" s="79" t="s">
        <v>150</v>
      </c>
      <c r="S101" s="603">
        <v>0</v>
      </c>
      <c r="T101" s="603">
        <v>0</v>
      </c>
      <c r="U101" s="603">
        <v>0</v>
      </c>
      <c r="V101" s="603">
        <v>0</v>
      </c>
      <c r="W101" s="603">
        <v>0</v>
      </c>
      <c r="Y101" s="77">
        <f>Y97-Y98</f>
        <v>181.27</v>
      </c>
      <c r="Z101" s="77">
        <f t="shared" ref="Z101:AC101" si="241">Z97-Z98</f>
        <v>350635.22</v>
      </c>
      <c r="AA101" s="77">
        <f t="shared" si="241"/>
        <v>1995.6</v>
      </c>
      <c r="AB101" s="77">
        <f t="shared" si="241"/>
        <v>2720.82</v>
      </c>
      <c r="AC101" s="77">
        <f t="shared" si="241"/>
        <v>9042.34</v>
      </c>
      <c r="AK101" s="423">
        <f t="shared" si="235"/>
        <v>0</v>
      </c>
      <c r="AL101" s="423">
        <f t="shared" si="233"/>
        <v>0</v>
      </c>
      <c r="AM101" s="423">
        <f t="shared" si="238"/>
        <v>0</v>
      </c>
      <c r="AN101" s="423">
        <f t="shared" si="236"/>
        <v>0</v>
      </c>
      <c r="AO101" s="423">
        <f t="shared" si="236"/>
        <v>0</v>
      </c>
      <c r="AX101" s="434"/>
      <c r="AY101" s="567"/>
      <c r="AZ101" s="567"/>
      <c r="BA101" s="567"/>
      <c r="BB101" s="567"/>
      <c r="BC101" s="567"/>
      <c r="BD101" s="139"/>
      <c r="BE101" s="573"/>
      <c r="BF101" s="53"/>
      <c r="BG101" s="53"/>
      <c r="BH101" s="53"/>
      <c r="BI101" s="53"/>
      <c r="BJ101" s="53"/>
      <c r="BM101" s="278">
        <f t="shared" si="237"/>
        <v>0</v>
      </c>
      <c r="BN101" s="278">
        <f t="shared" si="239"/>
        <v>0</v>
      </c>
      <c r="BO101" s="278">
        <f t="shared" si="76"/>
        <v>0</v>
      </c>
      <c r="BP101" s="278">
        <f t="shared" si="77"/>
        <v>0</v>
      </c>
      <c r="BQ101" s="278">
        <f t="shared" si="78"/>
        <v>0</v>
      </c>
      <c r="BS101" s="53"/>
      <c r="BT101" s="53"/>
      <c r="BU101" s="53"/>
      <c r="BV101" s="53"/>
      <c r="BW101" s="53"/>
      <c r="DH101" s="580"/>
      <c r="DI101" s="580"/>
      <c r="DJ101" s="580"/>
      <c r="DK101" s="580"/>
      <c r="DL101" s="580"/>
      <c r="DN101" s="580"/>
      <c r="DO101" s="580"/>
      <c r="DP101" s="580"/>
      <c r="DQ101" s="580"/>
      <c r="DW101" s="671"/>
      <c r="DX101" s="671"/>
      <c r="DY101" s="671"/>
      <c r="DZ101" s="671"/>
      <c r="EA101" s="671"/>
      <c r="EB101" s="671"/>
      <c r="EC101" s="671"/>
      <c r="ED101" s="671"/>
      <c r="EE101" s="671"/>
      <c r="EF101" s="671"/>
      <c r="EG101" s="671"/>
      <c r="EH101" s="671"/>
      <c r="EI101" s="671"/>
      <c r="EJ101" s="671"/>
      <c r="EK101" s="671"/>
      <c r="EL101" s="671"/>
      <c r="EM101" s="671"/>
      <c r="EN101" s="671"/>
      <c r="EO101" s="671"/>
      <c r="EP101" s="671"/>
      <c r="EQ101" s="671"/>
      <c r="ER101" s="671"/>
      <c r="ES101" s="671"/>
      <c r="ET101" s="671"/>
      <c r="EU101" s="671"/>
      <c r="EV101" s="671"/>
      <c r="EW101" s="671"/>
      <c r="EX101" s="671"/>
      <c r="EY101" s="671"/>
      <c r="EZ101" s="671"/>
      <c r="FA101" s="671"/>
      <c r="FB101" s="671"/>
      <c r="FC101" s="671"/>
      <c r="FD101" s="671"/>
      <c r="FE101" s="671"/>
      <c r="FF101" s="671"/>
      <c r="FG101" s="671"/>
      <c r="FH101" s="671"/>
      <c r="FI101" s="671"/>
      <c r="FJ101" s="671"/>
      <c r="FK101" s="671"/>
      <c r="FL101" s="671"/>
      <c r="FM101" s="671"/>
      <c r="FN101" s="671"/>
      <c r="FO101" s="671"/>
      <c r="FP101" s="671"/>
      <c r="FQ101" s="671"/>
      <c r="FR101" s="671"/>
    </row>
    <row r="102" spans="1:16384">
      <c r="G102" s="72" t="str">
        <f t="shared" si="150"/>
        <v/>
      </c>
      <c r="H102" s="46"/>
      <c r="I102" s="599" t="s">
        <v>128</v>
      </c>
      <c r="J102" s="599" t="s">
        <v>151</v>
      </c>
      <c r="K102" s="604" t="s">
        <v>134</v>
      </c>
      <c r="L102" s="605">
        <v>439</v>
      </c>
      <c r="M102" s="68">
        <f>SUMIF($G:$G,TEXT(M$3,"000")&amp;TEXT($L102,"000"),$E:$E)</f>
        <v>0</v>
      </c>
      <c r="N102" s="68">
        <f>SUMIF($G:$G,TEXT(N$3,"000")&amp;TEXT($L102,"000"),$E:$E)</f>
        <v>0</v>
      </c>
      <c r="O102" s="68">
        <f>SUMIF($G:$G,TEXT(O$3,"000")&amp;TEXT($L102,"000"),$E:$E)</f>
        <v>0</v>
      </c>
      <c r="P102" s="68">
        <f>SUMIF($G:$G,TEXT(P$3,"000")&amp;TEXT($L102,"000"),$E:$E)</f>
        <v>0</v>
      </c>
      <c r="Q102" s="68">
        <f>SUMIF($G:$G,TEXT(Q$3,"000")&amp;TEXT($L102,"000"),$E:$E)</f>
        <v>0</v>
      </c>
      <c r="R102" s="68">
        <f>IF(SUM(M102:Q102)&gt;0,0,1)</f>
        <v>1</v>
      </c>
      <c r="S102" s="603"/>
      <c r="T102" s="603"/>
      <c r="U102" s="603"/>
      <c r="V102" s="603"/>
      <c r="W102" s="603"/>
      <c r="AB102" s="218"/>
      <c r="AC102" s="78"/>
      <c r="AE102" s="68"/>
      <c r="AF102" s="68">
        <f>SUMIF($G:$G,TEXT(AF$3,"000")&amp;TEXT($L102,"000"),$E:$E)</f>
        <v>0</v>
      </c>
      <c r="AG102" s="68">
        <f>SUMIF($G:$G,TEXT(AG$3,"000")&amp;TEXT($L102,"000"),$E:$E)</f>
        <v>0</v>
      </c>
      <c r="AH102" s="68">
        <f>SUMIF($G:$G,TEXT(AH$3,"000")&amp;TEXT($L102,"000"),$E:$E)</f>
        <v>0</v>
      </c>
      <c r="AI102" s="68">
        <f>SUMIF($G:$G,TEXT(AI$3,"000")&amp;TEXT($L102,"000"),$E:$E)</f>
        <v>0</v>
      </c>
      <c r="AK102" s="423">
        <f t="shared" si="235"/>
        <v>0</v>
      </c>
      <c r="AL102" s="423">
        <f t="shared" si="233"/>
        <v>0</v>
      </c>
      <c r="AM102" s="423">
        <f t="shared" si="238"/>
        <v>0</v>
      </c>
      <c r="AN102" s="423">
        <f t="shared" si="236"/>
        <v>0</v>
      </c>
      <c r="AO102" s="423">
        <f t="shared" si="236"/>
        <v>0</v>
      </c>
      <c r="AX102" s="434"/>
      <c r="AY102" s="567"/>
      <c r="AZ102" s="567"/>
      <c r="BA102" s="567"/>
      <c r="BB102" s="567"/>
      <c r="BC102" s="567"/>
      <c r="BD102" s="139"/>
      <c r="BE102" s="573"/>
      <c r="BF102" s="53"/>
      <c r="BG102" s="53"/>
      <c r="BH102" s="53"/>
      <c r="BI102" s="53"/>
      <c r="BJ102" s="53"/>
      <c r="BM102" s="278">
        <f t="shared" si="237"/>
        <v>0</v>
      </c>
      <c r="BN102" s="278">
        <f t="shared" si="239"/>
        <v>0</v>
      </c>
      <c r="BO102" s="278">
        <f t="shared" si="76"/>
        <v>0</v>
      </c>
      <c r="BP102" s="278">
        <f t="shared" si="77"/>
        <v>0</v>
      </c>
      <c r="BQ102" s="278">
        <f t="shared" si="78"/>
        <v>0</v>
      </c>
      <c r="BS102" s="53">
        <f t="shared" si="70"/>
        <v>0</v>
      </c>
      <c r="BT102" s="53">
        <f t="shared" si="71"/>
        <v>0</v>
      </c>
      <c r="BU102" s="53">
        <f t="shared" si="72"/>
        <v>0</v>
      </c>
      <c r="BV102" s="53">
        <f t="shared" si="73"/>
        <v>0</v>
      </c>
      <c r="BW102" s="53">
        <f t="shared" si="74"/>
        <v>0</v>
      </c>
      <c r="DG102" s="580"/>
      <c r="DN102" s="580"/>
      <c r="DO102" s="580"/>
      <c r="DP102" s="580"/>
      <c r="DQ102" s="580"/>
      <c r="DY102" s="671"/>
      <c r="DZ102" s="671"/>
      <c r="EA102" s="671"/>
      <c r="EB102" s="671"/>
      <c r="EC102" s="671"/>
      <c r="ED102" s="671"/>
      <c r="EE102" s="671"/>
      <c r="EF102" s="671"/>
      <c r="EG102" s="671"/>
      <c r="EH102" s="671"/>
      <c r="EI102" s="671"/>
      <c r="EJ102" s="671"/>
      <c r="EK102" s="671"/>
      <c r="EL102" s="671"/>
      <c r="EM102" s="671"/>
      <c r="EN102" s="671"/>
      <c r="EO102" s="671"/>
      <c r="EP102" s="671"/>
      <c r="EQ102" s="671"/>
      <c r="ER102" s="671"/>
      <c r="ES102" s="671"/>
      <c r="ET102" s="671"/>
      <c r="EU102" s="671"/>
      <c r="EV102" s="671"/>
      <c r="EW102" s="671"/>
      <c r="EX102" s="671"/>
      <c r="EY102" s="671"/>
      <c r="EZ102" s="671"/>
      <c r="FA102" s="671"/>
      <c r="FB102" s="671"/>
      <c r="FC102" s="671"/>
      <c r="FD102" s="671"/>
      <c r="FE102" s="671"/>
      <c r="FF102" s="671"/>
      <c r="FG102" s="671"/>
      <c r="FH102" s="671"/>
      <c r="FI102" s="671"/>
      <c r="FJ102" s="671"/>
      <c r="FK102" s="671"/>
      <c r="FL102" s="671"/>
      <c r="FM102" s="671"/>
      <c r="FN102" s="671"/>
      <c r="FO102" s="671"/>
      <c r="FP102" s="671"/>
      <c r="FQ102" s="671"/>
      <c r="FR102" s="671"/>
      <c r="FS102" s="671"/>
      <c r="FT102" s="671"/>
      <c r="FU102" s="671"/>
      <c r="FV102" s="671"/>
      <c r="FW102" s="671"/>
    </row>
    <row r="103" spans="1:16384">
      <c r="B103" s="35">
        <v>2</v>
      </c>
      <c r="C103" s="71" t="s">
        <v>123</v>
      </c>
      <c r="D103" s="569" t="s">
        <v>837</v>
      </c>
      <c r="E103" s="545">
        <v>0</v>
      </c>
      <c r="F103" s="72"/>
      <c r="G103" s="72" t="str">
        <f t="shared" si="150"/>
        <v>046005L</v>
      </c>
      <c r="I103" s="599"/>
      <c r="J103" s="599"/>
      <c r="K103" s="604"/>
      <c r="L103" s="599"/>
      <c r="S103" s="19"/>
      <c r="T103" s="19"/>
      <c r="U103" s="19"/>
      <c r="V103" s="19"/>
      <c r="W103" s="19"/>
      <c r="Y103" s="596"/>
      <c r="Z103" s="596"/>
      <c r="AA103" s="596"/>
      <c r="AB103" s="596"/>
      <c r="AC103" s="596"/>
      <c r="AY103" s="19"/>
      <c r="AZ103" s="19"/>
      <c r="BA103" s="19"/>
      <c r="BB103" s="19"/>
      <c r="BC103" s="19"/>
      <c r="DC103" s="580"/>
      <c r="DD103" s="580"/>
      <c r="DE103" s="580"/>
      <c r="DF103" s="580"/>
      <c r="DG103" s="580"/>
      <c r="DR103" s="580"/>
      <c r="DS103" s="580"/>
      <c r="DW103" s="671"/>
      <c r="DX103" s="671"/>
      <c r="DY103" s="671"/>
      <c r="DZ103" s="671"/>
      <c r="EA103" s="671"/>
      <c r="EB103" s="671"/>
      <c r="EC103" s="671"/>
      <c r="ED103" s="671"/>
      <c r="EE103" s="671"/>
      <c r="EF103" s="671"/>
      <c r="EG103" s="671"/>
      <c r="EH103" s="671"/>
      <c r="EI103" s="671"/>
      <c r="EJ103" s="671"/>
      <c r="EK103" s="671"/>
      <c r="EL103" s="671"/>
      <c r="EM103" s="671"/>
      <c r="EN103" s="671"/>
      <c r="EO103" s="671"/>
      <c r="EP103" s="671"/>
      <c r="EQ103" s="671"/>
      <c r="ER103" s="671"/>
      <c r="ES103" s="671"/>
      <c r="ET103" s="671"/>
      <c r="EU103" s="671"/>
      <c r="EV103" s="671"/>
      <c r="EW103" s="671"/>
      <c r="EX103" s="671"/>
      <c r="EY103" s="671"/>
      <c r="EZ103" s="671"/>
      <c r="FA103" s="671"/>
      <c r="FB103" s="671"/>
      <c r="FC103" s="671"/>
      <c r="FD103" s="671"/>
      <c r="FE103" s="671"/>
      <c r="FF103" s="671"/>
      <c r="FG103" s="671"/>
      <c r="FH103" s="671"/>
      <c r="FI103" s="671"/>
      <c r="FJ103" s="671"/>
      <c r="FK103" s="671"/>
      <c r="FL103" s="671"/>
      <c r="FM103" s="671"/>
      <c r="FN103" s="671"/>
      <c r="FO103" s="671"/>
      <c r="FP103" s="671"/>
      <c r="FQ103" s="671"/>
      <c r="FR103" s="671"/>
      <c r="FS103" s="671"/>
      <c r="FT103" s="671"/>
      <c r="FU103" s="671"/>
      <c r="FV103" s="671"/>
      <c r="FW103" s="671"/>
      <c r="FX103" s="671"/>
    </row>
    <row r="104" spans="1:16384">
      <c r="A104" s="732"/>
      <c r="B104" s="527">
        <v>2</v>
      </c>
      <c r="C104" s="71" t="s">
        <v>123</v>
      </c>
      <c r="D104" s="569" t="s">
        <v>838</v>
      </c>
      <c r="E104" s="549">
        <v>42</v>
      </c>
      <c r="F104" s="72"/>
      <c r="G104" s="72" t="str">
        <f t="shared" si="150"/>
        <v>046015L</v>
      </c>
      <c r="I104" s="599" t="s">
        <v>139</v>
      </c>
      <c r="J104" s="599" t="s">
        <v>110</v>
      </c>
      <c r="K104" s="604" t="s">
        <v>134</v>
      </c>
      <c r="L104" s="605">
        <v>443</v>
      </c>
      <c r="M104" s="68">
        <f t="shared" ref="M104:Q113" si="242">SUMIF($G:$G,TEXT(M$3,"000")&amp;TEXT($L104,"000"),$E:$E)</f>
        <v>0</v>
      </c>
      <c r="N104" s="68">
        <f t="shared" si="242"/>
        <v>0</v>
      </c>
      <c r="O104" s="68">
        <f t="shared" si="242"/>
        <v>0</v>
      </c>
      <c r="P104" s="68">
        <f t="shared" si="242"/>
        <v>0</v>
      </c>
      <c r="Q104" s="68">
        <f t="shared" si="242"/>
        <v>0</v>
      </c>
      <c r="R104" s="68">
        <f>IF(SUM(M104:Q104)&gt;0,0,1)</f>
        <v>1</v>
      </c>
      <c r="S104" s="603"/>
      <c r="T104" s="603"/>
      <c r="U104" s="603"/>
      <c r="V104" s="603"/>
      <c r="W104" s="603"/>
      <c r="Y104" s="79"/>
      <c r="Z104" s="211"/>
      <c r="AA104" s="422"/>
      <c r="AB104" s="422"/>
      <c r="AC104" s="422"/>
      <c r="AD104" s="599"/>
      <c r="AE104" s="68"/>
      <c r="AF104" s="68">
        <f t="shared" ref="AF104:AI105" si="243">SUMIF($G:$G,TEXT(AF$3,"000")&amp;TEXT($L104,"000"),$E:$E)</f>
        <v>0</v>
      </c>
      <c r="AG104" s="68">
        <f t="shared" si="243"/>
        <v>0</v>
      </c>
      <c r="AH104" s="68">
        <f t="shared" si="243"/>
        <v>0</v>
      </c>
      <c r="AI104" s="68">
        <f t="shared" si="243"/>
        <v>0</v>
      </c>
      <c r="AK104" s="423">
        <f t="shared" si="235"/>
        <v>0</v>
      </c>
      <c r="AL104" s="423"/>
      <c r="AM104" s="423">
        <f t="shared" ref="AM104:AO105" si="244">ROUND(U104*(1+AM$1),2)</f>
        <v>0</v>
      </c>
      <c r="AN104" s="423">
        <f t="shared" si="244"/>
        <v>0</v>
      </c>
      <c r="AO104" s="423">
        <f t="shared" si="244"/>
        <v>0</v>
      </c>
      <c r="AQ104" s="289"/>
      <c r="AU104" s="78"/>
      <c r="AX104" s="434"/>
      <c r="AY104" s="567"/>
      <c r="AZ104" s="567"/>
      <c r="BA104" s="567"/>
      <c r="BB104" s="567"/>
      <c r="BC104" s="567"/>
      <c r="BD104" s="139"/>
      <c r="BE104" s="573"/>
      <c r="BF104" s="53"/>
      <c r="BG104" s="53"/>
      <c r="BH104" s="53"/>
      <c r="BI104" s="53"/>
      <c r="BJ104" s="53"/>
      <c r="BM104" s="278">
        <f t="shared" ref="BM104:BM121" si="245">AK104*$BM$1</f>
        <v>0</v>
      </c>
      <c r="BN104" s="278">
        <f t="shared" ref="BN104:BN121" si="246">AL104*$BM$1</f>
        <v>0</v>
      </c>
      <c r="BO104" s="278">
        <f t="shared" si="76"/>
        <v>0</v>
      </c>
      <c r="BP104" s="278">
        <f t="shared" si="77"/>
        <v>0</v>
      </c>
      <c r="BQ104" s="278">
        <f t="shared" si="78"/>
        <v>0</v>
      </c>
      <c r="BS104" s="53">
        <f t="shared" si="70"/>
        <v>0</v>
      </c>
      <c r="BT104" s="53">
        <f t="shared" si="71"/>
        <v>0</v>
      </c>
      <c r="BU104" s="53">
        <f t="shared" si="72"/>
        <v>0</v>
      </c>
      <c r="BV104" s="53">
        <f t="shared" si="73"/>
        <v>0</v>
      </c>
      <c r="BW104" s="53">
        <f t="shared" si="74"/>
        <v>0</v>
      </c>
      <c r="DC104" s="580"/>
      <c r="DD104" s="580"/>
      <c r="DE104" s="580"/>
      <c r="DF104" s="580"/>
      <c r="DR104" s="580"/>
      <c r="DS104" s="580"/>
      <c r="DT104" s="671"/>
      <c r="DU104" s="671"/>
      <c r="FA104" s="671"/>
      <c r="FB104" s="671"/>
      <c r="FC104" s="671"/>
      <c r="FD104" s="671"/>
      <c r="FE104" s="671"/>
      <c r="FF104" s="671"/>
      <c r="FG104" s="671"/>
      <c r="FH104" s="671"/>
      <c r="FI104" s="671"/>
      <c r="FJ104" s="671"/>
      <c r="FK104" s="671"/>
      <c r="FL104" s="671"/>
      <c r="FM104" s="671"/>
      <c r="FN104" s="671"/>
      <c r="FO104" s="671"/>
      <c r="FP104" s="671"/>
      <c r="FQ104" s="671"/>
      <c r="FR104" s="671"/>
      <c r="FS104" s="671"/>
      <c r="FT104" s="671"/>
      <c r="FU104" s="671"/>
      <c r="FV104" s="671"/>
      <c r="FW104" s="671"/>
      <c r="FX104" s="671"/>
    </row>
    <row r="105" spans="1:16384">
      <c r="A105" s="732"/>
      <c r="B105" s="527">
        <v>2</v>
      </c>
      <c r="C105" s="71" t="s">
        <v>123</v>
      </c>
      <c r="D105" s="569" t="s">
        <v>839</v>
      </c>
      <c r="E105" s="549">
        <v>45</v>
      </c>
      <c r="F105" s="72"/>
      <c r="G105" s="72" t="str">
        <f t="shared" si="150"/>
        <v>046025L</v>
      </c>
      <c r="I105" s="599" t="s">
        <v>139</v>
      </c>
      <c r="J105" s="599" t="s">
        <v>136</v>
      </c>
      <c r="K105" s="604" t="s">
        <v>134</v>
      </c>
      <c r="L105" s="605">
        <v>446</v>
      </c>
      <c r="M105" s="68">
        <f t="shared" si="242"/>
        <v>0</v>
      </c>
      <c r="N105" s="68">
        <f t="shared" si="242"/>
        <v>0</v>
      </c>
      <c r="O105" s="68">
        <f t="shared" si="242"/>
        <v>0</v>
      </c>
      <c r="P105" s="68">
        <f t="shared" si="242"/>
        <v>0</v>
      </c>
      <c r="Q105" s="68">
        <f t="shared" si="242"/>
        <v>0</v>
      </c>
      <c r="R105" s="68">
        <f t="shared" ref="R105:R135" si="247">IF(SUM(M105:Q105)&gt;0,0,1)</f>
        <v>1</v>
      </c>
      <c r="S105" s="603"/>
      <c r="T105" s="603"/>
      <c r="U105" s="603"/>
      <c r="V105" s="603"/>
      <c r="W105" s="603"/>
      <c r="Y105" s="289"/>
      <c r="Z105" s="422"/>
      <c r="AA105" s="422"/>
      <c r="AB105" s="422"/>
      <c r="AC105" s="609"/>
      <c r="AD105" s="599"/>
      <c r="AE105" s="68"/>
      <c r="AF105" s="68">
        <f t="shared" si="243"/>
        <v>0</v>
      </c>
      <c r="AG105" s="68">
        <f t="shared" si="243"/>
        <v>0</v>
      </c>
      <c r="AH105" s="68">
        <f t="shared" si="243"/>
        <v>0</v>
      </c>
      <c r="AI105" s="68">
        <f t="shared" si="243"/>
        <v>0</v>
      </c>
      <c r="AK105" s="423">
        <f t="shared" si="235"/>
        <v>0</v>
      </c>
      <c r="AL105" s="899"/>
      <c r="AM105" s="423">
        <f t="shared" si="244"/>
        <v>0</v>
      </c>
      <c r="AN105" s="423">
        <f t="shared" si="244"/>
        <v>0</v>
      </c>
      <c r="AO105" s="423">
        <f t="shared" si="244"/>
        <v>0</v>
      </c>
      <c r="AX105" s="434"/>
      <c r="AY105" s="567"/>
      <c r="AZ105" s="567"/>
      <c r="BA105" s="567"/>
      <c r="BB105" s="567"/>
      <c r="BC105" s="567"/>
      <c r="BD105" s="139"/>
      <c r="BE105" s="573"/>
      <c r="BF105" s="53"/>
      <c r="BG105" s="53"/>
      <c r="BH105" s="53"/>
      <c r="BI105" s="53"/>
      <c r="BJ105" s="53"/>
      <c r="BM105" s="278">
        <f t="shared" si="245"/>
        <v>0</v>
      </c>
      <c r="BN105" s="278">
        <f t="shared" si="246"/>
        <v>0</v>
      </c>
      <c r="BO105" s="278">
        <f t="shared" si="76"/>
        <v>0</v>
      </c>
      <c r="BP105" s="278">
        <f t="shared" si="77"/>
        <v>0</v>
      </c>
      <c r="BQ105" s="278">
        <f t="shared" si="78"/>
        <v>0</v>
      </c>
      <c r="BS105" s="53">
        <f t="shared" si="70"/>
        <v>0</v>
      </c>
      <c r="BT105" s="53">
        <f t="shared" si="71"/>
        <v>0</v>
      </c>
      <c r="BU105" s="53">
        <f t="shared" si="72"/>
        <v>0</v>
      </c>
      <c r="BV105" s="53">
        <f t="shared" si="73"/>
        <v>0</v>
      </c>
      <c r="BW105" s="53">
        <f t="shared" si="74"/>
        <v>0</v>
      </c>
      <c r="DB105" s="580"/>
      <c r="DT105" s="671"/>
      <c r="DU105" s="671"/>
      <c r="FA105" s="671"/>
      <c r="FB105" s="671"/>
      <c r="FC105" s="671"/>
      <c r="FD105" s="671"/>
      <c r="FE105" s="671"/>
      <c r="FF105" s="671"/>
      <c r="FG105" s="671"/>
      <c r="FH105" s="671"/>
      <c r="FI105" s="671"/>
      <c r="FJ105" s="671"/>
      <c r="FK105" s="671"/>
      <c r="FL105" s="671"/>
      <c r="FM105" s="671"/>
      <c r="FN105" s="671"/>
      <c r="FO105" s="671"/>
      <c r="FP105" s="671"/>
      <c r="FQ105" s="671"/>
      <c r="FR105" s="671"/>
      <c r="FS105" s="671"/>
      <c r="FT105" s="671"/>
      <c r="FU105" s="671"/>
      <c r="FV105" s="671"/>
      <c r="FW105" s="671"/>
      <c r="FX105" s="671"/>
    </row>
    <row r="106" spans="1:16384">
      <c r="A106" s="732"/>
      <c r="B106" s="527">
        <v>2</v>
      </c>
      <c r="C106" s="71" t="s">
        <v>123</v>
      </c>
      <c r="D106" s="569" t="s">
        <v>840</v>
      </c>
      <c r="E106" s="549">
        <v>0</v>
      </c>
      <c r="F106" s="72"/>
      <c r="G106" s="72" t="str">
        <f t="shared" si="150"/>
        <v>046035L</v>
      </c>
      <c r="I106" s="599" t="s">
        <v>124</v>
      </c>
      <c r="J106" s="599" t="s">
        <v>108</v>
      </c>
      <c r="K106" s="604">
        <v>10000</v>
      </c>
      <c r="L106" s="605">
        <v>511</v>
      </c>
      <c r="M106" s="621">
        <f t="shared" si="242"/>
        <v>0</v>
      </c>
      <c r="N106" s="621">
        <f t="shared" si="242"/>
        <v>0</v>
      </c>
      <c r="O106" s="621">
        <f t="shared" si="242"/>
        <v>0</v>
      </c>
      <c r="P106" s="621">
        <f t="shared" si="242"/>
        <v>0</v>
      </c>
      <c r="Q106" s="621">
        <f t="shared" si="242"/>
        <v>0</v>
      </c>
      <c r="R106" s="621"/>
      <c r="S106" s="622"/>
      <c r="T106" s="622">
        <v>0</v>
      </c>
      <c r="U106" s="622">
        <v>0</v>
      </c>
      <c r="V106" s="622">
        <v>0</v>
      </c>
      <c r="W106" s="622">
        <v>0</v>
      </c>
      <c r="X106" s="599"/>
      <c r="Y106" s="673"/>
      <c r="Z106" s="673"/>
      <c r="AA106" s="673"/>
      <c r="AB106" s="673"/>
      <c r="AC106" s="673"/>
      <c r="AD106" s="599"/>
      <c r="AE106" s="621">
        <f t="shared" ref="AE106:AI107" si="248">M106</f>
        <v>0</v>
      </c>
      <c r="AF106" s="621">
        <f t="shared" si="248"/>
        <v>0</v>
      </c>
      <c r="AG106" s="621">
        <f t="shared" si="248"/>
        <v>0</v>
      </c>
      <c r="AH106" s="621">
        <f t="shared" si="248"/>
        <v>0</v>
      </c>
      <c r="AI106" s="621">
        <f t="shared" si="248"/>
        <v>0</v>
      </c>
      <c r="AJ106" s="599"/>
      <c r="AK106" s="623">
        <f t="shared" ref="AK106:AO113" si="249">ROUND(S106*(1+AK$1),2)</f>
        <v>0</v>
      </c>
      <c r="AL106" s="623">
        <f t="shared" si="249"/>
        <v>0</v>
      </c>
      <c r="AM106" s="623">
        <f t="shared" si="249"/>
        <v>0</v>
      </c>
      <c r="AN106" s="623">
        <f t="shared" si="249"/>
        <v>0</v>
      </c>
      <c r="AO106" s="623">
        <f t="shared" si="249"/>
        <v>0</v>
      </c>
      <c r="AP106" s="599"/>
      <c r="AQ106" s="673">
        <f t="shared" ref="AQ106:AU107" si="250">IF(AND(AE106&lt;&gt;0,AK106=0),#VALUE!,AE106*AK106)</f>
        <v>0</v>
      </c>
      <c r="AR106" s="673">
        <f t="shared" si="250"/>
        <v>0</v>
      </c>
      <c r="AS106" s="673">
        <f t="shared" si="250"/>
        <v>0</v>
      </c>
      <c r="AT106" s="673">
        <f t="shared" si="250"/>
        <v>0</v>
      </c>
      <c r="AU106" s="673">
        <f t="shared" si="250"/>
        <v>0</v>
      </c>
      <c r="AV106" s="69">
        <f>SUM(AQ106:AU106)-SUM(Y106:AC106)</f>
        <v>0</v>
      </c>
      <c r="AW106" s="69"/>
      <c r="AX106" s="434">
        <v>111</v>
      </c>
      <c r="AY106" s="567">
        <v>20.88</v>
      </c>
      <c r="AZ106" s="567"/>
      <c r="BA106" s="567"/>
      <c r="BB106" s="567"/>
      <c r="BC106" s="567"/>
      <c r="BD106" s="139"/>
      <c r="BE106" s="573">
        <f t="shared" ref="BE106:BE121" si="251">ROUND(AX106*$BE$2,2)+ROUND(AX106*$BE$1,2)</f>
        <v>0.25</v>
      </c>
      <c r="BF106" s="53">
        <f>ROUND((S106*$BF$2)+$BE106-AY106,2)</f>
        <v>-20.63</v>
      </c>
      <c r="BG106" s="53"/>
      <c r="BH106" s="53"/>
      <c r="BI106" s="53"/>
      <c r="BJ106" s="53"/>
      <c r="BM106" s="278">
        <f t="shared" si="245"/>
        <v>0</v>
      </c>
      <c r="BN106" s="278">
        <f t="shared" si="246"/>
        <v>0</v>
      </c>
      <c r="BO106" s="278">
        <f t="shared" ref="BO106:BO117" si="252">AM106*$BM$1</f>
        <v>0</v>
      </c>
      <c r="BP106" s="278">
        <f t="shared" si="77"/>
        <v>0</v>
      </c>
      <c r="BQ106" s="278">
        <f t="shared" si="78"/>
        <v>0</v>
      </c>
      <c r="BS106" s="53">
        <f t="shared" ref="BS106:BS117" si="253">BM106-AY106</f>
        <v>-20.88</v>
      </c>
      <c r="BT106" s="53">
        <f t="shared" si="71"/>
        <v>0</v>
      </c>
      <c r="BU106" s="53">
        <f t="shared" si="72"/>
        <v>0</v>
      </c>
      <c r="BV106" s="53">
        <f t="shared" si="73"/>
        <v>0</v>
      </c>
      <c r="BW106" s="53">
        <f t="shared" si="74"/>
        <v>0</v>
      </c>
      <c r="DA106" s="580"/>
      <c r="DB106" s="580"/>
      <c r="DT106" s="671"/>
      <c r="DU106" s="671"/>
      <c r="FA106" s="671"/>
      <c r="FB106" s="671"/>
      <c r="FC106" s="671"/>
      <c r="FD106" s="671"/>
      <c r="FE106" s="671"/>
      <c r="FF106" s="671"/>
      <c r="FG106" s="671"/>
      <c r="FH106" s="671"/>
      <c r="FI106" s="671"/>
      <c r="FJ106" s="671"/>
      <c r="FK106" s="671"/>
      <c r="FL106" s="671"/>
      <c r="FM106" s="671"/>
      <c r="FN106" s="671"/>
      <c r="FO106" s="671"/>
      <c r="FP106" s="671"/>
      <c r="FQ106" s="671"/>
      <c r="FR106" s="671"/>
      <c r="FS106" s="671"/>
      <c r="FT106" s="671"/>
      <c r="FU106" s="671"/>
      <c r="FV106" s="671"/>
      <c r="FW106" s="671"/>
      <c r="FX106" s="671"/>
    </row>
    <row r="107" spans="1:16384">
      <c r="A107" s="732"/>
      <c r="B107" s="527">
        <v>2</v>
      </c>
      <c r="C107" s="71" t="s">
        <v>123</v>
      </c>
      <c r="D107" s="569" t="s">
        <v>841</v>
      </c>
      <c r="E107" s="549">
        <v>0</v>
      </c>
      <c r="F107" s="72"/>
      <c r="G107" s="72" t="str">
        <f t="shared" si="150"/>
        <v>046045L</v>
      </c>
      <c r="I107" s="599" t="s">
        <v>139</v>
      </c>
      <c r="J107" s="599" t="s">
        <v>826</v>
      </c>
      <c r="K107" s="604" t="s">
        <v>134</v>
      </c>
      <c r="L107" s="605">
        <v>441</v>
      </c>
      <c r="M107" s="621">
        <f t="shared" si="242"/>
        <v>0</v>
      </c>
      <c r="N107" s="621">
        <f t="shared" si="242"/>
        <v>0</v>
      </c>
      <c r="O107" s="621">
        <f t="shared" si="242"/>
        <v>0</v>
      </c>
      <c r="P107" s="621">
        <f t="shared" si="242"/>
        <v>0</v>
      </c>
      <c r="Q107" s="621">
        <f t="shared" si="242"/>
        <v>0</v>
      </c>
      <c r="R107" s="565">
        <f t="shared" ref="R107:R125" si="254">IF(SUM(M107:Q107)&gt;0,0,1)</f>
        <v>1</v>
      </c>
      <c r="S107" s="622">
        <v>0</v>
      </c>
      <c r="T107" s="622"/>
      <c r="U107" s="622"/>
      <c r="V107" s="622">
        <v>0</v>
      </c>
      <c r="W107" s="622">
        <v>0</v>
      </c>
      <c r="X107" s="599"/>
      <c r="Y107" s="673">
        <f>IF(AND(M107&lt;&gt;0,S107=0),#VALUE!,M107*S107)</f>
        <v>0</v>
      </c>
      <c r="Z107" s="673">
        <f>IF(AND(N107&lt;&gt;0,T107=0),#VALUE!,N107*T107)</f>
        <v>0</v>
      </c>
      <c r="AA107" s="673">
        <f>IF(AND(O107&lt;&gt;0,U107=0),#VALUE!,O107*U107)</f>
        <v>0</v>
      </c>
      <c r="AB107" s="673">
        <f>IF(AND(P107&lt;&gt;0,V107=0),#VALUE!,P107*V107)</f>
        <v>0</v>
      </c>
      <c r="AC107" s="673">
        <f>IF(AND(Q107&lt;&gt;0,W107=0),#VALUE!,Q107*W107)</f>
        <v>0</v>
      </c>
      <c r="AD107" s="599"/>
      <c r="AE107" s="621">
        <f t="shared" si="248"/>
        <v>0</v>
      </c>
      <c r="AF107" s="621">
        <f t="shared" si="248"/>
        <v>0</v>
      </c>
      <c r="AG107" s="621">
        <f t="shared" si="248"/>
        <v>0</v>
      </c>
      <c r="AH107" s="621">
        <f t="shared" si="248"/>
        <v>0</v>
      </c>
      <c r="AI107" s="621">
        <f t="shared" si="248"/>
        <v>0</v>
      </c>
      <c r="AJ107" s="599"/>
      <c r="AK107" s="623">
        <f t="shared" si="249"/>
        <v>0</v>
      </c>
      <c r="AL107" s="623">
        <f t="shared" si="249"/>
        <v>0</v>
      </c>
      <c r="AM107" s="623">
        <f t="shared" si="249"/>
        <v>0</v>
      </c>
      <c r="AN107" s="623">
        <f t="shared" si="249"/>
        <v>0</v>
      </c>
      <c r="AO107" s="623">
        <f t="shared" si="249"/>
        <v>0</v>
      </c>
      <c r="AP107" s="599"/>
      <c r="AQ107" s="673">
        <f t="shared" si="250"/>
        <v>0</v>
      </c>
      <c r="AR107" s="673">
        <f t="shared" si="250"/>
        <v>0</v>
      </c>
      <c r="AS107" s="673">
        <f t="shared" si="250"/>
        <v>0</v>
      </c>
      <c r="AT107" s="673">
        <f t="shared" si="250"/>
        <v>0</v>
      </c>
      <c r="AU107" s="673">
        <f t="shared" si="250"/>
        <v>0</v>
      </c>
      <c r="AV107" s="673">
        <f>SUM(AQ107:AU107)-SUM(Y107:AC107)</f>
        <v>0</v>
      </c>
      <c r="AW107" s="673"/>
      <c r="AX107" s="680">
        <v>80</v>
      </c>
      <c r="AY107" s="681"/>
      <c r="AZ107" s="681">
        <v>29.57</v>
      </c>
      <c r="BA107" s="681">
        <v>14.19</v>
      </c>
      <c r="BB107" s="681"/>
      <c r="BC107" s="681"/>
      <c r="BD107" s="681"/>
      <c r="BE107" s="682">
        <f t="shared" si="251"/>
        <v>0.18000000000000016</v>
      </c>
      <c r="BF107" s="675"/>
      <c r="BG107" s="675">
        <f>ROUND((T107*$BF$2)+$BE107-AZ107,2)</f>
        <v>-29.39</v>
      </c>
      <c r="BH107" s="675">
        <f>ROUND((U107*$BF$2)+$BE107-BA107,2)</f>
        <v>-14.01</v>
      </c>
      <c r="BI107" s="675"/>
      <c r="BJ107" s="675"/>
      <c r="BK107" s="599"/>
      <c r="BL107" s="599"/>
      <c r="BM107" s="676">
        <f t="shared" si="245"/>
        <v>0</v>
      </c>
      <c r="BN107" s="676">
        <f t="shared" si="246"/>
        <v>0</v>
      </c>
      <c r="BO107" s="676">
        <f t="shared" si="252"/>
        <v>0</v>
      </c>
      <c r="BP107" s="676">
        <f t="shared" si="77"/>
        <v>0</v>
      </c>
      <c r="BQ107" s="676">
        <f t="shared" si="78"/>
        <v>0</v>
      </c>
      <c r="BR107" s="599"/>
      <c r="BS107" s="675">
        <f t="shared" si="253"/>
        <v>0</v>
      </c>
      <c r="BT107" s="675">
        <f t="shared" si="71"/>
        <v>-29.57</v>
      </c>
      <c r="BU107" s="675">
        <f t="shared" si="72"/>
        <v>-14.19</v>
      </c>
      <c r="BV107" s="675">
        <f t="shared" si="73"/>
        <v>0</v>
      </c>
      <c r="BW107" s="675">
        <f t="shared" si="74"/>
        <v>0</v>
      </c>
      <c r="BX107" s="599"/>
      <c r="BY107" s="599"/>
      <c r="BZ107" s="599"/>
      <c r="CA107" s="599"/>
      <c r="CB107" s="599"/>
      <c r="CC107" s="599"/>
      <c r="CD107" s="599"/>
      <c r="CE107" s="599"/>
      <c r="CF107" s="599"/>
      <c r="CG107" s="599"/>
      <c r="CH107" s="599"/>
      <c r="CI107" s="599"/>
      <c r="CJ107" s="599"/>
      <c r="CK107" s="599"/>
      <c r="CL107" s="599"/>
      <c r="CM107" s="599"/>
      <c r="CN107" s="599"/>
      <c r="CO107" s="599"/>
      <c r="CP107" s="599"/>
      <c r="CQ107" s="599"/>
      <c r="CR107" s="599"/>
      <c r="CS107" s="599"/>
      <c r="CT107" s="599"/>
      <c r="DT107" s="671"/>
      <c r="DU107" s="671"/>
      <c r="FS107" s="671"/>
      <c r="FT107" s="671"/>
      <c r="FU107" s="671"/>
      <c r="FV107" s="671"/>
      <c r="FX107" s="671"/>
    </row>
    <row r="108" spans="1:16384">
      <c r="A108" s="732"/>
      <c r="B108" s="527">
        <v>2</v>
      </c>
      <c r="C108" s="71" t="s">
        <v>123</v>
      </c>
      <c r="D108" s="569" t="s">
        <v>842</v>
      </c>
      <c r="E108" s="549">
        <v>0</v>
      </c>
      <c r="F108" s="72"/>
      <c r="G108" s="72" t="str">
        <f t="shared" si="150"/>
        <v>046055L</v>
      </c>
      <c r="I108" s="685" t="s">
        <v>139</v>
      </c>
      <c r="J108" s="685" t="s">
        <v>109</v>
      </c>
      <c r="K108" s="686" t="s">
        <v>134</v>
      </c>
      <c r="L108" s="683">
        <v>442</v>
      </c>
      <c r="M108" s="684">
        <f t="shared" si="242"/>
        <v>0</v>
      </c>
      <c r="N108" s="684">
        <f t="shared" si="242"/>
        <v>0</v>
      </c>
      <c r="O108" s="621">
        <f t="shared" si="242"/>
        <v>0</v>
      </c>
      <c r="P108" s="621">
        <f t="shared" si="242"/>
        <v>0</v>
      </c>
      <c r="Q108" s="621">
        <f t="shared" si="242"/>
        <v>0</v>
      </c>
      <c r="R108" s="621">
        <f t="shared" si="254"/>
        <v>1</v>
      </c>
      <c r="S108" s="622">
        <v>0</v>
      </c>
      <c r="T108" s="622"/>
      <c r="U108" s="687">
        <v>0</v>
      </c>
      <c r="V108" s="622">
        <v>0</v>
      </c>
      <c r="W108" s="622">
        <v>0</v>
      </c>
      <c r="X108" s="599"/>
      <c r="Y108" s="599"/>
      <c r="Z108" s="673">
        <f t="shared" ref="Z108:Z117" si="255">IF(AND(N108&lt;&gt;0,T108=0),#VALUE!,N108*T108)</f>
        <v>0</v>
      </c>
      <c r="AA108" s="599"/>
      <c r="AB108" s="599"/>
      <c r="AC108" s="673">
        <f t="shared" ref="AC108:AC113" si="256">IF(AND(Q108&lt;&gt;0,W108=0),#VALUE!,Q108*W108)</f>
        <v>0</v>
      </c>
      <c r="AD108" s="599"/>
      <c r="AE108" s="621">
        <f>SUMIF($G:$G,TEXT(AE$3,"000")&amp;TEXT($L108,"000"),$E:$E)</f>
        <v>0</v>
      </c>
      <c r="AF108" s="621">
        <f>SUMIF($G:$G,TEXT(AF$3,"000")&amp;TEXT($L108,"000"),$E:$E)</f>
        <v>0</v>
      </c>
      <c r="AG108" s="621">
        <f>SUMIF($G:$G,TEXT(AG$3,"000")&amp;TEXT($L108,"000"),$E:$E)</f>
        <v>0</v>
      </c>
      <c r="AH108" s="621">
        <f>SUMIF($G:$G,TEXT(AH$3,"000")&amp;TEXT($L108,"000"),$E:$E)</f>
        <v>0</v>
      </c>
      <c r="AI108" s="621">
        <f>SUMIF($G:$G,TEXT(AI$3,"000")&amp;TEXT($L108,"000"),$E:$E)</f>
        <v>0</v>
      </c>
      <c r="AJ108" s="599"/>
      <c r="AK108" s="623">
        <f t="shared" si="249"/>
        <v>0</v>
      </c>
      <c r="AL108" s="623">
        <f t="shared" si="249"/>
        <v>0</v>
      </c>
      <c r="AM108" s="623">
        <f t="shared" si="249"/>
        <v>0</v>
      </c>
      <c r="AN108" s="623">
        <f t="shared" si="249"/>
        <v>0</v>
      </c>
      <c r="AO108" s="623">
        <f t="shared" si="249"/>
        <v>0</v>
      </c>
      <c r="AP108" s="599"/>
      <c r="AQ108" s="688"/>
      <c r="AR108" s="673">
        <f t="shared" ref="AR108:AR124" si="257">IF(AND(AF108&lt;&gt;0,AL108=0),#VALUE!,AF108*AL108)</f>
        <v>0</v>
      </c>
      <c r="AS108" s="599"/>
      <c r="AT108" s="599"/>
      <c r="AU108" s="599"/>
      <c r="AV108" s="599"/>
      <c r="AW108" s="599"/>
      <c r="AX108" s="680">
        <v>80</v>
      </c>
      <c r="AY108" s="681"/>
      <c r="AZ108" s="681">
        <v>41.39</v>
      </c>
      <c r="BA108" s="681"/>
      <c r="BB108" s="681"/>
      <c r="BC108" s="681"/>
      <c r="BD108" s="681"/>
      <c r="BE108" s="682">
        <f t="shared" si="251"/>
        <v>0.18000000000000016</v>
      </c>
      <c r="BF108" s="675"/>
      <c r="BG108" s="53">
        <f>ROUND((T108*$BF$2)+$BE108-AZ108,2)</f>
        <v>-41.21</v>
      </c>
      <c r="BH108" s="53"/>
      <c r="BI108" s="53"/>
      <c r="BJ108" s="53"/>
      <c r="BM108" s="278">
        <f t="shared" si="245"/>
        <v>0</v>
      </c>
      <c r="BN108" s="278">
        <f t="shared" si="246"/>
        <v>0</v>
      </c>
      <c r="BO108" s="278">
        <f t="shared" si="252"/>
        <v>0</v>
      </c>
      <c r="BP108" s="278">
        <f t="shared" si="77"/>
        <v>0</v>
      </c>
      <c r="BQ108" s="278">
        <f t="shared" si="78"/>
        <v>0</v>
      </c>
      <c r="BS108" s="53">
        <f t="shared" si="253"/>
        <v>0</v>
      </c>
      <c r="BT108" s="53">
        <f t="shared" si="71"/>
        <v>-41.39</v>
      </c>
      <c r="BU108" s="53">
        <f t="shared" si="72"/>
        <v>0</v>
      </c>
      <c r="BV108" s="53">
        <f t="shared" si="73"/>
        <v>0</v>
      </c>
      <c r="BW108" s="53">
        <f t="shared" si="74"/>
        <v>0</v>
      </c>
      <c r="CL108" s="430"/>
      <c r="CV108" s="599"/>
      <c r="CW108" s="599"/>
      <c r="CX108" s="599"/>
      <c r="CY108" s="599"/>
      <c r="CZ108" s="599"/>
      <c r="DU108" s="671"/>
    </row>
    <row r="109" spans="1:16384">
      <c r="A109" s="732"/>
      <c r="B109" s="527">
        <v>2</v>
      </c>
      <c r="C109" s="71" t="s">
        <v>123</v>
      </c>
      <c r="D109" s="569" t="s">
        <v>843</v>
      </c>
      <c r="E109" s="549">
        <v>0</v>
      </c>
      <c r="F109" s="72"/>
      <c r="G109" s="72" t="str">
        <f t="shared" si="150"/>
        <v>046065L</v>
      </c>
      <c r="I109" s="599" t="s">
        <v>128</v>
      </c>
      <c r="J109" s="599" t="s">
        <v>109</v>
      </c>
      <c r="K109" s="604" t="s">
        <v>142</v>
      </c>
      <c r="L109" s="605">
        <v>522</v>
      </c>
      <c r="M109" s="621">
        <f t="shared" si="242"/>
        <v>0</v>
      </c>
      <c r="N109" s="621">
        <f t="shared" si="242"/>
        <v>0</v>
      </c>
      <c r="O109" s="621">
        <f t="shared" si="242"/>
        <v>0</v>
      </c>
      <c r="P109" s="621">
        <f t="shared" si="242"/>
        <v>0</v>
      </c>
      <c r="Q109" s="621">
        <f t="shared" si="242"/>
        <v>0</v>
      </c>
      <c r="R109" s="621">
        <f t="shared" si="254"/>
        <v>1</v>
      </c>
      <c r="S109" s="622">
        <v>0</v>
      </c>
      <c r="T109" s="622"/>
      <c r="U109" s="622">
        <v>0</v>
      </c>
      <c r="V109" s="622">
        <v>0</v>
      </c>
      <c r="W109" s="622">
        <v>0</v>
      </c>
      <c r="X109" s="599"/>
      <c r="Y109" s="673">
        <f t="shared" ref="Y109:Y117" si="258">IF(AND(M109&lt;&gt;0,S109=0),#VALUE!,M109*S109)</f>
        <v>0</v>
      </c>
      <c r="Z109" s="673">
        <f t="shared" si="255"/>
        <v>0</v>
      </c>
      <c r="AA109" s="673">
        <f t="shared" ref="AA109:AB113" si="259">IF(AND(O109&lt;&gt;0,U109=0),#VALUE!,O109*U109)</f>
        <v>0</v>
      </c>
      <c r="AB109" s="673">
        <f t="shared" si="259"/>
        <v>0</v>
      </c>
      <c r="AC109" s="673">
        <f t="shared" si="256"/>
        <v>0</v>
      </c>
      <c r="AD109" s="599"/>
      <c r="AE109" s="621">
        <f t="shared" ref="AE109:AI113" si="260">M109</f>
        <v>0</v>
      </c>
      <c r="AF109" s="621">
        <f t="shared" si="260"/>
        <v>0</v>
      </c>
      <c r="AG109" s="621">
        <f t="shared" si="260"/>
        <v>0</v>
      </c>
      <c r="AH109" s="621">
        <f t="shared" si="260"/>
        <v>0</v>
      </c>
      <c r="AI109" s="621">
        <f t="shared" si="260"/>
        <v>0</v>
      </c>
      <c r="AJ109" s="599"/>
      <c r="AK109" s="623">
        <f t="shared" si="249"/>
        <v>0</v>
      </c>
      <c r="AL109" s="623">
        <f t="shared" si="249"/>
        <v>0</v>
      </c>
      <c r="AM109" s="623">
        <f t="shared" si="249"/>
        <v>0</v>
      </c>
      <c r="AN109" s="623">
        <f t="shared" si="249"/>
        <v>0</v>
      </c>
      <c r="AO109" s="623">
        <f t="shared" si="249"/>
        <v>0</v>
      </c>
      <c r="AP109" s="599"/>
      <c r="AQ109" s="673">
        <f t="shared" ref="AQ109:AQ124" si="261">IF(AND(AE109&lt;&gt;0,AK109=0),#VALUE!,AE109*AK109)</f>
        <v>0</v>
      </c>
      <c r="AR109" s="673">
        <f t="shared" si="257"/>
        <v>0</v>
      </c>
      <c r="AS109" s="673">
        <f t="shared" ref="AS109:AS124" si="262">IF(AND(AG109&lt;&gt;0,AM109=0),#VALUE!,AG109*AM109)</f>
        <v>0</v>
      </c>
      <c r="AT109" s="673">
        <f t="shared" ref="AT109:AT124" si="263">IF(AND(AH109&lt;&gt;0,AN109=0),#VALUE!,AH109*AN109)</f>
        <v>0</v>
      </c>
      <c r="AU109" s="673">
        <f t="shared" ref="AU109:AU124" si="264">IF(AND(AI109&lt;&gt;0,AO109=0),#VALUE!,AI109*AO109)</f>
        <v>0</v>
      </c>
      <c r="AV109" s="673">
        <f>SUM(AQ109:AU109)-SUM(Y109:AC109)</f>
        <v>0</v>
      </c>
      <c r="AW109" s="673"/>
      <c r="AX109" s="680">
        <v>85</v>
      </c>
      <c r="AY109" s="681"/>
      <c r="AZ109" s="681">
        <v>59.82</v>
      </c>
      <c r="BA109" s="681"/>
      <c r="BB109" s="681"/>
      <c r="BC109" s="681"/>
      <c r="BD109" s="681"/>
      <c r="BE109" s="682">
        <f t="shared" si="251"/>
        <v>0.17999999999999994</v>
      </c>
      <c r="BF109" s="675"/>
      <c r="BG109" s="675">
        <f>ROUND((T109*$BF$2)+$BE109-AZ109,2)</f>
        <v>-59.64</v>
      </c>
      <c r="BH109" s="675"/>
      <c r="BI109" s="675"/>
      <c r="BJ109" s="675"/>
      <c r="BK109" s="599"/>
      <c r="BL109" s="599"/>
      <c r="BM109" s="676">
        <f t="shared" si="245"/>
        <v>0</v>
      </c>
      <c r="BN109" s="278">
        <f t="shared" si="246"/>
        <v>0</v>
      </c>
      <c r="BO109" s="278">
        <f t="shared" si="252"/>
        <v>0</v>
      </c>
      <c r="BP109" s="278">
        <f t="shared" si="77"/>
        <v>0</v>
      </c>
      <c r="BQ109" s="278">
        <f t="shared" si="78"/>
        <v>0</v>
      </c>
      <c r="BS109" s="53">
        <f t="shared" si="253"/>
        <v>0</v>
      </c>
      <c r="BT109" s="53">
        <f t="shared" si="71"/>
        <v>-59.82</v>
      </c>
      <c r="BU109" s="53">
        <f t="shared" si="72"/>
        <v>0</v>
      </c>
      <c r="BV109" s="53">
        <f t="shared" si="73"/>
        <v>0</v>
      </c>
      <c r="BW109" s="53">
        <f t="shared" si="74"/>
        <v>0</v>
      </c>
      <c r="CU109" s="599"/>
    </row>
    <row r="110" spans="1:16384">
      <c r="A110" s="732"/>
      <c r="B110" s="527">
        <v>2</v>
      </c>
      <c r="C110" s="71" t="s">
        <v>123</v>
      </c>
      <c r="D110" s="569" t="s">
        <v>844</v>
      </c>
      <c r="E110" s="549">
        <v>0</v>
      </c>
      <c r="F110" s="72"/>
      <c r="G110" s="72" t="str">
        <f t="shared" si="150"/>
        <v>046075L</v>
      </c>
      <c r="I110" s="599" t="s">
        <v>442</v>
      </c>
      <c r="J110" s="599" t="s">
        <v>110</v>
      </c>
      <c r="K110" s="604" t="s">
        <v>142</v>
      </c>
      <c r="L110" s="683">
        <v>538</v>
      </c>
      <c r="M110" s="684">
        <f t="shared" si="242"/>
        <v>0</v>
      </c>
      <c r="N110" s="684">
        <f t="shared" si="242"/>
        <v>0</v>
      </c>
      <c r="O110" s="621">
        <f t="shared" si="242"/>
        <v>0</v>
      </c>
      <c r="P110" s="621">
        <f t="shared" si="242"/>
        <v>0</v>
      </c>
      <c r="Q110" s="621">
        <f t="shared" si="242"/>
        <v>0</v>
      </c>
      <c r="R110" s="621">
        <f t="shared" si="254"/>
        <v>1</v>
      </c>
      <c r="S110" s="622">
        <v>0</v>
      </c>
      <c r="T110" s="622"/>
      <c r="U110" s="622">
        <v>0</v>
      </c>
      <c r="V110" s="622">
        <v>0</v>
      </c>
      <c r="W110" s="622">
        <v>0</v>
      </c>
      <c r="X110" s="599"/>
      <c r="Y110" s="673">
        <f t="shared" si="258"/>
        <v>0</v>
      </c>
      <c r="Z110" s="673">
        <f t="shared" si="255"/>
        <v>0</v>
      </c>
      <c r="AA110" s="673">
        <f t="shared" si="259"/>
        <v>0</v>
      </c>
      <c r="AB110" s="673">
        <f t="shared" si="259"/>
        <v>0</v>
      </c>
      <c r="AC110" s="673">
        <f t="shared" si="256"/>
        <v>0</v>
      </c>
      <c r="AD110" s="599"/>
      <c r="AE110" s="621">
        <f t="shared" si="260"/>
        <v>0</v>
      </c>
      <c r="AF110" s="621">
        <f t="shared" si="260"/>
        <v>0</v>
      </c>
      <c r="AG110" s="621">
        <f t="shared" si="260"/>
        <v>0</v>
      </c>
      <c r="AH110" s="621">
        <f t="shared" si="260"/>
        <v>0</v>
      </c>
      <c r="AI110" s="621">
        <f t="shared" si="260"/>
        <v>0</v>
      </c>
      <c r="AJ110" s="599"/>
      <c r="AK110" s="623">
        <f t="shared" si="249"/>
        <v>0</v>
      </c>
      <c r="AL110" s="623">
        <f t="shared" si="249"/>
        <v>0</v>
      </c>
      <c r="AM110" s="623">
        <f t="shared" si="249"/>
        <v>0</v>
      </c>
      <c r="AN110" s="623">
        <f t="shared" si="249"/>
        <v>0</v>
      </c>
      <c r="AO110" s="623">
        <f t="shared" si="249"/>
        <v>0</v>
      </c>
      <c r="AP110" s="599"/>
      <c r="AQ110" s="673">
        <f t="shared" si="261"/>
        <v>0</v>
      </c>
      <c r="AR110" s="673">
        <f t="shared" si="257"/>
        <v>0</v>
      </c>
      <c r="AS110" s="673">
        <f t="shared" si="262"/>
        <v>0</v>
      </c>
      <c r="AT110" s="673">
        <f t="shared" si="263"/>
        <v>0</v>
      </c>
      <c r="AU110" s="673">
        <f t="shared" si="264"/>
        <v>0</v>
      </c>
      <c r="AV110" s="673"/>
      <c r="AW110" s="673"/>
      <c r="AX110" s="680">
        <v>85</v>
      </c>
      <c r="AY110" s="681"/>
      <c r="AZ110" s="681">
        <v>24.3</v>
      </c>
      <c r="BA110" s="681"/>
      <c r="BB110" s="681"/>
      <c r="BC110" s="681"/>
      <c r="BD110" s="681"/>
      <c r="BE110" s="682">
        <f t="shared" si="251"/>
        <v>0.17999999999999994</v>
      </c>
      <c r="BF110" s="675"/>
      <c r="BG110" s="675">
        <f>ROUND((T110*$BF$2)+$BE110-AZ110,2)</f>
        <v>-24.12</v>
      </c>
      <c r="BH110" s="675"/>
      <c r="BI110" s="675"/>
      <c r="BJ110" s="675"/>
      <c r="BK110" s="599"/>
      <c r="BL110" s="599"/>
      <c r="BM110" s="676">
        <f t="shared" si="245"/>
        <v>0</v>
      </c>
      <c r="BN110" s="676">
        <f t="shared" si="246"/>
        <v>0</v>
      </c>
      <c r="BO110" s="676">
        <f t="shared" si="252"/>
        <v>0</v>
      </c>
      <c r="BP110" s="676">
        <f t="shared" si="77"/>
        <v>0</v>
      </c>
      <c r="BQ110" s="676">
        <f t="shared" si="78"/>
        <v>0</v>
      </c>
      <c r="BR110" s="328"/>
      <c r="BS110" s="53">
        <f t="shared" si="253"/>
        <v>0</v>
      </c>
      <c r="BT110" s="53">
        <f t="shared" si="71"/>
        <v>-24.3</v>
      </c>
      <c r="BU110" s="53">
        <f t="shared" si="72"/>
        <v>0</v>
      </c>
      <c r="BV110" s="53">
        <f t="shared" si="73"/>
        <v>0</v>
      </c>
      <c r="BW110" s="53">
        <f t="shared" si="74"/>
        <v>0</v>
      </c>
    </row>
    <row r="111" spans="1:16384">
      <c r="A111" s="732"/>
      <c r="B111" s="527">
        <v>2</v>
      </c>
      <c r="C111" s="71" t="s">
        <v>123</v>
      </c>
      <c r="D111" s="569" t="s">
        <v>845</v>
      </c>
      <c r="E111" s="549">
        <v>0</v>
      </c>
      <c r="F111" s="72"/>
      <c r="G111" s="72" t="str">
        <f t="shared" si="150"/>
        <v>046085L</v>
      </c>
      <c r="I111" s="599" t="s">
        <v>139</v>
      </c>
      <c r="J111" s="599" t="s">
        <v>109</v>
      </c>
      <c r="K111" s="604" t="s">
        <v>142</v>
      </c>
      <c r="L111" s="605">
        <v>542</v>
      </c>
      <c r="M111" s="621">
        <f t="shared" si="242"/>
        <v>0</v>
      </c>
      <c r="N111" s="621">
        <f t="shared" si="242"/>
        <v>0</v>
      </c>
      <c r="O111" s="621">
        <f t="shared" si="242"/>
        <v>0</v>
      </c>
      <c r="P111" s="621">
        <f t="shared" si="242"/>
        <v>0</v>
      </c>
      <c r="Q111" s="621">
        <f t="shared" si="242"/>
        <v>0</v>
      </c>
      <c r="R111" s="621">
        <f t="shared" si="254"/>
        <v>1</v>
      </c>
      <c r="S111" s="622">
        <v>0</v>
      </c>
      <c r="T111" s="622"/>
      <c r="U111" s="622"/>
      <c r="V111" s="622">
        <v>0</v>
      </c>
      <c r="W111" s="622">
        <v>0</v>
      </c>
      <c r="X111" s="599"/>
      <c r="Y111" s="673">
        <f t="shared" si="258"/>
        <v>0</v>
      </c>
      <c r="Z111" s="673">
        <f t="shared" si="255"/>
        <v>0</v>
      </c>
      <c r="AA111" s="673">
        <f t="shared" si="259"/>
        <v>0</v>
      </c>
      <c r="AB111" s="673">
        <f t="shared" si="259"/>
        <v>0</v>
      </c>
      <c r="AC111" s="673">
        <f t="shared" si="256"/>
        <v>0</v>
      </c>
      <c r="AD111" s="599"/>
      <c r="AE111" s="621">
        <f t="shared" si="260"/>
        <v>0</v>
      </c>
      <c r="AF111" s="621">
        <f t="shared" si="260"/>
        <v>0</v>
      </c>
      <c r="AG111" s="621">
        <f t="shared" si="260"/>
        <v>0</v>
      </c>
      <c r="AH111" s="621">
        <f t="shared" si="260"/>
        <v>0</v>
      </c>
      <c r="AI111" s="621">
        <f t="shared" si="260"/>
        <v>0</v>
      </c>
      <c r="AJ111" s="599"/>
      <c r="AK111" s="623">
        <f t="shared" si="249"/>
        <v>0</v>
      </c>
      <c r="AL111" s="623">
        <f t="shared" si="249"/>
        <v>0</v>
      </c>
      <c r="AM111" s="623">
        <f t="shared" si="249"/>
        <v>0</v>
      </c>
      <c r="AN111" s="623">
        <f t="shared" si="249"/>
        <v>0</v>
      </c>
      <c r="AO111" s="623">
        <f t="shared" si="249"/>
        <v>0</v>
      </c>
      <c r="AP111" s="599"/>
      <c r="AQ111" s="673">
        <f t="shared" si="261"/>
        <v>0</v>
      </c>
      <c r="AR111" s="673">
        <f t="shared" si="257"/>
        <v>0</v>
      </c>
      <c r="AS111" s="673">
        <f t="shared" si="262"/>
        <v>0</v>
      </c>
      <c r="AT111" s="673">
        <f t="shared" si="263"/>
        <v>0</v>
      </c>
      <c r="AU111" s="673">
        <f t="shared" si="264"/>
        <v>0</v>
      </c>
      <c r="AV111" s="673">
        <f>SUM(AQ111:AU111)-SUM(Y111:AC111)</f>
        <v>0</v>
      </c>
      <c r="AW111" s="673"/>
      <c r="AX111" s="680">
        <v>170</v>
      </c>
      <c r="AY111" s="681"/>
      <c r="AZ111" s="681">
        <v>61.09</v>
      </c>
      <c r="BA111" s="681">
        <v>23.76</v>
      </c>
      <c r="BB111" s="681"/>
      <c r="BC111" s="681"/>
      <c r="BD111" s="681"/>
      <c r="BE111" s="682">
        <f t="shared" si="251"/>
        <v>0.38000000000000012</v>
      </c>
      <c r="BF111" s="675"/>
      <c r="BG111" s="675">
        <f>ROUND((T111*$BF$2)+$BE111-AZ111,2)</f>
        <v>-60.71</v>
      </c>
      <c r="BH111" s="675">
        <f>ROUND((U111*$BF$2)+$BE111-BA111,2)</f>
        <v>-23.38</v>
      </c>
      <c r="BI111" s="675"/>
      <c r="BJ111" s="675"/>
      <c r="BK111" s="599"/>
      <c r="BL111" s="599"/>
      <c r="BM111" s="676">
        <f t="shared" si="245"/>
        <v>0</v>
      </c>
      <c r="BN111" s="676">
        <f t="shared" si="246"/>
        <v>0</v>
      </c>
      <c r="BO111" s="676">
        <f t="shared" si="252"/>
        <v>0</v>
      </c>
      <c r="BP111" s="676">
        <f t="shared" si="77"/>
        <v>0</v>
      </c>
      <c r="BQ111" s="676">
        <f t="shared" si="78"/>
        <v>0</v>
      </c>
      <c r="BR111" s="599"/>
      <c r="BS111" s="675">
        <f t="shared" si="253"/>
        <v>0</v>
      </c>
      <c r="BT111" s="675">
        <f t="shared" si="71"/>
        <v>-61.09</v>
      </c>
      <c r="BU111" s="675">
        <f t="shared" si="72"/>
        <v>-23.76</v>
      </c>
      <c r="BV111" s="675">
        <f t="shared" si="73"/>
        <v>0</v>
      </c>
      <c r="BW111" s="675">
        <f t="shared" si="74"/>
        <v>0</v>
      </c>
      <c r="BX111" s="599"/>
      <c r="BY111" s="599"/>
      <c r="BZ111" s="599"/>
      <c r="CA111" s="599"/>
      <c r="CB111" s="599"/>
      <c r="CC111" s="599"/>
      <c r="CD111" s="599"/>
      <c r="CE111" s="599"/>
      <c r="CH111" s="631"/>
      <c r="CI111" s="631"/>
      <c r="CJ111" s="631"/>
      <c r="CP111" s="671"/>
      <c r="CQ111" s="671"/>
      <c r="CR111" s="671"/>
      <c r="CS111" s="671"/>
      <c r="CT111" s="671"/>
    </row>
    <row r="112" spans="1:16384">
      <c r="A112" s="732"/>
      <c r="B112" s="527">
        <v>2</v>
      </c>
      <c r="C112" s="71" t="s">
        <v>123</v>
      </c>
      <c r="D112" s="569" t="s">
        <v>846</v>
      </c>
      <c r="E112" s="549">
        <v>0</v>
      </c>
      <c r="F112" s="72"/>
      <c r="G112" s="72" t="str">
        <f t="shared" si="150"/>
        <v>046095L</v>
      </c>
      <c r="I112" s="599" t="s">
        <v>133</v>
      </c>
      <c r="J112" s="599" t="s">
        <v>146</v>
      </c>
      <c r="K112" s="604">
        <v>55000</v>
      </c>
      <c r="L112" s="605">
        <v>819</v>
      </c>
      <c r="M112" s="621">
        <f t="shared" si="242"/>
        <v>0</v>
      </c>
      <c r="N112" s="621">
        <f t="shared" si="242"/>
        <v>0</v>
      </c>
      <c r="O112" s="621">
        <f t="shared" si="242"/>
        <v>0</v>
      </c>
      <c r="P112" s="621">
        <f t="shared" si="242"/>
        <v>0</v>
      </c>
      <c r="Q112" s="621">
        <f t="shared" si="242"/>
        <v>0</v>
      </c>
      <c r="R112" s="621">
        <f t="shared" si="254"/>
        <v>1</v>
      </c>
      <c r="S112" s="622">
        <v>0</v>
      </c>
      <c r="T112" s="622"/>
      <c r="U112" s="622">
        <v>0</v>
      </c>
      <c r="V112" s="622"/>
      <c r="W112" s="622">
        <v>0</v>
      </c>
      <c r="X112" s="599"/>
      <c r="Y112" s="673">
        <f t="shared" si="258"/>
        <v>0</v>
      </c>
      <c r="Z112" s="673">
        <f t="shared" si="255"/>
        <v>0</v>
      </c>
      <c r="AA112" s="673">
        <f t="shared" si="259"/>
        <v>0</v>
      </c>
      <c r="AB112" s="673">
        <f t="shared" si="259"/>
        <v>0</v>
      </c>
      <c r="AC112" s="673">
        <f t="shared" si="256"/>
        <v>0</v>
      </c>
      <c r="AD112" s="599"/>
      <c r="AE112" s="621">
        <f t="shared" si="260"/>
        <v>0</v>
      </c>
      <c r="AF112" s="621">
        <f t="shared" si="260"/>
        <v>0</v>
      </c>
      <c r="AG112" s="621">
        <f t="shared" si="260"/>
        <v>0</v>
      </c>
      <c r="AH112" s="621">
        <f t="shared" si="260"/>
        <v>0</v>
      </c>
      <c r="AI112" s="621">
        <f t="shared" si="260"/>
        <v>0</v>
      </c>
      <c r="AJ112" s="599"/>
      <c r="AK112" s="623">
        <f t="shared" si="249"/>
        <v>0</v>
      </c>
      <c r="AL112" s="623">
        <f t="shared" si="249"/>
        <v>0</v>
      </c>
      <c r="AM112" s="623">
        <f t="shared" si="249"/>
        <v>0</v>
      </c>
      <c r="AN112" s="623">
        <f t="shared" si="249"/>
        <v>0</v>
      </c>
      <c r="AO112" s="623">
        <f t="shared" si="249"/>
        <v>0</v>
      </c>
      <c r="AP112" s="599"/>
      <c r="AQ112" s="673">
        <f t="shared" si="261"/>
        <v>0</v>
      </c>
      <c r="AR112" s="673">
        <f t="shared" si="257"/>
        <v>0</v>
      </c>
      <c r="AS112" s="673">
        <f t="shared" si="262"/>
        <v>0</v>
      </c>
      <c r="AT112" s="673">
        <f t="shared" si="263"/>
        <v>0</v>
      </c>
      <c r="AU112" s="673">
        <f t="shared" si="264"/>
        <v>0</v>
      </c>
      <c r="AV112" s="673">
        <f>SUM(AQ112:AU112)-SUM(Y112:AC112)</f>
        <v>0</v>
      </c>
      <c r="AW112" s="673"/>
      <c r="AX112" s="680">
        <v>417</v>
      </c>
      <c r="AY112" s="681"/>
      <c r="AZ112" s="681"/>
      <c r="BA112" s="681"/>
      <c r="BB112" s="681">
        <v>28.89</v>
      </c>
      <c r="BC112" s="681"/>
      <c r="BD112" s="681"/>
      <c r="BE112" s="682">
        <f t="shared" si="251"/>
        <v>0.91999999999999993</v>
      </c>
      <c r="BF112" s="675"/>
      <c r="BG112" s="675"/>
      <c r="BH112" s="675"/>
      <c r="BI112" s="675">
        <f>ROUND((V112*$BF$2)+$BE112-BB112,2)</f>
        <v>-27.97</v>
      </c>
      <c r="BJ112" s="675"/>
      <c r="BK112" s="599"/>
      <c r="BL112" s="599"/>
      <c r="BM112" s="676">
        <f t="shared" si="245"/>
        <v>0</v>
      </c>
      <c r="BN112" s="676">
        <f t="shared" si="246"/>
        <v>0</v>
      </c>
      <c r="BO112" s="676">
        <f t="shared" si="252"/>
        <v>0</v>
      </c>
      <c r="BP112" s="676">
        <f t="shared" si="77"/>
        <v>0</v>
      </c>
      <c r="BQ112" s="676">
        <f t="shared" si="78"/>
        <v>0</v>
      </c>
      <c r="BR112" s="599"/>
      <c r="BS112" s="675">
        <f t="shared" si="253"/>
        <v>0</v>
      </c>
      <c r="BT112" s="675">
        <f t="shared" si="71"/>
        <v>0</v>
      </c>
      <c r="BU112" s="675">
        <f t="shared" si="72"/>
        <v>0</v>
      </c>
      <c r="BV112" s="675">
        <f t="shared" si="73"/>
        <v>-28.89</v>
      </c>
      <c r="BW112" s="675">
        <f t="shared" si="74"/>
        <v>0</v>
      </c>
      <c r="BX112" s="599"/>
      <c r="BY112" s="599"/>
      <c r="BZ112" s="599"/>
      <c r="CA112" s="599"/>
      <c r="CB112" s="599"/>
      <c r="CC112" s="599"/>
      <c r="CD112" s="599"/>
      <c r="CE112" s="599"/>
      <c r="CF112" s="599"/>
      <c r="CG112" s="599"/>
      <c r="CH112" s="599"/>
      <c r="CI112" s="599"/>
      <c r="CJ112" s="599"/>
      <c r="CK112" s="599"/>
      <c r="CL112" s="599"/>
      <c r="CV112" s="671"/>
      <c r="CW112" s="671"/>
      <c r="CX112" s="671"/>
      <c r="CY112" s="671"/>
      <c r="CZ112" s="671"/>
      <c r="DA112" s="671"/>
      <c r="DB112" s="671"/>
    </row>
    <row r="113" spans="1:123">
      <c r="A113" s="732"/>
      <c r="B113" s="527">
        <v>2</v>
      </c>
      <c r="C113" s="71" t="s">
        <v>123</v>
      </c>
      <c r="D113" s="569" t="s">
        <v>847</v>
      </c>
      <c r="E113" s="549">
        <v>6</v>
      </c>
      <c r="F113" s="72"/>
      <c r="G113" s="72" t="str">
        <f t="shared" si="150"/>
        <v>046105L</v>
      </c>
      <c r="I113" s="599" t="s">
        <v>128</v>
      </c>
      <c r="J113" s="599" t="s">
        <v>136</v>
      </c>
      <c r="K113" s="604" t="s">
        <v>147</v>
      </c>
      <c r="L113" s="605">
        <v>836</v>
      </c>
      <c r="M113" s="621">
        <f t="shared" si="242"/>
        <v>0</v>
      </c>
      <c r="N113" s="621">
        <f t="shared" si="242"/>
        <v>0</v>
      </c>
      <c r="O113" s="621">
        <f t="shared" si="242"/>
        <v>0</v>
      </c>
      <c r="P113" s="621">
        <f t="shared" si="242"/>
        <v>0</v>
      </c>
      <c r="Q113" s="621">
        <f t="shared" si="242"/>
        <v>0</v>
      </c>
      <c r="R113" s="621">
        <f t="shared" si="254"/>
        <v>1</v>
      </c>
      <c r="S113" s="622">
        <v>0</v>
      </c>
      <c r="T113" s="622"/>
      <c r="U113" s="622">
        <v>0</v>
      </c>
      <c r="V113" s="622">
        <v>0</v>
      </c>
      <c r="W113" s="622">
        <v>0</v>
      </c>
      <c r="X113" s="599"/>
      <c r="Y113" s="673">
        <f t="shared" si="258"/>
        <v>0</v>
      </c>
      <c r="Z113" s="673">
        <f t="shared" si="255"/>
        <v>0</v>
      </c>
      <c r="AA113" s="673">
        <f t="shared" si="259"/>
        <v>0</v>
      </c>
      <c r="AB113" s="673">
        <f t="shared" si="259"/>
        <v>0</v>
      </c>
      <c r="AC113" s="673">
        <f t="shared" si="256"/>
        <v>0</v>
      </c>
      <c r="AD113" s="599"/>
      <c r="AE113" s="621">
        <f t="shared" si="260"/>
        <v>0</v>
      </c>
      <c r="AF113" s="621">
        <f t="shared" si="260"/>
        <v>0</v>
      </c>
      <c r="AG113" s="621">
        <f t="shared" si="260"/>
        <v>0</v>
      </c>
      <c r="AH113" s="621">
        <f t="shared" si="260"/>
        <v>0</v>
      </c>
      <c r="AI113" s="621">
        <f t="shared" si="260"/>
        <v>0</v>
      </c>
      <c r="AJ113" s="599"/>
      <c r="AK113" s="623">
        <f t="shared" si="249"/>
        <v>0</v>
      </c>
      <c r="AL113" s="623">
        <f t="shared" si="249"/>
        <v>0</v>
      </c>
      <c r="AM113" s="623">
        <f t="shared" si="249"/>
        <v>0</v>
      </c>
      <c r="AN113" s="623">
        <f t="shared" si="249"/>
        <v>0</v>
      </c>
      <c r="AO113" s="623">
        <f t="shared" si="249"/>
        <v>0</v>
      </c>
      <c r="AP113" s="599"/>
      <c r="AQ113" s="673">
        <f t="shared" si="261"/>
        <v>0</v>
      </c>
      <c r="AR113" s="673">
        <f t="shared" si="257"/>
        <v>0</v>
      </c>
      <c r="AS113" s="673">
        <f t="shared" si="262"/>
        <v>0</v>
      </c>
      <c r="AT113" s="673">
        <f t="shared" si="263"/>
        <v>0</v>
      </c>
      <c r="AU113" s="673">
        <f t="shared" si="264"/>
        <v>0</v>
      </c>
      <c r="AV113" s="673">
        <f>SUM(AQ113:AU113)-SUM(Y113:AC113)</f>
        <v>0</v>
      </c>
      <c r="AW113" s="673"/>
      <c r="AX113" s="680">
        <v>169</v>
      </c>
      <c r="AY113" s="681"/>
      <c r="AZ113" s="681">
        <v>37.39</v>
      </c>
      <c r="BA113" s="681"/>
      <c r="BB113" s="681"/>
      <c r="BC113" s="681"/>
      <c r="BD113" s="681"/>
      <c r="BE113" s="682">
        <f t="shared" si="251"/>
        <v>0.37999999999999989</v>
      </c>
      <c r="BF113" s="675"/>
      <c r="BG113" s="675">
        <f t="shared" ref="BG113:BG121" si="265">ROUND((T113*$BF$2)+$BE113-AZ113,2)</f>
        <v>-37.01</v>
      </c>
      <c r="BH113" s="675"/>
      <c r="BI113" s="675"/>
      <c r="BJ113" s="675"/>
      <c r="BK113" s="599"/>
      <c r="BL113" s="599"/>
      <c r="BM113" s="676">
        <f t="shared" si="245"/>
        <v>0</v>
      </c>
      <c r="BN113" s="676">
        <f t="shared" si="246"/>
        <v>0</v>
      </c>
      <c r="BO113" s="676">
        <f t="shared" si="252"/>
        <v>0</v>
      </c>
      <c r="BP113" s="676">
        <f t="shared" si="77"/>
        <v>0</v>
      </c>
      <c r="BQ113" s="676">
        <f t="shared" si="78"/>
        <v>0</v>
      </c>
      <c r="BR113" s="599"/>
      <c r="BS113" s="675">
        <f t="shared" si="253"/>
        <v>0</v>
      </c>
      <c r="BT113" s="53">
        <f t="shared" si="71"/>
        <v>-37.39</v>
      </c>
      <c r="BU113" s="53">
        <f t="shared" si="72"/>
        <v>0</v>
      </c>
      <c r="BV113" s="53">
        <f t="shared" si="73"/>
        <v>0</v>
      </c>
      <c r="BW113" s="53">
        <f t="shared" si="74"/>
        <v>0</v>
      </c>
      <c r="CU113" s="671"/>
    </row>
    <row r="114" spans="1:123">
      <c r="A114" s="732"/>
      <c r="B114" s="527">
        <v>2</v>
      </c>
      <c r="C114" s="71" t="s">
        <v>123</v>
      </c>
      <c r="D114" s="569" t="s">
        <v>848</v>
      </c>
      <c r="E114" s="549">
        <v>0</v>
      </c>
      <c r="F114" s="72"/>
      <c r="G114" s="72" t="str">
        <f t="shared" si="150"/>
        <v>046115L</v>
      </c>
      <c r="I114" s="422" t="s">
        <v>698</v>
      </c>
      <c r="J114" s="671" t="s">
        <v>829</v>
      </c>
      <c r="K114" s="564" t="s">
        <v>132</v>
      </c>
      <c r="L114" s="718" t="s">
        <v>827</v>
      </c>
      <c r="M114" s="565">
        <f t="shared" ref="M114:Q123" si="266">SUMIF($G:$G,TEXT(M$3,"000")&amp;TEXT($L114,"000"),$E:$E)</f>
        <v>0</v>
      </c>
      <c r="N114" s="565">
        <f t="shared" si="266"/>
        <v>0</v>
      </c>
      <c r="O114" s="565">
        <f t="shared" si="266"/>
        <v>0</v>
      </c>
      <c r="P114" s="565">
        <f t="shared" si="266"/>
        <v>0</v>
      </c>
      <c r="Q114" s="565">
        <f t="shared" si="266"/>
        <v>0</v>
      </c>
      <c r="R114" s="565">
        <f t="shared" si="254"/>
        <v>1</v>
      </c>
      <c r="S114" s="603">
        <v>0</v>
      </c>
      <c r="T114" s="603">
        <v>27.03</v>
      </c>
      <c r="U114" s="603">
        <v>0</v>
      </c>
      <c r="V114" s="603"/>
      <c r="W114" s="603"/>
      <c r="X114" s="671"/>
      <c r="Y114" s="69">
        <f t="shared" si="258"/>
        <v>0</v>
      </c>
      <c r="Z114" s="69">
        <f t="shared" si="255"/>
        <v>0</v>
      </c>
      <c r="AA114" s="69">
        <f t="shared" ref="AA114:AA115" si="267">IF(AND(O114&lt;&gt;0,U114=0),#VALUE!,O114*U114)</f>
        <v>0</v>
      </c>
      <c r="AB114" s="69">
        <f t="shared" ref="AB114:AB115" si="268">IF(AND(P114&lt;&gt;0,V114=0),#VALUE!,P114*V114)</f>
        <v>0</v>
      </c>
      <c r="AC114" s="69">
        <f t="shared" ref="AC114:AC115" si="269">IF(AND(Q114&lt;&gt;0,W114=0),#VALUE!,Q114*W114)</f>
        <v>0</v>
      </c>
      <c r="AD114" s="671"/>
      <c r="AE114" s="565">
        <f>SUMIF($G:$G,TEXT(AE$3,"000")&amp;TEXT($L114,"000"),$E:$E)</f>
        <v>0</v>
      </c>
      <c r="AF114" s="565">
        <f>SUMIF($G:$G,TEXT(AF$3,"000")&amp;TEXT($L114,"000"),$E:$E)</f>
        <v>0</v>
      </c>
      <c r="AG114" s="565">
        <f>SUMIF($G:$G,TEXT(AG$3,"000")&amp;TEXT($L114,"000"),$E:$E)</f>
        <v>0</v>
      </c>
      <c r="AH114" s="565">
        <f>SUMIF($G:$G,TEXT(AH$3,"000")&amp;TEXT($L114,"000"),$E:$E)</f>
        <v>0</v>
      </c>
      <c r="AI114" s="565">
        <f>SUMIF($G:$G,TEXT(AI$3,"000")&amp;TEXT($L114,"000"),$E:$E)</f>
        <v>0</v>
      </c>
      <c r="AJ114" s="671"/>
      <c r="AK114" s="570">
        <f t="shared" ref="AK114:AK124" si="270">ROUND(S114*(1+AK$1),2)</f>
        <v>0</v>
      </c>
      <c r="AL114" s="570">
        <f>ROUND(T114*(1+AL$1),2)</f>
        <v>27.93</v>
      </c>
      <c r="AM114" s="570">
        <f t="shared" ref="AM114:AM124" si="271">ROUND(U114*(1+AM$1),2)</f>
        <v>0</v>
      </c>
      <c r="AN114" s="570">
        <f t="shared" ref="AN114:AN124" si="272">ROUND(V114*(1+AN$1),2)</f>
        <v>0</v>
      </c>
      <c r="AO114" s="570">
        <f t="shared" ref="AO114:AO124" si="273">ROUND(W114*(1+AO$1),2)</f>
        <v>0</v>
      </c>
      <c r="AP114" s="671"/>
      <c r="AQ114" s="69">
        <f t="shared" si="261"/>
        <v>0</v>
      </c>
      <c r="AR114" s="69">
        <f t="shared" si="257"/>
        <v>0</v>
      </c>
      <c r="AS114" s="69">
        <f t="shared" si="262"/>
        <v>0</v>
      </c>
      <c r="AT114" s="69">
        <f t="shared" si="263"/>
        <v>0</v>
      </c>
      <c r="AU114" s="69">
        <f t="shared" si="264"/>
        <v>0</v>
      </c>
      <c r="AV114" s="671"/>
      <c r="AX114" s="577">
        <v>26</v>
      </c>
      <c r="AY114" s="567"/>
      <c r="AZ114" s="567">
        <v>27.49</v>
      </c>
      <c r="BA114" s="567"/>
      <c r="BB114" s="567"/>
      <c r="BC114" s="567"/>
      <c r="BD114" s="567"/>
      <c r="BE114" s="573">
        <f t="shared" si="251"/>
        <v>0.06</v>
      </c>
      <c r="BF114" s="563"/>
      <c r="BG114" s="563">
        <f t="shared" si="265"/>
        <v>0.01</v>
      </c>
      <c r="BH114" s="563"/>
      <c r="BI114" s="563"/>
      <c r="BJ114" s="563"/>
      <c r="BK114" s="671"/>
      <c r="BL114" s="671"/>
      <c r="BM114" s="571">
        <f t="shared" si="245"/>
        <v>0</v>
      </c>
      <c r="BN114" s="571">
        <f t="shared" si="246"/>
        <v>28.351742999999995</v>
      </c>
      <c r="BO114" s="571">
        <f t="shared" si="252"/>
        <v>0</v>
      </c>
      <c r="BP114" s="571">
        <f t="shared" si="77"/>
        <v>0</v>
      </c>
      <c r="BQ114" s="571">
        <f t="shared" si="78"/>
        <v>0</v>
      </c>
      <c r="BR114" s="671"/>
      <c r="BS114" s="563">
        <f t="shared" si="253"/>
        <v>0</v>
      </c>
      <c r="BT114" s="563">
        <f t="shared" si="71"/>
        <v>0.86174299999999704</v>
      </c>
      <c r="BU114" s="563">
        <f t="shared" si="72"/>
        <v>0</v>
      </c>
      <c r="BV114" s="563">
        <f t="shared" si="73"/>
        <v>0</v>
      </c>
      <c r="BW114" s="563">
        <f t="shared" si="74"/>
        <v>0</v>
      </c>
      <c r="BX114" s="671"/>
      <c r="BY114" s="671"/>
      <c r="BZ114" s="671"/>
      <c r="CA114" s="671"/>
      <c r="CB114" s="671"/>
      <c r="CC114" s="671"/>
      <c r="CD114" s="671"/>
      <c r="CE114" s="671"/>
      <c r="CF114" s="671"/>
      <c r="CG114" s="671"/>
      <c r="CH114" s="671"/>
      <c r="CI114" s="671"/>
      <c r="CJ114" s="671"/>
      <c r="CK114" s="671"/>
      <c r="CL114" s="671"/>
      <c r="CM114" s="671"/>
      <c r="CN114" s="671"/>
      <c r="CO114" s="671"/>
      <c r="CP114" s="671"/>
      <c r="CQ114" s="671"/>
      <c r="CR114" s="671"/>
      <c r="CS114" s="671"/>
      <c r="CT114" s="671"/>
      <c r="DC114" s="671"/>
      <c r="DD114" s="671"/>
      <c r="DE114" s="671"/>
      <c r="DF114" s="671"/>
      <c r="DG114" s="671"/>
      <c r="DH114" s="671"/>
      <c r="DI114" s="671"/>
      <c r="DJ114" s="671"/>
      <c r="DK114" s="671"/>
      <c r="DL114" s="671"/>
      <c r="DM114" s="671"/>
    </row>
    <row r="115" spans="1:123">
      <c r="A115" s="732"/>
      <c r="B115" s="527">
        <v>2</v>
      </c>
      <c r="C115" s="71" t="s">
        <v>123</v>
      </c>
      <c r="D115" s="569" t="s">
        <v>849</v>
      </c>
      <c r="E115" s="549">
        <v>0</v>
      </c>
      <c r="F115" s="72"/>
      <c r="G115" s="72" t="str">
        <f t="shared" si="150"/>
        <v>046125L</v>
      </c>
      <c r="I115" s="671" t="s">
        <v>698</v>
      </c>
      <c r="J115" s="671" t="s">
        <v>830</v>
      </c>
      <c r="K115" s="564" t="s">
        <v>603</v>
      </c>
      <c r="L115" s="718" t="s">
        <v>828</v>
      </c>
      <c r="M115" s="565">
        <f t="shared" si="266"/>
        <v>0</v>
      </c>
      <c r="N115" s="565">
        <f t="shared" si="266"/>
        <v>0</v>
      </c>
      <c r="O115" s="565">
        <f t="shared" si="266"/>
        <v>0</v>
      </c>
      <c r="P115" s="565">
        <f t="shared" si="266"/>
        <v>0</v>
      </c>
      <c r="Q115" s="565">
        <f t="shared" si="266"/>
        <v>0</v>
      </c>
      <c r="R115" s="565">
        <f t="shared" si="254"/>
        <v>1</v>
      </c>
      <c r="S115" s="603">
        <v>0</v>
      </c>
      <c r="T115" s="603">
        <v>29.78</v>
      </c>
      <c r="U115" s="603"/>
      <c r="V115" s="603">
        <v>0</v>
      </c>
      <c r="W115" s="603">
        <v>0</v>
      </c>
      <c r="X115" s="671"/>
      <c r="Y115" s="69">
        <f t="shared" si="258"/>
        <v>0</v>
      </c>
      <c r="Z115" s="69">
        <f t="shared" si="255"/>
        <v>0</v>
      </c>
      <c r="AA115" s="69">
        <f t="shared" si="267"/>
        <v>0</v>
      </c>
      <c r="AB115" s="69">
        <f t="shared" si="268"/>
        <v>0</v>
      </c>
      <c r="AC115" s="69">
        <f t="shared" si="269"/>
        <v>0</v>
      </c>
      <c r="AD115" s="671"/>
      <c r="AE115" s="565">
        <f>M115</f>
        <v>0</v>
      </c>
      <c r="AF115" s="565">
        <f>N115</f>
        <v>0</v>
      </c>
      <c r="AG115" s="565">
        <f>O115</f>
        <v>0</v>
      </c>
      <c r="AH115" s="565">
        <f>P115</f>
        <v>0</v>
      </c>
      <c r="AI115" s="565">
        <f>Q115</f>
        <v>0</v>
      </c>
      <c r="AJ115" s="671"/>
      <c r="AK115" s="570">
        <f t="shared" si="270"/>
        <v>0</v>
      </c>
      <c r="AL115" s="570">
        <f>ROUND(T115*(1+AL$1),2)</f>
        <v>30.77</v>
      </c>
      <c r="AM115" s="570">
        <f t="shared" si="271"/>
        <v>0</v>
      </c>
      <c r="AN115" s="570">
        <f t="shared" si="272"/>
        <v>0</v>
      </c>
      <c r="AO115" s="570">
        <f t="shared" si="273"/>
        <v>0</v>
      </c>
      <c r="AP115" s="671"/>
      <c r="AQ115" s="69">
        <f t="shared" si="261"/>
        <v>0</v>
      </c>
      <c r="AR115" s="69">
        <f t="shared" si="257"/>
        <v>0</v>
      </c>
      <c r="AS115" s="69">
        <f t="shared" si="262"/>
        <v>0</v>
      </c>
      <c r="AT115" s="69">
        <f t="shared" si="263"/>
        <v>0</v>
      </c>
      <c r="AU115" s="69">
        <f t="shared" si="264"/>
        <v>0</v>
      </c>
      <c r="AV115" s="69">
        <f>SUM(AQ115:AU115)-SUM(Y115:AC115)</f>
        <v>0</v>
      </c>
      <c r="AW115" s="69"/>
      <c r="AX115" s="577">
        <v>39</v>
      </c>
      <c r="AY115" s="567"/>
      <c r="AZ115" s="567">
        <v>30.31</v>
      </c>
      <c r="BA115" s="567"/>
      <c r="BB115" s="567"/>
      <c r="BC115" s="567"/>
      <c r="BD115" s="567"/>
      <c r="BE115" s="573">
        <f t="shared" si="251"/>
        <v>8.0000000000000016E-2</v>
      </c>
      <c r="BF115" s="563"/>
      <c r="BG115" s="563">
        <f t="shared" si="265"/>
        <v>0</v>
      </c>
      <c r="BH115" s="563"/>
      <c r="BI115" s="563"/>
      <c r="BJ115" s="563"/>
      <c r="BK115" s="671"/>
      <c r="BL115" s="671"/>
      <c r="BM115" s="571">
        <f t="shared" si="245"/>
        <v>0</v>
      </c>
      <c r="BN115" s="571">
        <f t="shared" si="246"/>
        <v>31.234626999999996</v>
      </c>
      <c r="BO115" s="571">
        <f t="shared" si="252"/>
        <v>0</v>
      </c>
      <c r="BP115" s="571">
        <f t="shared" si="77"/>
        <v>0</v>
      </c>
      <c r="BQ115" s="571">
        <f t="shared" si="78"/>
        <v>0</v>
      </c>
      <c r="BR115" s="671"/>
      <c r="BS115" s="563">
        <f t="shared" si="253"/>
        <v>0</v>
      </c>
      <c r="BT115" s="563">
        <f t="shared" si="71"/>
        <v>0.92462699999999742</v>
      </c>
      <c r="BU115" s="563">
        <f t="shared" si="72"/>
        <v>0</v>
      </c>
      <c r="BV115" s="563">
        <f t="shared" si="73"/>
        <v>0</v>
      </c>
      <c r="BW115" s="563">
        <f t="shared" si="74"/>
        <v>0</v>
      </c>
      <c r="BX115" s="671"/>
      <c r="BY115" s="671"/>
      <c r="BZ115" s="671"/>
      <c r="CA115" s="671"/>
      <c r="CB115" s="671"/>
      <c r="CC115" s="671"/>
      <c r="CD115" s="671"/>
      <c r="CE115" s="671"/>
      <c r="CF115" s="671"/>
      <c r="CG115" s="671"/>
      <c r="CH115" s="671"/>
      <c r="CI115" s="671"/>
      <c r="CJ115" s="671"/>
      <c r="CK115" s="671"/>
      <c r="CL115" s="671"/>
      <c r="CM115" s="671"/>
      <c r="CN115" s="671"/>
      <c r="CO115" s="671"/>
      <c r="CP115" s="671"/>
      <c r="CQ115" s="671"/>
      <c r="CR115" s="671"/>
      <c r="CS115" s="671"/>
      <c r="CT115" s="671"/>
      <c r="CV115" s="671"/>
      <c r="CW115" s="671"/>
      <c r="CX115" s="671"/>
      <c r="CY115" s="671"/>
      <c r="CZ115" s="671"/>
      <c r="DA115" s="671"/>
      <c r="DB115" s="671"/>
      <c r="DG115" s="671"/>
      <c r="DH115" s="671"/>
      <c r="DI115" s="671"/>
      <c r="DJ115" s="671"/>
      <c r="DK115" s="671"/>
      <c r="DL115" s="671"/>
      <c r="DM115" s="671"/>
    </row>
    <row r="116" spans="1:123">
      <c r="A116" s="732"/>
      <c r="B116" s="527">
        <v>2</v>
      </c>
      <c r="C116" s="71" t="s">
        <v>123</v>
      </c>
      <c r="D116" s="569" t="s">
        <v>850</v>
      </c>
      <c r="E116" s="549">
        <v>36</v>
      </c>
      <c r="F116" s="72"/>
      <c r="G116" s="72" t="str">
        <f t="shared" si="150"/>
        <v>046135L</v>
      </c>
      <c r="I116" s="422" t="s">
        <v>698</v>
      </c>
      <c r="J116" s="671" t="s">
        <v>826</v>
      </c>
      <c r="K116" s="564" t="s">
        <v>132</v>
      </c>
      <c r="L116" s="566" t="s">
        <v>580</v>
      </c>
      <c r="M116" s="565">
        <f t="shared" si="266"/>
        <v>0</v>
      </c>
      <c r="N116" s="565">
        <f t="shared" si="266"/>
        <v>0</v>
      </c>
      <c r="O116" s="565">
        <f t="shared" si="266"/>
        <v>0</v>
      </c>
      <c r="P116" s="565">
        <f t="shared" si="266"/>
        <v>0</v>
      </c>
      <c r="Q116" s="565">
        <f t="shared" si="266"/>
        <v>0</v>
      </c>
      <c r="R116" s="565">
        <f t="shared" si="254"/>
        <v>1</v>
      </c>
      <c r="S116" s="603">
        <v>0</v>
      </c>
      <c r="T116" s="633">
        <f>T33</f>
        <v>0</v>
      </c>
      <c r="U116" s="603">
        <v>0</v>
      </c>
      <c r="V116" s="603"/>
      <c r="W116" s="603"/>
      <c r="X116" s="632"/>
      <c r="Y116" s="69">
        <f t="shared" si="258"/>
        <v>0</v>
      </c>
      <c r="Z116" s="69">
        <f t="shared" si="255"/>
        <v>0</v>
      </c>
      <c r="AA116" s="69">
        <f t="shared" ref="AA116:AC117" si="274">IF(AND(O116&lt;&gt;0,U116=0),#VALUE!,O116*U116)</f>
        <v>0</v>
      </c>
      <c r="AB116" s="69">
        <f t="shared" si="274"/>
        <v>0</v>
      </c>
      <c r="AC116" s="69">
        <f t="shared" si="274"/>
        <v>0</v>
      </c>
      <c r="AD116" s="632"/>
      <c r="AE116" s="565">
        <f>SUMIF($G:$G,TEXT(AE$3,"000")&amp;TEXT($L116,"000"),$E:$E)</f>
        <v>0</v>
      </c>
      <c r="AF116" s="565">
        <f>SUMIF($G:$G,TEXT(AF$3,"000")&amp;TEXT($L116,"000"),$E:$E)</f>
        <v>0</v>
      </c>
      <c r="AG116" s="565">
        <f>SUMIF($G:$G,TEXT(AG$3,"000")&amp;TEXT($L116,"000"),$E:$E)</f>
        <v>0</v>
      </c>
      <c r="AH116" s="565">
        <f>SUMIF($G:$G,TEXT(AH$3,"000")&amp;TEXT($L116,"000"),$E:$E)</f>
        <v>0</v>
      </c>
      <c r="AI116" s="565">
        <f>SUMIF($G:$G,TEXT(AI$3,"000")&amp;TEXT($L116,"000"),$E:$E)</f>
        <v>0</v>
      </c>
      <c r="AJ116" s="632"/>
      <c r="AK116" s="570">
        <f t="shared" si="270"/>
        <v>0</v>
      </c>
      <c r="AL116" s="570">
        <f>AL33</f>
        <v>0</v>
      </c>
      <c r="AM116" s="570">
        <f t="shared" si="271"/>
        <v>0</v>
      </c>
      <c r="AN116" s="570">
        <f t="shared" si="272"/>
        <v>0</v>
      </c>
      <c r="AO116" s="570">
        <f t="shared" si="273"/>
        <v>0</v>
      </c>
      <c r="AP116" s="632"/>
      <c r="AQ116" s="69">
        <f t="shared" si="261"/>
        <v>0</v>
      </c>
      <c r="AR116" s="69">
        <f t="shared" si="257"/>
        <v>0</v>
      </c>
      <c r="AS116" s="69">
        <f t="shared" si="262"/>
        <v>0</v>
      </c>
      <c r="AT116" s="69">
        <f t="shared" si="263"/>
        <v>0</v>
      </c>
      <c r="AU116" s="69">
        <f t="shared" si="264"/>
        <v>0</v>
      </c>
      <c r="AV116" s="632"/>
      <c r="AX116" s="577">
        <v>26</v>
      </c>
      <c r="AY116" s="567"/>
      <c r="AZ116" s="567"/>
      <c r="BA116" s="567"/>
      <c r="BB116" s="567"/>
      <c r="BC116" s="567"/>
      <c r="BD116" s="567"/>
      <c r="BE116" s="573">
        <f t="shared" si="251"/>
        <v>0.06</v>
      </c>
      <c r="BF116" s="563"/>
      <c r="BG116" s="563">
        <f t="shared" si="265"/>
        <v>0.06</v>
      </c>
      <c r="BH116" s="563"/>
      <c r="BI116" s="563"/>
      <c r="BJ116" s="563"/>
      <c r="BK116" s="632"/>
      <c r="BL116" s="632"/>
      <c r="BM116" s="571">
        <f t="shared" si="245"/>
        <v>0</v>
      </c>
      <c r="BN116" s="571">
        <f t="shared" si="246"/>
        <v>0</v>
      </c>
      <c r="BO116" s="571">
        <f t="shared" si="252"/>
        <v>0</v>
      </c>
      <c r="BP116" s="571">
        <f t="shared" si="77"/>
        <v>0</v>
      </c>
      <c r="BQ116" s="571">
        <f t="shared" si="78"/>
        <v>0</v>
      </c>
      <c r="BR116" s="632"/>
      <c r="BS116" s="563">
        <f t="shared" si="253"/>
        <v>0</v>
      </c>
      <c r="BT116" s="563">
        <f t="shared" si="71"/>
        <v>0</v>
      </c>
      <c r="BU116" s="563">
        <f t="shared" si="72"/>
        <v>0</v>
      </c>
      <c r="BV116" s="563">
        <f t="shared" si="73"/>
        <v>0</v>
      </c>
      <c r="BW116" s="563">
        <f t="shared" si="74"/>
        <v>0</v>
      </c>
      <c r="BX116" s="632"/>
      <c r="BY116" s="632"/>
      <c r="BZ116" s="632"/>
      <c r="CA116" s="632"/>
      <c r="CB116" s="632"/>
      <c r="CC116" s="632"/>
      <c r="CD116" s="632"/>
      <c r="CE116" s="632"/>
      <c r="CF116" s="632"/>
      <c r="CG116" s="632"/>
      <c r="CH116" s="632"/>
      <c r="CI116" s="632"/>
      <c r="CJ116" s="632"/>
      <c r="CK116" s="632"/>
      <c r="CL116" s="632"/>
      <c r="CM116" s="632"/>
      <c r="CN116" s="632"/>
      <c r="CO116" s="632"/>
      <c r="CP116" s="632"/>
      <c r="CU116" s="671"/>
      <c r="CV116" s="671"/>
      <c r="CW116" s="671"/>
      <c r="CX116" s="671"/>
      <c r="CY116" s="671"/>
      <c r="CZ116" s="671"/>
      <c r="DA116" s="671"/>
      <c r="DB116" s="671"/>
      <c r="DG116" s="671"/>
      <c r="DH116" s="671"/>
      <c r="DI116" s="671"/>
      <c r="DJ116" s="671"/>
      <c r="DK116" s="671"/>
      <c r="DL116" s="671"/>
      <c r="DM116" s="671"/>
      <c r="DN116" s="671"/>
      <c r="DO116" s="671"/>
      <c r="DP116" s="671"/>
      <c r="DQ116" s="671"/>
      <c r="DR116" s="671"/>
      <c r="DS116" s="671"/>
    </row>
    <row r="117" spans="1:123">
      <c r="A117" s="732"/>
      <c r="B117" s="527">
        <v>2</v>
      </c>
      <c r="C117" s="71" t="s">
        <v>123</v>
      </c>
      <c r="D117" s="569" t="s">
        <v>851</v>
      </c>
      <c r="E117" s="549">
        <v>0</v>
      </c>
      <c r="F117" s="72"/>
      <c r="G117" s="72" t="str">
        <f t="shared" si="150"/>
        <v>046145L</v>
      </c>
      <c r="I117" s="631" t="s">
        <v>698</v>
      </c>
      <c r="J117" s="671" t="s">
        <v>826</v>
      </c>
      <c r="K117" s="564" t="s">
        <v>132</v>
      </c>
      <c r="L117" s="566" t="s">
        <v>689</v>
      </c>
      <c r="M117" s="565">
        <f t="shared" si="266"/>
        <v>0</v>
      </c>
      <c r="N117" s="565">
        <f t="shared" si="266"/>
        <v>0</v>
      </c>
      <c r="O117" s="565">
        <f t="shared" si="266"/>
        <v>0</v>
      </c>
      <c r="P117" s="565">
        <f t="shared" si="266"/>
        <v>0</v>
      </c>
      <c r="Q117" s="565">
        <f t="shared" si="266"/>
        <v>0</v>
      </c>
      <c r="R117" s="565">
        <f t="shared" si="254"/>
        <v>1</v>
      </c>
      <c r="S117" s="603">
        <v>0</v>
      </c>
      <c r="T117" s="633"/>
      <c r="U117" s="603"/>
      <c r="V117" s="603">
        <v>0</v>
      </c>
      <c r="W117" s="603">
        <v>0</v>
      </c>
      <c r="X117" s="631"/>
      <c r="Y117" s="69">
        <f t="shared" si="258"/>
        <v>0</v>
      </c>
      <c r="Z117" s="69">
        <f t="shared" si="255"/>
        <v>0</v>
      </c>
      <c r="AA117" s="69">
        <f t="shared" si="274"/>
        <v>0</v>
      </c>
      <c r="AB117" s="69">
        <f t="shared" si="274"/>
        <v>0</v>
      </c>
      <c r="AC117" s="69">
        <f t="shared" si="274"/>
        <v>0</v>
      </c>
      <c r="AD117" s="631"/>
      <c r="AE117" s="565">
        <f>M117</f>
        <v>0</v>
      </c>
      <c r="AF117" s="565">
        <f>N117</f>
        <v>0</v>
      </c>
      <c r="AG117" s="565">
        <f>O117</f>
        <v>0</v>
      </c>
      <c r="AH117" s="565">
        <f>P117</f>
        <v>0</v>
      </c>
      <c r="AI117" s="565">
        <f>Q117</f>
        <v>0</v>
      </c>
      <c r="AJ117" s="631"/>
      <c r="AK117" s="570">
        <f t="shared" si="270"/>
        <v>0</v>
      </c>
      <c r="AL117" s="570"/>
      <c r="AM117" s="570">
        <f t="shared" si="271"/>
        <v>0</v>
      </c>
      <c r="AN117" s="570">
        <f t="shared" si="272"/>
        <v>0</v>
      </c>
      <c r="AO117" s="570">
        <f t="shared" si="273"/>
        <v>0</v>
      </c>
      <c r="AP117" s="631"/>
      <c r="AQ117" s="69">
        <f t="shared" si="261"/>
        <v>0</v>
      </c>
      <c r="AR117" s="69">
        <f t="shared" si="257"/>
        <v>0</v>
      </c>
      <c r="AS117" s="69">
        <f t="shared" si="262"/>
        <v>0</v>
      </c>
      <c r="AT117" s="69">
        <f t="shared" si="263"/>
        <v>0</v>
      </c>
      <c r="AU117" s="69">
        <f t="shared" si="264"/>
        <v>0</v>
      </c>
      <c r="AV117" s="69">
        <f>SUM(AQ117:AU117)-SUM(Y117:AC117)</f>
        <v>0</v>
      </c>
      <c r="AW117" s="69"/>
      <c r="AX117" s="577">
        <v>26</v>
      </c>
      <c r="AY117" s="567"/>
      <c r="AZ117" s="567"/>
      <c r="BA117" s="567"/>
      <c r="BB117" s="567"/>
      <c r="BC117" s="567"/>
      <c r="BD117" s="567"/>
      <c r="BE117" s="573">
        <f t="shared" si="251"/>
        <v>0.06</v>
      </c>
      <c r="BF117" s="563"/>
      <c r="BG117" s="563">
        <f t="shared" si="265"/>
        <v>0.06</v>
      </c>
      <c r="BH117" s="563"/>
      <c r="BI117" s="563"/>
      <c r="BJ117" s="563"/>
      <c r="BK117" s="631"/>
      <c r="BL117" s="631"/>
      <c r="BM117" s="571">
        <f t="shared" si="245"/>
        <v>0</v>
      </c>
      <c r="BN117" s="571">
        <f t="shared" si="246"/>
        <v>0</v>
      </c>
      <c r="BO117" s="571">
        <f t="shared" si="252"/>
        <v>0</v>
      </c>
      <c r="BP117" s="571">
        <f t="shared" si="77"/>
        <v>0</v>
      </c>
      <c r="BQ117" s="571">
        <f t="shared" si="78"/>
        <v>0</v>
      </c>
      <c r="BR117" s="631"/>
      <c r="BS117" s="563">
        <f t="shared" si="253"/>
        <v>0</v>
      </c>
      <c r="BT117" s="563">
        <f t="shared" si="71"/>
        <v>0</v>
      </c>
      <c r="BU117" s="563">
        <f t="shared" si="72"/>
        <v>0</v>
      </c>
      <c r="BV117" s="563">
        <f t="shared" si="73"/>
        <v>0</v>
      </c>
      <c r="BW117" s="563">
        <f t="shared" si="74"/>
        <v>0</v>
      </c>
      <c r="BX117" s="631"/>
      <c r="BY117" s="631"/>
      <c r="BZ117" s="631"/>
      <c r="CA117" s="631"/>
      <c r="CB117" s="631"/>
      <c r="CC117" s="631"/>
      <c r="CD117" s="631"/>
      <c r="CE117" s="631"/>
      <c r="CF117" s="631"/>
      <c r="CG117" s="631"/>
      <c r="CH117" s="631"/>
      <c r="CI117" s="631"/>
      <c r="CJ117" s="631"/>
      <c r="CK117" s="631"/>
      <c r="CU117" s="671"/>
      <c r="DC117" s="671"/>
      <c r="DD117" s="671"/>
      <c r="DE117" s="671"/>
      <c r="DF117" s="671"/>
      <c r="DG117" s="671"/>
      <c r="DH117" s="671"/>
      <c r="DI117" s="671"/>
      <c r="DJ117" s="671"/>
      <c r="DK117" s="671"/>
      <c r="DL117" s="671"/>
      <c r="DM117" s="671"/>
      <c r="DN117" s="671"/>
      <c r="DO117" s="671"/>
      <c r="DP117" s="671"/>
      <c r="DQ117" s="671"/>
      <c r="DR117" s="671"/>
      <c r="DS117" s="671"/>
    </row>
    <row r="118" spans="1:123">
      <c r="A118" s="732"/>
      <c r="B118" s="527">
        <v>2</v>
      </c>
      <c r="C118" s="71" t="s">
        <v>123</v>
      </c>
      <c r="D118" s="569" t="s">
        <v>852</v>
      </c>
      <c r="E118" s="549">
        <v>0</v>
      </c>
      <c r="F118" s="72"/>
      <c r="G118" s="72" t="str">
        <f t="shared" si="150"/>
        <v>046155L</v>
      </c>
      <c r="I118" s="422" t="s">
        <v>698</v>
      </c>
      <c r="J118" s="671" t="s">
        <v>825</v>
      </c>
      <c r="K118" s="564" t="s">
        <v>603</v>
      </c>
      <c r="L118" s="566" t="s">
        <v>594</v>
      </c>
      <c r="M118" s="565">
        <f t="shared" si="266"/>
        <v>0</v>
      </c>
      <c r="N118" s="565">
        <f t="shared" si="266"/>
        <v>0</v>
      </c>
      <c r="O118" s="565">
        <f t="shared" si="266"/>
        <v>0</v>
      </c>
      <c r="P118" s="565">
        <f t="shared" si="266"/>
        <v>0</v>
      </c>
      <c r="Q118" s="565">
        <f t="shared" si="266"/>
        <v>0</v>
      </c>
      <c r="R118" s="565">
        <f t="shared" si="254"/>
        <v>1</v>
      </c>
      <c r="S118" s="603">
        <v>0</v>
      </c>
      <c r="T118" s="633"/>
      <c r="U118" s="603">
        <v>0</v>
      </c>
      <c r="V118" s="603">
        <v>0</v>
      </c>
      <c r="W118" s="603"/>
      <c r="X118" s="562"/>
      <c r="Y118" s="69">
        <f t="shared" ref="Y118:AC119" si="275">IF(AND(M118&lt;&gt;0,S118=0),#VALUE!,M118*S118)</f>
        <v>0</v>
      </c>
      <c r="Z118" s="69">
        <f t="shared" si="275"/>
        <v>0</v>
      </c>
      <c r="AA118" s="69">
        <f t="shared" si="275"/>
        <v>0</v>
      </c>
      <c r="AB118" s="69">
        <f t="shared" si="275"/>
        <v>0</v>
      </c>
      <c r="AC118" s="69">
        <f t="shared" si="275"/>
        <v>0</v>
      </c>
      <c r="AD118" s="562"/>
      <c r="AE118" s="565">
        <f>SUMIF($G:$G,TEXT(AE$3,"000")&amp;TEXT($L118,"000"),$E:$E)</f>
        <v>0</v>
      </c>
      <c r="AF118" s="565">
        <f>SUMIF($G:$G,TEXT(AF$3,"000")&amp;TEXT($L118,"000"),$E:$E)</f>
        <v>0</v>
      </c>
      <c r="AG118" s="565">
        <f>SUMIF($G:$G,TEXT(AG$3,"000")&amp;TEXT($L118,"000"),$E:$E)</f>
        <v>0</v>
      </c>
      <c r="AH118" s="565">
        <f>SUMIF($G:$G,TEXT(AH$3,"000")&amp;TEXT($L118,"000"),$E:$E)</f>
        <v>0</v>
      </c>
      <c r="AI118" s="565">
        <f>SUMIF($G:$G,TEXT(AI$3,"000")&amp;TEXT($L118,"000"),$E:$E)</f>
        <v>0</v>
      </c>
      <c r="AJ118" s="562"/>
      <c r="AK118" s="570">
        <f t="shared" si="270"/>
        <v>0</v>
      </c>
      <c r="AL118" s="570">
        <f>AL57</f>
        <v>0</v>
      </c>
      <c r="AM118" s="570">
        <f t="shared" si="271"/>
        <v>0</v>
      </c>
      <c r="AN118" s="570">
        <f t="shared" si="272"/>
        <v>0</v>
      </c>
      <c r="AO118" s="570">
        <f t="shared" si="273"/>
        <v>0</v>
      </c>
      <c r="AP118" s="562"/>
      <c r="AQ118" s="69">
        <f t="shared" si="261"/>
        <v>0</v>
      </c>
      <c r="AR118" s="69">
        <f t="shared" si="257"/>
        <v>0</v>
      </c>
      <c r="AS118" s="69">
        <f t="shared" si="262"/>
        <v>0</v>
      </c>
      <c r="AT118" s="69">
        <f t="shared" si="263"/>
        <v>0</v>
      </c>
      <c r="AU118" s="69">
        <f t="shared" si="264"/>
        <v>0</v>
      </c>
      <c r="AV118" s="562"/>
      <c r="AX118" s="577">
        <v>39</v>
      </c>
      <c r="AY118" s="567"/>
      <c r="AZ118" s="567"/>
      <c r="BA118" s="567"/>
      <c r="BB118" s="567"/>
      <c r="BC118" s="567"/>
      <c r="BD118" s="567"/>
      <c r="BE118" s="573">
        <f t="shared" si="251"/>
        <v>8.0000000000000016E-2</v>
      </c>
      <c r="BF118" s="563"/>
      <c r="BG118" s="563">
        <f t="shared" si="265"/>
        <v>0.08</v>
      </c>
      <c r="BH118" s="563"/>
      <c r="BI118" s="563"/>
      <c r="BJ118" s="563"/>
      <c r="BK118" s="562"/>
      <c r="BL118" s="562"/>
      <c r="BM118" s="571">
        <f t="shared" si="245"/>
        <v>0</v>
      </c>
      <c r="BN118" s="571">
        <f t="shared" si="246"/>
        <v>0</v>
      </c>
      <c r="BO118" s="571">
        <f t="shared" ref="BO118:BQ121" si="276">AM118*$BM$1</f>
        <v>0</v>
      </c>
      <c r="BP118" s="571">
        <f t="shared" si="276"/>
        <v>0</v>
      </c>
      <c r="BQ118" s="571">
        <f t="shared" si="276"/>
        <v>0</v>
      </c>
      <c r="BR118" s="562"/>
      <c r="BS118" s="563">
        <f t="shared" ref="BS118:BW119" si="277">BM118-AY118</f>
        <v>0</v>
      </c>
      <c r="BT118" s="563">
        <f t="shared" si="277"/>
        <v>0</v>
      </c>
      <c r="BU118" s="563">
        <f t="shared" si="277"/>
        <v>0</v>
      </c>
      <c r="BV118" s="563">
        <f t="shared" si="277"/>
        <v>0</v>
      </c>
      <c r="BW118" s="563">
        <f t="shared" si="277"/>
        <v>0</v>
      </c>
      <c r="BX118" s="562"/>
      <c r="BY118" s="562"/>
      <c r="BZ118" s="562"/>
      <c r="CA118" s="562"/>
      <c r="CB118" s="562"/>
      <c r="CG118" s="580"/>
      <c r="CH118" s="580"/>
      <c r="DC118" s="671"/>
      <c r="DD118" s="671"/>
      <c r="DE118" s="671"/>
      <c r="DF118" s="671"/>
      <c r="DG118" s="671"/>
      <c r="DH118" s="671"/>
      <c r="DI118" s="671"/>
      <c r="DJ118" s="671"/>
      <c r="DK118" s="671"/>
      <c r="DL118" s="671"/>
      <c r="DM118" s="671"/>
      <c r="DN118" s="671"/>
      <c r="DO118" s="671"/>
      <c r="DP118" s="671"/>
      <c r="DQ118" s="671"/>
      <c r="DR118" s="671"/>
      <c r="DS118" s="671"/>
    </row>
    <row r="119" spans="1:123">
      <c r="A119" s="732"/>
      <c r="B119" s="527">
        <v>2</v>
      </c>
      <c r="C119" s="71" t="s">
        <v>123</v>
      </c>
      <c r="D119" s="569" t="s">
        <v>853</v>
      </c>
      <c r="E119" s="549">
        <v>0</v>
      </c>
      <c r="F119" s="72"/>
      <c r="G119" s="72" t="str">
        <f t="shared" si="150"/>
        <v>046165L</v>
      </c>
      <c r="I119" s="631" t="s">
        <v>698</v>
      </c>
      <c r="J119" s="671" t="s">
        <v>825</v>
      </c>
      <c r="K119" s="564" t="s">
        <v>603</v>
      </c>
      <c r="L119" s="566" t="s">
        <v>695</v>
      </c>
      <c r="M119" s="565">
        <f t="shared" si="266"/>
        <v>0</v>
      </c>
      <c r="N119" s="565">
        <f t="shared" si="266"/>
        <v>0</v>
      </c>
      <c r="O119" s="565">
        <f t="shared" si="266"/>
        <v>0</v>
      </c>
      <c r="P119" s="565">
        <f t="shared" si="266"/>
        <v>0</v>
      </c>
      <c r="Q119" s="565">
        <f t="shared" si="266"/>
        <v>0</v>
      </c>
      <c r="R119" s="565">
        <f t="shared" si="254"/>
        <v>1</v>
      </c>
      <c r="S119" s="603">
        <v>0</v>
      </c>
      <c r="T119" s="633"/>
      <c r="U119" s="603"/>
      <c r="V119" s="603">
        <v>0</v>
      </c>
      <c r="W119" s="603">
        <v>0</v>
      </c>
      <c r="X119" s="631"/>
      <c r="Y119" s="69">
        <f t="shared" si="275"/>
        <v>0</v>
      </c>
      <c r="Z119" s="69">
        <f t="shared" si="275"/>
        <v>0</v>
      </c>
      <c r="AA119" s="69">
        <f t="shared" si="275"/>
        <v>0</v>
      </c>
      <c r="AB119" s="69">
        <f t="shared" si="275"/>
        <v>0</v>
      </c>
      <c r="AC119" s="69">
        <f t="shared" si="275"/>
        <v>0</v>
      </c>
      <c r="AD119" s="631"/>
      <c r="AE119" s="565">
        <f t="shared" ref="AE119:AI121" si="278">M119</f>
        <v>0</v>
      </c>
      <c r="AF119" s="565">
        <f t="shared" si="278"/>
        <v>0</v>
      </c>
      <c r="AG119" s="565">
        <f t="shared" si="278"/>
        <v>0</v>
      </c>
      <c r="AH119" s="565">
        <f t="shared" si="278"/>
        <v>0</v>
      </c>
      <c r="AI119" s="565">
        <f t="shared" si="278"/>
        <v>0</v>
      </c>
      <c r="AJ119" s="631"/>
      <c r="AK119" s="570">
        <f t="shared" si="270"/>
        <v>0</v>
      </c>
      <c r="AL119" s="570"/>
      <c r="AM119" s="570">
        <f t="shared" si="271"/>
        <v>0</v>
      </c>
      <c r="AN119" s="570">
        <f t="shared" si="272"/>
        <v>0</v>
      </c>
      <c r="AO119" s="570">
        <f t="shared" si="273"/>
        <v>0</v>
      </c>
      <c r="AP119" s="631"/>
      <c r="AQ119" s="69">
        <f t="shared" si="261"/>
        <v>0</v>
      </c>
      <c r="AR119" s="69">
        <f t="shared" si="257"/>
        <v>0</v>
      </c>
      <c r="AS119" s="69">
        <f t="shared" si="262"/>
        <v>0</v>
      </c>
      <c r="AT119" s="69">
        <f t="shared" si="263"/>
        <v>0</v>
      </c>
      <c r="AU119" s="69">
        <f t="shared" si="264"/>
        <v>0</v>
      </c>
      <c r="AV119" s="69">
        <f>SUM(AQ119:AU119)-SUM(Y119:AC119)</f>
        <v>0</v>
      </c>
      <c r="AW119" s="69"/>
      <c r="AX119" s="577">
        <v>39</v>
      </c>
      <c r="AY119" s="567"/>
      <c r="AZ119" s="567"/>
      <c r="BA119" s="567"/>
      <c r="BB119" s="567"/>
      <c r="BC119" s="567"/>
      <c r="BD119" s="567"/>
      <c r="BE119" s="573">
        <f t="shared" si="251"/>
        <v>8.0000000000000016E-2</v>
      </c>
      <c r="BF119" s="563"/>
      <c r="BG119" s="563">
        <f t="shared" si="265"/>
        <v>0.08</v>
      </c>
      <c r="BH119" s="563"/>
      <c r="BI119" s="563"/>
      <c r="BJ119" s="563"/>
      <c r="BK119" s="631"/>
      <c r="BL119" s="631"/>
      <c r="BM119" s="571">
        <f t="shared" si="245"/>
        <v>0</v>
      </c>
      <c r="BN119" s="571">
        <f t="shared" si="246"/>
        <v>0</v>
      </c>
      <c r="BO119" s="571">
        <f t="shared" si="276"/>
        <v>0</v>
      </c>
      <c r="BP119" s="571">
        <f t="shared" si="276"/>
        <v>0</v>
      </c>
      <c r="BQ119" s="571">
        <f t="shared" si="276"/>
        <v>0</v>
      </c>
      <c r="BR119" s="631"/>
      <c r="BS119" s="563">
        <f t="shared" si="277"/>
        <v>0</v>
      </c>
      <c r="BT119" s="563">
        <f t="shared" si="277"/>
        <v>0</v>
      </c>
      <c r="BU119" s="563">
        <f t="shared" si="277"/>
        <v>0</v>
      </c>
      <c r="BV119" s="563">
        <f t="shared" si="277"/>
        <v>0</v>
      </c>
      <c r="BW119" s="563">
        <f t="shared" si="277"/>
        <v>0</v>
      </c>
      <c r="BX119" s="631"/>
      <c r="BY119" s="631"/>
      <c r="BZ119" s="631"/>
      <c r="CA119" s="631"/>
      <c r="CB119" s="631"/>
      <c r="CC119" s="631"/>
      <c r="CD119" s="631"/>
      <c r="CE119" s="631"/>
      <c r="CF119" s="631"/>
      <c r="CG119" s="631"/>
      <c r="CH119" s="631"/>
      <c r="DN119" s="671"/>
      <c r="DO119" s="671"/>
      <c r="DP119" s="671"/>
      <c r="DQ119" s="671"/>
      <c r="DR119" s="671"/>
      <c r="DS119" s="671"/>
    </row>
    <row r="120" spans="1:123">
      <c r="A120" s="732"/>
      <c r="B120" s="527">
        <v>2</v>
      </c>
      <c r="C120" s="71" t="s">
        <v>123</v>
      </c>
      <c r="D120" s="569" t="s">
        <v>854</v>
      </c>
      <c r="E120" s="549">
        <v>0</v>
      </c>
      <c r="F120" s="72"/>
      <c r="G120" s="72" t="str">
        <f t="shared" si="150"/>
        <v>046175L</v>
      </c>
      <c r="I120" t="s">
        <v>128</v>
      </c>
      <c r="J120" t="s">
        <v>825</v>
      </c>
      <c r="K120" s="58" t="s">
        <v>147</v>
      </c>
      <c r="L120" s="96">
        <v>831</v>
      </c>
      <c r="M120" s="68">
        <f t="shared" si="266"/>
        <v>0</v>
      </c>
      <c r="N120" s="68">
        <f t="shared" si="266"/>
        <v>0</v>
      </c>
      <c r="O120" s="68">
        <f t="shared" si="266"/>
        <v>0</v>
      </c>
      <c r="P120" s="68">
        <f t="shared" si="266"/>
        <v>0</v>
      </c>
      <c r="Q120" s="68">
        <f t="shared" si="266"/>
        <v>0</v>
      </c>
      <c r="R120" s="565">
        <f t="shared" si="254"/>
        <v>1</v>
      </c>
      <c r="S120" s="603">
        <v>0</v>
      </c>
      <c r="T120" s="603"/>
      <c r="U120" s="603">
        <v>20.46</v>
      </c>
      <c r="V120" s="603">
        <v>0</v>
      </c>
      <c r="W120" s="603">
        <v>0</v>
      </c>
      <c r="Y120" s="69">
        <f t="shared" ref="Y120:AC121" si="279">IF(AND(M120&lt;&gt;0,S120=0),#VALUE!,M120*S120)</f>
        <v>0</v>
      </c>
      <c r="Z120" s="69">
        <f t="shared" si="279"/>
        <v>0</v>
      </c>
      <c r="AA120" s="69">
        <f t="shared" si="279"/>
        <v>0</v>
      </c>
      <c r="AB120" s="69">
        <f t="shared" si="279"/>
        <v>0</v>
      </c>
      <c r="AC120" s="69">
        <f t="shared" si="279"/>
        <v>0</v>
      </c>
      <c r="AE120" s="68">
        <f t="shared" si="278"/>
        <v>0</v>
      </c>
      <c r="AF120" s="68">
        <f t="shared" si="278"/>
        <v>0</v>
      </c>
      <c r="AG120" s="68">
        <f t="shared" si="278"/>
        <v>0</v>
      </c>
      <c r="AH120" s="68">
        <f t="shared" si="278"/>
        <v>0</v>
      </c>
      <c r="AI120" s="68">
        <f t="shared" si="278"/>
        <v>0</v>
      </c>
      <c r="AK120" s="423">
        <f t="shared" si="270"/>
        <v>0</v>
      </c>
      <c r="AL120" s="570"/>
      <c r="AM120" s="570">
        <f t="shared" si="271"/>
        <v>21.14</v>
      </c>
      <c r="AN120" s="570">
        <f t="shared" si="272"/>
        <v>0</v>
      </c>
      <c r="AO120" s="570">
        <f t="shared" si="273"/>
        <v>0</v>
      </c>
      <c r="AQ120" s="69">
        <f t="shared" si="261"/>
        <v>0</v>
      </c>
      <c r="AR120" s="69">
        <f t="shared" si="257"/>
        <v>0</v>
      </c>
      <c r="AS120" s="69">
        <f t="shared" si="262"/>
        <v>0</v>
      </c>
      <c r="AT120" s="69">
        <f t="shared" si="263"/>
        <v>0</v>
      </c>
      <c r="AU120" s="69">
        <f t="shared" si="264"/>
        <v>0</v>
      </c>
      <c r="AV120" s="69">
        <f>SUM(AQ120:AU120)-SUM(Y120:AC120)</f>
        <v>0</v>
      </c>
      <c r="AW120" s="69"/>
      <c r="AX120" s="434">
        <v>169</v>
      </c>
      <c r="AY120" s="567"/>
      <c r="AZ120" s="567"/>
      <c r="BA120" s="567">
        <v>21.15</v>
      </c>
      <c r="BB120" s="567"/>
      <c r="BC120" s="567"/>
      <c r="BD120" s="139"/>
      <c r="BE120" s="573">
        <f t="shared" si="251"/>
        <v>0.37999999999999989</v>
      </c>
      <c r="BF120" s="53"/>
      <c r="BG120" s="53">
        <f t="shared" si="265"/>
        <v>0.38</v>
      </c>
      <c r="BH120" s="53">
        <f>ROUND((U120*$BF$2)+$BE120-BA120,2)</f>
        <v>0</v>
      </c>
      <c r="BI120" s="53"/>
      <c r="BJ120" s="53"/>
      <c r="BM120" s="278">
        <f t="shared" si="245"/>
        <v>0</v>
      </c>
      <c r="BN120" s="278">
        <f t="shared" si="246"/>
        <v>0</v>
      </c>
      <c r="BO120" s="278">
        <f t="shared" si="276"/>
        <v>21.459213999999999</v>
      </c>
      <c r="BP120" s="278">
        <f t="shared" si="276"/>
        <v>0</v>
      </c>
      <c r="BQ120" s="278">
        <f t="shared" si="276"/>
        <v>0</v>
      </c>
      <c r="BS120" s="53">
        <f t="shared" ref="BS120:BW121" si="280">BM120-AY120</f>
        <v>0</v>
      </c>
      <c r="BT120" s="53">
        <f t="shared" si="280"/>
        <v>0</v>
      </c>
      <c r="BU120" s="53">
        <f t="shared" si="280"/>
        <v>0.30921400000000077</v>
      </c>
      <c r="BV120" s="53">
        <f t="shared" si="280"/>
        <v>0</v>
      </c>
      <c r="BW120" s="53">
        <f t="shared" si="280"/>
        <v>0</v>
      </c>
      <c r="CH120" s="631"/>
      <c r="CI120" s="631"/>
      <c r="CJ120" s="631"/>
      <c r="DN120" s="671"/>
      <c r="DO120" s="671"/>
      <c r="DP120" s="671"/>
      <c r="DQ120" s="671"/>
      <c r="DR120" s="671"/>
      <c r="DS120" s="671"/>
    </row>
    <row r="121" spans="1:123">
      <c r="A121" s="732"/>
      <c r="B121" s="527">
        <v>2</v>
      </c>
      <c r="C121" s="71" t="s">
        <v>123</v>
      </c>
      <c r="D121" s="569" t="s">
        <v>855</v>
      </c>
      <c r="E121" s="549">
        <v>0</v>
      </c>
      <c r="F121" s="72"/>
      <c r="G121" s="72" t="str">
        <f t="shared" si="150"/>
        <v>046185L</v>
      </c>
      <c r="I121" s="631" t="s">
        <v>698</v>
      </c>
      <c r="J121" s="671" t="s">
        <v>825</v>
      </c>
      <c r="K121" s="564" t="s">
        <v>626</v>
      </c>
      <c r="L121" s="566" t="s">
        <v>704</v>
      </c>
      <c r="M121" s="565">
        <f t="shared" si="266"/>
        <v>0</v>
      </c>
      <c r="N121" s="565">
        <f t="shared" si="266"/>
        <v>0</v>
      </c>
      <c r="O121" s="565">
        <f t="shared" si="266"/>
        <v>0</v>
      </c>
      <c r="P121" s="565">
        <f t="shared" si="266"/>
        <v>0</v>
      </c>
      <c r="Q121" s="565">
        <f t="shared" si="266"/>
        <v>0</v>
      </c>
      <c r="R121" s="565">
        <f t="shared" si="254"/>
        <v>1</v>
      </c>
      <c r="S121" s="603">
        <v>0</v>
      </c>
      <c r="T121" s="633"/>
      <c r="U121" s="603"/>
      <c r="V121" s="603">
        <v>0</v>
      </c>
      <c r="W121" s="603">
        <v>0</v>
      </c>
      <c r="X121" s="631"/>
      <c r="Y121" s="69">
        <f t="shared" si="279"/>
        <v>0</v>
      </c>
      <c r="Z121" s="69">
        <f t="shared" si="279"/>
        <v>0</v>
      </c>
      <c r="AA121" s="69">
        <f t="shared" si="279"/>
        <v>0</v>
      </c>
      <c r="AB121" s="69">
        <f t="shared" si="279"/>
        <v>0</v>
      </c>
      <c r="AC121" s="69">
        <f t="shared" si="279"/>
        <v>0</v>
      </c>
      <c r="AD121" s="631"/>
      <c r="AE121" s="565">
        <f t="shared" si="278"/>
        <v>0</v>
      </c>
      <c r="AF121" s="565">
        <f t="shared" si="278"/>
        <v>0</v>
      </c>
      <c r="AG121" s="565">
        <f t="shared" si="278"/>
        <v>0</v>
      </c>
      <c r="AH121" s="565">
        <f t="shared" si="278"/>
        <v>0</v>
      </c>
      <c r="AI121" s="565">
        <f t="shared" si="278"/>
        <v>0</v>
      </c>
      <c r="AJ121" s="631"/>
      <c r="AK121" s="570">
        <f t="shared" si="270"/>
        <v>0</v>
      </c>
      <c r="AL121" s="570"/>
      <c r="AM121" s="570">
        <f t="shared" si="271"/>
        <v>0</v>
      </c>
      <c r="AN121" s="570">
        <f t="shared" si="272"/>
        <v>0</v>
      </c>
      <c r="AO121" s="570">
        <f t="shared" si="273"/>
        <v>0</v>
      </c>
      <c r="AP121" s="631"/>
      <c r="AQ121" s="69">
        <f t="shared" si="261"/>
        <v>0</v>
      </c>
      <c r="AR121" s="69">
        <f t="shared" si="257"/>
        <v>0</v>
      </c>
      <c r="AS121" s="69">
        <f t="shared" si="262"/>
        <v>0</v>
      </c>
      <c r="AT121" s="69">
        <f t="shared" si="263"/>
        <v>0</v>
      </c>
      <c r="AU121" s="69">
        <f t="shared" si="264"/>
        <v>0</v>
      </c>
      <c r="AV121" s="69">
        <f>SUM(AQ121:AU121)-SUM(Y121:AC121)</f>
        <v>0</v>
      </c>
      <c r="AW121" s="69"/>
      <c r="AX121" s="577">
        <v>83</v>
      </c>
      <c r="AY121" s="567"/>
      <c r="AZ121" s="567"/>
      <c r="BA121" s="567"/>
      <c r="BB121" s="567"/>
      <c r="BC121" s="567"/>
      <c r="BD121" s="567"/>
      <c r="BE121" s="573">
        <f t="shared" si="251"/>
        <v>0.18999999999999995</v>
      </c>
      <c r="BF121" s="563"/>
      <c r="BG121" s="563">
        <f t="shared" si="265"/>
        <v>0.19</v>
      </c>
      <c r="BH121" s="563"/>
      <c r="BI121" s="563"/>
      <c r="BJ121" s="563"/>
      <c r="BK121" s="631"/>
      <c r="BL121" s="631"/>
      <c r="BM121" s="571">
        <f t="shared" si="245"/>
        <v>0</v>
      </c>
      <c r="BN121" s="571">
        <f t="shared" si="246"/>
        <v>0</v>
      </c>
      <c r="BO121" s="571">
        <f t="shared" si="276"/>
        <v>0</v>
      </c>
      <c r="BP121" s="571">
        <f t="shared" si="276"/>
        <v>0</v>
      </c>
      <c r="BQ121" s="571">
        <f t="shared" si="276"/>
        <v>0</v>
      </c>
      <c r="BR121" s="631"/>
      <c r="BS121" s="563">
        <f t="shared" si="280"/>
        <v>0</v>
      </c>
      <c r="BT121" s="563">
        <f t="shared" si="280"/>
        <v>0</v>
      </c>
      <c r="BU121" s="563">
        <f t="shared" si="280"/>
        <v>0</v>
      </c>
      <c r="BV121" s="563">
        <f t="shared" si="280"/>
        <v>0</v>
      </c>
      <c r="BW121" s="563">
        <f t="shared" si="280"/>
        <v>0</v>
      </c>
      <c r="BX121" s="631"/>
      <c r="BY121" s="631"/>
      <c r="BZ121" s="631"/>
      <c r="CA121" s="631"/>
      <c r="CB121" s="631"/>
      <c r="CC121" s="631"/>
      <c r="CD121" s="631"/>
      <c r="CE121" s="631"/>
      <c r="CF121" s="631"/>
      <c r="CG121" s="631"/>
    </row>
    <row r="122" spans="1:123">
      <c r="A122" s="732"/>
      <c r="B122" s="527">
        <v>2</v>
      </c>
      <c r="C122" s="71" t="s">
        <v>123</v>
      </c>
      <c r="D122" s="569" t="s">
        <v>856</v>
      </c>
      <c r="E122" s="549">
        <v>0</v>
      </c>
      <c r="F122" s="72"/>
      <c r="G122" s="72" t="str">
        <f t="shared" si="150"/>
        <v>046195L</v>
      </c>
      <c r="I122" s="422" t="s">
        <v>698</v>
      </c>
      <c r="J122" s="671" t="s">
        <v>825</v>
      </c>
      <c r="K122" s="564" t="s">
        <v>626</v>
      </c>
      <c r="L122" s="566" t="s">
        <v>627</v>
      </c>
      <c r="M122" s="565">
        <f t="shared" si="266"/>
        <v>0</v>
      </c>
      <c r="N122" s="565">
        <f t="shared" si="266"/>
        <v>0</v>
      </c>
      <c r="O122" s="565">
        <f t="shared" si="266"/>
        <v>0</v>
      </c>
      <c r="P122" s="565">
        <f t="shared" si="266"/>
        <v>0</v>
      </c>
      <c r="Q122" s="565">
        <f t="shared" si="266"/>
        <v>0</v>
      </c>
      <c r="R122" s="565">
        <f t="shared" si="254"/>
        <v>1</v>
      </c>
      <c r="S122" s="603">
        <v>0</v>
      </c>
      <c r="T122" s="633">
        <f>T120</f>
        <v>0</v>
      </c>
      <c r="U122" s="603">
        <v>0</v>
      </c>
      <c r="V122" s="603">
        <v>0</v>
      </c>
      <c r="W122" s="603"/>
      <c r="X122" s="620"/>
      <c r="Y122" s="620"/>
      <c r="Z122" s="69">
        <f t="shared" ref="Z122:AC124" si="281">IF(AND(N122&lt;&gt;0,T122=0),#VALUE!,N122*T122)</f>
        <v>0</v>
      </c>
      <c r="AA122" s="69">
        <f t="shared" si="281"/>
        <v>0</v>
      </c>
      <c r="AB122" s="69">
        <f t="shared" si="281"/>
        <v>0</v>
      </c>
      <c r="AC122" s="69">
        <f t="shared" si="281"/>
        <v>0</v>
      </c>
      <c r="AD122" s="620"/>
      <c r="AE122" s="565">
        <f>SUMIF($G:$G,TEXT(AE$3,"000")&amp;TEXT($L122,"000"),$E:$E)</f>
        <v>0</v>
      </c>
      <c r="AF122" s="565">
        <f>SUMIF($G:$G,TEXT(AF$3,"000")&amp;TEXT($L122,"000"),$E:$E)</f>
        <v>0</v>
      </c>
      <c r="AG122" s="565">
        <f>SUMIF($G:$G,TEXT(AG$3,"000")&amp;TEXT($L122,"000"),$E:$E)</f>
        <v>0</v>
      </c>
      <c r="AH122" s="565">
        <f>SUMIF($G:$G,TEXT(AH$3,"000")&amp;TEXT($L122,"000"),$E:$E)</f>
        <v>0</v>
      </c>
      <c r="AI122" s="565">
        <f>SUMIF($G:$G,TEXT(AI$3,"000")&amp;TEXT($L122,"000"),$E:$E)</f>
        <v>0</v>
      </c>
      <c r="AJ122" s="620"/>
      <c r="AK122" s="570">
        <f t="shared" si="270"/>
        <v>0</v>
      </c>
      <c r="AL122" s="570">
        <f>AL120</f>
        <v>0</v>
      </c>
      <c r="AM122" s="570">
        <f t="shared" si="271"/>
        <v>0</v>
      </c>
      <c r="AN122" s="570">
        <f t="shared" si="272"/>
        <v>0</v>
      </c>
      <c r="AO122" s="570">
        <f t="shared" si="273"/>
        <v>0</v>
      </c>
      <c r="AP122" s="620"/>
      <c r="AQ122" s="69">
        <f t="shared" si="261"/>
        <v>0</v>
      </c>
      <c r="AR122" s="69">
        <f t="shared" si="257"/>
        <v>0</v>
      </c>
      <c r="AS122" s="69">
        <f t="shared" si="262"/>
        <v>0</v>
      </c>
      <c r="AT122" s="69">
        <f t="shared" si="263"/>
        <v>0</v>
      </c>
      <c r="AU122" s="69">
        <f t="shared" si="264"/>
        <v>0</v>
      </c>
      <c r="AY122" s="19"/>
      <c r="AZ122" s="19"/>
      <c r="BA122" s="19"/>
      <c r="BB122" s="19"/>
      <c r="BC122" s="19"/>
    </row>
    <row r="123" spans="1:123">
      <c r="A123" s="732"/>
      <c r="B123" s="527">
        <v>2</v>
      </c>
      <c r="C123" s="71" t="s">
        <v>123</v>
      </c>
      <c r="D123" s="569" t="s">
        <v>857</v>
      </c>
      <c r="E123" s="549">
        <v>0</v>
      </c>
      <c r="F123" s="72"/>
      <c r="G123" s="72" t="str">
        <f t="shared" si="150"/>
        <v>046212L</v>
      </c>
      <c r="I123" s="631" t="s">
        <v>702</v>
      </c>
      <c r="J123" s="671" t="s">
        <v>826</v>
      </c>
      <c r="K123" s="564" t="s">
        <v>603</v>
      </c>
      <c r="L123" s="566" t="s">
        <v>701</v>
      </c>
      <c r="M123" s="565">
        <f t="shared" si="266"/>
        <v>0</v>
      </c>
      <c r="N123" s="565">
        <f t="shared" si="266"/>
        <v>0</v>
      </c>
      <c r="O123" s="565">
        <f t="shared" si="266"/>
        <v>0</v>
      </c>
      <c r="P123" s="565">
        <f t="shared" si="266"/>
        <v>0</v>
      </c>
      <c r="Q123" s="565">
        <f t="shared" si="266"/>
        <v>0</v>
      </c>
      <c r="R123" s="565">
        <f t="shared" si="254"/>
        <v>1</v>
      </c>
      <c r="S123" s="603">
        <v>0</v>
      </c>
      <c r="T123" s="633">
        <f>T70-T95-T95</f>
        <v>32.03</v>
      </c>
      <c r="U123" s="603">
        <v>0</v>
      </c>
      <c r="V123" s="603">
        <v>0</v>
      </c>
      <c r="W123" s="603">
        <v>0</v>
      </c>
      <c r="X123" s="631"/>
      <c r="Y123" s="69">
        <f>IF(AND(M123&lt;&gt;0,S123=0),#VALUE!,M123*S123)</f>
        <v>0</v>
      </c>
      <c r="Z123" s="69">
        <f t="shared" si="281"/>
        <v>0</v>
      </c>
      <c r="AA123" s="69">
        <f t="shared" si="281"/>
        <v>0</v>
      </c>
      <c r="AB123" s="69">
        <f t="shared" si="281"/>
        <v>0</v>
      </c>
      <c r="AC123" s="69">
        <f t="shared" si="281"/>
        <v>0</v>
      </c>
      <c r="AD123" s="631"/>
      <c r="AE123" s="565">
        <f t="shared" ref="AE123:AI124" si="282">M123</f>
        <v>0</v>
      </c>
      <c r="AF123" s="565">
        <f t="shared" si="282"/>
        <v>0</v>
      </c>
      <c r="AG123" s="565">
        <f t="shared" si="282"/>
        <v>0</v>
      </c>
      <c r="AH123" s="565">
        <f t="shared" si="282"/>
        <v>0</v>
      </c>
      <c r="AI123" s="565">
        <f t="shared" si="282"/>
        <v>0</v>
      </c>
      <c r="AJ123" s="631"/>
      <c r="AK123" s="570">
        <f t="shared" si="270"/>
        <v>0</v>
      </c>
      <c r="AL123" s="570">
        <f>AL70-AL95-AL95</f>
        <v>33.46</v>
      </c>
      <c r="AM123" s="570">
        <f t="shared" si="271"/>
        <v>0</v>
      </c>
      <c r="AN123" s="570">
        <f t="shared" si="272"/>
        <v>0</v>
      </c>
      <c r="AO123" s="570">
        <f t="shared" si="273"/>
        <v>0</v>
      </c>
      <c r="AP123" s="631"/>
      <c r="AQ123" s="69">
        <f t="shared" si="261"/>
        <v>0</v>
      </c>
      <c r="AR123" s="69">
        <f t="shared" si="257"/>
        <v>0</v>
      </c>
      <c r="AS123" s="69">
        <f t="shared" si="262"/>
        <v>0</v>
      </c>
      <c r="AT123" s="69">
        <f t="shared" si="263"/>
        <v>0</v>
      </c>
      <c r="AU123" s="69">
        <f t="shared" si="264"/>
        <v>0</v>
      </c>
      <c r="AV123" s="69">
        <f>SUM(AQ123:AU123)-SUM(Y123:AC123)</f>
        <v>0</v>
      </c>
      <c r="AW123" s="69"/>
      <c r="AX123" s="577">
        <v>78</v>
      </c>
      <c r="AY123" s="567"/>
      <c r="AZ123" s="567">
        <v>32.68</v>
      </c>
      <c r="BA123" s="567"/>
      <c r="BB123" s="567"/>
      <c r="BC123" s="567"/>
      <c r="BD123" s="567"/>
      <c r="BE123" s="573">
        <f>ROUND(AX123*$BE$2,2)+ROUND(AX123*$BE$1,2)</f>
        <v>0.18000000000000005</v>
      </c>
      <c r="BF123" s="563"/>
      <c r="BG123" s="563">
        <f>ROUND((T123*$BF$2)+$BE123-AZ123,2)</f>
        <v>0.01</v>
      </c>
      <c r="BH123" s="563"/>
      <c r="BI123" s="563"/>
      <c r="BJ123" s="563"/>
      <c r="BK123" s="631"/>
      <c r="BL123" s="631"/>
      <c r="BM123" s="571">
        <f t="shared" ref="BM123:BQ124" si="283">AK123*$BM$1</f>
        <v>0</v>
      </c>
      <c r="BN123" s="571">
        <f t="shared" si="283"/>
        <v>33.965246</v>
      </c>
      <c r="BO123" s="571">
        <f t="shared" si="283"/>
        <v>0</v>
      </c>
      <c r="BP123" s="571">
        <f t="shared" si="283"/>
        <v>0</v>
      </c>
      <c r="BQ123" s="571">
        <f t="shared" si="283"/>
        <v>0</v>
      </c>
      <c r="BR123" s="631"/>
      <c r="BS123" s="563">
        <f t="shared" ref="BS123:BW124" si="284">BM123-AY123</f>
        <v>0</v>
      </c>
      <c r="BT123" s="563">
        <f t="shared" si="284"/>
        <v>1.2852460000000008</v>
      </c>
      <c r="BU123" s="563">
        <f t="shared" si="284"/>
        <v>0</v>
      </c>
      <c r="BV123" s="563">
        <f t="shared" si="284"/>
        <v>0</v>
      </c>
      <c r="BW123" s="563">
        <f t="shared" si="284"/>
        <v>0</v>
      </c>
      <c r="BX123" s="631"/>
      <c r="BY123" s="631"/>
      <c r="BZ123" s="631"/>
      <c r="CA123" s="631"/>
      <c r="CB123" s="631"/>
      <c r="CC123" s="631"/>
      <c r="CD123" s="631"/>
      <c r="CE123" s="631"/>
      <c r="CF123" s="631"/>
      <c r="CG123" s="631"/>
      <c r="DH123" s="664"/>
      <c r="DI123" s="664"/>
      <c r="DJ123" s="664"/>
      <c r="DK123" s="664"/>
      <c r="DL123" s="664"/>
    </row>
    <row r="124" spans="1:123">
      <c r="A124" s="732"/>
      <c r="B124" s="527">
        <v>2</v>
      </c>
      <c r="C124" s="71" t="s">
        <v>123</v>
      </c>
      <c r="D124" s="569" t="s">
        <v>858</v>
      </c>
      <c r="E124" s="549">
        <v>30</v>
      </c>
      <c r="F124" s="72"/>
      <c r="G124" s="72" t="str">
        <f t="shared" si="150"/>
        <v>046237L</v>
      </c>
      <c r="I124" s="599" t="s">
        <v>433</v>
      </c>
      <c r="J124" s="599" t="s">
        <v>110</v>
      </c>
      <c r="K124" s="604" t="s">
        <v>140</v>
      </c>
      <c r="L124" s="683">
        <v>478</v>
      </c>
      <c r="M124" s="684">
        <f t="shared" ref="M124:Q136" si="285">SUMIF($G:$G,TEXT(M$3,"000")&amp;TEXT($L124,"000"),$E:$E)</f>
        <v>0</v>
      </c>
      <c r="N124" s="684">
        <f t="shared" si="285"/>
        <v>0</v>
      </c>
      <c r="O124" s="621">
        <f t="shared" si="285"/>
        <v>0</v>
      </c>
      <c r="P124" s="621">
        <f t="shared" si="285"/>
        <v>0</v>
      </c>
      <c r="Q124" s="621">
        <f t="shared" si="285"/>
        <v>0</v>
      </c>
      <c r="R124" s="621">
        <f t="shared" si="254"/>
        <v>1</v>
      </c>
      <c r="S124" s="622">
        <v>0</v>
      </c>
      <c r="T124" s="622">
        <v>18.170000000000002</v>
      </c>
      <c r="U124" s="622">
        <v>0</v>
      </c>
      <c r="V124" s="622">
        <v>0</v>
      </c>
      <c r="W124" s="622">
        <v>0</v>
      </c>
      <c r="X124" s="599"/>
      <c r="Y124" s="673">
        <f>IF(AND(M124&lt;&gt;0,S124=0),#VALUE!,M124*S124)</f>
        <v>0</v>
      </c>
      <c r="Z124" s="673">
        <f t="shared" si="281"/>
        <v>0</v>
      </c>
      <c r="AA124" s="673">
        <f t="shared" si="281"/>
        <v>0</v>
      </c>
      <c r="AB124" s="673">
        <f t="shared" si="281"/>
        <v>0</v>
      </c>
      <c r="AC124" s="673">
        <f t="shared" si="281"/>
        <v>0</v>
      </c>
      <c r="AD124" s="599"/>
      <c r="AE124" s="621">
        <f t="shared" si="282"/>
        <v>0</v>
      </c>
      <c r="AF124" s="621">
        <f t="shared" si="282"/>
        <v>0</v>
      </c>
      <c r="AG124" s="621">
        <f t="shared" si="282"/>
        <v>0</v>
      </c>
      <c r="AH124" s="621">
        <f t="shared" si="282"/>
        <v>0</v>
      </c>
      <c r="AI124" s="621">
        <f t="shared" si="282"/>
        <v>0</v>
      </c>
      <c r="AJ124" s="599"/>
      <c r="AK124" s="623">
        <f t="shared" si="270"/>
        <v>0</v>
      </c>
      <c r="AL124" s="623">
        <f>ROUND(T124*(1+AL$1),2)</f>
        <v>18.78</v>
      </c>
      <c r="AM124" s="623">
        <f t="shared" si="271"/>
        <v>0</v>
      </c>
      <c r="AN124" s="570">
        <f t="shared" si="272"/>
        <v>0</v>
      </c>
      <c r="AO124" s="570">
        <f t="shared" si="273"/>
        <v>0</v>
      </c>
      <c r="AP124" s="328"/>
      <c r="AQ124" s="69">
        <f t="shared" si="261"/>
        <v>0</v>
      </c>
      <c r="AR124" s="69">
        <f t="shared" si="257"/>
        <v>0</v>
      </c>
      <c r="AS124" s="69">
        <f t="shared" si="262"/>
        <v>0</v>
      </c>
      <c r="AT124" s="69">
        <f t="shared" si="263"/>
        <v>0</v>
      </c>
      <c r="AU124" s="69">
        <f t="shared" si="264"/>
        <v>0</v>
      </c>
      <c r="AV124" s="69">
        <f>SUM(AQ124:AU124)-SUM(Y124:AC124)</f>
        <v>0</v>
      </c>
      <c r="AW124" s="69"/>
      <c r="AX124" s="434"/>
      <c r="AY124" s="567"/>
      <c r="AZ124" s="567">
        <v>18.440000000000001</v>
      </c>
      <c r="BA124" s="567"/>
      <c r="BB124" s="567"/>
      <c r="BC124" s="567"/>
      <c r="BD124" s="139"/>
      <c r="BE124" s="573">
        <f>ROUND(AX124*$BE$2,2)+ROUND(AX124*$BE$1,2)</f>
        <v>0</v>
      </c>
      <c r="BF124" s="53"/>
      <c r="BG124" s="53">
        <f>ROUND((T124*$BF$2)+$BE124-AZ124,2)</f>
        <v>0</v>
      </c>
      <c r="BH124" s="53"/>
      <c r="BI124" s="53"/>
      <c r="BJ124" s="53"/>
      <c r="BK124" s="328"/>
      <c r="BL124" s="328"/>
      <c r="BM124" s="278">
        <f t="shared" si="283"/>
        <v>0</v>
      </c>
      <c r="BN124" s="278">
        <f t="shared" si="283"/>
        <v>19.063578</v>
      </c>
      <c r="BO124" s="278">
        <f t="shared" si="283"/>
        <v>0</v>
      </c>
      <c r="BP124" s="278">
        <f t="shared" si="283"/>
        <v>0</v>
      </c>
      <c r="BQ124" s="278">
        <f t="shared" si="283"/>
        <v>0</v>
      </c>
      <c r="BR124" s="328"/>
      <c r="BS124" s="53">
        <f t="shared" si="284"/>
        <v>0</v>
      </c>
      <c r="BT124" s="53">
        <f t="shared" si="284"/>
        <v>0.62357799999999841</v>
      </c>
      <c r="BU124" s="53">
        <f t="shared" si="284"/>
        <v>0</v>
      </c>
      <c r="BV124" s="53">
        <f t="shared" si="284"/>
        <v>0</v>
      </c>
      <c r="BW124" s="53">
        <f t="shared" si="284"/>
        <v>0</v>
      </c>
      <c r="BX124" s="328"/>
      <c r="BY124" s="328"/>
      <c r="BZ124" s="328"/>
      <c r="CA124" s="328"/>
      <c r="CB124" s="328"/>
      <c r="CK124" s="430"/>
      <c r="CW124" s="580"/>
      <c r="CX124" s="580"/>
      <c r="DM124" s="671"/>
    </row>
    <row r="125" spans="1:123">
      <c r="A125" s="732"/>
      <c r="B125" s="527">
        <v>2</v>
      </c>
      <c r="C125" s="71" t="s">
        <v>123</v>
      </c>
      <c r="D125" s="527">
        <v>335</v>
      </c>
      <c r="E125" s="549">
        <v>8</v>
      </c>
      <c r="F125" s="72"/>
      <c r="G125" s="72" t="str">
        <f t="shared" ref="G125" si="286">IF(OR(ISBLANK(C125),ISBLANK(D125)),"",TEXT(C125,"000")&amp;TEXT(D125,"000"))</f>
        <v>046335</v>
      </c>
      <c r="I125" s="599" t="s">
        <v>128</v>
      </c>
      <c r="J125" s="599" t="s">
        <v>151</v>
      </c>
      <c r="K125" s="604" t="s">
        <v>142</v>
      </c>
      <c r="L125" s="605">
        <v>539</v>
      </c>
      <c r="M125" s="68">
        <f t="shared" si="285"/>
        <v>0</v>
      </c>
      <c r="N125" s="68">
        <f t="shared" si="285"/>
        <v>0</v>
      </c>
      <c r="O125" s="68">
        <f t="shared" si="285"/>
        <v>0</v>
      </c>
      <c r="P125" s="68">
        <f t="shared" si="285"/>
        <v>0</v>
      </c>
      <c r="Q125" s="68">
        <f t="shared" si="285"/>
        <v>0</v>
      </c>
      <c r="R125" s="68">
        <f t="shared" si="254"/>
        <v>1</v>
      </c>
      <c r="S125" s="603"/>
      <c r="T125" s="603"/>
      <c r="U125" s="603"/>
      <c r="V125" s="603"/>
      <c r="W125" s="603"/>
      <c r="AE125" s="68">
        <f t="shared" ref="AE125:AI136" si="287">SUMIF($G:$G,TEXT(AE$3,"000")&amp;TEXT($L125,"000"),$E:$E)</f>
        <v>0</v>
      </c>
      <c r="AF125" s="68">
        <f t="shared" si="287"/>
        <v>0</v>
      </c>
      <c r="AG125" s="68">
        <f t="shared" si="287"/>
        <v>0</v>
      </c>
      <c r="AH125" s="68">
        <f t="shared" si="287"/>
        <v>0</v>
      </c>
      <c r="AI125" s="68">
        <f t="shared" si="287"/>
        <v>0</v>
      </c>
      <c r="AK125" s="423">
        <f t="shared" si="235"/>
        <v>0</v>
      </c>
      <c r="AL125" s="570">
        <f t="shared" si="233"/>
        <v>0</v>
      </c>
      <c r="AM125" s="570">
        <f t="shared" ref="AM125:AM135" si="288">ROUND(U125*(1+AM$1),2)</f>
        <v>0</v>
      </c>
      <c r="AN125" s="570">
        <f t="shared" ref="AN125:AN135" si="289">ROUND(V125*(1+AN$1),2)</f>
        <v>0</v>
      </c>
      <c r="AO125" s="570">
        <f t="shared" ref="AO125:AO135" si="290">ROUND(W125*(1+AO$1),2)</f>
        <v>0</v>
      </c>
      <c r="AX125" s="434"/>
      <c r="AY125" s="567"/>
      <c r="AZ125" s="567"/>
      <c r="BA125" s="567"/>
      <c r="BB125" s="567"/>
      <c r="BC125" s="567"/>
      <c r="BD125" s="139"/>
      <c r="BE125" s="573"/>
      <c r="BF125" s="53"/>
      <c r="BG125" s="53"/>
      <c r="BH125" s="53"/>
      <c r="BI125" s="53"/>
      <c r="BJ125" s="53"/>
      <c r="BM125" s="278">
        <f t="shared" ref="BM125:BM135" si="291">AK125*$BM$1</f>
        <v>0</v>
      </c>
      <c r="BN125" s="278">
        <f t="shared" ref="BN125:BN135" si="292">AL125*$BM$1</f>
        <v>0</v>
      </c>
      <c r="BO125" s="278">
        <f t="shared" si="76"/>
        <v>0</v>
      </c>
      <c r="BP125" s="278">
        <f t="shared" si="77"/>
        <v>0</v>
      </c>
      <c r="BQ125" s="278">
        <f t="shared" si="78"/>
        <v>0</v>
      </c>
      <c r="BS125" s="53">
        <f t="shared" si="70"/>
        <v>0</v>
      </c>
      <c r="BT125" s="53">
        <f t="shared" si="71"/>
        <v>0</v>
      </c>
      <c r="BU125" s="53">
        <f t="shared" si="72"/>
        <v>0</v>
      </c>
      <c r="BV125" s="53">
        <f t="shared" si="73"/>
        <v>0</v>
      </c>
      <c r="BW125" s="53">
        <f t="shared" si="74"/>
        <v>0</v>
      </c>
    </row>
    <row r="126" spans="1:123">
      <c r="A126" s="430"/>
      <c r="B126" s="527">
        <v>2</v>
      </c>
      <c r="C126" s="71" t="s">
        <v>123</v>
      </c>
      <c r="D126" s="527" t="s">
        <v>808</v>
      </c>
      <c r="E126" s="549">
        <v>0</v>
      </c>
      <c r="F126" s="72"/>
      <c r="G126" s="72" t="str">
        <f t="shared" ref="G126:G127" si="293">IF(OR(ISBLANK(C126),ISBLANK(D126)),"",TEXT(C126,"000")&amp;TEXT(D126,"000"))</f>
        <v>046295L</v>
      </c>
      <c r="I126" s="599" t="s">
        <v>139</v>
      </c>
      <c r="J126" s="599" t="s">
        <v>110</v>
      </c>
      <c r="K126" s="604" t="s">
        <v>142</v>
      </c>
      <c r="L126" s="605">
        <v>543</v>
      </c>
      <c r="M126" s="68">
        <f t="shared" si="285"/>
        <v>0</v>
      </c>
      <c r="N126" s="68">
        <f t="shared" si="285"/>
        <v>0</v>
      </c>
      <c r="O126" s="68">
        <f t="shared" si="285"/>
        <v>0</v>
      </c>
      <c r="P126" s="68">
        <f t="shared" si="285"/>
        <v>0</v>
      </c>
      <c r="Q126" s="68">
        <f t="shared" si="285"/>
        <v>0</v>
      </c>
      <c r="R126" s="68">
        <f t="shared" si="247"/>
        <v>1</v>
      </c>
      <c r="S126" s="603"/>
      <c r="T126" s="603"/>
      <c r="U126" s="603"/>
      <c r="V126" s="603"/>
      <c r="W126" s="603"/>
      <c r="AC126" s="69"/>
      <c r="AE126" s="68">
        <f t="shared" si="287"/>
        <v>0</v>
      </c>
      <c r="AF126" s="68">
        <f t="shared" si="287"/>
        <v>0</v>
      </c>
      <c r="AG126" s="68">
        <f t="shared" si="287"/>
        <v>0</v>
      </c>
      <c r="AH126" s="68">
        <f t="shared" si="287"/>
        <v>0</v>
      </c>
      <c r="AI126" s="68">
        <f t="shared" si="287"/>
        <v>0</v>
      </c>
      <c r="AK126" s="423">
        <f t="shared" si="235"/>
        <v>0</v>
      </c>
      <c r="AL126" s="570">
        <f t="shared" si="233"/>
        <v>0</v>
      </c>
      <c r="AM126" s="570">
        <f t="shared" si="288"/>
        <v>0</v>
      </c>
      <c r="AN126" s="570">
        <f t="shared" si="289"/>
        <v>0</v>
      </c>
      <c r="AO126" s="570">
        <f t="shared" si="290"/>
        <v>0</v>
      </c>
      <c r="AX126" s="434"/>
      <c r="AY126" s="567"/>
      <c r="AZ126" s="567"/>
      <c r="BA126" s="567"/>
      <c r="BB126" s="567"/>
      <c r="BC126" s="567"/>
      <c r="BD126" s="139"/>
      <c r="BE126" s="573"/>
      <c r="BF126" s="53"/>
      <c r="BG126" s="53"/>
      <c r="BH126" s="53"/>
      <c r="BI126" s="53"/>
      <c r="BJ126" s="53"/>
      <c r="BM126" s="278">
        <f t="shared" si="291"/>
        <v>0</v>
      </c>
      <c r="BN126" s="278">
        <f t="shared" si="292"/>
        <v>0</v>
      </c>
      <c r="BO126" s="278">
        <f t="shared" si="76"/>
        <v>0</v>
      </c>
      <c r="BP126" s="278">
        <f t="shared" si="77"/>
        <v>0</v>
      </c>
      <c r="BQ126" s="278">
        <f t="shared" si="78"/>
        <v>0</v>
      </c>
      <c r="BS126" s="53">
        <f t="shared" si="70"/>
        <v>0</v>
      </c>
      <c r="BT126" s="53">
        <f t="shared" si="71"/>
        <v>0</v>
      </c>
      <c r="BU126" s="53">
        <f t="shared" si="72"/>
        <v>0</v>
      </c>
      <c r="BV126" s="53">
        <f t="shared" si="73"/>
        <v>0</v>
      </c>
      <c r="BW126" s="53">
        <f t="shared" si="74"/>
        <v>0</v>
      </c>
    </row>
    <row r="127" spans="1:123">
      <c r="A127" s="430"/>
      <c r="B127" s="527">
        <v>2</v>
      </c>
      <c r="C127" s="71" t="s">
        <v>123</v>
      </c>
      <c r="D127" s="527" t="s">
        <v>809</v>
      </c>
      <c r="E127" s="549">
        <v>0</v>
      </c>
      <c r="F127" s="72"/>
      <c r="G127" s="72" t="str">
        <f t="shared" si="293"/>
        <v>046395L</v>
      </c>
      <c r="H127" s="46"/>
      <c r="I127" s="599" t="s">
        <v>133</v>
      </c>
      <c r="J127" s="599" t="s">
        <v>146</v>
      </c>
      <c r="K127" s="604">
        <v>20000</v>
      </c>
      <c r="L127" s="605">
        <v>619</v>
      </c>
      <c r="M127" s="68">
        <f t="shared" si="285"/>
        <v>0</v>
      </c>
      <c r="N127" s="68">
        <f t="shared" si="285"/>
        <v>0</v>
      </c>
      <c r="O127" s="68">
        <f t="shared" si="285"/>
        <v>0</v>
      </c>
      <c r="P127" s="68">
        <f t="shared" si="285"/>
        <v>0</v>
      </c>
      <c r="Q127" s="68">
        <f t="shared" si="285"/>
        <v>0</v>
      </c>
      <c r="R127" s="68">
        <f t="shared" si="247"/>
        <v>1</v>
      </c>
      <c r="S127" s="603"/>
      <c r="T127" s="603"/>
      <c r="U127" s="603"/>
      <c r="V127" s="603"/>
      <c r="W127" s="603"/>
      <c r="AE127" s="68">
        <f t="shared" si="287"/>
        <v>0</v>
      </c>
      <c r="AF127" s="68">
        <f t="shared" si="287"/>
        <v>0</v>
      </c>
      <c r="AG127" s="68">
        <f t="shared" si="287"/>
        <v>0</v>
      </c>
      <c r="AH127" s="68">
        <f t="shared" si="287"/>
        <v>0</v>
      </c>
      <c r="AI127" s="68">
        <f t="shared" si="287"/>
        <v>0</v>
      </c>
      <c r="AK127" s="423">
        <f t="shared" si="235"/>
        <v>0</v>
      </c>
      <c r="AL127" s="570">
        <f t="shared" si="233"/>
        <v>0</v>
      </c>
      <c r="AM127" s="570">
        <f t="shared" si="288"/>
        <v>0</v>
      </c>
      <c r="AN127" s="570">
        <f t="shared" si="289"/>
        <v>0</v>
      </c>
      <c r="AO127" s="570">
        <f t="shared" si="290"/>
        <v>0</v>
      </c>
      <c r="AX127" s="434"/>
      <c r="AY127" s="567"/>
      <c r="AZ127" s="567"/>
      <c r="BA127" s="567"/>
      <c r="BB127" s="567"/>
      <c r="BC127" s="567"/>
      <c r="BD127" s="139"/>
      <c r="BE127" s="573"/>
      <c r="BF127" s="53"/>
      <c r="BG127" s="53"/>
      <c r="BH127" s="53"/>
      <c r="BI127" s="53"/>
      <c r="BJ127" s="53"/>
      <c r="BM127" s="278">
        <f t="shared" si="291"/>
        <v>0</v>
      </c>
      <c r="BN127" s="278">
        <f t="shared" si="292"/>
        <v>0</v>
      </c>
      <c r="BO127" s="278">
        <f t="shared" si="76"/>
        <v>0</v>
      </c>
      <c r="BP127" s="278">
        <f t="shared" si="77"/>
        <v>0</v>
      </c>
      <c r="BQ127" s="278">
        <f t="shared" si="78"/>
        <v>0</v>
      </c>
      <c r="BS127" s="53">
        <f t="shared" si="70"/>
        <v>0</v>
      </c>
      <c r="BT127" s="53">
        <f t="shared" si="71"/>
        <v>0</v>
      </c>
      <c r="BU127" s="53">
        <f t="shared" si="72"/>
        <v>0</v>
      </c>
      <c r="BV127" s="53">
        <f>BP127-BB127</f>
        <v>0</v>
      </c>
      <c r="BW127" s="53">
        <f t="shared" si="74"/>
        <v>0</v>
      </c>
      <c r="DN127" s="671"/>
      <c r="DO127" s="671"/>
      <c r="DP127" s="671"/>
      <c r="DQ127" s="671"/>
      <c r="DR127" s="671"/>
      <c r="DS127" s="671"/>
    </row>
    <row r="128" spans="1:123">
      <c r="B128" s="35">
        <v>2</v>
      </c>
      <c r="C128" s="71" t="s">
        <v>123</v>
      </c>
      <c r="D128" s="35">
        <v>435</v>
      </c>
      <c r="E128" s="545">
        <v>17</v>
      </c>
      <c r="F128" s="72"/>
      <c r="G128" s="72" t="str">
        <f t="shared" si="150"/>
        <v>046435</v>
      </c>
      <c r="H128" s="46"/>
      <c r="I128" s="599" t="s">
        <v>128</v>
      </c>
      <c r="J128" s="599" t="s">
        <v>151</v>
      </c>
      <c r="K128" s="604" t="s">
        <v>143</v>
      </c>
      <c r="L128" s="605">
        <v>639</v>
      </c>
      <c r="M128" s="68">
        <f t="shared" si="285"/>
        <v>0</v>
      </c>
      <c r="N128" s="68">
        <f t="shared" si="285"/>
        <v>0</v>
      </c>
      <c r="O128" s="68">
        <f t="shared" si="285"/>
        <v>0</v>
      </c>
      <c r="P128" s="68">
        <f t="shared" si="285"/>
        <v>0</v>
      </c>
      <c r="Q128" s="68">
        <f t="shared" si="285"/>
        <v>0</v>
      </c>
      <c r="R128" s="68">
        <f t="shared" si="247"/>
        <v>1</v>
      </c>
      <c r="S128" s="603"/>
      <c r="T128" s="603"/>
      <c r="U128" s="603"/>
      <c r="V128" s="603"/>
      <c r="W128" s="603"/>
      <c r="AE128" s="68">
        <f t="shared" si="287"/>
        <v>0</v>
      </c>
      <c r="AF128" s="68">
        <f t="shared" si="287"/>
        <v>0</v>
      </c>
      <c r="AG128" s="68">
        <f t="shared" si="287"/>
        <v>0</v>
      </c>
      <c r="AH128" s="68">
        <f t="shared" si="287"/>
        <v>0</v>
      </c>
      <c r="AI128" s="68">
        <f t="shared" si="287"/>
        <v>0</v>
      </c>
      <c r="AK128" s="423">
        <f t="shared" si="235"/>
        <v>0</v>
      </c>
      <c r="AL128" s="570">
        <f t="shared" si="233"/>
        <v>0</v>
      </c>
      <c r="AM128" s="570">
        <f t="shared" si="288"/>
        <v>0</v>
      </c>
      <c r="AN128" s="570">
        <f t="shared" si="289"/>
        <v>0</v>
      </c>
      <c r="AO128" s="570">
        <f t="shared" si="290"/>
        <v>0</v>
      </c>
      <c r="AX128" s="434"/>
      <c r="AY128" s="567"/>
      <c r="AZ128" s="567"/>
      <c r="BA128" s="567"/>
      <c r="BB128" s="567"/>
      <c r="BC128" s="567"/>
      <c r="BD128" s="139"/>
      <c r="BE128" s="573"/>
      <c r="BF128" s="53"/>
      <c r="BG128" s="53"/>
      <c r="BH128" s="53"/>
      <c r="BI128" s="53"/>
      <c r="BJ128" s="53"/>
      <c r="BM128" s="278">
        <f t="shared" si="291"/>
        <v>0</v>
      </c>
      <c r="BN128" s="278">
        <f t="shared" si="292"/>
        <v>0</v>
      </c>
      <c r="BO128" s="278">
        <f t="shared" si="76"/>
        <v>0</v>
      </c>
      <c r="BP128" s="278">
        <f t="shared" si="77"/>
        <v>0</v>
      </c>
      <c r="BQ128" s="278">
        <f t="shared" si="78"/>
        <v>0</v>
      </c>
      <c r="BS128" s="53">
        <f>BM128-AY128</f>
        <v>0</v>
      </c>
      <c r="BT128" s="53">
        <f t="shared" si="71"/>
        <v>0</v>
      </c>
      <c r="BU128" s="53">
        <f t="shared" si="72"/>
        <v>0</v>
      </c>
      <c r="BV128" s="53">
        <f t="shared" si="73"/>
        <v>0</v>
      </c>
      <c r="BW128" s="53">
        <f t="shared" si="74"/>
        <v>0</v>
      </c>
      <c r="CV128" s="580"/>
      <c r="DR128" s="671"/>
      <c r="DS128" s="671"/>
    </row>
    <row r="129" spans="2:123">
      <c r="B129" s="35">
        <v>2</v>
      </c>
      <c r="C129" s="71" t="s">
        <v>123</v>
      </c>
      <c r="D129" s="35">
        <v>495</v>
      </c>
      <c r="E129" s="545">
        <v>0</v>
      </c>
      <c r="F129" s="72"/>
      <c r="G129" s="72" t="str">
        <f>IF(OR(ISBLANK(C129),ISBLANK(D129)),"",TEXT(C129,"000")&amp;TEXT(D129,"000"))</f>
        <v>046495</v>
      </c>
      <c r="H129" s="46"/>
      <c r="I129" s="599" t="s">
        <v>139</v>
      </c>
      <c r="J129" s="599" t="s">
        <v>109</v>
      </c>
      <c r="K129" s="604" t="s">
        <v>143</v>
      </c>
      <c r="L129" s="605">
        <v>642</v>
      </c>
      <c r="M129" s="68">
        <f t="shared" si="285"/>
        <v>0</v>
      </c>
      <c r="N129" s="68">
        <f t="shared" si="285"/>
        <v>0</v>
      </c>
      <c r="O129" s="68">
        <f t="shared" si="285"/>
        <v>0</v>
      </c>
      <c r="P129" s="68">
        <f t="shared" si="285"/>
        <v>0</v>
      </c>
      <c r="Q129" s="68">
        <f t="shared" si="285"/>
        <v>0</v>
      </c>
      <c r="R129" s="68">
        <f t="shared" si="247"/>
        <v>1</v>
      </c>
      <c r="S129" s="603"/>
      <c r="T129" s="603"/>
      <c r="U129" s="603"/>
      <c r="V129" s="603"/>
      <c r="W129" s="603"/>
      <c r="Y129" s="596"/>
      <c r="Z129" s="596"/>
      <c r="AA129" s="596"/>
      <c r="AB129" s="596"/>
      <c r="AC129" s="596"/>
      <c r="AE129" s="68">
        <f t="shared" si="287"/>
        <v>0</v>
      </c>
      <c r="AF129" s="68">
        <f t="shared" si="287"/>
        <v>0</v>
      </c>
      <c r="AG129" s="68">
        <f t="shared" si="287"/>
        <v>0</v>
      </c>
      <c r="AH129" s="68">
        <f t="shared" si="287"/>
        <v>0</v>
      </c>
      <c r="AI129" s="68">
        <f t="shared" si="287"/>
        <v>0</v>
      </c>
      <c r="AK129" s="423">
        <f t="shared" si="235"/>
        <v>0</v>
      </c>
      <c r="AL129" s="570">
        <f t="shared" si="233"/>
        <v>0</v>
      </c>
      <c r="AM129" s="570">
        <f t="shared" si="288"/>
        <v>0</v>
      </c>
      <c r="AN129" s="570">
        <f t="shared" si="289"/>
        <v>0</v>
      </c>
      <c r="AO129" s="570">
        <f t="shared" si="290"/>
        <v>0</v>
      </c>
      <c r="AX129" s="434"/>
      <c r="AY129" s="567"/>
      <c r="AZ129" s="567"/>
      <c r="BA129" s="567"/>
      <c r="BB129" s="567"/>
      <c r="BC129" s="567"/>
      <c r="BD129" s="139"/>
      <c r="BE129" s="573"/>
      <c r="BF129" s="53"/>
      <c r="BG129" s="53"/>
      <c r="BH129" s="53"/>
      <c r="BI129" s="53"/>
      <c r="BJ129" s="53"/>
      <c r="BM129" s="278">
        <f t="shared" si="291"/>
        <v>0</v>
      </c>
      <c r="BN129" s="278">
        <f t="shared" si="292"/>
        <v>0</v>
      </c>
      <c r="BO129" s="278">
        <f t="shared" si="76"/>
        <v>0</v>
      </c>
      <c r="BP129" s="278">
        <f t="shared" si="77"/>
        <v>0</v>
      </c>
      <c r="BQ129" s="278">
        <f t="shared" si="78"/>
        <v>0</v>
      </c>
      <c r="BS129" s="53">
        <f t="shared" si="70"/>
        <v>0</v>
      </c>
      <c r="BT129" s="53">
        <f t="shared" si="71"/>
        <v>0</v>
      </c>
      <c r="BU129" s="53">
        <f t="shared" si="72"/>
        <v>0</v>
      </c>
      <c r="BV129" s="53">
        <f t="shared" si="73"/>
        <v>0</v>
      </c>
      <c r="BW129" s="53">
        <f t="shared" si="74"/>
        <v>0</v>
      </c>
      <c r="CU129" s="580"/>
      <c r="DR129" s="671"/>
      <c r="DS129" s="671"/>
    </row>
    <row r="130" spans="2:123">
      <c r="B130" s="35">
        <v>2</v>
      </c>
      <c r="C130" s="71" t="s">
        <v>123</v>
      </c>
      <c r="D130" s="35">
        <v>499</v>
      </c>
      <c r="E130" s="545">
        <v>41</v>
      </c>
      <c r="F130" s="72"/>
      <c r="G130" s="72" t="str">
        <f>IF(OR(ISBLANK(C130),ISBLANK(D130)),"",TEXT(C130,"000")&amp;TEXT(D130,"000"))</f>
        <v>046499</v>
      </c>
      <c r="H130" s="46"/>
      <c r="I130" s="599" t="s">
        <v>128</v>
      </c>
      <c r="J130" s="599" t="s">
        <v>108</v>
      </c>
      <c r="K130" s="604" t="s">
        <v>145</v>
      </c>
      <c r="L130" s="605">
        <v>731</v>
      </c>
      <c r="M130" s="68">
        <f t="shared" si="285"/>
        <v>0</v>
      </c>
      <c r="N130" s="68">
        <f t="shared" si="285"/>
        <v>0</v>
      </c>
      <c r="O130" s="68">
        <f t="shared" si="285"/>
        <v>0</v>
      </c>
      <c r="P130" s="68">
        <f t="shared" si="285"/>
        <v>0</v>
      </c>
      <c r="Q130" s="68">
        <f t="shared" si="285"/>
        <v>0</v>
      </c>
      <c r="R130" s="68">
        <f t="shared" si="247"/>
        <v>1</v>
      </c>
      <c r="S130" s="603"/>
      <c r="T130" s="603"/>
      <c r="U130" s="603"/>
      <c r="V130" s="603"/>
      <c r="W130" s="603"/>
      <c r="AE130" s="68">
        <f t="shared" si="287"/>
        <v>0</v>
      </c>
      <c r="AF130" s="68">
        <f t="shared" si="287"/>
        <v>0</v>
      </c>
      <c r="AG130" s="68">
        <f t="shared" si="287"/>
        <v>0</v>
      </c>
      <c r="AH130" s="68">
        <f t="shared" si="287"/>
        <v>0</v>
      </c>
      <c r="AI130" s="68">
        <f t="shared" si="287"/>
        <v>0</v>
      </c>
      <c r="AK130" s="423">
        <f t="shared" si="235"/>
        <v>0</v>
      </c>
      <c r="AL130" s="570">
        <f t="shared" si="233"/>
        <v>0</v>
      </c>
      <c r="AM130" s="570">
        <f t="shared" si="288"/>
        <v>0</v>
      </c>
      <c r="AN130" s="570">
        <f t="shared" si="289"/>
        <v>0</v>
      </c>
      <c r="AO130" s="570">
        <f t="shared" si="290"/>
        <v>0</v>
      </c>
      <c r="AX130" s="434"/>
      <c r="AY130" s="567"/>
      <c r="AZ130" s="567"/>
      <c r="BA130" s="567"/>
      <c r="BB130" s="567"/>
      <c r="BC130" s="567"/>
      <c r="BD130" s="139"/>
      <c r="BE130" s="573"/>
      <c r="BF130" s="53"/>
      <c r="BG130" s="53"/>
      <c r="BH130" s="53"/>
      <c r="BI130" s="53"/>
      <c r="BJ130" s="53"/>
      <c r="BM130" s="278">
        <f t="shared" si="291"/>
        <v>0</v>
      </c>
      <c r="BN130" s="278">
        <f t="shared" si="292"/>
        <v>0</v>
      </c>
      <c r="BO130" s="278">
        <f t="shared" si="76"/>
        <v>0</v>
      </c>
      <c r="BP130" s="278">
        <f t="shared" si="77"/>
        <v>0</v>
      </c>
      <c r="BQ130" s="278">
        <f t="shared" si="78"/>
        <v>0</v>
      </c>
      <c r="BS130" s="53">
        <f t="shared" si="70"/>
        <v>0</v>
      </c>
      <c r="BT130" s="53">
        <f t="shared" si="71"/>
        <v>0</v>
      </c>
      <c r="BU130" s="53">
        <f t="shared" si="72"/>
        <v>0</v>
      </c>
      <c r="BV130" s="53">
        <f t="shared" si="73"/>
        <v>0</v>
      </c>
      <c r="BW130" s="53">
        <f t="shared" si="74"/>
        <v>0</v>
      </c>
      <c r="CT130" s="580"/>
    </row>
    <row r="131" spans="2:123">
      <c r="B131" s="35">
        <v>2</v>
      </c>
      <c r="C131" s="71" t="s">
        <v>123</v>
      </c>
      <c r="D131" s="35">
        <v>535</v>
      </c>
      <c r="E131" s="543">
        <f>48+1</f>
        <v>49</v>
      </c>
      <c r="F131" s="72"/>
      <c r="G131" s="72" t="str">
        <f t="shared" si="150"/>
        <v>046535</v>
      </c>
      <c r="H131" s="46"/>
      <c r="I131" s="599" t="s">
        <v>128</v>
      </c>
      <c r="J131" s="599" t="s">
        <v>110</v>
      </c>
      <c r="K131" s="604" t="s">
        <v>145</v>
      </c>
      <c r="L131" s="605">
        <v>733</v>
      </c>
      <c r="M131" s="68">
        <f t="shared" si="285"/>
        <v>0</v>
      </c>
      <c r="N131" s="68">
        <f t="shared" si="285"/>
        <v>0</v>
      </c>
      <c r="O131" s="68">
        <f t="shared" si="285"/>
        <v>0</v>
      </c>
      <c r="P131" s="68">
        <f t="shared" si="285"/>
        <v>0</v>
      </c>
      <c r="Q131" s="68">
        <f t="shared" si="285"/>
        <v>0</v>
      </c>
      <c r="R131" s="68">
        <f>IF(SUM(M131:Q131)&gt;0,0,1)</f>
        <v>1</v>
      </c>
      <c r="S131" s="603"/>
      <c r="T131" s="603"/>
      <c r="U131" s="603"/>
      <c r="V131" s="603"/>
      <c r="W131" s="603"/>
      <c r="AE131" s="68">
        <f t="shared" si="287"/>
        <v>0</v>
      </c>
      <c r="AF131" s="68">
        <f t="shared" si="287"/>
        <v>0</v>
      </c>
      <c r="AG131" s="68">
        <f t="shared" si="287"/>
        <v>0</v>
      </c>
      <c r="AH131" s="68">
        <f t="shared" si="287"/>
        <v>0</v>
      </c>
      <c r="AI131" s="68">
        <f t="shared" si="287"/>
        <v>0</v>
      </c>
      <c r="AK131" s="423">
        <f t="shared" si="235"/>
        <v>0</v>
      </c>
      <c r="AL131" s="570">
        <f t="shared" si="233"/>
        <v>0</v>
      </c>
      <c r="AM131" s="570">
        <f t="shared" si="288"/>
        <v>0</v>
      </c>
      <c r="AN131" s="570">
        <f t="shared" si="289"/>
        <v>0</v>
      </c>
      <c r="AO131" s="570">
        <f t="shared" si="290"/>
        <v>0</v>
      </c>
      <c r="AX131" s="434"/>
      <c r="AY131" s="567"/>
      <c r="AZ131" s="567"/>
      <c r="BA131" s="567"/>
      <c r="BB131" s="567"/>
      <c r="BC131" s="567"/>
      <c r="BD131" s="139"/>
      <c r="BE131" s="573"/>
      <c r="BF131" s="53"/>
      <c r="BG131" s="53"/>
      <c r="BH131" s="53"/>
      <c r="BI131" s="53"/>
      <c r="BJ131" s="53"/>
      <c r="BM131" s="278">
        <f t="shared" si="291"/>
        <v>0</v>
      </c>
      <c r="BN131" s="278">
        <f t="shared" si="292"/>
        <v>0</v>
      </c>
      <c r="BO131" s="278">
        <f t="shared" si="76"/>
        <v>0</v>
      </c>
      <c r="BP131" s="278">
        <f t="shared" si="77"/>
        <v>0</v>
      </c>
      <c r="BQ131" s="278">
        <f t="shared" si="78"/>
        <v>0</v>
      </c>
      <c r="BS131" s="53">
        <f t="shared" si="70"/>
        <v>0</v>
      </c>
      <c r="BT131" s="53">
        <f t="shared" si="71"/>
        <v>0</v>
      </c>
      <c r="BU131" s="53">
        <f t="shared" si="72"/>
        <v>0</v>
      </c>
      <c r="BV131" s="53">
        <f t="shared" si="73"/>
        <v>0</v>
      </c>
      <c r="BW131" s="53">
        <f t="shared" si="74"/>
        <v>0</v>
      </c>
      <c r="CS131" s="580"/>
    </row>
    <row r="132" spans="2:123">
      <c r="B132" s="35">
        <v>2</v>
      </c>
      <c r="C132" s="71" t="s">
        <v>123</v>
      </c>
      <c r="D132" s="35">
        <v>635</v>
      </c>
      <c r="E132" s="545">
        <v>236</v>
      </c>
      <c r="F132" s="72"/>
      <c r="G132" s="72" t="str">
        <f t="shared" si="150"/>
        <v>046635</v>
      </c>
      <c r="H132" s="46"/>
      <c r="I132" s="599" t="s">
        <v>128</v>
      </c>
      <c r="J132" s="599" t="s">
        <v>151</v>
      </c>
      <c r="K132" s="604" t="s">
        <v>145</v>
      </c>
      <c r="L132" s="605">
        <v>739</v>
      </c>
      <c r="M132" s="68">
        <f t="shared" si="285"/>
        <v>0</v>
      </c>
      <c r="N132" s="68">
        <f t="shared" si="285"/>
        <v>0</v>
      </c>
      <c r="O132" s="68">
        <f t="shared" si="285"/>
        <v>0</v>
      </c>
      <c r="P132" s="68">
        <f t="shared" si="285"/>
        <v>0</v>
      </c>
      <c r="Q132" s="68">
        <f t="shared" si="285"/>
        <v>0</v>
      </c>
      <c r="R132" s="68">
        <f t="shared" si="247"/>
        <v>1</v>
      </c>
      <c r="S132" s="603"/>
      <c r="T132" s="603"/>
      <c r="U132" s="603"/>
      <c r="V132" s="603"/>
      <c r="W132" s="603"/>
      <c r="AE132" s="68">
        <f t="shared" si="287"/>
        <v>0</v>
      </c>
      <c r="AF132" s="68">
        <f t="shared" si="287"/>
        <v>0</v>
      </c>
      <c r="AG132" s="68">
        <f t="shared" si="287"/>
        <v>0</v>
      </c>
      <c r="AH132" s="68">
        <f t="shared" si="287"/>
        <v>0</v>
      </c>
      <c r="AI132" s="68">
        <f t="shared" si="287"/>
        <v>0</v>
      </c>
      <c r="AK132" s="423">
        <f t="shared" si="235"/>
        <v>0</v>
      </c>
      <c r="AL132" s="570">
        <f t="shared" si="233"/>
        <v>0</v>
      </c>
      <c r="AM132" s="570">
        <f t="shared" si="288"/>
        <v>0</v>
      </c>
      <c r="AN132" s="570">
        <f t="shared" si="289"/>
        <v>0</v>
      </c>
      <c r="AO132" s="570">
        <f t="shared" si="290"/>
        <v>0</v>
      </c>
      <c r="AX132" s="434"/>
      <c r="AY132" s="567"/>
      <c r="AZ132" s="567"/>
      <c r="BA132" s="567"/>
      <c r="BB132" s="567"/>
      <c r="BC132" s="567"/>
      <c r="BD132" s="139"/>
      <c r="BE132" s="573"/>
      <c r="BF132" s="53"/>
      <c r="BG132" s="53"/>
      <c r="BH132" s="53"/>
      <c r="BI132" s="53"/>
      <c r="BJ132" s="53"/>
      <c r="BM132" s="278">
        <f t="shared" si="291"/>
        <v>0</v>
      </c>
      <c r="BN132" s="278">
        <f t="shared" si="292"/>
        <v>0</v>
      </c>
      <c r="BO132" s="278">
        <f t="shared" si="76"/>
        <v>0</v>
      </c>
      <c r="BP132" s="278">
        <f t="shared" si="77"/>
        <v>0</v>
      </c>
      <c r="BQ132" s="278">
        <f t="shared" si="78"/>
        <v>0</v>
      </c>
      <c r="BS132" s="53">
        <f t="shared" ref="BS132:BW135" si="294">BM132-AY132</f>
        <v>0</v>
      </c>
      <c r="BT132" s="53">
        <f t="shared" si="294"/>
        <v>0</v>
      </c>
      <c r="BU132" s="53">
        <f t="shared" si="294"/>
        <v>0</v>
      </c>
      <c r="BV132" s="53">
        <f t="shared" si="294"/>
        <v>0</v>
      </c>
      <c r="BW132" s="53">
        <f t="shared" si="294"/>
        <v>0</v>
      </c>
      <c r="CQ132" s="580"/>
      <c r="CR132" s="580"/>
    </row>
    <row r="133" spans="2:123">
      <c r="B133" s="35">
        <v>2</v>
      </c>
      <c r="C133" s="71" t="s">
        <v>123</v>
      </c>
      <c r="D133" s="35">
        <v>735</v>
      </c>
      <c r="E133" s="545">
        <v>262</v>
      </c>
      <c r="F133" s="72"/>
      <c r="G133" s="72" t="str">
        <f t="shared" si="150"/>
        <v>046735</v>
      </c>
      <c r="I133" s="599" t="s">
        <v>139</v>
      </c>
      <c r="J133" s="599" t="s">
        <v>109</v>
      </c>
      <c r="K133" s="604" t="s">
        <v>145</v>
      </c>
      <c r="L133" s="605">
        <v>742</v>
      </c>
      <c r="M133" s="68">
        <f t="shared" si="285"/>
        <v>0</v>
      </c>
      <c r="N133" s="68">
        <f t="shared" si="285"/>
        <v>0</v>
      </c>
      <c r="O133" s="68">
        <f t="shared" si="285"/>
        <v>0</v>
      </c>
      <c r="P133" s="68">
        <f t="shared" si="285"/>
        <v>0</v>
      </c>
      <c r="Q133" s="68">
        <f t="shared" si="285"/>
        <v>0</v>
      </c>
      <c r="R133" s="68">
        <f t="shared" si="247"/>
        <v>1</v>
      </c>
      <c r="S133" s="603"/>
      <c r="T133" s="603"/>
      <c r="U133" s="603"/>
      <c r="V133" s="603"/>
      <c r="W133" s="603"/>
      <c r="AE133" s="68">
        <f t="shared" si="287"/>
        <v>0</v>
      </c>
      <c r="AF133" s="68">
        <f t="shared" si="287"/>
        <v>0</v>
      </c>
      <c r="AG133" s="68">
        <f t="shared" si="287"/>
        <v>0</v>
      </c>
      <c r="AH133" s="68">
        <f t="shared" si="287"/>
        <v>0</v>
      </c>
      <c r="AI133" s="68">
        <f t="shared" si="287"/>
        <v>0</v>
      </c>
      <c r="AK133" s="423">
        <f t="shared" si="235"/>
        <v>0</v>
      </c>
      <c r="AL133" s="570">
        <f t="shared" si="233"/>
        <v>0</v>
      </c>
      <c r="AM133" s="570">
        <f t="shared" si="288"/>
        <v>0</v>
      </c>
      <c r="AN133" s="570">
        <f t="shared" si="289"/>
        <v>0</v>
      </c>
      <c r="AO133" s="570">
        <f t="shared" si="290"/>
        <v>0</v>
      </c>
      <c r="AX133" s="434"/>
      <c r="AY133" s="567"/>
      <c r="AZ133" s="567"/>
      <c r="BA133" s="567"/>
      <c r="BB133" s="567"/>
      <c r="BC133" s="567"/>
      <c r="BD133" s="139"/>
      <c r="BE133" s="573"/>
      <c r="BF133" s="53"/>
      <c r="BG133" s="53"/>
      <c r="BH133" s="53"/>
      <c r="BI133" s="53"/>
      <c r="BJ133" s="53"/>
      <c r="BM133" s="278">
        <f t="shared" si="291"/>
        <v>0</v>
      </c>
      <c r="BN133" s="278">
        <f t="shared" si="292"/>
        <v>0</v>
      </c>
      <c r="BO133" s="278">
        <f t="shared" si="76"/>
        <v>0</v>
      </c>
      <c r="BP133" s="278">
        <f t="shared" si="77"/>
        <v>0</v>
      </c>
      <c r="BQ133" s="278">
        <f t="shared" si="78"/>
        <v>0</v>
      </c>
      <c r="BS133" s="53">
        <f t="shared" si="294"/>
        <v>0</v>
      </c>
      <c r="BT133" s="53">
        <f t="shared" si="294"/>
        <v>0</v>
      </c>
      <c r="BU133" s="53">
        <f t="shared" si="294"/>
        <v>0</v>
      </c>
      <c r="BV133" s="53">
        <f t="shared" si="294"/>
        <v>0</v>
      </c>
      <c r="BW133" s="53">
        <f t="shared" si="294"/>
        <v>0</v>
      </c>
    </row>
    <row r="134" spans="2:123">
      <c r="B134" s="35">
        <v>2</v>
      </c>
      <c r="C134" s="71" t="s">
        <v>123</v>
      </c>
      <c r="D134" s="35">
        <v>835</v>
      </c>
      <c r="E134" s="545">
        <v>57</v>
      </c>
      <c r="F134" s="72"/>
      <c r="G134" s="72" t="str">
        <f t="shared" si="150"/>
        <v>046835</v>
      </c>
      <c r="H134" s="46"/>
      <c r="I134" s="599" t="s">
        <v>133</v>
      </c>
      <c r="J134" s="599" t="s">
        <v>131</v>
      </c>
      <c r="K134" s="604">
        <v>55000</v>
      </c>
      <c r="L134" s="605">
        <v>815</v>
      </c>
      <c r="M134" s="68">
        <f t="shared" si="285"/>
        <v>0</v>
      </c>
      <c r="N134" s="68">
        <f t="shared" si="285"/>
        <v>0</v>
      </c>
      <c r="O134" s="68">
        <f t="shared" si="285"/>
        <v>0</v>
      </c>
      <c r="P134" s="68">
        <f t="shared" si="285"/>
        <v>0</v>
      </c>
      <c r="Q134" s="68">
        <f t="shared" si="285"/>
        <v>0</v>
      </c>
      <c r="R134" s="68">
        <f t="shared" si="247"/>
        <v>1</v>
      </c>
      <c r="S134" s="603"/>
      <c r="T134" s="603"/>
      <c r="U134" s="603"/>
      <c r="V134" s="603"/>
      <c r="W134" s="603"/>
      <c r="AE134" s="68">
        <f t="shared" si="287"/>
        <v>0</v>
      </c>
      <c r="AF134" s="68">
        <f t="shared" si="287"/>
        <v>0</v>
      </c>
      <c r="AG134" s="68">
        <f t="shared" si="287"/>
        <v>0</v>
      </c>
      <c r="AH134" s="68">
        <f t="shared" si="287"/>
        <v>0</v>
      </c>
      <c r="AI134" s="68">
        <f t="shared" si="287"/>
        <v>0</v>
      </c>
      <c r="AK134" s="423">
        <f t="shared" si="235"/>
        <v>0</v>
      </c>
      <c r="AL134" s="570">
        <f t="shared" si="233"/>
        <v>0</v>
      </c>
      <c r="AM134" s="570">
        <f t="shared" si="288"/>
        <v>0</v>
      </c>
      <c r="AN134" s="570">
        <f t="shared" si="289"/>
        <v>0</v>
      </c>
      <c r="AO134" s="570">
        <f t="shared" si="290"/>
        <v>0</v>
      </c>
      <c r="AX134" s="434"/>
      <c r="AY134" s="567"/>
      <c r="AZ134" s="567"/>
      <c r="BA134" s="567"/>
      <c r="BB134" s="567"/>
      <c r="BC134" s="567"/>
      <c r="BD134" s="139"/>
      <c r="BE134" s="573"/>
      <c r="BF134" s="53"/>
      <c r="BG134" s="53"/>
      <c r="BH134" s="53"/>
      <c r="BI134" s="53"/>
      <c r="BJ134" s="53"/>
      <c r="BM134" s="278">
        <f t="shared" si="291"/>
        <v>0</v>
      </c>
      <c r="BN134" s="278">
        <f t="shared" si="292"/>
        <v>0</v>
      </c>
      <c r="BO134" s="278">
        <f t="shared" si="76"/>
        <v>0</v>
      </c>
      <c r="BP134" s="278">
        <f t="shared" si="77"/>
        <v>0</v>
      </c>
      <c r="BQ134" s="278">
        <f t="shared" si="78"/>
        <v>0</v>
      </c>
      <c r="BS134" s="53">
        <f t="shared" si="294"/>
        <v>0</v>
      </c>
      <c r="BT134" s="53">
        <f t="shared" si="294"/>
        <v>0</v>
      </c>
      <c r="BU134" s="53">
        <f t="shared" si="294"/>
        <v>0</v>
      </c>
      <c r="BV134" s="53">
        <f t="shared" si="294"/>
        <v>0</v>
      </c>
      <c r="BW134" s="53">
        <f t="shared" si="294"/>
        <v>0</v>
      </c>
      <c r="CA134" s="562"/>
      <c r="CB134" s="562"/>
    </row>
    <row r="135" spans="2:123">
      <c r="B135" s="35">
        <v>2</v>
      </c>
      <c r="C135" s="71" t="s">
        <v>123</v>
      </c>
      <c r="D135" s="35">
        <v>935</v>
      </c>
      <c r="E135" s="545">
        <v>103</v>
      </c>
      <c r="F135" s="72"/>
      <c r="G135" s="72" t="str">
        <f t="shared" si="150"/>
        <v>046935</v>
      </c>
      <c r="I135" s="599" t="s">
        <v>128</v>
      </c>
      <c r="J135" s="599" t="s">
        <v>110</v>
      </c>
      <c r="K135" s="604" t="s">
        <v>147</v>
      </c>
      <c r="L135" s="605">
        <v>833</v>
      </c>
      <c r="M135" s="68">
        <f t="shared" si="285"/>
        <v>0</v>
      </c>
      <c r="N135" s="68">
        <f t="shared" si="285"/>
        <v>0</v>
      </c>
      <c r="O135" s="68">
        <f t="shared" si="285"/>
        <v>0</v>
      </c>
      <c r="P135" s="68">
        <f t="shared" si="285"/>
        <v>0</v>
      </c>
      <c r="Q135" s="68">
        <f t="shared" si="285"/>
        <v>0</v>
      </c>
      <c r="R135" s="68">
        <f t="shared" si="247"/>
        <v>1</v>
      </c>
      <c r="S135" s="603"/>
      <c r="T135" s="603"/>
      <c r="U135" s="603"/>
      <c r="V135" s="603"/>
      <c r="W135" s="603"/>
      <c r="AE135" s="68">
        <f t="shared" si="287"/>
        <v>0</v>
      </c>
      <c r="AF135" s="68">
        <f t="shared" si="287"/>
        <v>0</v>
      </c>
      <c r="AG135" s="68">
        <f t="shared" si="287"/>
        <v>0</v>
      </c>
      <c r="AH135" s="68">
        <f t="shared" si="287"/>
        <v>0</v>
      </c>
      <c r="AI135" s="68">
        <f t="shared" si="287"/>
        <v>0</v>
      </c>
      <c r="AK135" s="423">
        <f t="shared" si="235"/>
        <v>0</v>
      </c>
      <c r="AL135" s="570">
        <f t="shared" si="233"/>
        <v>0</v>
      </c>
      <c r="AM135" s="570">
        <f t="shared" si="288"/>
        <v>0</v>
      </c>
      <c r="AN135" s="570">
        <f t="shared" si="289"/>
        <v>0</v>
      </c>
      <c r="AO135" s="570">
        <f t="shared" si="290"/>
        <v>0</v>
      </c>
      <c r="AX135" s="434"/>
      <c r="AY135" s="567"/>
      <c r="AZ135" s="567"/>
      <c r="BA135" s="567"/>
      <c r="BB135" s="567"/>
      <c r="BC135" s="567"/>
      <c r="BD135" s="139"/>
      <c r="BE135" s="573"/>
      <c r="BF135" s="53"/>
      <c r="BG135" s="53"/>
      <c r="BH135" s="53"/>
      <c r="BI135" s="53"/>
      <c r="BJ135" s="53"/>
      <c r="BM135" s="278">
        <f t="shared" si="291"/>
        <v>0</v>
      </c>
      <c r="BN135" s="278">
        <f t="shared" si="292"/>
        <v>0</v>
      </c>
      <c r="BO135" s="278">
        <f t="shared" si="76"/>
        <v>0</v>
      </c>
      <c r="BP135" s="278">
        <f t="shared" si="77"/>
        <v>0</v>
      </c>
      <c r="BQ135" s="278">
        <f t="shared" si="78"/>
        <v>0</v>
      </c>
      <c r="BS135" s="53">
        <f t="shared" si="294"/>
        <v>0</v>
      </c>
      <c r="BT135" s="53">
        <f t="shared" si="294"/>
        <v>0</v>
      </c>
      <c r="BU135" s="53">
        <f t="shared" si="294"/>
        <v>0</v>
      </c>
      <c r="BV135" s="53">
        <f t="shared" si="294"/>
        <v>0</v>
      </c>
      <c r="BW135" s="53">
        <f t="shared" si="294"/>
        <v>0</v>
      </c>
      <c r="BX135" s="562"/>
      <c r="BY135" s="562"/>
      <c r="BZ135" s="562"/>
      <c r="CA135" s="562"/>
      <c r="CB135" s="562"/>
    </row>
    <row r="136" spans="2:123">
      <c r="E136" s="73">
        <f>SUM(E103:E135)</f>
        <v>932</v>
      </c>
      <c r="F136" s="74"/>
      <c r="G136" s="72" t="str">
        <f t="shared" si="150"/>
        <v/>
      </c>
      <c r="H136" s="72"/>
      <c r="I136" s="599" t="s">
        <v>705</v>
      </c>
      <c r="J136" s="599" t="s">
        <v>107</v>
      </c>
      <c r="K136" s="604" t="s">
        <v>590</v>
      </c>
      <c r="L136" s="605" t="s">
        <v>586</v>
      </c>
      <c r="M136" s="621">
        <f t="shared" si="285"/>
        <v>0</v>
      </c>
      <c r="N136" s="621">
        <f t="shared" si="285"/>
        <v>0</v>
      </c>
      <c r="O136" s="621">
        <f t="shared" si="285"/>
        <v>0</v>
      </c>
      <c r="P136" s="621">
        <f t="shared" si="285"/>
        <v>0</v>
      </c>
      <c r="Q136" s="621">
        <f t="shared" si="285"/>
        <v>0</v>
      </c>
      <c r="R136" s="621">
        <f>IF(SUM(M136:Q136)&gt;0,0,1)</f>
        <v>1</v>
      </c>
      <c r="S136" s="622">
        <v>0</v>
      </c>
      <c r="T136" s="622"/>
      <c r="U136" s="622">
        <v>0</v>
      </c>
      <c r="V136" s="622"/>
      <c r="W136" s="622"/>
      <c r="X136" s="599"/>
      <c r="Y136" s="599"/>
      <c r="Z136" s="599"/>
      <c r="AA136" s="599"/>
      <c r="AB136" s="599"/>
      <c r="AC136" s="599"/>
      <c r="AD136" s="599"/>
      <c r="AE136" s="621">
        <f t="shared" si="287"/>
        <v>0</v>
      </c>
      <c r="AF136" s="621">
        <f t="shared" si="287"/>
        <v>0</v>
      </c>
      <c r="AG136" s="621">
        <f t="shared" si="287"/>
        <v>0</v>
      </c>
      <c r="AH136" s="621">
        <f t="shared" si="287"/>
        <v>0</v>
      </c>
      <c r="AI136" s="621">
        <f t="shared" si="287"/>
        <v>0</v>
      </c>
      <c r="AJ136" s="599"/>
      <c r="AK136" s="623">
        <f>ROUND(S136*(1+AK$1),2)</f>
        <v>0</v>
      </c>
      <c r="AL136" s="623"/>
      <c r="AM136" s="570">
        <f>ROUND(U136*(1+AM$1),2)</f>
        <v>0</v>
      </c>
      <c r="AN136" s="570">
        <f>ROUND(V136*(1+AN$1),2)</f>
        <v>0</v>
      </c>
      <c r="AO136" s="570">
        <f>ROUND(W136*(1+AO$1),2)</f>
        <v>0</v>
      </c>
      <c r="AP136" s="562"/>
      <c r="AQ136" s="562"/>
      <c r="AR136" s="562"/>
      <c r="AS136" s="562"/>
      <c r="AT136" s="562"/>
      <c r="AU136" s="562"/>
      <c r="AV136" s="562"/>
      <c r="AX136" s="577">
        <v>26</v>
      </c>
      <c r="AY136" s="567"/>
      <c r="AZ136" s="567">
        <v>0</v>
      </c>
      <c r="BA136" s="567"/>
      <c r="BB136" s="567"/>
      <c r="BC136" s="567"/>
      <c r="BD136" s="567"/>
      <c r="BE136" s="573">
        <f>ROUND(AX136*$BE$2,2)+ROUND(AX136*$BE$1,2)</f>
        <v>0.06</v>
      </c>
      <c r="BF136" s="563"/>
      <c r="BG136" s="563">
        <f>ROUND((T136*$BF$2)+$BE136-AZ136,2)</f>
        <v>0.06</v>
      </c>
      <c r="BH136" s="563"/>
      <c r="BI136" s="563"/>
      <c r="BJ136" s="563"/>
      <c r="BK136" s="562"/>
      <c r="BL136" s="562"/>
      <c r="BM136" s="571">
        <f>AK136*$BM$1</f>
        <v>0</v>
      </c>
      <c r="BN136" s="571">
        <f>AL136*$BM$1</f>
        <v>0</v>
      </c>
      <c r="BO136" s="571">
        <f>AM136*$BM$1</f>
        <v>0</v>
      </c>
      <c r="BP136" s="571">
        <f>AN136*$BM$1</f>
        <v>0</v>
      </c>
      <c r="BQ136" s="571">
        <f>AO136*$BM$1</f>
        <v>0</v>
      </c>
      <c r="BR136" s="562"/>
      <c r="BS136" s="563">
        <f>BM136-AY136</f>
        <v>0</v>
      </c>
      <c r="BT136" s="563">
        <f>BN136-AZ136</f>
        <v>0</v>
      </c>
      <c r="BU136" s="563">
        <f>BO136-BA136</f>
        <v>0</v>
      </c>
      <c r="BV136" s="563">
        <f>BP136-BB136</f>
        <v>0</v>
      </c>
      <c r="BW136" s="563">
        <f>BQ136-BC136</f>
        <v>0</v>
      </c>
      <c r="BX136" s="562"/>
      <c r="BY136" s="562"/>
      <c r="BZ136" s="562"/>
      <c r="CA136" s="562"/>
      <c r="CB136" s="562"/>
    </row>
    <row r="137" spans="2:123">
      <c r="G137" s="72" t="str">
        <f t="shared" si="150"/>
        <v/>
      </c>
      <c r="I137" s="19" t="s">
        <v>702</v>
      </c>
      <c r="J137" s="19" t="s">
        <v>136</v>
      </c>
      <c r="K137" s="85" t="s">
        <v>603</v>
      </c>
      <c r="L137" s="319" t="s">
        <v>792</v>
      </c>
      <c r="T137" s="603">
        <v>47.26</v>
      </c>
      <c r="AL137" s="570">
        <f>ROUND(T137*(1+AL$1),2)</f>
        <v>48.83</v>
      </c>
      <c r="AM137" s="644"/>
      <c r="AN137" s="644"/>
      <c r="AO137" s="644"/>
    </row>
    <row r="138" spans="2:123">
      <c r="B138" s="35">
        <v>2</v>
      </c>
      <c r="E138" s="72">
        <f>E11+E77+E93+E101+E136</f>
        <v>23797</v>
      </c>
      <c r="F138" s="72">
        <f>F11+F77+F93+F101+F136</f>
        <v>0</v>
      </c>
      <c r="G138" s="72"/>
      <c r="I138" s="422" t="s">
        <v>698</v>
      </c>
      <c r="J138" s="562" t="s">
        <v>109</v>
      </c>
      <c r="K138" s="564" t="s">
        <v>603</v>
      </c>
      <c r="L138" s="566" t="s">
        <v>593</v>
      </c>
      <c r="M138" s="565">
        <f t="shared" ref="M138:Q142" si="295">SUMIF($G:$G,TEXT(M$3,"000")&amp;TEXT($L138,"000"),$E:$E)</f>
        <v>0</v>
      </c>
      <c r="N138" s="565">
        <f t="shared" si="295"/>
        <v>0</v>
      </c>
      <c r="O138" s="565">
        <f t="shared" si="295"/>
        <v>0</v>
      </c>
      <c r="P138" s="565">
        <f t="shared" si="295"/>
        <v>0</v>
      </c>
      <c r="Q138" s="565">
        <f t="shared" si="295"/>
        <v>0</v>
      </c>
      <c r="R138" s="565">
        <f t="shared" ref="R138:R145" si="296">IF(SUM(M138:Q138)&gt;0,0,1)</f>
        <v>1</v>
      </c>
      <c r="S138" s="603">
        <v>0</v>
      </c>
      <c r="T138" s="603">
        <v>59.28</v>
      </c>
      <c r="U138" s="603">
        <v>0</v>
      </c>
      <c r="V138" s="603"/>
      <c r="W138" s="603"/>
      <c r="X138" s="562"/>
      <c r="Y138" s="562"/>
      <c r="Z138" s="562"/>
      <c r="AA138" s="562"/>
      <c r="AB138" s="562"/>
      <c r="AC138" s="562"/>
      <c r="AD138" s="562"/>
      <c r="AE138" s="565">
        <f t="shared" ref="AE138:AI142" si="297">SUMIF($G:$G,TEXT(AE$3,"000")&amp;TEXT($L138,"000"),$E:$E)</f>
        <v>0</v>
      </c>
      <c r="AF138" s="565">
        <f t="shared" si="297"/>
        <v>0</v>
      </c>
      <c r="AG138" s="565">
        <f t="shared" si="297"/>
        <v>0</v>
      </c>
      <c r="AH138" s="565">
        <f t="shared" si="297"/>
        <v>0</v>
      </c>
      <c r="AI138" s="565">
        <f t="shared" si="297"/>
        <v>0</v>
      </c>
      <c r="AJ138" s="562"/>
      <c r="AK138" s="570">
        <f t="shared" ref="AK138:AK145" si="298">ROUND(S138*(1+AK$1),2)</f>
        <v>0</v>
      </c>
      <c r="AL138" s="570">
        <f>ROUND(T138*(1+AL$1),2)</f>
        <v>61.25</v>
      </c>
      <c r="AM138" s="570">
        <f t="shared" ref="AM138:AO145" si="299">ROUND(U138*(1+AM$1),2)</f>
        <v>0</v>
      </c>
      <c r="AN138" s="570">
        <f t="shared" si="299"/>
        <v>0</v>
      </c>
      <c r="AO138" s="570">
        <f t="shared" si="299"/>
        <v>0</v>
      </c>
      <c r="AP138" s="562"/>
      <c r="AQ138" s="562"/>
      <c r="AR138" s="562"/>
      <c r="AS138" s="562"/>
      <c r="AT138" s="562"/>
      <c r="AU138" s="562"/>
      <c r="AV138" s="562"/>
      <c r="AX138" s="577">
        <v>39</v>
      </c>
      <c r="AY138" s="567"/>
      <c r="AZ138" s="567">
        <v>59.13</v>
      </c>
      <c r="BA138" s="567"/>
      <c r="BB138" s="567"/>
      <c r="BC138" s="567"/>
      <c r="BD138" s="567"/>
      <c r="BE138" s="573">
        <f>ROUND(AX138*$BE$2,2)+ROUND(AX138*$BE$1,2)</f>
        <v>8.0000000000000016E-2</v>
      </c>
      <c r="BF138" s="563"/>
      <c r="BG138" s="563">
        <f>ROUND((T138*$BF$2)+$BE138-AZ138,2)</f>
        <v>1.1299999999999999</v>
      </c>
      <c r="BH138" s="563"/>
      <c r="BI138" s="563"/>
      <c r="BJ138" s="563"/>
      <c r="BK138" s="562"/>
      <c r="BL138" s="562"/>
      <c r="BM138" s="571">
        <f t="shared" ref="BM138:BQ142" si="300">AK138*$BM$1</f>
        <v>0</v>
      </c>
      <c r="BN138" s="571">
        <f t="shared" si="300"/>
        <v>62.174874999999993</v>
      </c>
      <c r="BO138" s="571">
        <f t="shared" si="300"/>
        <v>0</v>
      </c>
      <c r="BP138" s="571">
        <f t="shared" si="300"/>
        <v>0</v>
      </c>
      <c r="BQ138" s="571">
        <f t="shared" si="300"/>
        <v>0</v>
      </c>
      <c r="BR138" s="562"/>
      <c r="BS138" s="563">
        <f t="shared" ref="BS138:BW142" si="301">BM138-AY138</f>
        <v>0</v>
      </c>
      <c r="BT138" s="563">
        <f t="shared" si="301"/>
        <v>3.0448749999999905</v>
      </c>
      <c r="BU138" s="563">
        <f t="shared" si="301"/>
        <v>0</v>
      </c>
      <c r="BV138" s="563">
        <f t="shared" si="301"/>
        <v>0</v>
      </c>
      <c r="BW138" s="563">
        <f t="shared" si="301"/>
        <v>0</v>
      </c>
      <c r="BX138" s="562"/>
      <c r="BY138" s="562"/>
      <c r="BZ138" s="562"/>
      <c r="CA138" s="562"/>
      <c r="CB138" s="562"/>
    </row>
    <row r="139" spans="2:123">
      <c r="B139"/>
      <c r="C139"/>
      <c r="D139"/>
      <c r="I139" s="422" t="s">
        <v>702</v>
      </c>
      <c r="J139" s="580" t="s">
        <v>109</v>
      </c>
      <c r="K139" s="564" t="s">
        <v>132</v>
      </c>
      <c r="L139" s="566" t="s">
        <v>601</v>
      </c>
      <c r="M139" s="565">
        <f t="shared" si="295"/>
        <v>0</v>
      </c>
      <c r="N139" s="565">
        <f t="shared" si="295"/>
        <v>0</v>
      </c>
      <c r="O139" s="565">
        <f t="shared" si="295"/>
        <v>0</v>
      </c>
      <c r="P139" s="565">
        <f t="shared" si="295"/>
        <v>0</v>
      </c>
      <c r="Q139" s="565">
        <f t="shared" si="295"/>
        <v>0</v>
      </c>
      <c r="R139" s="565">
        <f t="shared" si="296"/>
        <v>1</v>
      </c>
      <c r="S139" s="603">
        <v>0</v>
      </c>
      <c r="T139" s="603">
        <v>40.700000000000003</v>
      </c>
      <c r="U139" s="603">
        <v>0</v>
      </c>
      <c r="V139" s="603">
        <v>0</v>
      </c>
      <c r="W139" s="603"/>
      <c r="X139" s="580"/>
      <c r="Y139" s="580"/>
      <c r="Z139" s="580"/>
      <c r="AA139" s="580"/>
      <c r="AB139" s="580"/>
      <c r="AC139" s="580"/>
      <c r="AD139" s="580"/>
      <c r="AE139" s="565">
        <f t="shared" si="297"/>
        <v>0</v>
      </c>
      <c r="AF139" s="565">
        <f t="shared" si="297"/>
        <v>0</v>
      </c>
      <c r="AG139" s="565">
        <f t="shared" si="297"/>
        <v>0</v>
      </c>
      <c r="AH139" s="565">
        <f t="shared" si="297"/>
        <v>0</v>
      </c>
      <c r="AI139" s="565">
        <f t="shared" si="297"/>
        <v>0</v>
      </c>
      <c r="AJ139" s="580"/>
      <c r="AK139" s="570">
        <f t="shared" si="298"/>
        <v>0</v>
      </c>
      <c r="AL139" s="570">
        <f>ROUND(T139*(1+AL$1),2)</f>
        <v>42.06</v>
      </c>
      <c r="AM139" s="570">
        <f t="shared" si="299"/>
        <v>0</v>
      </c>
      <c r="AN139" s="570">
        <f t="shared" si="299"/>
        <v>0</v>
      </c>
      <c r="AO139" s="570">
        <f t="shared" si="299"/>
        <v>0</v>
      </c>
      <c r="AP139" s="580"/>
      <c r="AQ139" s="580"/>
      <c r="AR139" s="580"/>
      <c r="AS139" s="580"/>
      <c r="AT139" s="580"/>
      <c r="AU139" s="580"/>
      <c r="AV139" s="580"/>
      <c r="AX139" s="577">
        <f>26+26</f>
        <v>52</v>
      </c>
      <c r="AY139" s="567"/>
      <c r="AZ139" s="567">
        <v>40.98</v>
      </c>
      <c r="BA139" s="567"/>
      <c r="BB139" s="567"/>
      <c r="BC139" s="567"/>
      <c r="BD139" s="567"/>
      <c r="BE139" s="573">
        <f>ROUND(AX139*$BE$2,2)+ROUND(AX139*$BE$1,2)</f>
        <v>0.10999999999999999</v>
      </c>
      <c r="BF139" s="563"/>
      <c r="BG139" s="563">
        <f>ROUND((T139*$BF$2)+$BE139-AZ139,2)</f>
        <v>0.44</v>
      </c>
      <c r="BH139" s="563"/>
      <c r="BI139" s="563"/>
      <c r="BJ139" s="563"/>
      <c r="BK139" s="580"/>
      <c r="BL139" s="580"/>
      <c r="BM139" s="571">
        <f t="shared" si="300"/>
        <v>0</v>
      </c>
      <c r="BN139" s="571">
        <f t="shared" si="300"/>
        <v>42.695105999999996</v>
      </c>
      <c r="BO139" s="571">
        <f t="shared" si="300"/>
        <v>0</v>
      </c>
      <c r="BP139" s="571">
        <f t="shared" si="300"/>
        <v>0</v>
      </c>
      <c r="BQ139" s="571">
        <f t="shared" si="300"/>
        <v>0</v>
      </c>
      <c r="BR139" s="580"/>
      <c r="BS139" s="563">
        <f t="shared" si="301"/>
        <v>0</v>
      </c>
      <c r="BT139" s="563">
        <f t="shared" si="301"/>
        <v>1.7151059999999987</v>
      </c>
      <c r="BU139" s="563">
        <f t="shared" si="301"/>
        <v>0</v>
      </c>
      <c r="BV139" s="563">
        <f t="shared" si="301"/>
        <v>0</v>
      </c>
      <c r="BW139" s="563">
        <f t="shared" si="301"/>
        <v>0</v>
      </c>
    </row>
    <row r="140" spans="2:123">
      <c r="B140"/>
      <c r="C140"/>
      <c r="D140" s="58" t="s">
        <v>405</v>
      </c>
      <c r="E140" s="174">
        <f>66+22219+204+175+972</f>
        <v>23636</v>
      </c>
      <c r="I140" s="422" t="s">
        <v>705</v>
      </c>
      <c r="J140" s="580" t="s">
        <v>107</v>
      </c>
      <c r="K140" s="564" t="s">
        <v>132</v>
      </c>
      <c r="L140" s="566" t="s">
        <v>602</v>
      </c>
      <c r="M140" s="565">
        <f t="shared" si="295"/>
        <v>0</v>
      </c>
      <c r="N140" s="565">
        <f t="shared" si="295"/>
        <v>0</v>
      </c>
      <c r="O140" s="565">
        <f t="shared" si="295"/>
        <v>0</v>
      </c>
      <c r="P140" s="565">
        <f t="shared" si="295"/>
        <v>0</v>
      </c>
      <c r="Q140" s="565">
        <f t="shared" si="295"/>
        <v>0</v>
      </c>
      <c r="R140" s="565">
        <f t="shared" si="296"/>
        <v>1</v>
      </c>
      <c r="S140" s="603">
        <v>0</v>
      </c>
      <c r="T140" s="603">
        <v>19.71</v>
      </c>
      <c r="U140" s="603">
        <v>0</v>
      </c>
      <c r="V140" s="603">
        <v>0</v>
      </c>
      <c r="W140" s="603"/>
      <c r="X140" s="580"/>
      <c r="Y140" s="580"/>
      <c r="Z140" s="580"/>
      <c r="AA140" s="580"/>
      <c r="AB140" s="580"/>
      <c r="AC140" s="580"/>
      <c r="AD140" s="580"/>
      <c r="AE140" s="565">
        <f t="shared" si="297"/>
        <v>0</v>
      </c>
      <c r="AF140" s="565">
        <f t="shared" si="297"/>
        <v>0</v>
      </c>
      <c r="AG140" s="565">
        <f t="shared" si="297"/>
        <v>0</v>
      </c>
      <c r="AH140" s="565">
        <f t="shared" si="297"/>
        <v>0</v>
      </c>
      <c r="AI140" s="565">
        <f t="shared" si="297"/>
        <v>0</v>
      </c>
      <c r="AJ140" s="580"/>
      <c r="AK140" s="570">
        <f t="shared" si="298"/>
        <v>0</v>
      </c>
      <c r="AL140" s="570">
        <f>AL151</f>
        <v>20.37</v>
      </c>
      <c r="AM140" s="570">
        <f t="shared" si="299"/>
        <v>0</v>
      </c>
      <c r="AN140" s="570">
        <f t="shared" si="299"/>
        <v>0</v>
      </c>
      <c r="AO140" s="570">
        <f t="shared" si="299"/>
        <v>0</v>
      </c>
      <c r="AP140" s="580"/>
      <c r="AQ140" s="580"/>
      <c r="AR140" s="580"/>
      <c r="AS140" s="580"/>
      <c r="AT140" s="580"/>
      <c r="AU140" s="580"/>
      <c r="AV140" s="580"/>
      <c r="AX140" s="577">
        <v>26</v>
      </c>
      <c r="AY140" s="567"/>
      <c r="AZ140" s="567">
        <v>19.86</v>
      </c>
      <c r="BA140" s="567"/>
      <c r="BB140" s="567"/>
      <c r="BC140" s="567"/>
      <c r="BD140" s="567"/>
      <c r="BE140" s="573">
        <f>ROUND(AX140*$BE$2,2)+ROUND(AX140*$BE$1,2)</f>
        <v>0.06</v>
      </c>
      <c r="BF140" s="563"/>
      <c r="BG140" s="563">
        <f>ROUND((T140*$BF$2)+$BE140-AZ140,2)</f>
        <v>0.21</v>
      </c>
      <c r="BH140" s="563"/>
      <c r="BI140" s="563"/>
      <c r="BJ140" s="563"/>
      <c r="BK140" s="580"/>
      <c r="BL140" s="580"/>
      <c r="BM140" s="571">
        <f t="shared" si="300"/>
        <v>0</v>
      </c>
      <c r="BN140" s="571">
        <f t="shared" si="300"/>
        <v>20.677586999999999</v>
      </c>
      <c r="BO140" s="571">
        <f t="shared" si="300"/>
        <v>0</v>
      </c>
      <c r="BP140" s="571">
        <f t="shared" si="300"/>
        <v>0</v>
      </c>
      <c r="BQ140" s="571">
        <f t="shared" si="300"/>
        <v>0</v>
      </c>
      <c r="BR140" s="580"/>
      <c r="BS140" s="563">
        <f t="shared" si="301"/>
        <v>0</v>
      </c>
      <c r="BT140" s="563">
        <f t="shared" si="301"/>
        <v>0.81758699999999962</v>
      </c>
      <c r="BU140" s="563">
        <f t="shared" si="301"/>
        <v>0</v>
      </c>
      <c r="BV140" s="563">
        <f t="shared" si="301"/>
        <v>0</v>
      </c>
      <c r="BW140" s="563">
        <f t="shared" si="301"/>
        <v>0</v>
      </c>
    </row>
    <row r="141" spans="2:123">
      <c r="B141"/>
      <c r="C141"/>
      <c r="D141" s="58" t="s">
        <v>406</v>
      </c>
      <c r="E141" s="174">
        <f>5318+3673</f>
        <v>8991</v>
      </c>
      <c r="I141" s="669" t="s">
        <v>450</v>
      </c>
      <c r="J141" s="669" t="s">
        <v>131</v>
      </c>
      <c r="K141" s="564" t="s">
        <v>806</v>
      </c>
      <c r="L141" s="566" t="s">
        <v>808</v>
      </c>
      <c r="M141" s="565">
        <f t="shared" si="295"/>
        <v>0</v>
      </c>
      <c r="N141" s="565">
        <f t="shared" si="295"/>
        <v>0</v>
      </c>
      <c r="O141" s="565">
        <f t="shared" si="295"/>
        <v>0</v>
      </c>
      <c r="P141" s="565">
        <f t="shared" si="295"/>
        <v>0</v>
      </c>
      <c r="Q141" s="565">
        <f t="shared" si="295"/>
        <v>0</v>
      </c>
      <c r="R141" s="565">
        <f t="shared" si="296"/>
        <v>1</v>
      </c>
      <c r="S141" s="603">
        <v>0</v>
      </c>
      <c r="T141" s="603">
        <v>0</v>
      </c>
      <c r="U141" s="603">
        <v>0</v>
      </c>
      <c r="V141" s="603">
        <v>0</v>
      </c>
      <c r="W141" s="603"/>
      <c r="X141" s="669"/>
      <c r="Y141" s="69">
        <f t="shared" ref="Y141:Y142" si="302">IF(AND(M141&lt;&gt;0,S141=0),#VALUE!,M141*S141)</f>
        <v>0</v>
      </c>
      <c r="Z141" s="69">
        <f t="shared" ref="Z141:Z142" si="303">IF(AND(N141&lt;&gt;0,T141=0),#VALUE!,N141*T141)</f>
        <v>0</v>
      </c>
      <c r="AA141" s="69">
        <f t="shared" ref="AA141:AA142" si="304">IF(AND(O141&lt;&gt;0,U141=0),#VALUE!,O141*U141)</f>
        <v>0</v>
      </c>
      <c r="AB141" s="69">
        <f t="shared" ref="AB141:AB142" si="305">IF(AND(P141&lt;&gt;0,V141=0),#VALUE!,P141*V141)</f>
        <v>0</v>
      </c>
      <c r="AC141" s="69">
        <f t="shared" ref="AC141:AC142" si="306">IF(AND(Q141&lt;&gt;0,W141=0),#VALUE!,Q141*W141)</f>
        <v>0</v>
      </c>
      <c r="AD141" s="669"/>
      <c r="AE141" s="565">
        <f t="shared" si="297"/>
        <v>0</v>
      </c>
      <c r="AF141" s="565">
        <f t="shared" si="297"/>
        <v>0</v>
      </c>
      <c r="AG141" s="565">
        <f t="shared" si="297"/>
        <v>0</v>
      </c>
      <c r="AH141" s="565">
        <f t="shared" si="297"/>
        <v>0</v>
      </c>
      <c r="AI141" s="565">
        <f t="shared" si="297"/>
        <v>0</v>
      </c>
      <c r="AJ141" s="669"/>
      <c r="AK141" s="570">
        <f t="shared" si="298"/>
        <v>0</v>
      </c>
      <c r="AL141" s="570"/>
      <c r="AM141" s="570">
        <f t="shared" si="299"/>
        <v>0</v>
      </c>
      <c r="AN141" s="570">
        <f t="shared" si="299"/>
        <v>0</v>
      </c>
      <c r="AO141" s="623">
        <f t="shared" si="299"/>
        <v>0</v>
      </c>
      <c r="AP141" s="669"/>
      <c r="AQ141" s="69">
        <f t="shared" ref="AQ141:AQ142" si="307">IF(AND(AE141&lt;&gt;0,AK141=0),#VALUE!,AE141*AK141)</f>
        <v>0</v>
      </c>
      <c r="AR141" s="69">
        <f t="shared" ref="AR141:AR142" si="308">IF(AND(AF141&lt;&gt;0,AL141=0),#VALUE!,AF141*AL141)</f>
        <v>0</v>
      </c>
      <c r="AS141" s="69">
        <f t="shared" ref="AS141:AS142" si="309">IF(AND(AG141&lt;&gt;0,AM141=0),#VALUE!,AG141*AM141)</f>
        <v>0</v>
      </c>
      <c r="AT141" s="69">
        <f t="shared" ref="AT141:AT142" si="310">IF(AND(AH141&lt;&gt;0,AN141=0),#VALUE!,AH141*AN141)</f>
        <v>0</v>
      </c>
      <c r="AU141" s="69">
        <f t="shared" ref="AU141:AU142" si="311">IF(AND(AI141&lt;&gt;0,AO141=0),#VALUE!,AI141*AO141)</f>
        <v>0</v>
      </c>
      <c r="AV141" s="669"/>
      <c r="AX141" s="577">
        <v>6</v>
      </c>
      <c r="AY141" s="567"/>
      <c r="AZ141" s="567"/>
      <c r="BA141" s="567"/>
      <c r="BB141" s="567"/>
      <c r="BC141" s="567"/>
      <c r="BD141" s="567"/>
      <c r="BE141" s="573">
        <f t="shared" ref="BE141:BE142" si="312">ROUND(AX141*$BE$2,2)+ROUND(AX141*$BE$1,2)</f>
        <v>9.999999999999995E-3</v>
      </c>
      <c r="BF141" s="563"/>
      <c r="BG141" s="563"/>
      <c r="BH141" s="563"/>
      <c r="BI141" s="563"/>
      <c r="BJ141" s="563">
        <f>ROUND((W141*$BF$2)+$BE141-BC141,2)</f>
        <v>0.01</v>
      </c>
      <c r="BK141" s="669"/>
      <c r="BL141" s="669"/>
      <c r="BM141" s="571">
        <f t="shared" si="300"/>
        <v>0</v>
      </c>
      <c r="BN141" s="571">
        <f t="shared" si="300"/>
        <v>0</v>
      </c>
      <c r="BO141" s="571">
        <f t="shared" si="300"/>
        <v>0</v>
      </c>
      <c r="BP141" s="571">
        <f t="shared" si="300"/>
        <v>0</v>
      </c>
      <c r="BQ141" s="571">
        <f t="shared" si="300"/>
        <v>0</v>
      </c>
      <c r="BR141" s="669"/>
      <c r="BS141" s="563">
        <f t="shared" si="301"/>
        <v>0</v>
      </c>
      <c r="BT141" s="563">
        <f t="shared" si="301"/>
        <v>0</v>
      </c>
      <c r="BU141" s="563">
        <f t="shared" si="301"/>
        <v>0</v>
      </c>
      <c r="BV141" s="563">
        <f t="shared" si="301"/>
        <v>0</v>
      </c>
      <c r="BW141" s="563">
        <f>BQ141-BC141</f>
        <v>0</v>
      </c>
      <c r="BX141" s="669"/>
      <c r="BY141" s="669"/>
      <c r="BZ141" s="669"/>
      <c r="CA141" s="669"/>
      <c r="CB141" s="669"/>
      <c r="CC141" s="669"/>
      <c r="CD141" s="669"/>
      <c r="CE141" s="669"/>
      <c r="CF141" s="669"/>
      <c r="CG141" s="669"/>
    </row>
    <row r="142" spans="2:123">
      <c r="B142"/>
      <c r="C142"/>
      <c r="E142" s="73">
        <f>E140+E141</f>
        <v>32627</v>
      </c>
      <c r="I142" s="669" t="s">
        <v>450</v>
      </c>
      <c r="J142" s="669" t="s">
        <v>131</v>
      </c>
      <c r="K142" s="564" t="s">
        <v>807</v>
      </c>
      <c r="L142" s="566" t="s">
        <v>809</v>
      </c>
      <c r="M142" s="565">
        <f t="shared" si="295"/>
        <v>0</v>
      </c>
      <c r="N142" s="565">
        <f t="shared" si="295"/>
        <v>0</v>
      </c>
      <c r="O142" s="565">
        <f t="shared" si="295"/>
        <v>0</v>
      </c>
      <c r="P142" s="565">
        <f t="shared" si="295"/>
        <v>0</v>
      </c>
      <c r="Q142" s="565">
        <f t="shared" si="295"/>
        <v>0</v>
      </c>
      <c r="R142" s="565">
        <f t="shared" si="296"/>
        <v>1</v>
      </c>
      <c r="S142" s="603">
        <v>0</v>
      </c>
      <c r="T142" s="603">
        <v>0</v>
      </c>
      <c r="U142" s="603">
        <v>0</v>
      </c>
      <c r="V142" s="603">
        <v>0</v>
      </c>
      <c r="W142" s="603"/>
      <c r="X142" s="669"/>
      <c r="Y142" s="69">
        <f t="shared" si="302"/>
        <v>0</v>
      </c>
      <c r="Z142" s="69">
        <f t="shared" si="303"/>
        <v>0</v>
      </c>
      <c r="AA142" s="69">
        <f t="shared" si="304"/>
        <v>0</v>
      </c>
      <c r="AB142" s="69">
        <f t="shared" si="305"/>
        <v>0</v>
      </c>
      <c r="AC142" s="69">
        <f t="shared" si="306"/>
        <v>0</v>
      </c>
      <c r="AD142" s="669"/>
      <c r="AE142" s="565">
        <f t="shared" si="297"/>
        <v>0</v>
      </c>
      <c r="AF142" s="565">
        <f t="shared" si="297"/>
        <v>0</v>
      </c>
      <c r="AG142" s="565">
        <f t="shared" si="297"/>
        <v>0</v>
      </c>
      <c r="AH142" s="565">
        <f t="shared" si="297"/>
        <v>0</v>
      </c>
      <c r="AI142" s="565">
        <f t="shared" si="297"/>
        <v>0</v>
      </c>
      <c r="AJ142" s="669"/>
      <c r="AK142" s="570">
        <f t="shared" si="298"/>
        <v>0</v>
      </c>
      <c r="AL142" s="570"/>
      <c r="AM142" s="570">
        <f t="shared" si="299"/>
        <v>0</v>
      </c>
      <c r="AN142" s="570">
        <f t="shared" si="299"/>
        <v>0</v>
      </c>
      <c r="AO142" s="623">
        <f t="shared" si="299"/>
        <v>0</v>
      </c>
      <c r="AP142" s="669"/>
      <c r="AQ142" s="69">
        <f t="shared" si="307"/>
        <v>0</v>
      </c>
      <c r="AR142" s="69">
        <f t="shared" si="308"/>
        <v>0</v>
      </c>
      <c r="AS142" s="69">
        <f t="shared" si="309"/>
        <v>0</v>
      </c>
      <c r="AT142" s="69">
        <f t="shared" si="310"/>
        <v>0</v>
      </c>
      <c r="AU142" s="69">
        <f t="shared" si="311"/>
        <v>0</v>
      </c>
      <c r="AV142" s="669"/>
      <c r="AX142" s="577">
        <v>9</v>
      </c>
      <c r="AY142" s="567"/>
      <c r="AZ142" s="567"/>
      <c r="BA142" s="567"/>
      <c r="BB142" s="567"/>
      <c r="BC142" s="567"/>
      <c r="BD142" s="567"/>
      <c r="BE142" s="573">
        <f t="shared" si="312"/>
        <v>2.0000000000000004E-2</v>
      </c>
      <c r="BF142" s="563"/>
      <c r="BG142" s="563"/>
      <c r="BH142" s="563"/>
      <c r="BI142" s="563"/>
      <c r="BJ142" s="563">
        <f>ROUND((W142*$BF$2)+$BE142-BC142,2)</f>
        <v>0.02</v>
      </c>
      <c r="BK142" s="669"/>
      <c r="BL142" s="669"/>
      <c r="BM142" s="571">
        <f t="shared" si="300"/>
        <v>0</v>
      </c>
      <c r="BN142" s="571">
        <f t="shared" si="300"/>
        <v>0</v>
      </c>
      <c r="BO142" s="571">
        <f t="shared" si="300"/>
        <v>0</v>
      </c>
      <c r="BP142" s="571">
        <f t="shared" si="300"/>
        <v>0</v>
      </c>
      <c r="BQ142" s="571">
        <f t="shared" si="300"/>
        <v>0</v>
      </c>
      <c r="BR142" s="669"/>
      <c r="BS142" s="563">
        <f t="shared" si="301"/>
        <v>0</v>
      </c>
      <c r="BT142" s="563">
        <f t="shared" si="301"/>
        <v>0</v>
      </c>
      <c r="BU142" s="563">
        <f t="shared" si="301"/>
        <v>0</v>
      </c>
      <c r="BV142" s="563">
        <f t="shared" si="301"/>
        <v>0</v>
      </c>
      <c r="BW142" s="563">
        <f t="shared" si="301"/>
        <v>0</v>
      </c>
      <c r="BX142" s="669"/>
      <c r="BY142" s="669"/>
      <c r="BZ142" s="669"/>
      <c r="CA142" s="669"/>
      <c r="CB142" s="669"/>
      <c r="CC142" s="669"/>
      <c r="CD142" s="669"/>
      <c r="CE142" s="669"/>
      <c r="CF142" s="669"/>
      <c r="CG142" s="669"/>
    </row>
    <row r="143" spans="2:123">
      <c r="B143"/>
      <c r="C143"/>
      <c r="E143" s="72">
        <f>E138+'Area Lts'!E96-E142</f>
        <v>393</v>
      </c>
      <c r="AL143" s="644"/>
      <c r="AM143" s="644"/>
      <c r="AN143" s="644"/>
      <c r="AO143" s="644"/>
    </row>
    <row r="144" spans="2:123">
      <c r="B144"/>
      <c r="C144"/>
      <c r="I144" s="422" t="s">
        <v>698</v>
      </c>
      <c r="J144" s="620" t="s">
        <v>136</v>
      </c>
      <c r="K144" s="564" t="s">
        <v>626</v>
      </c>
      <c r="L144" s="566" t="s">
        <v>630</v>
      </c>
      <c r="M144" s="565">
        <f t="shared" ref="M144:Q145" si="313">SUMIF($G:$G,TEXT(M$3,"000")&amp;TEXT($L144,"000"),$E:$E)</f>
        <v>0</v>
      </c>
      <c r="N144" s="565">
        <f t="shared" si="313"/>
        <v>0</v>
      </c>
      <c r="O144" s="565">
        <f t="shared" si="313"/>
        <v>0</v>
      </c>
      <c r="P144" s="565">
        <f t="shared" si="313"/>
        <v>0</v>
      </c>
      <c r="Q144" s="565">
        <f t="shared" si="313"/>
        <v>0</v>
      </c>
      <c r="R144" s="565">
        <f t="shared" si="296"/>
        <v>1</v>
      </c>
      <c r="S144" s="603">
        <v>0</v>
      </c>
      <c r="T144" s="603">
        <v>35.29</v>
      </c>
      <c r="U144" s="603">
        <v>0</v>
      </c>
      <c r="V144" s="603">
        <v>0</v>
      </c>
      <c r="W144" s="603"/>
      <c r="X144" s="620"/>
      <c r="Y144" s="620"/>
      <c r="Z144" s="620"/>
      <c r="AA144" s="620"/>
      <c r="AB144" s="620"/>
      <c r="AC144" s="620"/>
      <c r="AD144" s="620"/>
      <c r="AE144" s="565">
        <f t="shared" ref="AE144:AI145" si="314">SUMIF($G:$G,TEXT(AE$3,"000")&amp;TEXT($L144,"000"),$E:$E)</f>
        <v>0</v>
      </c>
      <c r="AF144" s="565">
        <f t="shared" si="314"/>
        <v>0</v>
      </c>
      <c r="AG144" s="565">
        <f t="shared" si="314"/>
        <v>0</v>
      </c>
      <c r="AH144" s="565">
        <f t="shared" si="314"/>
        <v>0</v>
      </c>
      <c r="AI144" s="565">
        <f t="shared" si="314"/>
        <v>0</v>
      </c>
      <c r="AJ144" s="620"/>
      <c r="AK144" s="570">
        <f t="shared" si="298"/>
        <v>0</v>
      </c>
      <c r="AL144" s="570">
        <f>ROUND(T144*(1+AL$1),2)</f>
        <v>36.47</v>
      </c>
      <c r="AM144" s="570">
        <f t="shared" si="299"/>
        <v>0</v>
      </c>
      <c r="AN144" s="570">
        <f t="shared" si="299"/>
        <v>0</v>
      </c>
      <c r="AO144" s="570">
        <f t="shared" si="299"/>
        <v>0</v>
      </c>
      <c r="AP144" s="620"/>
      <c r="AX144" s="432">
        <v>83</v>
      </c>
      <c r="AZ144">
        <v>36.1</v>
      </c>
      <c r="BE144" s="573">
        <f>ROUND(AX144*$BE$2,2)+ROUND(AX144*$BE$1,2)</f>
        <v>0.18999999999999995</v>
      </c>
      <c r="BF144" s="563"/>
      <c r="BG144" s="563">
        <f>ROUND((T144*$BF$2)+$BE144-AZ144,2)</f>
        <v>-0.09</v>
      </c>
    </row>
    <row r="145" spans="2:84">
      <c r="B145"/>
      <c r="C145"/>
      <c r="I145" s="422" t="s">
        <v>702</v>
      </c>
      <c r="J145" s="620" t="s">
        <v>109</v>
      </c>
      <c r="K145" s="564" t="s">
        <v>626</v>
      </c>
      <c r="L145" s="566" t="s">
        <v>631</v>
      </c>
      <c r="M145" s="565">
        <f t="shared" si="313"/>
        <v>0</v>
      </c>
      <c r="N145" s="565">
        <f t="shared" si="313"/>
        <v>0</v>
      </c>
      <c r="O145" s="565">
        <f t="shared" si="313"/>
        <v>0</v>
      </c>
      <c r="P145" s="565">
        <f t="shared" si="313"/>
        <v>0</v>
      </c>
      <c r="Q145" s="565">
        <f t="shared" si="313"/>
        <v>0</v>
      </c>
      <c r="R145" s="565">
        <f t="shared" si="296"/>
        <v>1</v>
      </c>
      <c r="S145" s="603">
        <v>0</v>
      </c>
      <c r="T145" s="603">
        <v>92.5</v>
      </c>
      <c r="U145" s="603">
        <v>0</v>
      </c>
      <c r="V145" s="603">
        <v>0</v>
      </c>
      <c r="W145" s="603"/>
      <c r="X145" s="620"/>
      <c r="Y145" s="620"/>
      <c r="Z145" s="620"/>
      <c r="AA145" s="620"/>
      <c r="AB145" s="620"/>
      <c r="AC145" s="620"/>
      <c r="AD145" s="620"/>
      <c r="AE145" s="565">
        <f t="shared" si="314"/>
        <v>0</v>
      </c>
      <c r="AF145" s="565">
        <f t="shared" si="314"/>
        <v>0</v>
      </c>
      <c r="AG145" s="565">
        <f t="shared" si="314"/>
        <v>0</v>
      </c>
      <c r="AH145" s="565">
        <f t="shared" si="314"/>
        <v>0</v>
      </c>
      <c r="AI145" s="565">
        <f t="shared" si="314"/>
        <v>0</v>
      </c>
      <c r="AJ145" s="620"/>
      <c r="AK145" s="570">
        <f t="shared" si="298"/>
        <v>0</v>
      </c>
      <c r="AL145" s="570">
        <f>AL91</f>
        <v>95.58</v>
      </c>
      <c r="AM145" s="570">
        <f t="shared" si="299"/>
        <v>0</v>
      </c>
      <c r="AN145" s="570">
        <f t="shared" si="299"/>
        <v>0</v>
      </c>
      <c r="AO145" s="570">
        <f t="shared" si="299"/>
        <v>0</v>
      </c>
      <c r="AP145" s="620"/>
      <c r="AX145" s="432">
        <v>166</v>
      </c>
      <c r="AZ145">
        <v>93.85</v>
      </c>
      <c r="BE145" s="573">
        <f>ROUND(AX145*$BE$2,2)+ROUND(AX145*$BE$1,2)</f>
        <v>0.3600000000000001</v>
      </c>
      <c r="BF145" s="563"/>
      <c r="BG145" s="563">
        <f>ROUND((T145*$BF$2)+$BE145-AZ145,2)</f>
        <v>0.41</v>
      </c>
    </row>
    <row r="146" spans="2:84">
      <c r="B146"/>
      <c r="C146"/>
      <c r="I146" s="599" t="s">
        <v>450</v>
      </c>
      <c r="J146" s="599" t="s">
        <v>131</v>
      </c>
      <c r="K146" s="604" t="s">
        <v>806</v>
      </c>
      <c r="L146" s="605" t="s">
        <v>808</v>
      </c>
      <c r="M146" s="621">
        <f t="shared" ref="M146:Q148" si="315">SUMIF($G:$G,TEXT(M$3,"000")&amp;TEXT($L146,"000"),$E:$E)</f>
        <v>0</v>
      </c>
      <c r="N146" s="621">
        <f t="shared" si="315"/>
        <v>0</v>
      </c>
      <c r="O146" s="621">
        <f t="shared" si="315"/>
        <v>0</v>
      </c>
      <c r="P146" s="621">
        <f t="shared" si="315"/>
        <v>0</v>
      </c>
      <c r="Q146" s="621">
        <f t="shared" si="315"/>
        <v>0</v>
      </c>
      <c r="R146" s="621">
        <f>IF(SUM(M146:Q146)&gt;0,0,1)</f>
        <v>1</v>
      </c>
      <c r="S146" s="622">
        <v>0</v>
      </c>
      <c r="T146" s="622">
        <v>0</v>
      </c>
      <c r="U146" s="622">
        <v>0</v>
      </c>
      <c r="V146" s="622">
        <v>0</v>
      </c>
      <c r="W146" s="622">
        <v>0.65</v>
      </c>
      <c r="X146" s="599"/>
      <c r="Y146" s="673">
        <f t="shared" ref="Y146:AC148" si="316">IF(AND(M146&lt;&gt;0,S146=0),#VALUE!,M146*S146)</f>
        <v>0</v>
      </c>
      <c r="Z146" s="673">
        <f t="shared" si="316"/>
        <v>0</v>
      </c>
      <c r="AA146" s="673">
        <f t="shared" si="316"/>
        <v>0</v>
      </c>
      <c r="AB146" s="673">
        <f t="shared" si="316"/>
        <v>0</v>
      </c>
      <c r="AC146" s="673">
        <f t="shared" si="316"/>
        <v>0</v>
      </c>
      <c r="AD146" s="599"/>
      <c r="AE146" s="621">
        <f t="shared" ref="AE146:AI148" si="317">SUMIF($G:$G,TEXT(AE$3,"000")&amp;TEXT($L146,"000"),$E:$E)</f>
        <v>0</v>
      </c>
      <c r="AF146" s="621">
        <f t="shared" si="317"/>
        <v>0</v>
      </c>
      <c r="AG146" s="621">
        <f t="shared" si="317"/>
        <v>0</v>
      </c>
      <c r="AH146" s="621">
        <f t="shared" si="317"/>
        <v>0</v>
      </c>
      <c r="AI146" s="621">
        <f t="shared" si="317"/>
        <v>0</v>
      </c>
      <c r="AJ146" s="599"/>
      <c r="AK146" s="623">
        <f>ROUND(S146*(1+AK$1),2)</f>
        <v>0</v>
      </c>
      <c r="AL146" s="623"/>
      <c r="AM146" s="623">
        <f t="shared" ref="AM146:AO148" si="318">ROUND(U146*(1+AM$1),2)</f>
        <v>0</v>
      </c>
      <c r="AN146" s="623">
        <f t="shared" si="318"/>
        <v>0</v>
      </c>
      <c r="AO146" s="623">
        <f t="shared" si="318"/>
        <v>0.67</v>
      </c>
      <c r="AP146" s="599"/>
      <c r="AQ146" s="673">
        <f t="shared" ref="AQ146:AU148" si="319">IF(AND(AE146&lt;&gt;0,AK146=0),#VALUE!,AE146*AK146)</f>
        <v>0</v>
      </c>
      <c r="AR146" s="673">
        <f t="shared" si="319"/>
        <v>0</v>
      </c>
      <c r="AS146" s="673">
        <f t="shared" si="319"/>
        <v>0</v>
      </c>
      <c r="AT146" s="673">
        <f t="shared" si="319"/>
        <v>0</v>
      </c>
      <c r="AU146" s="673">
        <f t="shared" si="319"/>
        <v>0</v>
      </c>
      <c r="AV146" s="673">
        <f>SUM(AR146)-SUM(Z146)</f>
        <v>0</v>
      </c>
      <c r="AW146" s="742" t="e">
        <f>AV146/Z146</f>
        <v>#DIV/0!</v>
      </c>
      <c r="AX146" s="680">
        <v>6</v>
      </c>
      <c r="AY146" s="681"/>
      <c r="AZ146" s="681"/>
      <c r="BA146" s="681"/>
      <c r="BB146" s="681"/>
      <c r="BC146" s="567"/>
      <c r="BD146" s="567"/>
      <c r="BE146" s="573">
        <f>ROUND(AX146*$BE$2,2)+ROUND(AX146*$BE$1,2)</f>
        <v>9.999999999999995E-3</v>
      </c>
      <c r="BF146" s="563"/>
      <c r="BG146" s="563"/>
      <c r="BH146" s="563"/>
      <c r="BI146" s="563"/>
      <c r="BJ146" s="563">
        <f>ROUND((W146*$BF$2)+$BE146-BC146,2)</f>
        <v>0.67</v>
      </c>
      <c r="BK146" s="669"/>
      <c r="BL146" s="669"/>
      <c r="BM146" s="571">
        <f>AK146*$BM$1</f>
        <v>0</v>
      </c>
      <c r="BN146" s="571">
        <f>AL146*$BM$1</f>
        <v>0</v>
      </c>
      <c r="BO146" s="571">
        <f>AM146*$BM$1</f>
        <v>0</v>
      </c>
      <c r="BP146" s="571">
        <f>AN146*$BM$1</f>
        <v>0</v>
      </c>
      <c r="BQ146" s="571">
        <f>AO146*$BM$1</f>
        <v>0.68011699999999997</v>
      </c>
      <c r="BR146" s="669"/>
      <c r="BS146" s="563">
        <f>BM146-AY146</f>
        <v>0</v>
      </c>
      <c r="BT146" s="563">
        <f>BN146-AZ146</f>
        <v>0</v>
      </c>
      <c r="BU146" s="563">
        <f>BO146-BA146</f>
        <v>0</v>
      </c>
      <c r="BV146" s="563">
        <f>BP146-BB146</f>
        <v>0</v>
      </c>
      <c r="BW146" s="563">
        <f>BQ146-BC146</f>
        <v>0.68011699999999997</v>
      </c>
      <c r="BX146" s="669"/>
      <c r="BY146" s="669"/>
      <c r="BZ146" s="669"/>
      <c r="CA146" s="669"/>
      <c r="CB146" s="669"/>
      <c r="CC146" s="669"/>
      <c r="CD146" s="669"/>
      <c r="CE146" s="669"/>
      <c r="CF146" s="669"/>
    </row>
    <row r="147" spans="2:84">
      <c r="I147" s="599" t="s">
        <v>450</v>
      </c>
      <c r="J147" s="599" t="s">
        <v>131</v>
      </c>
      <c r="K147" s="604" t="s">
        <v>807</v>
      </c>
      <c r="L147" s="605" t="s">
        <v>809</v>
      </c>
      <c r="M147" s="621">
        <f t="shared" si="315"/>
        <v>0</v>
      </c>
      <c r="N147" s="621">
        <f t="shared" si="315"/>
        <v>0</v>
      </c>
      <c r="O147" s="621">
        <f t="shared" si="315"/>
        <v>0</v>
      </c>
      <c r="P147" s="621">
        <f t="shared" si="315"/>
        <v>0</v>
      </c>
      <c r="Q147" s="621">
        <f t="shared" si="315"/>
        <v>0</v>
      </c>
      <c r="R147" s="621">
        <f>IF(SUM(M147:Q147)&gt;0,0,1)</f>
        <v>1</v>
      </c>
      <c r="S147" s="622">
        <v>0</v>
      </c>
      <c r="T147" s="622">
        <v>0</v>
      </c>
      <c r="U147" s="622">
        <v>0</v>
      </c>
      <c r="V147" s="622">
        <v>0</v>
      </c>
      <c r="W147" s="622">
        <v>0.98</v>
      </c>
      <c r="X147" s="599"/>
      <c r="Y147" s="673">
        <f t="shared" si="316"/>
        <v>0</v>
      </c>
      <c r="Z147" s="673">
        <f t="shared" si="316"/>
        <v>0</v>
      </c>
      <c r="AA147" s="673">
        <f t="shared" si="316"/>
        <v>0</v>
      </c>
      <c r="AB147" s="673">
        <f t="shared" si="316"/>
        <v>0</v>
      </c>
      <c r="AC147" s="673">
        <f t="shared" si="316"/>
        <v>0</v>
      </c>
      <c r="AD147" s="599"/>
      <c r="AE147" s="621">
        <f t="shared" si="317"/>
        <v>0</v>
      </c>
      <c r="AF147" s="621">
        <f t="shared" si="317"/>
        <v>0</v>
      </c>
      <c r="AG147" s="621">
        <f t="shared" si="317"/>
        <v>0</v>
      </c>
      <c r="AH147" s="621">
        <f t="shared" si="317"/>
        <v>0</v>
      </c>
      <c r="AI147" s="621">
        <f t="shared" si="317"/>
        <v>0</v>
      </c>
      <c r="AJ147" s="599"/>
      <c r="AK147" s="623">
        <f>ROUND(S147*(1+AK$1),2)</f>
        <v>0</v>
      </c>
      <c r="AL147" s="623"/>
      <c r="AM147" s="623">
        <f t="shared" si="318"/>
        <v>0</v>
      </c>
      <c r="AN147" s="623">
        <f t="shared" si="318"/>
        <v>0</v>
      </c>
      <c r="AO147" s="623">
        <f t="shared" si="318"/>
        <v>1.01</v>
      </c>
      <c r="AP147" s="599"/>
      <c r="AQ147" s="673">
        <f t="shared" si="319"/>
        <v>0</v>
      </c>
      <c r="AR147" s="673">
        <f t="shared" si="319"/>
        <v>0</v>
      </c>
      <c r="AS147" s="673">
        <f t="shared" si="319"/>
        <v>0</v>
      </c>
      <c r="AT147" s="673">
        <f t="shared" si="319"/>
        <v>0</v>
      </c>
      <c r="AU147" s="673">
        <f t="shared" si="319"/>
        <v>0</v>
      </c>
      <c r="AV147" s="673">
        <f>SUM(AR147)-SUM(Z147)</f>
        <v>0</v>
      </c>
      <c r="AW147" s="742" t="e">
        <f>AV147/Z147</f>
        <v>#DIV/0!</v>
      </c>
      <c r="AX147" s="680">
        <v>9</v>
      </c>
      <c r="AY147" s="681"/>
      <c r="AZ147" s="681"/>
      <c r="BA147" s="681"/>
      <c r="BB147" s="681"/>
      <c r="BC147" s="567"/>
      <c r="BD147" s="567"/>
      <c r="BE147" s="573">
        <f>ROUND(AX147*$BE$2,2)+ROUND(AX147*$BE$1,2)</f>
        <v>2.0000000000000004E-2</v>
      </c>
      <c r="BF147" s="563"/>
      <c r="BG147" s="563"/>
      <c r="BH147" s="563"/>
      <c r="BI147" s="563"/>
      <c r="BJ147" s="563">
        <f>ROUND((W147*$BF$2)+$BE147-BC147,2)</f>
        <v>1.01</v>
      </c>
      <c r="BK147" s="669"/>
      <c r="BL147" s="669"/>
      <c r="BM147" s="571">
        <f t="shared" ref="BM147:BP148" si="320">AK147*$BM$1</f>
        <v>0</v>
      </c>
      <c r="BN147" s="571">
        <f t="shared" si="320"/>
        <v>0</v>
      </c>
      <c r="BO147" s="571">
        <f t="shared" si="320"/>
        <v>0</v>
      </c>
      <c r="BP147" s="571">
        <f t="shared" si="320"/>
        <v>0</v>
      </c>
      <c r="BQ147" s="571">
        <f t="shared" ref="BQ147" si="321">AO147*$BM$1</f>
        <v>1.0252509999999999</v>
      </c>
      <c r="BR147" s="669"/>
      <c r="BS147" s="563">
        <f t="shared" ref="BS147:BV148" si="322">BM147-AY147</f>
        <v>0</v>
      </c>
      <c r="BT147" s="563">
        <f t="shared" si="322"/>
        <v>0</v>
      </c>
      <c r="BU147" s="563">
        <f t="shared" si="322"/>
        <v>0</v>
      </c>
      <c r="BV147" s="563">
        <f t="shared" si="322"/>
        <v>0</v>
      </c>
      <c r="BW147" s="563">
        <f t="shared" ref="BW147" si="323">BQ147-BC147</f>
        <v>1.0252509999999999</v>
      </c>
      <c r="BX147" s="669"/>
      <c r="BY147" s="669"/>
      <c r="BZ147" s="669"/>
      <c r="CA147" s="669"/>
      <c r="CB147" s="669"/>
      <c r="CC147" s="669"/>
      <c r="CD147" s="669"/>
      <c r="CE147" s="669"/>
      <c r="CF147" s="669"/>
    </row>
    <row r="148" spans="2:84">
      <c r="I148" s="599" t="s">
        <v>450</v>
      </c>
      <c r="J148" s="599" t="s">
        <v>131</v>
      </c>
      <c r="K148" s="604" t="s">
        <v>134</v>
      </c>
      <c r="L148" s="605">
        <v>495</v>
      </c>
      <c r="M148" s="621">
        <f t="shared" si="315"/>
        <v>0</v>
      </c>
      <c r="N148" s="621">
        <f t="shared" si="315"/>
        <v>0</v>
      </c>
      <c r="O148" s="621">
        <f t="shared" si="315"/>
        <v>0</v>
      </c>
      <c r="P148" s="621">
        <f t="shared" si="315"/>
        <v>0</v>
      </c>
      <c r="Q148" s="621">
        <f t="shared" si="315"/>
        <v>0</v>
      </c>
      <c r="R148" s="621">
        <f>IF(SUM(M148:Q148)&gt;0,0,1)</f>
        <v>1</v>
      </c>
      <c r="S148" s="622">
        <v>0</v>
      </c>
      <c r="T148" s="622">
        <v>0</v>
      </c>
      <c r="U148" s="622">
        <v>0</v>
      </c>
      <c r="V148" s="622">
        <v>0</v>
      </c>
      <c r="W148" s="622">
        <v>5.01</v>
      </c>
      <c r="X148" s="599"/>
      <c r="Y148" s="673">
        <f t="shared" si="316"/>
        <v>0</v>
      </c>
      <c r="Z148" s="673">
        <f t="shared" si="316"/>
        <v>0</v>
      </c>
      <c r="AA148" s="673">
        <f t="shared" si="316"/>
        <v>0</v>
      </c>
      <c r="AB148" s="673">
        <f t="shared" si="316"/>
        <v>0</v>
      </c>
      <c r="AC148" s="673">
        <f t="shared" si="316"/>
        <v>0</v>
      </c>
      <c r="AD148" s="599"/>
      <c r="AE148" s="621">
        <f t="shared" si="317"/>
        <v>0</v>
      </c>
      <c r="AF148" s="621">
        <f t="shared" si="317"/>
        <v>0</v>
      </c>
      <c r="AG148" s="621">
        <f t="shared" si="317"/>
        <v>0</v>
      </c>
      <c r="AH148" s="621">
        <f t="shared" si="317"/>
        <v>0</v>
      </c>
      <c r="AI148" s="621">
        <f t="shared" si="317"/>
        <v>0</v>
      </c>
      <c r="AJ148" s="599"/>
      <c r="AK148" s="623">
        <f>ROUND(S148*(1+AK$1),2)</f>
        <v>0</v>
      </c>
      <c r="AL148" s="623">
        <f>ROUND(T148*(1+AL$1),2)</f>
        <v>0</v>
      </c>
      <c r="AM148" s="623">
        <f t="shared" si="318"/>
        <v>0</v>
      </c>
      <c r="AN148" s="623">
        <f t="shared" si="318"/>
        <v>0</v>
      </c>
      <c r="AO148" s="623">
        <f t="shared" si="318"/>
        <v>5.18</v>
      </c>
      <c r="AP148" s="599"/>
      <c r="AQ148" s="673">
        <f t="shared" si="319"/>
        <v>0</v>
      </c>
      <c r="AR148" s="673">
        <f t="shared" si="319"/>
        <v>0</v>
      </c>
      <c r="AS148" s="673">
        <f t="shared" si="319"/>
        <v>0</v>
      </c>
      <c r="AT148" s="673">
        <f t="shared" si="319"/>
        <v>0</v>
      </c>
      <c r="AU148" s="673">
        <f t="shared" si="319"/>
        <v>0</v>
      </c>
      <c r="AV148" s="673">
        <f>SUM(AR148)-SUM(Z148)</f>
        <v>0</v>
      </c>
      <c r="AW148" s="742" t="e">
        <f>AV148/Z148</f>
        <v>#DIV/0!</v>
      </c>
      <c r="AX148" s="680">
        <v>49</v>
      </c>
      <c r="AY148" s="681"/>
      <c r="AZ148" s="681"/>
      <c r="BA148" s="681"/>
      <c r="BB148" s="681"/>
      <c r="BC148" s="681"/>
      <c r="BD148" s="681"/>
      <c r="BE148" s="682">
        <f>ROUND(AX148*$BE$2,2)+ROUND(AX148*$BE$1,2)</f>
        <v>0.1100000000000001</v>
      </c>
      <c r="BF148" s="675"/>
      <c r="BG148" s="675"/>
      <c r="BH148" s="675"/>
      <c r="BI148" s="675"/>
      <c r="BJ148" s="675">
        <f>ROUND((W148*$BF$2)+$BE148-BC148,2)</f>
        <v>5.2</v>
      </c>
      <c r="BK148" s="388"/>
      <c r="BL148" s="388"/>
      <c r="BM148" s="278">
        <f t="shared" si="320"/>
        <v>0</v>
      </c>
      <c r="BN148" s="278">
        <f t="shared" si="320"/>
        <v>0</v>
      </c>
      <c r="BO148" s="278">
        <f t="shared" si="320"/>
        <v>0</v>
      </c>
      <c r="BP148" s="278">
        <f t="shared" si="320"/>
        <v>0</v>
      </c>
      <c r="BQ148" s="278">
        <f>AO148*$BM$1</f>
        <v>5.2582179999999994</v>
      </c>
      <c r="BR148" s="388"/>
      <c r="BS148" s="53">
        <f t="shared" si="322"/>
        <v>0</v>
      </c>
      <c r="BT148" s="53">
        <f t="shared" si="322"/>
        <v>0</v>
      </c>
      <c r="BU148" s="53">
        <f t="shared" si="322"/>
        <v>0</v>
      </c>
      <c r="BV148" s="53">
        <f t="shared" si="322"/>
        <v>0</v>
      </c>
      <c r="BW148" s="53">
        <f>BQ148-BC148</f>
        <v>5.2582179999999994</v>
      </c>
    </row>
    <row r="149" spans="2:84">
      <c r="AL149" s="644"/>
      <c r="AM149" s="644"/>
      <c r="AN149" s="644"/>
      <c r="AO149" s="644"/>
    </row>
    <row r="150" spans="2:84">
      <c r="I150" s="599" t="s">
        <v>124</v>
      </c>
      <c r="J150" s="599" t="s">
        <v>110</v>
      </c>
      <c r="K150" s="604">
        <v>4000</v>
      </c>
      <c r="L150" s="605">
        <v>214</v>
      </c>
      <c r="M150" s="621">
        <f t="shared" ref="M150:Q153" si="324">SUMIF($G:$G,TEXT(M$3,"000")&amp;TEXT($L150,"000"),$E:$E)</f>
        <v>0</v>
      </c>
      <c r="N150" s="621">
        <f t="shared" si="324"/>
        <v>0</v>
      </c>
      <c r="O150" s="621">
        <f t="shared" si="324"/>
        <v>0</v>
      </c>
      <c r="P150" s="621">
        <f t="shared" si="324"/>
        <v>0</v>
      </c>
      <c r="Q150" s="621">
        <f t="shared" si="324"/>
        <v>0</v>
      </c>
      <c r="R150" s="621">
        <f>IF(SUM(M150:Q150)&gt;0,0,1)</f>
        <v>1</v>
      </c>
      <c r="S150" s="622">
        <v>14.67</v>
      </c>
      <c r="T150" s="622">
        <v>0</v>
      </c>
      <c r="U150" s="622">
        <v>0</v>
      </c>
      <c r="V150" s="622">
        <v>0</v>
      </c>
      <c r="W150" s="622">
        <v>0</v>
      </c>
      <c r="X150" s="599"/>
      <c r="Y150" s="673">
        <f>IF(AND(M150&lt;&gt;0,S150=0),#VALUE!,M150*S150)</f>
        <v>0</v>
      </c>
      <c r="Z150" s="673">
        <f>IF(AND(N150&lt;&gt;0,T150=0),#VALUE!,N150*T150)</f>
        <v>0</v>
      </c>
      <c r="AA150" s="673">
        <f>IF(AND(O150&lt;&gt;0,U150=0),#VALUE!,O150*U150)</f>
        <v>0</v>
      </c>
      <c r="AB150" s="673">
        <f>IF(AND(P150&lt;&gt;0,V150=0),#VALUE!,P150*V150)</f>
        <v>0</v>
      </c>
      <c r="AC150" s="673">
        <f>IF(AND(Q150&lt;&gt;0,W150=0),#VALUE!,Q150*W150)</f>
        <v>0</v>
      </c>
      <c r="AD150" s="599"/>
      <c r="AE150" s="621">
        <f>M150</f>
        <v>0</v>
      </c>
      <c r="AF150" s="621">
        <f>N150</f>
        <v>0</v>
      </c>
      <c r="AG150" s="621">
        <f>O150</f>
        <v>0</v>
      </c>
      <c r="AH150" s="621">
        <f>P150</f>
        <v>0</v>
      </c>
      <c r="AI150" s="621">
        <f>Q150</f>
        <v>0</v>
      </c>
      <c r="AJ150" s="599"/>
      <c r="AK150" s="623"/>
      <c r="AL150" s="623">
        <f t="shared" ref="AL150:AO153" si="325">ROUND(T150*(1+AL$1),2)</f>
        <v>0</v>
      </c>
      <c r="AM150" s="623">
        <f t="shared" si="325"/>
        <v>0</v>
      </c>
      <c r="AN150" s="623">
        <f t="shared" si="325"/>
        <v>0</v>
      </c>
      <c r="AO150" s="623">
        <f t="shared" si="325"/>
        <v>0</v>
      </c>
      <c r="AP150" s="599"/>
      <c r="AQ150" s="673">
        <f>IF(AND(AE150&lt;&gt;0,AK150=0),#VALUE!,AE150*AK150)</f>
        <v>0</v>
      </c>
      <c r="AR150" s="673">
        <f>IF(AND(AF150&lt;&gt;0,AL150=0),#VALUE!,AF150*AL150)</f>
        <v>0</v>
      </c>
      <c r="AS150" s="673">
        <f>IF(AND(AG150&lt;&gt;0,AM150=0),#VALUE!,AG150*AM150)</f>
        <v>0</v>
      </c>
      <c r="AT150" s="673">
        <f>IF(AND(AH150&lt;&gt;0,AN150=0),#VALUE!,AH150*AN150)</f>
        <v>0</v>
      </c>
      <c r="AU150" s="673">
        <f>IF(AND(AI150&lt;&gt;0,AO150=0),#VALUE!,AI150*AO150)</f>
        <v>0</v>
      </c>
      <c r="AV150" s="69">
        <f>SUM(AQ150:AU150)-SUM(Y150:AC150)</f>
        <v>0</v>
      </c>
      <c r="AW150" s="69"/>
      <c r="AX150" s="434">
        <v>42</v>
      </c>
      <c r="AY150" s="567">
        <v>14.99</v>
      </c>
      <c r="AZ150" s="567"/>
      <c r="BA150" s="567"/>
      <c r="BB150" s="567"/>
      <c r="BC150" s="567"/>
      <c r="BD150" s="139"/>
      <c r="BE150" s="435">
        <f>ROUND(AX150*$BE$2,2)+ROUND(AX150*$BE$1,2)</f>
        <v>9.9999999999999978E-2</v>
      </c>
      <c r="BF150" s="53">
        <f>ROUND((S150*$BF$2),2)+ROUND($BE150-AY150,2)</f>
        <v>0</v>
      </c>
      <c r="BG150" s="53"/>
      <c r="BH150" s="53"/>
      <c r="BI150" s="53"/>
      <c r="BJ150" s="53"/>
      <c r="BM150" s="278">
        <f t="shared" ref="BM150:BQ153" si="326">AK150*$BM$1</f>
        <v>0</v>
      </c>
      <c r="BN150" s="278">
        <f t="shared" si="326"/>
        <v>0</v>
      </c>
      <c r="BO150" s="278">
        <f t="shared" si="326"/>
        <v>0</v>
      </c>
      <c r="BP150" s="278">
        <f t="shared" si="326"/>
        <v>0</v>
      </c>
      <c r="BQ150" s="278">
        <f t="shared" si="326"/>
        <v>0</v>
      </c>
      <c r="BS150" s="53">
        <f t="shared" ref="BS150:BW153" si="327">BM150-AY150</f>
        <v>-14.99</v>
      </c>
      <c r="BT150" s="53">
        <f t="shared" si="327"/>
        <v>0</v>
      </c>
      <c r="BU150" s="53">
        <f t="shared" si="327"/>
        <v>0</v>
      </c>
      <c r="BV150" s="53">
        <f t="shared" si="327"/>
        <v>0</v>
      </c>
      <c r="BW150" s="53">
        <f t="shared" si="327"/>
        <v>0</v>
      </c>
    </row>
    <row r="151" spans="2:84">
      <c r="I151" s="685" t="s">
        <v>137</v>
      </c>
      <c r="J151" s="685" t="s">
        <v>107</v>
      </c>
      <c r="K151" s="686" t="s">
        <v>140</v>
      </c>
      <c r="L151" s="683">
        <v>475</v>
      </c>
      <c r="M151" s="684">
        <f t="shared" si="324"/>
        <v>0</v>
      </c>
      <c r="N151" s="684">
        <f t="shared" si="324"/>
        <v>0</v>
      </c>
      <c r="O151" s="621">
        <f t="shared" si="324"/>
        <v>0</v>
      </c>
      <c r="P151" s="621">
        <f t="shared" si="324"/>
        <v>0</v>
      </c>
      <c r="Q151" s="621">
        <f t="shared" si="324"/>
        <v>0</v>
      </c>
      <c r="R151" s="621">
        <f>IF(SUM(M151:Q151)&gt;0,0,1)</f>
        <v>1</v>
      </c>
      <c r="S151" s="622">
        <v>0</v>
      </c>
      <c r="T151" s="622">
        <v>19.71</v>
      </c>
      <c r="U151" s="622">
        <v>0</v>
      </c>
      <c r="V151" s="622">
        <v>0</v>
      </c>
      <c r="W151" s="622">
        <v>0</v>
      </c>
      <c r="X151" s="599"/>
      <c r="Y151" s="599"/>
      <c r="Z151" s="673">
        <f>IF(AND(N151&lt;&gt;0,T151=0),#VALUE!,N151*T151)</f>
        <v>0</v>
      </c>
      <c r="AA151" s="599"/>
      <c r="AB151" s="599"/>
      <c r="AC151" s="599"/>
      <c r="AD151" s="599"/>
      <c r="AE151" s="621">
        <f>SUMIF($G:$G,TEXT(AE$3,"000")&amp;TEXT($L151,"000"),$E:$E)</f>
        <v>0</v>
      </c>
      <c r="AF151" s="621">
        <f>SUMIF($G:$G,TEXT(AF$3,"000")&amp;TEXT($L151,"000"),$E:$E)</f>
        <v>0</v>
      </c>
      <c r="AG151" s="621">
        <f>SUMIF($G:$G,TEXT(AG$3,"000")&amp;TEXT($L151,"000"),$E:$E)</f>
        <v>0</v>
      </c>
      <c r="AH151" s="621">
        <f>SUMIF($G:$G,TEXT(AH$3,"000")&amp;TEXT($L151,"000"),$E:$E)</f>
        <v>0</v>
      </c>
      <c r="AI151" s="621">
        <f>SUMIF($G:$G,TEXT(AI$3,"000")&amp;TEXT($L151,"000"),$E:$E)</f>
        <v>0</v>
      </c>
      <c r="AJ151" s="599"/>
      <c r="AK151" s="623">
        <f>ROUND(S151*(1+AK$1),2)</f>
        <v>0</v>
      </c>
      <c r="AL151" s="623">
        <f t="shared" si="325"/>
        <v>20.37</v>
      </c>
      <c r="AM151" s="623">
        <f t="shared" si="325"/>
        <v>0</v>
      </c>
      <c r="AN151" s="623">
        <f t="shared" si="325"/>
        <v>0</v>
      </c>
      <c r="AO151" s="623">
        <f t="shared" si="325"/>
        <v>0</v>
      </c>
      <c r="AP151" s="599"/>
      <c r="AQ151" s="599"/>
      <c r="AR151" s="673">
        <f>IF(AND(AF151&lt;&gt;0,AL151=0),#VALUE!,AF151*AL151)</f>
        <v>0</v>
      </c>
      <c r="AS151" s="599"/>
      <c r="AT151" s="599"/>
      <c r="AU151" s="599"/>
      <c r="AV151" s="673">
        <f>SUM(AR151)-SUM(Z151)</f>
        <v>0</v>
      </c>
      <c r="AW151" s="443" t="e">
        <f>AV151/Z151</f>
        <v>#DIV/0!</v>
      </c>
      <c r="AX151" s="434">
        <v>40</v>
      </c>
      <c r="AY151" s="567"/>
      <c r="AZ151" s="567">
        <v>20.09</v>
      </c>
      <c r="BA151" s="567"/>
      <c r="BB151" s="567"/>
      <c r="BC151" s="567"/>
      <c r="BD151" s="139"/>
      <c r="BE151" s="573">
        <f>ROUND(AX151*$BE$2,2)+ROUND(AX151*$BE$1,2)</f>
        <v>9.000000000000008E-2</v>
      </c>
      <c r="BF151" s="53"/>
      <c r="BG151" s="53">
        <f>ROUND((T151*$BF$2)+$BE151-AZ151,2)</f>
        <v>0.01</v>
      </c>
      <c r="BH151" s="53"/>
      <c r="BI151" s="53"/>
      <c r="BJ151" s="53"/>
      <c r="BM151" s="278">
        <f t="shared" si="326"/>
        <v>0</v>
      </c>
      <c r="BN151" s="278">
        <f t="shared" si="326"/>
        <v>20.677586999999999</v>
      </c>
      <c r="BO151" s="278">
        <f t="shared" si="326"/>
        <v>0</v>
      </c>
      <c r="BP151" s="278">
        <f t="shared" si="326"/>
        <v>0</v>
      </c>
      <c r="BQ151" s="278">
        <f t="shared" si="326"/>
        <v>0</v>
      </c>
      <c r="BS151" s="53">
        <f t="shared" si="327"/>
        <v>0</v>
      </c>
      <c r="BT151" s="53">
        <f t="shared" si="327"/>
        <v>0.58758699999999919</v>
      </c>
      <c r="BU151" s="53">
        <f t="shared" si="327"/>
        <v>0</v>
      </c>
      <c r="BV151" s="53">
        <f t="shared" si="327"/>
        <v>0</v>
      </c>
      <c r="BW151" s="53">
        <f t="shared" si="327"/>
        <v>0</v>
      </c>
    </row>
    <row r="152" spans="2:84">
      <c r="I152" s="599" t="s">
        <v>128</v>
      </c>
      <c r="J152" s="599" t="s">
        <v>109</v>
      </c>
      <c r="K152" s="604" t="s">
        <v>143</v>
      </c>
      <c r="L152" s="605">
        <v>632</v>
      </c>
      <c r="M152" s="621">
        <f t="shared" si="324"/>
        <v>0</v>
      </c>
      <c r="N152" s="621">
        <f t="shared" si="324"/>
        <v>0</v>
      </c>
      <c r="O152" s="621">
        <f t="shared" si="324"/>
        <v>0</v>
      </c>
      <c r="P152" s="621">
        <f t="shared" si="324"/>
        <v>0</v>
      </c>
      <c r="Q152" s="621">
        <f t="shared" si="324"/>
        <v>0</v>
      </c>
      <c r="R152" s="621">
        <f>IF(SUM(M152:Q152)&gt;0,0,1)</f>
        <v>1</v>
      </c>
      <c r="S152" s="622">
        <v>0</v>
      </c>
      <c r="T152" s="622"/>
      <c r="U152" s="622">
        <v>13.59</v>
      </c>
      <c r="V152" s="622">
        <v>0</v>
      </c>
      <c r="W152" s="622">
        <v>0</v>
      </c>
      <c r="X152" s="599"/>
      <c r="Y152" s="673">
        <f>IF(AND(M152&lt;&gt;0,S152=0),#VALUE!,M152*S152)</f>
        <v>0</v>
      </c>
      <c r="Z152" s="673">
        <f>IF(AND(N152&lt;&gt;0,T152=0),#VALUE!,N152*T152)</f>
        <v>0</v>
      </c>
      <c r="AA152" s="673">
        <f t="shared" ref="AA152:AC153" si="328">IF(AND(O152&lt;&gt;0,U152=0),#VALUE!,O152*U152)</f>
        <v>0</v>
      </c>
      <c r="AB152" s="673">
        <f t="shared" si="328"/>
        <v>0</v>
      </c>
      <c r="AC152" s="673">
        <f t="shared" si="328"/>
        <v>0</v>
      </c>
      <c r="AD152" s="599"/>
      <c r="AE152" s="621">
        <f t="shared" ref="AE152:AI153" si="329">M152</f>
        <v>0</v>
      </c>
      <c r="AF152" s="621">
        <f t="shared" si="329"/>
        <v>0</v>
      </c>
      <c r="AG152" s="621">
        <f t="shared" si="329"/>
        <v>0</v>
      </c>
      <c r="AH152" s="621">
        <f t="shared" si="329"/>
        <v>0</v>
      </c>
      <c r="AI152" s="621">
        <f t="shared" si="329"/>
        <v>0</v>
      </c>
      <c r="AJ152" s="599"/>
      <c r="AK152" s="623">
        <f>ROUND(S152*(1+AK$1),2)</f>
        <v>0</v>
      </c>
      <c r="AL152" s="570">
        <f t="shared" si="325"/>
        <v>0</v>
      </c>
      <c r="AM152" s="623">
        <f t="shared" si="325"/>
        <v>14.04</v>
      </c>
      <c r="AN152" s="623">
        <f t="shared" si="325"/>
        <v>0</v>
      </c>
      <c r="AO152" s="623">
        <f t="shared" si="325"/>
        <v>0</v>
      </c>
      <c r="AP152" s="599"/>
      <c r="AQ152" s="673">
        <f>IF(AND(AE152&lt;&gt;0,AK152=0),#VALUE!,AE152*AK152)</f>
        <v>0</v>
      </c>
      <c r="AR152" s="673">
        <f>IF(AND(AF152&lt;&gt;0,AL152=0),#VALUE!,AF152*AL152)</f>
        <v>0</v>
      </c>
      <c r="AS152" s="673">
        <f t="shared" ref="AS152:AU153" si="330">IF(AND(AG152&lt;&gt;0,AM152=0),#VALUE!,AG152*AM152)</f>
        <v>0</v>
      </c>
      <c r="AT152" s="673">
        <f t="shared" si="330"/>
        <v>0</v>
      </c>
      <c r="AU152" s="673">
        <f t="shared" si="330"/>
        <v>0</v>
      </c>
      <c r="AV152" s="673">
        <f>SUM(AR152)-SUM(Z152)</f>
        <v>0</v>
      </c>
      <c r="AW152" s="443" t="e">
        <f>AV152/Z152</f>
        <v>#DIV/0!</v>
      </c>
      <c r="AX152" s="434">
        <v>107</v>
      </c>
      <c r="AY152" s="567"/>
      <c r="AZ152" s="567"/>
      <c r="BA152" s="567">
        <v>14.04</v>
      </c>
      <c r="BB152" s="567"/>
      <c r="BC152" s="567"/>
      <c r="BD152" s="139"/>
      <c r="BE152" s="573">
        <f>ROUND(AX152*$BE$2,2)+ROUND(AX152*$BE$1,2)</f>
        <v>0.22999999999999998</v>
      </c>
      <c r="BF152" s="53"/>
      <c r="BG152" s="53"/>
      <c r="BH152" s="53">
        <f>ROUND((U152*$BF$2)+$BE152-BA152,2)</f>
        <v>-0.01</v>
      </c>
      <c r="BI152" s="53"/>
      <c r="BJ152" s="53"/>
      <c r="BM152" s="278">
        <f t="shared" si="326"/>
        <v>0</v>
      </c>
      <c r="BN152" s="278">
        <f t="shared" si="326"/>
        <v>0</v>
      </c>
      <c r="BO152" s="278">
        <f t="shared" si="326"/>
        <v>14.252003999999998</v>
      </c>
      <c r="BP152" s="278">
        <f t="shared" si="326"/>
        <v>0</v>
      </c>
      <c r="BQ152" s="278">
        <f t="shared" si="326"/>
        <v>0</v>
      </c>
      <c r="BS152" s="53">
        <f t="shared" si="327"/>
        <v>0</v>
      </c>
      <c r="BT152" s="53">
        <f t="shared" si="327"/>
        <v>0</v>
      </c>
      <c r="BU152" s="53">
        <f t="shared" si="327"/>
        <v>0.21200399999999853</v>
      </c>
      <c r="BV152" s="53">
        <f t="shared" si="327"/>
        <v>0</v>
      </c>
      <c r="BW152" s="53">
        <f t="shared" si="327"/>
        <v>0</v>
      </c>
    </row>
    <row r="153" spans="2:84">
      <c r="I153" s="599" t="s">
        <v>128</v>
      </c>
      <c r="J153" s="599" t="s">
        <v>109</v>
      </c>
      <c r="K153" s="604" t="s">
        <v>147</v>
      </c>
      <c r="L153" s="605">
        <v>832</v>
      </c>
      <c r="M153" s="621">
        <f t="shared" si="324"/>
        <v>0</v>
      </c>
      <c r="N153" s="621">
        <f t="shared" si="324"/>
        <v>0</v>
      </c>
      <c r="O153" s="621">
        <f t="shared" si="324"/>
        <v>0</v>
      </c>
      <c r="P153" s="621">
        <f t="shared" si="324"/>
        <v>0</v>
      </c>
      <c r="Q153" s="621">
        <f t="shared" si="324"/>
        <v>0</v>
      </c>
      <c r="R153" s="621">
        <f>IF(SUM(M153:Q153)&gt;0,0,1)</f>
        <v>1</v>
      </c>
      <c r="S153" s="622">
        <v>0</v>
      </c>
      <c r="T153" s="622">
        <v>52.32</v>
      </c>
      <c r="U153" s="622"/>
      <c r="V153" s="622">
        <v>0</v>
      </c>
      <c r="W153" s="622">
        <v>0</v>
      </c>
      <c r="X153" s="599"/>
      <c r="Y153" s="673">
        <f>IF(AND(M153&lt;&gt;0,S153=0),#VALUE!,M153*S153)</f>
        <v>0</v>
      </c>
      <c r="Z153" s="673">
        <f>IF(AND(N153&lt;&gt;0,T153=0),#VALUE!,N153*T153)</f>
        <v>0</v>
      </c>
      <c r="AA153" s="673">
        <f t="shared" si="328"/>
        <v>0</v>
      </c>
      <c r="AB153" s="673">
        <f t="shared" si="328"/>
        <v>0</v>
      </c>
      <c r="AC153" s="673">
        <f t="shared" si="328"/>
        <v>0</v>
      </c>
      <c r="AD153" s="599"/>
      <c r="AE153" s="621">
        <f t="shared" si="329"/>
        <v>0</v>
      </c>
      <c r="AF153" s="621">
        <f t="shared" si="329"/>
        <v>0</v>
      </c>
      <c r="AG153" s="621">
        <f t="shared" si="329"/>
        <v>0</v>
      </c>
      <c r="AH153" s="621">
        <f t="shared" si="329"/>
        <v>0</v>
      </c>
      <c r="AI153" s="621">
        <f t="shared" si="329"/>
        <v>0</v>
      </c>
      <c r="AJ153" s="599"/>
      <c r="AK153" s="623">
        <f>ROUND(S153*(1+AK$1),2)</f>
        <v>0</v>
      </c>
      <c r="AL153" s="623">
        <f t="shared" si="325"/>
        <v>54.06</v>
      </c>
      <c r="AM153" s="623">
        <f t="shared" si="325"/>
        <v>0</v>
      </c>
      <c r="AN153" s="623">
        <f t="shared" si="325"/>
        <v>0</v>
      </c>
      <c r="AO153" s="623">
        <f t="shared" si="325"/>
        <v>0</v>
      </c>
      <c r="AP153" s="599"/>
      <c r="AQ153" s="673">
        <f>IF(AND(AE153&lt;&gt;0,AK153=0),#VALUE!,AE153*AK153)</f>
        <v>0</v>
      </c>
      <c r="AR153" s="673">
        <f>IF(AND(AF153&lt;&gt;0,AL153=0),#VALUE!,AF153*AL153)</f>
        <v>0</v>
      </c>
      <c r="AS153" s="673">
        <f t="shared" si="330"/>
        <v>0</v>
      </c>
      <c r="AT153" s="673">
        <f t="shared" si="330"/>
        <v>0</v>
      </c>
      <c r="AU153" s="673">
        <f t="shared" si="330"/>
        <v>0</v>
      </c>
      <c r="AV153" s="673">
        <f>SUM(AR153)-SUM(Z153)</f>
        <v>0</v>
      </c>
      <c r="AW153" s="443" t="e">
        <f>AV153/Z153</f>
        <v>#DIV/0!</v>
      </c>
      <c r="AX153" s="434">
        <v>169</v>
      </c>
      <c r="AY153" s="567"/>
      <c r="AZ153" s="567">
        <v>53.49</v>
      </c>
      <c r="BA153" s="567"/>
      <c r="BB153" s="567"/>
      <c r="BC153" s="567"/>
      <c r="BD153" s="139"/>
      <c r="BE153" s="573">
        <f>ROUND(AX153*$BE$2,2)+ROUND(AX153*$BE$1,2)</f>
        <v>0.37999999999999989</v>
      </c>
      <c r="BF153" s="53"/>
      <c r="BG153" s="53">
        <f>ROUND((T153*$BF$2)+$BE153-AZ153,2)</f>
        <v>0</v>
      </c>
      <c r="BH153" s="53">
        <f>ROUND((U153*$BF$2)+$BE153-BA153,2)</f>
        <v>0.38</v>
      </c>
      <c r="BI153" s="53"/>
      <c r="BJ153" s="53"/>
      <c r="BM153" s="278">
        <f t="shared" si="326"/>
        <v>0</v>
      </c>
      <c r="BN153" s="278">
        <f t="shared" si="326"/>
        <v>54.876306</v>
      </c>
      <c r="BO153" s="278">
        <f t="shared" si="326"/>
        <v>0</v>
      </c>
      <c r="BP153" s="278">
        <f t="shared" si="326"/>
        <v>0</v>
      </c>
      <c r="BQ153" s="278">
        <f t="shared" si="326"/>
        <v>0</v>
      </c>
      <c r="BS153" s="53">
        <f t="shared" si="327"/>
        <v>0</v>
      </c>
      <c r="BT153" s="53">
        <f t="shared" si="327"/>
        <v>1.3863059999999976</v>
      </c>
      <c r="BU153" s="53">
        <f t="shared" si="327"/>
        <v>0</v>
      </c>
      <c r="BV153" s="53">
        <f t="shared" si="327"/>
        <v>0</v>
      </c>
      <c r="BW153" s="53">
        <f t="shared" si="327"/>
        <v>0</v>
      </c>
    </row>
    <row r="154" spans="2:84">
      <c r="AL154" s="644"/>
      <c r="AM154" s="644"/>
      <c r="AN154" s="644"/>
      <c r="AO154" s="644"/>
    </row>
    <row r="155" spans="2:84">
      <c r="AL155" s="644"/>
      <c r="AM155" s="644"/>
      <c r="AN155" s="644"/>
      <c r="AO155" s="644"/>
    </row>
    <row r="156" spans="2:84">
      <c r="AL156" s="644"/>
      <c r="AM156" s="644"/>
      <c r="AN156" s="644"/>
      <c r="AO156" s="644"/>
    </row>
    <row r="157" spans="2:84">
      <c r="AL157" s="644"/>
      <c r="AM157" s="644"/>
      <c r="AN157" s="644"/>
      <c r="AO157" s="644"/>
    </row>
    <row r="158" spans="2:84">
      <c r="AL158" s="644"/>
      <c r="AM158" s="644"/>
      <c r="AN158" s="644"/>
      <c r="AO158" s="644"/>
    </row>
    <row r="159" spans="2:84">
      <c r="AL159" s="644"/>
      <c r="AM159" s="644"/>
      <c r="AN159" s="644"/>
      <c r="AO159" s="644"/>
    </row>
    <row r="160" spans="2:84">
      <c r="AL160" s="644"/>
      <c r="AM160" s="644"/>
      <c r="AN160" s="644"/>
      <c r="AO160" s="644"/>
    </row>
    <row r="161" spans="38:41">
      <c r="AL161" s="644"/>
      <c r="AM161" s="644"/>
      <c r="AN161" s="644"/>
      <c r="AO161" s="644"/>
    </row>
    <row r="162" spans="38:41">
      <c r="AL162" s="644"/>
      <c r="AM162" s="644"/>
      <c r="AN162" s="644"/>
      <c r="AO162" s="644"/>
    </row>
    <row r="163" spans="38:41">
      <c r="AL163" s="644"/>
      <c r="AM163" s="644"/>
      <c r="AN163" s="644"/>
      <c r="AO163" s="644"/>
    </row>
    <row r="164" spans="38:41">
      <c r="AL164" s="644"/>
      <c r="AM164" s="644"/>
      <c r="AN164" s="644"/>
      <c r="AO164" s="644"/>
    </row>
    <row r="165" spans="38:41">
      <c r="AL165" s="644"/>
      <c r="AM165" s="644"/>
      <c r="AN165" s="644"/>
      <c r="AO165" s="644"/>
    </row>
    <row r="166" spans="38:41">
      <c r="AL166" s="644"/>
      <c r="AM166" s="644"/>
      <c r="AN166" s="644"/>
      <c r="AO166" s="644"/>
    </row>
    <row r="167" spans="38:41">
      <c r="AL167" s="644"/>
      <c r="AM167" s="644"/>
      <c r="AN167" s="644"/>
      <c r="AO167" s="644"/>
    </row>
    <row r="168" spans="38:41">
      <c r="AL168" s="644"/>
      <c r="AM168" s="644"/>
      <c r="AN168" s="644"/>
      <c r="AO168" s="644"/>
    </row>
    <row r="169" spans="38:41">
      <c r="AL169" s="644"/>
      <c r="AM169" s="644"/>
      <c r="AN169" s="644"/>
      <c r="AO169" s="644"/>
    </row>
    <row r="170" spans="38:41">
      <c r="AL170" s="644"/>
      <c r="AM170" s="644"/>
      <c r="AN170" s="644"/>
      <c r="AO170" s="644"/>
    </row>
    <row r="171" spans="38:41">
      <c r="AL171" s="644"/>
      <c r="AM171" s="644"/>
      <c r="AN171" s="644"/>
      <c r="AO171" s="644"/>
    </row>
    <row r="172" spans="38:41">
      <c r="AL172" s="644"/>
      <c r="AM172" s="644"/>
      <c r="AN172" s="644"/>
      <c r="AO172" s="644"/>
    </row>
    <row r="173" spans="38:41">
      <c r="AL173" s="644"/>
      <c r="AM173" s="644"/>
      <c r="AN173" s="644"/>
      <c r="AO173" s="644"/>
    </row>
    <row r="174" spans="38:41">
      <c r="AL174" s="644"/>
      <c r="AM174" s="644"/>
      <c r="AN174" s="644"/>
      <c r="AO174" s="644"/>
    </row>
    <row r="175" spans="38:41">
      <c r="AL175" s="644"/>
      <c r="AM175" s="644"/>
      <c r="AN175" s="644"/>
      <c r="AO175" s="644"/>
    </row>
    <row r="176" spans="38:41">
      <c r="AL176" s="644"/>
      <c r="AM176" s="644"/>
      <c r="AN176" s="644"/>
      <c r="AO176" s="644"/>
    </row>
    <row r="177" spans="38:41">
      <c r="AL177" s="644"/>
      <c r="AM177" s="644"/>
      <c r="AN177" s="644"/>
      <c r="AO177" s="644"/>
    </row>
    <row r="178" spans="38:41">
      <c r="AL178" s="644"/>
      <c r="AM178" s="644"/>
      <c r="AN178" s="644"/>
      <c r="AO178" s="644"/>
    </row>
    <row r="179" spans="38:41">
      <c r="AL179" s="644"/>
      <c r="AM179" s="644"/>
      <c r="AN179" s="644"/>
      <c r="AO179" s="644"/>
    </row>
    <row r="180" spans="38:41">
      <c r="AL180" s="644"/>
      <c r="AM180" s="644"/>
      <c r="AN180" s="644"/>
      <c r="AO180" s="644"/>
    </row>
    <row r="181" spans="38:41">
      <c r="AL181" s="644"/>
      <c r="AM181" s="644"/>
      <c r="AN181" s="644"/>
      <c r="AO181" s="644"/>
    </row>
    <row r="182" spans="38:41">
      <c r="AL182" s="644"/>
      <c r="AM182" s="644"/>
      <c r="AN182" s="644"/>
      <c r="AO182" s="644"/>
    </row>
    <row r="183" spans="38:41">
      <c r="AL183" s="644"/>
      <c r="AM183" s="644"/>
      <c r="AN183" s="644"/>
      <c r="AO183" s="644"/>
    </row>
    <row r="184" spans="38:41">
      <c r="AL184" s="644"/>
      <c r="AM184" s="644"/>
      <c r="AN184" s="644"/>
      <c r="AO184" s="644"/>
    </row>
    <row r="185" spans="38:41">
      <c r="AL185" s="644"/>
      <c r="AM185" s="644"/>
      <c r="AN185" s="644"/>
      <c r="AO185" s="644"/>
    </row>
    <row r="186" spans="38:41">
      <c r="AL186" s="644"/>
      <c r="AM186" s="644"/>
      <c r="AN186" s="644"/>
      <c r="AO186" s="644"/>
    </row>
    <row r="187" spans="38:41">
      <c r="AL187" s="644"/>
      <c r="AM187" s="644"/>
      <c r="AN187" s="644"/>
      <c r="AO187" s="644"/>
    </row>
    <row r="188" spans="38:41">
      <c r="AL188" s="644"/>
      <c r="AM188" s="644"/>
      <c r="AN188" s="644"/>
      <c r="AO188" s="644"/>
    </row>
    <row r="189" spans="38:41">
      <c r="AL189" s="644"/>
      <c r="AM189" s="644"/>
      <c r="AN189" s="644"/>
      <c r="AO189" s="644"/>
    </row>
    <row r="190" spans="38:41">
      <c r="AL190" s="644"/>
      <c r="AM190" s="644"/>
      <c r="AN190" s="644"/>
      <c r="AO190" s="644"/>
    </row>
    <row r="191" spans="38:41">
      <c r="AL191" s="644"/>
      <c r="AM191" s="644"/>
      <c r="AN191" s="644"/>
      <c r="AO191" s="644"/>
    </row>
    <row r="192" spans="38:41">
      <c r="AL192" s="644"/>
      <c r="AM192" s="644"/>
      <c r="AN192" s="644"/>
      <c r="AO192" s="644"/>
    </row>
    <row r="193" spans="38:41">
      <c r="AL193" s="644"/>
      <c r="AM193" s="644"/>
      <c r="AN193" s="644"/>
      <c r="AO193" s="644"/>
    </row>
    <row r="194" spans="38:41">
      <c r="AL194" s="644"/>
      <c r="AM194" s="644"/>
      <c r="AN194" s="644"/>
      <c r="AO194" s="644"/>
    </row>
    <row r="195" spans="38:41">
      <c r="AL195" s="644"/>
      <c r="AM195" s="644"/>
      <c r="AN195" s="644"/>
      <c r="AO195" s="644"/>
    </row>
    <row r="196" spans="38:41">
      <c r="AL196" s="644"/>
      <c r="AM196" s="644"/>
      <c r="AN196" s="644"/>
      <c r="AO196" s="644"/>
    </row>
    <row r="197" spans="38:41">
      <c r="AL197" s="644"/>
      <c r="AM197" s="644"/>
      <c r="AN197" s="644"/>
      <c r="AO197" s="644"/>
    </row>
    <row r="198" spans="38:41">
      <c r="AL198" s="644"/>
      <c r="AM198" s="644"/>
      <c r="AN198" s="644"/>
      <c r="AO198" s="644"/>
    </row>
    <row r="199" spans="38:41">
      <c r="AL199" s="644"/>
      <c r="AM199" s="644"/>
      <c r="AN199" s="644"/>
      <c r="AO199" s="644"/>
    </row>
    <row r="200" spans="38:41">
      <c r="AL200" s="644"/>
      <c r="AM200" s="644"/>
      <c r="AN200" s="644"/>
      <c r="AO200" s="644"/>
    </row>
    <row r="201" spans="38:41">
      <c r="AL201" s="644"/>
      <c r="AM201" s="644"/>
      <c r="AN201" s="644"/>
      <c r="AO201" s="644"/>
    </row>
    <row r="202" spans="38:41">
      <c r="AL202" s="644"/>
      <c r="AM202" s="644"/>
      <c r="AN202" s="644"/>
      <c r="AO202" s="644"/>
    </row>
    <row r="203" spans="38:41">
      <c r="AL203" s="644"/>
      <c r="AM203" s="644"/>
      <c r="AN203" s="644"/>
      <c r="AO203" s="644"/>
    </row>
    <row r="204" spans="38:41">
      <c r="AL204" s="644"/>
      <c r="AM204" s="644"/>
      <c r="AN204" s="644"/>
      <c r="AO204" s="644"/>
    </row>
    <row r="205" spans="38:41">
      <c r="AL205" s="644"/>
      <c r="AM205" s="644"/>
      <c r="AN205" s="644"/>
      <c r="AO205" s="644"/>
    </row>
    <row r="206" spans="38:41">
      <c r="AL206" s="644"/>
      <c r="AM206" s="644"/>
      <c r="AN206" s="644"/>
      <c r="AO206" s="644"/>
    </row>
    <row r="207" spans="38:41">
      <c r="AL207" s="644"/>
      <c r="AM207" s="644"/>
      <c r="AN207" s="644"/>
      <c r="AO207" s="644"/>
    </row>
    <row r="208" spans="38:41">
      <c r="AL208" s="644"/>
      <c r="AM208" s="644"/>
      <c r="AN208" s="644"/>
      <c r="AO208" s="644"/>
    </row>
    <row r="209" spans="38:41">
      <c r="AL209" s="644"/>
      <c r="AM209" s="644"/>
      <c r="AN209" s="644"/>
      <c r="AO209" s="644"/>
    </row>
    <row r="210" spans="38:41">
      <c r="AL210" s="644"/>
      <c r="AM210" s="644"/>
      <c r="AN210" s="644"/>
      <c r="AO210" s="644"/>
    </row>
    <row r="211" spans="38:41">
      <c r="AL211" s="644"/>
      <c r="AM211" s="644"/>
      <c r="AN211" s="644"/>
      <c r="AO211" s="644"/>
    </row>
    <row r="212" spans="38:41">
      <c r="AL212" s="644"/>
      <c r="AM212" s="644"/>
      <c r="AN212" s="644"/>
      <c r="AO212" s="644"/>
    </row>
    <row r="213" spans="38:41">
      <c r="AL213" s="644"/>
      <c r="AM213" s="644"/>
      <c r="AN213" s="644"/>
      <c r="AO213" s="644"/>
    </row>
    <row r="214" spans="38:41">
      <c r="AL214" s="644"/>
      <c r="AM214" s="644"/>
      <c r="AN214" s="644"/>
      <c r="AO214" s="644"/>
    </row>
  </sheetData>
  <phoneticPr fontId="17" type="noConversion"/>
  <conditionalFormatting sqref="AI99 Q99">
    <cfRule type="cellIs" dxfId="18" priority="26" stopIfTrue="1" operator="notEqual">
      <formula>0</formula>
    </cfRule>
  </conditionalFormatting>
  <conditionalFormatting sqref="R102 R138:R142 R104:R113 R116:R136 R144:R148 R26:R96 R150:R153">
    <cfRule type="cellIs" dxfId="17" priority="27" stopIfTrue="1" operator="equal">
      <formula>1</formula>
    </cfRule>
  </conditionalFormatting>
  <conditionalFormatting sqref="BF138:BJ140 BF73:BJ73 BF87:BJ88 BF91:BJ102 BF117:BJ121 BF123:BJ136 BF104:BJ113 BF148:BJ148 BF26:BJ71 BF75:BJ84 BF150:BJ153">
    <cfRule type="expression" dxfId="16" priority="28" stopIfTrue="1">
      <formula>ABS(BF26)&gt;0.005</formula>
    </cfRule>
  </conditionalFormatting>
  <conditionalFormatting sqref="BF116:BJ116">
    <cfRule type="expression" dxfId="15" priority="23" stopIfTrue="1">
      <formula>ABS(BF116)&gt;0.005</formula>
    </cfRule>
  </conditionalFormatting>
  <conditionalFormatting sqref="BF72:BJ72">
    <cfRule type="expression" dxfId="14" priority="21" stopIfTrue="1">
      <formula>ABS(BF72)&gt;0.005</formula>
    </cfRule>
  </conditionalFormatting>
  <conditionalFormatting sqref="BF74:BJ74">
    <cfRule type="expression" dxfId="13" priority="19" stopIfTrue="1">
      <formula>ABS(BF74)&gt;0.005</formula>
    </cfRule>
  </conditionalFormatting>
  <conditionalFormatting sqref="BF90:BJ90">
    <cfRule type="expression" dxfId="12" priority="16" stopIfTrue="1">
      <formula>ABS(BF90)&gt;0.005</formula>
    </cfRule>
  </conditionalFormatting>
  <conditionalFormatting sqref="BF144:BG144">
    <cfRule type="expression" dxfId="11" priority="14" stopIfTrue="1">
      <formula>ABS(BF144)&gt;0.005</formula>
    </cfRule>
  </conditionalFormatting>
  <conditionalFormatting sqref="BF145:BG145">
    <cfRule type="expression" dxfId="10" priority="13" stopIfTrue="1">
      <formula>ABS(BF145)&gt;0.005</formula>
    </cfRule>
  </conditionalFormatting>
  <conditionalFormatting sqref="BF141:BJ141">
    <cfRule type="expression" dxfId="9" priority="12" stopIfTrue="1">
      <formula>ABS(BF141)&gt;0.005</formula>
    </cfRule>
  </conditionalFormatting>
  <conditionalFormatting sqref="BF142:BJ142">
    <cfRule type="expression" dxfId="8" priority="10" stopIfTrue="1">
      <formula>ABS(BF142)&gt;0.005</formula>
    </cfRule>
  </conditionalFormatting>
  <conditionalFormatting sqref="BF146:BJ146">
    <cfRule type="expression" dxfId="7" priority="7" stopIfTrue="1">
      <formula>ABS(BF146)&gt;0.005</formula>
    </cfRule>
  </conditionalFormatting>
  <conditionalFormatting sqref="BF147:BJ147">
    <cfRule type="expression" dxfId="6" priority="6" stopIfTrue="1">
      <formula>ABS(BF147)&gt;0.005</formula>
    </cfRule>
  </conditionalFormatting>
  <conditionalFormatting sqref="R114:R115">
    <cfRule type="cellIs" dxfId="5" priority="4" stopIfTrue="1" operator="equal">
      <formula>1</formula>
    </cfRule>
  </conditionalFormatting>
  <conditionalFormatting sqref="BF115:BJ115">
    <cfRule type="expression" dxfId="4" priority="5" stopIfTrue="1">
      <formula>ABS(BF115)&gt;0.005</formula>
    </cfRule>
  </conditionalFormatting>
  <conditionalFormatting sqref="BF114:BJ114">
    <cfRule type="expression" dxfId="3" priority="3" stopIfTrue="1">
      <formula>ABS(BF114)&gt;0.005</formula>
    </cfRule>
  </conditionalFormatting>
  <conditionalFormatting sqref="R4:R25">
    <cfRule type="cellIs" dxfId="2" priority="2" stopIfTrue="1" operator="equal">
      <formula>1</formula>
    </cfRule>
  </conditionalFormatting>
  <conditionalFormatting sqref="BF4:BJ25">
    <cfRule type="expression" dxfId="1" priority="1" stopIfTrue="1">
      <formula>ABS(BF4)&gt;0.005</formula>
    </cfRule>
  </conditionalFormatting>
  <pageMargins left="0.19" right="0" top="0.5" bottom="0" header="0.5" footer="0"/>
  <pageSetup scale="54"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92D050"/>
    <pageSetUpPr fitToPage="1"/>
  </sheetPr>
  <dimension ref="A1:CO103"/>
  <sheetViews>
    <sheetView showGridLines="0" zoomScaleNormal="100" workbookViewId="0">
      <pane xSplit="12" ySplit="3" topLeftCell="M4" activePane="bottomRight" state="frozen"/>
      <selection activeCell="M469" sqref="M469"/>
      <selection pane="topRight" activeCell="M469" sqref="M469"/>
      <selection pane="bottomLeft" activeCell="M469" sqref="M469"/>
      <selection pane="bottomRight" activeCell="U22" sqref="U22"/>
    </sheetView>
  </sheetViews>
  <sheetFormatPr defaultRowHeight="12.75"/>
  <cols>
    <col min="1" max="1" width="12.5703125" customWidth="1"/>
    <col min="2" max="2" width="6.7109375" style="35" customWidth="1"/>
    <col min="3" max="3" width="7.5703125" style="35" customWidth="1"/>
    <col min="4" max="4" width="10.42578125" style="35" customWidth="1"/>
    <col min="5" max="5" width="12.28515625" customWidth="1"/>
    <col min="6" max="6" width="1.7109375" customWidth="1"/>
    <col min="7" max="7" width="9.7109375" customWidth="1"/>
    <col min="8" max="8" width="4.7109375" customWidth="1"/>
    <col min="9" max="9" width="15.7109375" customWidth="1"/>
    <col min="10" max="10" width="26.7109375" customWidth="1"/>
    <col min="11" max="11" width="6.7109375" style="58" customWidth="1"/>
    <col min="12" max="12" width="7.5703125" customWidth="1"/>
    <col min="13" max="14" width="6.7109375" customWidth="1"/>
    <col min="15" max="15" width="2.7109375" customWidth="1"/>
    <col min="16" max="17" width="7.5703125" bestFit="1" customWidth="1"/>
    <col min="18" max="18" width="2.7109375" customWidth="1"/>
    <col min="19" max="19" width="10.28515625" hidden="1" customWidth="1"/>
    <col min="20" max="20" width="9.42578125" hidden="1" customWidth="1"/>
    <col min="21" max="21" width="8.28515625" style="376" customWidth="1"/>
    <col min="22" max="23" width="6.7109375" style="376" hidden="1" customWidth="1"/>
    <col min="24" max="24" width="25.28515625" style="376" hidden="1" customWidth="1"/>
    <col min="25" max="25" width="8.28515625" style="376" hidden="1" customWidth="1"/>
    <col min="26" max="26" width="10.7109375" hidden="1" customWidth="1"/>
    <col min="27" max="27" width="6.7109375" hidden="1" customWidth="1"/>
    <col min="28" max="28" width="6.42578125" hidden="1" customWidth="1"/>
    <col min="29" max="29" width="7" customWidth="1"/>
    <col min="30" max="31" width="7.5703125" bestFit="1" customWidth="1"/>
    <col min="32" max="32" width="2.7109375" customWidth="1"/>
    <col min="33" max="33" width="13.7109375" bestFit="1" customWidth="1"/>
    <col min="34" max="34" width="9.42578125" bestFit="1" customWidth="1"/>
  </cols>
  <sheetData>
    <row r="1" spans="1:34" ht="18">
      <c r="A1" s="60" t="s">
        <v>152</v>
      </c>
      <c r="I1" s="717" t="s">
        <v>874</v>
      </c>
      <c r="S1" s="80" t="s">
        <v>153</v>
      </c>
      <c r="T1" s="54"/>
      <c r="U1" s="54"/>
      <c r="Y1" s="54"/>
      <c r="Z1" s="83">
        <f>SL_RateIncr</f>
        <v>0</v>
      </c>
      <c r="AC1" s="58" t="s">
        <v>422</v>
      </c>
      <c r="AD1" s="204">
        <f>'Lighting summary'!L16</f>
        <v>3.3299481392131298E-2</v>
      </c>
      <c r="AE1" s="181"/>
      <c r="AG1" s="80" t="s">
        <v>153</v>
      </c>
      <c r="AH1" s="54"/>
    </row>
    <row r="2" spans="1:34" ht="15">
      <c r="A2" s="62" t="str">
        <f>'St Lts'!A2</f>
        <v>MDM-10069 Report as of 3/31/20</v>
      </c>
      <c r="M2" s="63" t="s">
        <v>382</v>
      </c>
      <c r="N2" s="64"/>
      <c r="P2" s="63" t="s">
        <v>154</v>
      </c>
      <c r="Q2" s="64"/>
      <c r="S2" s="63" t="s">
        <v>155</v>
      </c>
      <c r="T2" s="64"/>
      <c r="U2" s="64"/>
      <c r="V2" s="63" t="s">
        <v>382</v>
      </c>
      <c r="W2" s="64"/>
      <c r="Y2" s="379"/>
      <c r="AA2" s="63" t="s">
        <v>127</v>
      </c>
      <c r="AB2" s="64"/>
      <c r="AD2" s="63" t="s">
        <v>209</v>
      </c>
      <c r="AE2" s="64"/>
      <c r="AG2" s="63" t="s">
        <v>210</v>
      </c>
      <c r="AH2" s="64"/>
    </row>
    <row r="3" spans="1:34" ht="12.75" customHeight="1" thickBot="1">
      <c r="A3" s="62"/>
      <c r="I3" s="65" t="s">
        <v>115</v>
      </c>
      <c r="J3" s="65" t="s">
        <v>116</v>
      </c>
      <c r="K3" s="66" t="s">
        <v>117</v>
      </c>
      <c r="L3" s="65" t="s">
        <v>118</v>
      </c>
      <c r="M3" s="67" t="s">
        <v>156</v>
      </c>
      <c r="N3" s="67" t="s">
        <v>157</v>
      </c>
      <c r="P3" s="67" t="s">
        <v>156</v>
      </c>
      <c r="Q3" s="67" t="s">
        <v>157</v>
      </c>
      <c r="S3" s="67" t="s">
        <v>156</v>
      </c>
      <c r="T3" s="67" t="s">
        <v>157</v>
      </c>
      <c r="U3" s="67"/>
      <c r="V3" s="67" t="s">
        <v>156</v>
      </c>
      <c r="W3" s="67" t="s">
        <v>157</v>
      </c>
      <c r="Y3" s="380"/>
      <c r="AA3" s="67" t="s">
        <v>156</v>
      </c>
      <c r="AB3" s="67" t="s">
        <v>157</v>
      </c>
      <c r="AD3" s="67" t="s">
        <v>156</v>
      </c>
      <c r="AE3" s="67" t="s">
        <v>157</v>
      </c>
      <c r="AG3" s="67" t="s">
        <v>156</v>
      </c>
      <c r="AH3" s="67" t="s">
        <v>157</v>
      </c>
    </row>
    <row r="4" spans="1:34" ht="12.75" customHeight="1">
      <c r="H4" s="537"/>
      <c r="I4" t="s">
        <v>111</v>
      </c>
      <c r="J4" t="s">
        <v>160</v>
      </c>
      <c r="K4" s="58" t="s">
        <v>143</v>
      </c>
      <c r="L4" s="96" t="s">
        <v>161</v>
      </c>
      <c r="M4" s="68">
        <f t="shared" ref="M4:N23" si="0">SUMIF($G:$G,TEXT(M$3,"000")&amp;TEXT($L4,"000"),$E:$E)</f>
        <v>101</v>
      </c>
      <c r="N4" s="68">
        <f t="shared" si="0"/>
        <v>3</v>
      </c>
      <c r="P4" s="576">
        <v>22.77</v>
      </c>
      <c r="Q4" s="312">
        <f t="shared" ref="Q4:Q39" si="1">P4</f>
        <v>22.77</v>
      </c>
      <c r="S4" s="69">
        <f>IF(AND(M4&lt;&gt;0,P4=0),#VALUE!,M4*P4)</f>
        <v>2299.77</v>
      </c>
      <c r="T4" s="69">
        <f t="shared" ref="T4:T52" si="2">IF(AND(N4&lt;&gt;0,Q4=0),#VALUE!,N4*Q4)</f>
        <v>68.31</v>
      </c>
      <c r="U4" s="69"/>
      <c r="V4" s="68">
        <f t="shared" ref="V4:W23" si="3">SUMIF($G:$G,TEXT(V$3,"000")&amp;TEXT($L4,"000"),$E:$E)</f>
        <v>101</v>
      </c>
      <c r="W4" s="68">
        <f t="shared" si="3"/>
        <v>3</v>
      </c>
      <c r="Y4" s="69"/>
      <c r="AA4" s="68">
        <f t="shared" ref="AA4:AB52" si="4">M4</f>
        <v>101</v>
      </c>
      <c r="AB4" s="68">
        <f t="shared" si="4"/>
        <v>3</v>
      </c>
      <c r="AD4" s="901">
        <f t="shared" ref="AD4:AD28" si="5">ROUND(P4*(1+AD$1),2)</f>
        <v>23.53</v>
      </c>
      <c r="AE4" s="82">
        <f>AD4</f>
        <v>23.53</v>
      </c>
      <c r="AG4" s="69">
        <f t="shared" ref="AG4:AG52" si="6">IF(AND(AA4&lt;&gt;0,AD4=0),#VALUE!,AA4*AD4)</f>
        <v>2376.5300000000002</v>
      </c>
      <c r="AH4" s="69">
        <f t="shared" ref="AH4:AH52" si="7">IF(AND(AB4&lt;&gt;0,AE4=0),#VALUE!,AB4*AE4)</f>
        <v>70.59</v>
      </c>
    </row>
    <row r="5" spans="1:34" ht="12.75" customHeight="1">
      <c r="B5" s="45" t="s">
        <v>125</v>
      </c>
      <c r="C5" s="45" t="s">
        <v>118</v>
      </c>
      <c r="D5" s="45" t="s">
        <v>126</v>
      </c>
      <c r="E5" s="70" t="s">
        <v>127</v>
      </c>
      <c r="F5" s="58"/>
      <c r="G5" s="58"/>
      <c r="H5" s="537"/>
      <c r="I5" t="s">
        <v>111</v>
      </c>
      <c r="J5" t="s">
        <v>162</v>
      </c>
      <c r="K5" s="58" t="s">
        <v>134</v>
      </c>
      <c r="L5" s="96" t="s">
        <v>163</v>
      </c>
      <c r="M5" s="68">
        <f t="shared" si="0"/>
        <v>17</v>
      </c>
      <c r="N5" s="68">
        <f t="shared" si="0"/>
        <v>2</v>
      </c>
      <c r="P5" s="576">
        <v>29.74</v>
      </c>
      <c r="Q5" s="312">
        <f t="shared" si="1"/>
        <v>29.74</v>
      </c>
      <c r="S5" s="69">
        <f t="shared" ref="S5:S52" si="8">IF(AND(M5&lt;&gt;0,P5=0),#VALUE!,M5*P5)</f>
        <v>505.58</v>
      </c>
      <c r="T5" s="69">
        <f t="shared" si="2"/>
        <v>59.48</v>
      </c>
      <c r="U5" s="69"/>
      <c r="V5" s="68">
        <f t="shared" si="3"/>
        <v>17</v>
      </c>
      <c r="W5" s="68">
        <f t="shared" si="3"/>
        <v>2</v>
      </c>
      <c r="Y5" s="69"/>
      <c r="AA5" s="68">
        <f t="shared" si="4"/>
        <v>17</v>
      </c>
      <c r="AB5" s="68">
        <f t="shared" si="4"/>
        <v>2</v>
      </c>
      <c r="AD5" s="901">
        <f t="shared" si="5"/>
        <v>30.73</v>
      </c>
      <c r="AE5" s="82">
        <f t="shared" ref="AE5:AE29" si="9">AD5</f>
        <v>30.73</v>
      </c>
      <c r="AG5" s="69">
        <f t="shared" si="6"/>
        <v>522.41</v>
      </c>
      <c r="AH5" s="69">
        <f t="shared" si="7"/>
        <v>61.46</v>
      </c>
    </row>
    <row r="6" spans="1:34" ht="12.75" customHeight="1">
      <c r="I6" t="s">
        <v>111</v>
      </c>
      <c r="J6" t="s">
        <v>168</v>
      </c>
      <c r="K6" s="58" t="s">
        <v>134</v>
      </c>
      <c r="L6" s="96" t="s">
        <v>167</v>
      </c>
      <c r="M6" s="68">
        <f t="shared" si="0"/>
        <v>386</v>
      </c>
      <c r="N6" s="68">
        <f t="shared" si="0"/>
        <v>491</v>
      </c>
      <c r="P6" s="576">
        <v>14.12</v>
      </c>
      <c r="Q6" s="312">
        <f t="shared" si="1"/>
        <v>14.12</v>
      </c>
      <c r="S6" s="69">
        <f t="shared" si="8"/>
        <v>5450.32</v>
      </c>
      <c r="T6" s="69">
        <f>IF(AND(N6&lt;&gt;0,Q6=0),#VALUE!,N6*Q6)</f>
        <v>6932.9199999999992</v>
      </c>
      <c r="U6" s="69"/>
      <c r="V6" s="68">
        <f t="shared" si="3"/>
        <v>386</v>
      </c>
      <c r="W6" s="68">
        <f t="shared" si="3"/>
        <v>491</v>
      </c>
      <c r="Y6" s="69"/>
      <c r="AA6" s="68">
        <f t="shared" si="4"/>
        <v>386</v>
      </c>
      <c r="AB6" s="68">
        <f t="shared" si="4"/>
        <v>491</v>
      </c>
      <c r="AD6" s="901">
        <f t="shared" si="5"/>
        <v>14.59</v>
      </c>
      <c r="AE6" s="82">
        <f t="shared" si="9"/>
        <v>14.59</v>
      </c>
      <c r="AG6" s="69">
        <f t="shared" si="6"/>
        <v>5631.74</v>
      </c>
      <c r="AH6" s="69">
        <f t="shared" si="7"/>
        <v>7163.69</v>
      </c>
    </row>
    <row r="7" spans="1:34" ht="12.75" customHeight="1">
      <c r="B7" s="35" t="s">
        <v>164</v>
      </c>
      <c r="C7" s="71" t="s">
        <v>156</v>
      </c>
      <c r="D7" s="569" t="s">
        <v>618</v>
      </c>
      <c r="E7" s="548">
        <v>3</v>
      </c>
      <c r="F7" s="72"/>
      <c r="G7" s="72" t="str">
        <f t="shared" ref="G7:G31" si="10">IF(OR(ISBLANK(C7),ISBLANK(D7)),"",TEXT(C7,"000")&amp;TEXT(D7,"000"))</f>
        <v>047HAGL</v>
      </c>
      <c r="H7" s="408"/>
      <c r="I7" t="s">
        <v>111</v>
      </c>
      <c r="J7" t="s">
        <v>168</v>
      </c>
      <c r="K7" s="58" t="s">
        <v>142</v>
      </c>
      <c r="L7" s="96" t="s">
        <v>169</v>
      </c>
      <c r="M7" s="68">
        <f t="shared" si="0"/>
        <v>860</v>
      </c>
      <c r="N7" s="68">
        <f t="shared" si="0"/>
        <v>398</v>
      </c>
      <c r="P7" s="576">
        <v>20.05</v>
      </c>
      <c r="Q7" s="312">
        <f t="shared" si="1"/>
        <v>20.05</v>
      </c>
      <c r="S7" s="69">
        <f t="shared" si="8"/>
        <v>17243</v>
      </c>
      <c r="T7" s="69">
        <f t="shared" si="2"/>
        <v>7979.9000000000005</v>
      </c>
      <c r="U7" s="69"/>
      <c r="V7" s="68">
        <f t="shared" si="3"/>
        <v>860</v>
      </c>
      <c r="W7" s="68">
        <f t="shared" si="3"/>
        <v>398</v>
      </c>
      <c r="Y7" s="69"/>
      <c r="AA7" s="68">
        <f t="shared" si="4"/>
        <v>860</v>
      </c>
      <c r="AB7" s="68">
        <f t="shared" si="4"/>
        <v>398</v>
      </c>
      <c r="AD7" s="901">
        <f t="shared" si="5"/>
        <v>20.72</v>
      </c>
      <c r="AE7" s="82">
        <f t="shared" si="9"/>
        <v>20.72</v>
      </c>
      <c r="AG7" s="69">
        <f t="shared" si="6"/>
        <v>17819.2</v>
      </c>
      <c r="AH7" s="69">
        <f t="shared" si="7"/>
        <v>8246.56</v>
      </c>
    </row>
    <row r="8" spans="1:34" ht="12.75" customHeight="1">
      <c r="A8" s="636"/>
      <c r="B8" s="527" t="s">
        <v>164</v>
      </c>
      <c r="C8" s="71" t="s">
        <v>156</v>
      </c>
      <c r="D8" s="527" t="s">
        <v>161</v>
      </c>
      <c r="E8" s="549">
        <v>101</v>
      </c>
      <c r="F8" s="72"/>
      <c r="G8" s="72" t="str">
        <f>IF(OR(ISBLANK(C8),ISBLANK(D8)),"",TEXT(C8,"000")&amp;TEXT(D8,"000"))</f>
        <v>047HAH</v>
      </c>
      <c r="H8" s="408"/>
      <c r="I8" t="s">
        <v>111</v>
      </c>
      <c r="J8" t="s">
        <v>168</v>
      </c>
      <c r="K8" s="58" t="s">
        <v>147</v>
      </c>
      <c r="L8" s="96" t="s">
        <v>170</v>
      </c>
      <c r="M8" s="68">
        <f t="shared" si="0"/>
        <v>119</v>
      </c>
      <c r="N8" s="68">
        <f t="shared" si="0"/>
        <v>8</v>
      </c>
      <c r="P8" s="576">
        <v>27.7</v>
      </c>
      <c r="Q8" s="312">
        <f t="shared" si="1"/>
        <v>27.7</v>
      </c>
      <c r="S8" s="69">
        <f t="shared" si="8"/>
        <v>3296.2999999999997</v>
      </c>
      <c r="T8" s="69">
        <f t="shared" si="2"/>
        <v>221.6</v>
      </c>
      <c r="U8" s="69"/>
      <c r="V8" s="68">
        <f t="shared" si="3"/>
        <v>119</v>
      </c>
      <c r="W8" s="68">
        <f t="shared" si="3"/>
        <v>8</v>
      </c>
      <c r="Y8" s="69"/>
      <c r="AA8" s="68">
        <f t="shared" si="4"/>
        <v>119</v>
      </c>
      <c r="AB8" s="68">
        <f t="shared" si="4"/>
        <v>8</v>
      </c>
      <c r="AD8" s="901">
        <f>ROUND(P8*(1+AD$1),2)</f>
        <v>28.62</v>
      </c>
      <c r="AE8" s="82">
        <f t="shared" si="9"/>
        <v>28.62</v>
      </c>
      <c r="AG8" s="69">
        <f t="shared" si="6"/>
        <v>3405.78</v>
      </c>
      <c r="AH8" s="69">
        <f t="shared" si="7"/>
        <v>228.96</v>
      </c>
    </row>
    <row r="9" spans="1:34">
      <c r="B9" s="35" t="s">
        <v>164</v>
      </c>
      <c r="C9" s="71" t="s">
        <v>156</v>
      </c>
      <c r="D9" s="35" t="s">
        <v>163</v>
      </c>
      <c r="E9" s="548">
        <v>17</v>
      </c>
      <c r="F9" s="72"/>
      <c r="G9" s="72" t="str">
        <f>IF(OR(ISBLANK(C9),ISBLANK(D9)),"",TEXT(C9,"000")&amp;TEXT(D9,"000"))</f>
        <v>047HAI</v>
      </c>
      <c r="H9" s="408"/>
      <c r="I9" t="s">
        <v>111</v>
      </c>
      <c r="J9" s="620" t="s">
        <v>634</v>
      </c>
      <c r="K9" s="58" t="s">
        <v>142</v>
      </c>
      <c r="L9" s="96" t="s">
        <v>171</v>
      </c>
      <c r="M9" s="68">
        <f t="shared" si="0"/>
        <v>560</v>
      </c>
      <c r="N9" s="68">
        <f t="shared" si="0"/>
        <v>175</v>
      </c>
      <c r="P9" s="576">
        <v>27.86</v>
      </c>
      <c r="Q9" s="312">
        <f t="shared" si="1"/>
        <v>27.86</v>
      </c>
      <c r="S9" s="69">
        <f t="shared" si="8"/>
        <v>15601.6</v>
      </c>
      <c r="T9" s="69">
        <f t="shared" si="2"/>
        <v>4875.5</v>
      </c>
      <c r="U9" s="69"/>
      <c r="V9" s="68">
        <f t="shared" si="3"/>
        <v>560</v>
      </c>
      <c r="W9" s="68">
        <f t="shared" si="3"/>
        <v>175</v>
      </c>
      <c r="Y9" s="69"/>
      <c r="AA9" s="68">
        <f t="shared" si="4"/>
        <v>560</v>
      </c>
      <c r="AB9" s="68">
        <f t="shared" si="4"/>
        <v>175</v>
      </c>
      <c r="AD9" s="901">
        <f t="shared" si="5"/>
        <v>28.79</v>
      </c>
      <c r="AE9" s="82">
        <f t="shared" si="9"/>
        <v>28.79</v>
      </c>
      <c r="AG9" s="69">
        <f t="shared" si="6"/>
        <v>16122.4</v>
      </c>
      <c r="AH9" s="69">
        <f t="shared" si="7"/>
        <v>5038.25</v>
      </c>
    </row>
    <row r="10" spans="1:34">
      <c r="B10" s="35" t="s">
        <v>164</v>
      </c>
      <c r="C10" s="71" t="s">
        <v>156</v>
      </c>
      <c r="D10" s="35" t="s">
        <v>167</v>
      </c>
      <c r="E10" s="548">
        <v>386</v>
      </c>
      <c r="F10" s="72"/>
      <c r="G10" s="72" t="str">
        <f t="shared" si="10"/>
        <v>047HPA</v>
      </c>
      <c r="H10" s="408"/>
      <c r="I10" t="s">
        <v>111</v>
      </c>
      <c r="J10" s="620" t="s">
        <v>634</v>
      </c>
      <c r="K10" s="58" t="s">
        <v>134</v>
      </c>
      <c r="L10" s="96" t="s">
        <v>173</v>
      </c>
      <c r="M10" s="68">
        <f t="shared" si="0"/>
        <v>280</v>
      </c>
      <c r="N10" s="68">
        <f t="shared" si="0"/>
        <v>202</v>
      </c>
      <c r="P10" s="576">
        <v>20.68</v>
      </c>
      <c r="Q10" s="312">
        <f t="shared" si="1"/>
        <v>20.68</v>
      </c>
      <c r="S10" s="69">
        <f t="shared" si="8"/>
        <v>5790.4</v>
      </c>
      <c r="T10" s="69">
        <f t="shared" si="2"/>
        <v>4177.3599999999997</v>
      </c>
      <c r="U10" s="69"/>
      <c r="V10" s="68">
        <f t="shared" si="3"/>
        <v>280</v>
      </c>
      <c r="W10" s="68">
        <f t="shared" si="3"/>
        <v>202</v>
      </c>
      <c r="Y10" s="69"/>
      <c r="AA10" s="68">
        <f t="shared" si="4"/>
        <v>280</v>
      </c>
      <c r="AB10" s="68">
        <f t="shared" si="4"/>
        <v>202</v>
      </c>
      <c r="AD10" s="901">
        <f t="shared" si="5"/>
        <v>21.37</v>
      </c>
      <c r="AE10" s="82">
        <f t="shared" si="9"/>
        <v>21.37</v>
      </c>
      <c r="AG10" s="69">
        <f t="shared" si="6"/>
        <v>5983.6</v>
      </c>
      <c r="AH10" s="69">
        <f t="shared" si="7"/>
        <v>4316.74</v>
      </c>
    </row>
    <row r="11" spans="1:34">
      <c r="B11" s="35" t="s">
        <v>164</v>
      </c>
      <c r="C11" s="71" t="s">
        <v>156</v>
      </c>
      <c r="D11" s="35" t="s">
        <v>169</v>
      </c>
      <c r="E11" s="548">
        <v>860</v>
      </c>
      <c r="F11" s="72"/>
      <c r="G11" s="72" t="str">
        <f t="shared" si="10"/>
        <v>047HPB</v>
      </c>
      <c r="H11" s="408"/>
      <c r="I11" t="s">
        <v>111</v>
      </c>
      <c r="J11" s="620" t="s">
        <v>634</v>
      </c>
      <c r="K11" s="58" t="s">
        <v>147</v>
      </c>
      <c r="L11" s="96" t="s">
        <v>174</v>
      </c>
      <c r="M11" s="68">
        <f t="shared" si="0"/>
        <v>45</v>
      </c>
      <c r="N11" s="68">
        <f t="shared" si="0"/>
        <v>4</v>
      </c>
      <c r="P11" s="576">
        <v>35.6</v>
      </c>
      <c r="Q11" s="312">
        <f t="shared" si="1"/>
        <v>35.6</v>
      </c>
      <c r="S11" s="69">
        <f t="shared" si="8"/>
        <v>1602</v>
      </c>
      <c r="T11" s="69">
        <f t="shared" si="2"/>
        <v>142.4</v>
      </c>
      <c r="U11" s="69"/>
      <c r="V11" s="68">
        <f t="shared" si="3"/>
        <v>45</v>
      </c>
      <c r="W11" s="68">
        <f t="shared" si="3"/>
        <v>4</v>
      </c>
      <c r="Y11" s="69"/>
      <c r="AA11" s="68">
        <f t="shared" si="4"/>
        <v>45</v>
      </c>
      <c r="AB11" s="68">
        <f t="shared" si="4"/>
        <v>4</v>
      </c>
      <c r="AD11" s="901">
        <f t="shared" si="5"/>
        <v>36.79</v>
      </c>
      <c r="AE11" s="82">
        <f t="shared" si="9"/>
        <v>36.79</v>
      </c>
      <c r="AG11" s="69">
        <f t="shared" si="6"/>
        <v>1655.55</v>
      </c>
      <c r="AH11" s="69">
        <f t="shared" si="7"/>
        <v>147.16</v>
      </c>
    </row>
    <row r="12" spans="1:34">
      <c r="B12" s="35" t="s">
        <v>164</v>
      </c>
      <c r="C12" s="71" t="s">
        <v>156</v>
      </c>
      <c r="D12" s="35" t="s">
        <v>170</v>
      </c>
      <c r="E12" s="548">
        <v>119</v>
      </c>
      <c r="F12" s="72"/>
      <c r="G12" s="72" t="str">
        <f t="shared" si="10"/>
        <v>047HPC</v>
      </c>
      <c r="H12" s="408"/>
      <c r="I12" t="s">
        <v>111</v>
      </c>
      <c r="J12" s="620" t="s">
        <v>753</v>
      </c>
      <c r="K12" s="58" t="s">
        <v>142</v>
      </c>
      <c r="L12" s="96" t="s">
        <v>175</v>
      </c>
      <c r="M12" s="68">
        <f t="shared" si="0"/>
        <v>41</v>
      </c>
      <c r="N12" s="68">
        <f t="shared" si="0"/>
        <v>7</v>
      </c>
      <c r="P12" s="576">
        <v>34.979999999999997</v>
      </c>
      <c r="Q12" s="312">
        <f t="shared" si="1"/>
        <v>34.979999999999997</v>
      </c>
      <c r="S12" s="69">
        <f t="shared" si="8"/>
        <v>1434.1799999999998</v>
      </c>
      <c r="T12" s="69">
        <f t="shared" si="2"/>
        <v>244.85999999999999</v>
      </c>
      <c r="U12" s="69"/>
      <c r="V12" s="68">
        <f t="shared" si="3"/>
        <v>41</v>
      </c>
      <c r="W12" s="68">
        <f t="shared" si="3"/>
        <v>7</v>
      </c>
      <c r="Y12" s="69"/>
      <c r="AA12" s="68">
        <f t="shared" si="4"/>
        <v>41</v>
      </c>
      <c r="AB12" s="68">
        <f t="shared" si="4"/>
        <v>7</v>
      </c>
      <c r="AD12" s="901">
        <f t="shared" si="5"/>
        <v>36.14</v>
      </c>
      <c r="AE12" s="82">
        <f t="shared" si="9"/>
        <v>36.14</v>
      </c>
      <c r="AG12" s="69">
        <f t="shared" si="6"/>
        <v>1481.74</v>
      </c>
      <c r="AH12" s="69">
        <f t="shared" si="7"/>
        <v>252.98000000000002</v>
      </c>
    </row>
    <row r="13" spans="1:34">
      <c r="B13" s="35" t="s">
        <v>164</v>
      </c>
      <c r="C13" s="71" t="s">
        <v>156</v>
      </c>
      <c r="D13" s="35" t="s">
        <v>171</v>
      </c>
      <c r="E13" s="548">
        <v>560</v>
      </c>
      <c r="F13" s="74"/>
      <c r="G13" s="72" t="str">
        <f t="shared" si="10"/>
        <v>047HPD</v>
      </c>
      <c r="H13" s="408"/>
      <c r="I13" t="s">
        <v>111</v>
      </c>
      <c r="J13" t="s">
        <v>177</v>
      </c>
      <c r="K13" s="58" t="s">
        <v>142</v>
      </c>
      <c r="L13" s="96" t="s">
        <v>178</v>
      </c>
      <c r="M13" s="68">
        <f t="shared" si="0"/>
        <v>1</v>
      </c>
      <c r="N13" s="68">
        <f t="shared" si="0"/>
        <v>1</v>
      </c>
      <c r="P13" s="576">
        <v>30.3</v>
      </c>
      <c r="Q13" s="312">
        <f t="shared" si="1"/>
        <v>30.3</v>
      </c>
      <c r="S13" s="69">
        <f t="shared" si="8"/>
        <v>30.3</v>
      </c>
      <c r="T13" s="69">
        <f t="shared" si="2"/>
        <v>30.3</v>
      </c>
      <c r="U13" s="69"/>
      <c r="V13" s="68">
        <f t="shared" si="3"/>
        <v>1</v>
      </c>
      <c r="W13" s="68">
        <f t="shared" si="3"/>
        <v>1</v>
      </c>
      <c r="Y13" s="69"/>
      <c r="AA13" s="68">
        <f t="shared" si="4"/>
        <v>1</v>
      </c>
      <c r="AB13" s="68">
        <f t="shared" si="4"/>
        <v>1</v>
      </c>
      <c r="AD13" s="901">
        <f t="shared" si="5"/>
        <v>31.31</v>
      </c>
      <c r="AE13" s="82">
        <f t="shared" si="9"/>
        <v>31.31</v>
      </c>
      <c r="AG13" s="69">
        <f t="shared" si="6"/>
        <v>31.31</v>
      </c>
      <c r="AH13" s="69">
        <f t="shared" si="7"/>
        <v>31.31</v>
      </c>
    </row>
    <row r="14" spans="1:34">
      <c r="B14" s="35" t="s">
        <v>164</v>
      </c>
      <c r="C14" s="71" t="s">
        <v>156</v>
      </c>
      <c r="D14" s="35" t="s">
        <v>173</v>
      </c>
      <c r="E14" s="548">
        <v>280</v>
      </c>
      <c r="F14" s="72"/>
      <c r="G14" s="72" t="str">
        <f t="shared" si="10"/>
        <v>047HPE</v>
      </c>
      <c r="H14" s="408"/>
      <c r="I14" t="s">
        <v>111</v>
      </c>
      <c r="J14" t="s">
        <v>180</v>
      </c>
      <c r="K14" s="58" t="s">
        <v>134</v>
      </c>
      <c r="L14" s="96" t="s">
        <v>176</v>
      </c>
      <c r="M14" s="68">
        <f t="shared" si="0"/>
        <v>96</v>
      </c>
      <c r="N14" s="68">
        <f t="shared" si="0"/>
        <v>135</v>
      </c>
      <c r="P14" s="576">
        <v>20.68</v>
      </c>
      <c r="Q14" s="312">
        <f t="shared" si="1"/>
        <v>20.68</v>
      </c>
      <c r="S14" s="69">
        <f t="shared" si="8"/>
        <v>1985.28</v>
      </c>
      <c r="T14" s="69">
        <f t="shared" si="2"/>
        <v>2791.8</v>
      </c>
      <c r="U14" s="69"/>
      <c r="V14" s="68">
        <f t="shared" si="3"/>
        <v>96</v>
      </c>
      <c r="W14" s="68">
        <f t="shared" si="3"/>
        <v>135</v>
      </c>
      <c r="Y14" s="69"/>
      <c r="AA14" s="68">
        <f t="shared" si="4"/>
        <v>96</v>
      </c>
      <c r="AB14" s="68">
        <f t="shared" si="4"/>
        <v>135</v>
      </c>
      <c r="AD14" s="901">
        <f t="shared" si="5"/>
        <v>21.37</v>
      </c>
      <c r="AE14" s="82">
        <f t="shared" si="9"/>
        <v>21.37</v>
      </c>
      <c r="AG14" s="69">
        <f t="shared" si="6"/>
        <v>2051.52</v>
      </c>
      <c r="AH14" s="69">
        <f t="shared" si="7"/>
        <v>2884.9500000000003</v>
      </c>
    </row>
    <row r="15" spans="1:34">
      <c r="B15" s="35" t="s">
        <v>164</v>
      </c>
      <c r="C15" s="71" t="s">
        <v>156</v>
      </c>
      <c r="D15" s="35" t="s">
        <v>174</v>
      </c>
      <c r="E15" s="548">
        <v>45</v>
      </c>
      <c r="F15" s="72"/>
      <c r="G15" s="72" t="str">
        <f t="shared" si="10"/>
        <v>047HPG</v>
      </c>
      <c r="H15" s="408"/>
      <c r="I15" t="s">
        <v>111</v>
      </c>
      <c r="J15" t="s">
        <v>182</v>
      </c>
      <c r="K15" s="58" t="s">
        <v>142</v>
      </c>
      <c r="L15" s="96" t="s">
        <v>179</v>
      </c>
      <c r="M15" s="68">
        <f t="shared" si="0"/>
        <v>13</v>
      </c>
      <c r="N15" s="68">
        <f t="shared" si="0"/>
        <v>0</v>
      </c>
      <c r="P15" s="576">
        <v>59.28</v>
      </c>
      <c r="Q15" s="312">
        <f t="shared" si="1"/>
        <v>59.28</v>
      </c>
      <c r="S15" s="69">
        <f t="shared" si="8"/>
        <v>770.64</v>
      </c>
      <c r="T15" s="69">
        <f t="shared" si="2"/>
        <v>0</v>
      </c>
      <c r="U15" s="69"/>
      <c r="V15" s="68">
        <f t="shared" si="3"/>
        <v>13</v>
      </c>
      <c r="W15" s="68">
        <f t="shared" si="3"/>
        <v>0</v>
      </c>
      <c r="Y15" s="69"/>
      <c r="AA15" s="68">
        <f t="shared" si="4"/>
        <v>13</v>
      </c>
      <c r="AB15" s="68">
        <f t="shared" si="4"/>
        <v>0</v>
      </c>
      <c r="AD15" s="901">
        <f t="shared" si="5"/>
        <v>61.25</v>
      </c>
      <c r="AE15" s="82">
        <f t="shared" si="9"/>
        <v>61.25</v>
      </c>
      <c r="AG15" s="69">
        <f t="shared" si="6"/>
        <v>796.25</v>
      </c>
      <c r="AH15" s="69">
        <f t="shared" si="7"/>
        <v>0</v>
      </c>
    </row>
    <row r="16" spans="1:34">
      <c r="B16" s="35" t="s">
        <v>164</v>
      </c>
      <c r="C16" s="71" t="s">
        <v>156</v>
      </c>
      <c r="D16" s="35" t="s">
        <v>175</v>
      </c>
      <c r="E16" s="548">
        <v>41</v>
      </c>
      <c r="F16" s="72"/>
      <c r="G16" s="72" t="str">
        <f t="shared" si="10"/>
        <v>047HPL</v>
      </c>
      <c r="H16" s="408"/>
      <c r="I16" t="s">
        <v>133</v>
      </c>
      <c r="J16" t="s">
        <v>168</v>
      </c>
      <c r="K16" s="58">
        <v>7000</v>
      </c>
      <c r="L16" s="96" t="s">
        <v>181</v>
      </c>
      <c r="M16" s="68">
        <f t="shared" si="0"/>
        <v>92</v>
      </c>
      <c r="N16" s="68">
        <f t="shared" si="0"/>
        <v>198</v>
      </c>
      <c r="P16" s="576">
        <v>16.239999999999998</v>
      </c>
      <c r="Q16" s="312">
        <f t="shared" si="1"/>
        <v>16.239999999999998</v>
      </c>
      <c r="S16" s="69">
        <f t="shared" si="8"/>
        <v>1494.08</v>
      </c>
      <c r="T16" s="69">
        <f t="shared" si="2"/>
        <v>3215.5199999999995</v>
      </c>
      <c r="U16" s="69"/>
      <c r="V16" s="68">
        <f t="shared" si="3"/>
        <v>92</v>
      </c>
      <c r="W16" s="68">
        <f t="shared" si="3"/>
        <v>198</v>
      </c>
      <c r="Y16" s="69"/>
      <c r="AA16" s="68">
        <f t="shared" si="4"/>
        <v>92</v>
      </c>
      <c r="AB16" s="68">
        <f t="shared" si="4"/>
        <v>198</v>
      </c>
      <c r="AD16" s="901">
        <f t="shared" si="5"/>
        <v>16.78</v>
      </c>
      <c r="AE16" s="82">
        <f t="shared" si="9"/>
        <v>16.78</v>
      </c>
      <c r="AG16" s="69">
        <f t="shared" si="6"/>
        <v>1543.7600000000002</v>
      </c>
      <c r="AH16" s="69">
        <f t="shared" si="7"/>
        <v>3322.44</v>
      </c>
    </row>
    <row r="17" spans="2:68">
      <c r="B17" s="35" t="s">
        <v>164</v>
      </c>
      <c r="C17" s="71" t="s">
        <v>156</v>
      </c>
      <c r="D17" s="35" t="s">
        <v>178</v>
      </c>
      <c r="E17" s="548">
        <v>1</v>
      </c>
      <c r="F17" s="72"/>
      <c r="G17" s="72" t="str">
        <f>IF(OR(ISBLANK(C17),ISBLANK(D17)),"",TEXT(C17,"000")&amp;TEXT(D17,"000"))</f>
        <v>047HPO</v>
      </c>
      <c r="H17" s="408"/>
      <c r="I17" t="s">
        <v>133</v>
      </c>
      <c r="J17" t="s">
        <v>168</v>
      </c>
      <c r="K17" s="58">
        <v>10000</v>
      </c>
      <c r="L17" s="96" t="s">
        <v>183</v>
      </c>
      <c r="M17" s="68">
        <f t="shared" si="0"/>
        <v>134</v>
      </c>
      <c r="N17" s="68">
        <f t="shared" si="0"/>
        <v>209</v>
      </c>
      <c r="P17" s="576">
        <v>19.46</v>
      </c>
      <c r="Q17" s="312">
        <f t="shared" si="1"/>
        <v>19.46</v>
      </c>
      <c r="S17" s="69">
        <f t="shared" si="8"/>
        <v>2607.6400000000003</v>
      </c>
      <c r="T17" s="69">
        <f t="shared" si="2"/>
        <v>4067.1400000000003</v>
      </c>
      <c r="U17" s="69"/>
      <c r="V17" s="68">
        <f t="shared" si="3"/>
        <v>134</v>
      </c>
      <c r="W17" s="68">
        <f t="shared" si="3"/>
        <v>209</v>
      </c>
      <c r="Y17" s="69"/>
      <c r="AA17" s="68">
        <f t="shared" si="4"/>
        <v>134</v>
      </c>
      <c r="AB17" s="68">
        <f t="shared" si="4"/>
        <v>209</v>
      </c>
      <c r="AD17" s="901">
        <f t="shared" si="5"/>
        <v>20.11</v>
      </c>
      <c r="AE17" s="82">
        <f t="shared" si="9"/>
        <v>20.11</v>
      </c>
      <c r="AG17" s="69">
        <f t="shared" si="6"/>
        <v>2694.74</v>
      </c>
      <c r="AH17" s="69">
        <f t="shared" si="7"/>
        <v>4202.99</v>
      </c>
    </row>
    <row r="18" spans="2:68">
      <c r="B18" s="35" t="s">
        <v>164</v>
      </c>
      <c r="C18" s="71" t="s">
        <v>156</v>
      </c>
      <c r="D18" s="35" t="s">
        <v>176</v>
      </c>
      <c r="E18" s="548">
        <v>96</v>
      </c>
      <c r="F18" s="72"/>
      <c r="G18" s="72" t="str">
        <f t="shared" si="10"/>
        <v>047HPS</v>
      </c>
      <c r="H18" s="408"/>
      <c r="I18" t="s">
        <v>133</v>
      </c>
      <c r="J18" t="s">
        <v>168</v>
      </c>
      <c r="K18" s="58">
        <v>20000</v>
      </c>
      <c r="L18" s="96" t="s">
        <v>184</v>
      </c>
      <c r="M18" s="68">
        <f t="shared" si="0"/>
        <v>247</v>
      </c>
      <c r="N18" s="68">
        <f t="shared" si="0"/>
        <v>15</v>
      </c>
      <c r="P18" s="576">
        <v>27.67</v>
      </c>
      <c r="Q18" s="312">
        <f t="shared" si="1"/>
        <v>27.67</v>
      </c>
      <c r="S18" s="69">
        <f t="shared" si="8"/>
        <v>6834.4900000000007</v>
      </c>
      <c r="T18" s="69">
        <f t="shared" si="2"/>
        <v>415.05</v>
      </c>
      <c r="U18" s="69"/>
      <c r="V18" s="68">
        <f t="shared" si="3"/>
        <v>247</v>
      </c>
      <c r="W18" s="68">
        <f t="shared" si="3"/>
        <v>15</v>
      </c>
      <c r="Y18" s="69"/>
      <c r="AA18" s="68">
        <f t="shared" si="4"/>
        <v>247</v>
      </c>
      <c r="AB18" s="68">
        <f t="shared" si="4"/>
        <v>15</v>
      </c>
      <c r="AD18" s="901">
        <f t="shared" si="5"/>
        <v>28.59</v>
      </c>
      <c r="AE18" s="82">
        <f t="shared" si="9"/>
        <v>28.59</v>
      </c>
      <c r="AG18" s="69">
        <f t="shared" si="6"/>
        <v>7061.73</v>
      </c>
      <c r="AH18" s="69">
        <f t="shared" si="7"/>
        <v>428.85</v>
      </c>
    </row>
    <row r="19" spans="2:68">
      <c r="B19" s="35" t="s">
        <v>164</v>
      </c>
      <c r="C19" s="71" t="s">
        <v>156</v>
      </c>
      <c r="D19" s="35" t="s">
        <v>179</v>
      </c>
      <c r="E19" s="548">
        <v>13</v>
      </c>
      <c r="F19" s="72"/>
      <c r="G19" s="72" t="str">
        <f t="shared" si="10"/>
        <v>047HPY</v>
      </c>
      <c r="H19" s="408"/>
      <c r="I19" t="s">
        <v>133</v>
      </c>
      <c r="J19" t="s">
        <v>172</v>
      </c>
      <c r="K19" s="58">
        <v>7000</v>
      </c>
      <c r="L19" s="96" t="s">
        <v>185</v>
      </c>
      <c r="M19" s="68">
        <f t="shared" si="0"/>
        <v>35</v>
      </c>
      <c r="N19" s="68">
        <f t="shared" si="0"/>
        <v>87</v>
      </c>
      <c r="P19" s="576">
        <v>20.27</v>
      </c>
      <c r="Q19" s="312">
        <f t="shared" si="1"/>
        <v>20.27</v>
      </c>
      <c r="S19" s="69">
        <f t="shared" si="8"/>
        <v>709.44999999999993</v>
      </c>
      <c r="T19" s="69">
        <f t="shared" si="2"/>
        <v>1763.49</v>
      </c>
      <c r="U19" s="69"/>
      <c r="V19" s="68">
        <f t="shared" si="3"/>
        <v>35</v>
      </c>
      <c r="W19" s="68">
        <f t="shared" si="3"/>
        <v>87</v>
      </c>
      <c r="Y19" s="69"/>
      <c r="AA19" s="68">
        <f t="shared" si="4"/>
        <v>35</v>
      </c>
      <c r="AB19" s="68">
        <f t="shared" si="4"/>
        <v>87</v>
      </c>
      <c r="AD19" s="901">
        <f t="shared" si="5"/>
        <v>20.94</v>
      </c>
      <c r="AE19" s="82">
        <f t="shared" si="9"/>
        <v>20.94</v>
      </c>
      <c r="AG19" s="69">
        <f t="shared" si="6"/>
        <v>732.90000000000009</v>
      </c>
      <c r="AH19" s="69">
        <f t="shared" si="7"/>
        <v>1821.7800000000002</v>
      </c>
    </row>
    <row r="20" spans="2:68">
      <c r="B20" s="527" t="s">
        <v>164</v>
      </c>
      <c r="C20" s="397" t="s">
        <v>156</v>
      </c>
      <c r="D20" s="569" t="s">
        <v>831</v>
      </c>
      <c r="E20" s="549">
        <v>1</v>
      </c>
      <c r="F20" s="72"/>
      <c r="G20" s="72" t="str">
        <f t="shared" ref="G20" si="11">IF(OR(ISBLANK(C20),ISBLANK(D20)),"",TEXT(C20,"000")&amp;TEXT(D20,"000"))</f>
        <v>047HAIL</v>
      </c>
      <c r="H20" s="408"/>
      <c r="I20" t="s">
        <v>133</v>
      </c>
      <c r="J20" t="s">
        <v>172</v>
      </c>
      <c r="K20" s="58">
        <v>10000</v>
      </c>
      <c r="L20" s="96" t="s">
        <v>186</v>
      </c>
      <c r="M20" s="68">
        <f t="shared" si="0"/>
        <v>45</v>
      </c>
      <c r="N20" s="68">
        <f t="shared" si="0"/>
        <v>43</v>
      </c>
      <c r="P20" s="576">
        <v>23.53</v>
      </c>
      <c r="Q20" s="312">
        <f t="shared" si="1"/>
        <v>23.53</v>
      </c>
      <c r="S20" s="69">
        <f t="shared" si="8"/>
        <v>1058.8500000000001</v>
      </c>
      <c r="T20" s="69">
        <f t="shared" si="2"/>
        <v>1011.7900000000001</v>
      </c>
      <c r="U20" s="69"/>
      <c r="V20" s="68">
        <f t="shared" si="3"/>
        <v>45</v>
      </c>
      <c r="W20" s="68">
        <f t="shared" si="3"/>
        <v>43</v>
      </c>
      <c r="Y20" s="69"/>
      <c r="AA20" s="68">
        <f t="shared" si="4"/>
        <v>45</v>
      </c>
      <c r="AB20" s="68">
        <f t="shared" si="4"/>
        <v>43</v>
      </c>
      <c r="AD20" s="901">
        <f t="shared" si="5"/>
        <v>24.31</v>
      </c>
      <c r="AE20" s="82">
        <f t="shared" si="9"/>
        <v>24.31</v>
      </c>
      <c r="AG20" s="69">
        <f t="shared" si="6"/>
        <v>1093.95</v>
      </c>
      <c r="AH20" s="69">
        <f t="shared" si="7"/>
        <v>1045.33</v>
      </c>
    </row>
    <row r="21" spans="2:68">
      <c r="B21" s="527" t="s">
        <v>164</v>
      </c>
      <c r="C21" s="71" t="s">
        <v>156</v>
      </c>
      <c r="D21" s="527" t="s">
        <v>795</v>
      </c>
      <c r="E21" s="549">
        <v>60</v>
      </c>
      <c r="F21" s="72"/>
      <c r="G21" s="72" t="str">
        <f t="shared" si="10"/>
        <v>047HAML</v>
      </c>
      <c r="H21" s="408"/>
      <c r="I21" t="s">
        <v>133</v>
      </c>
      <c r="J21" t="s">
        <v>172</v>
      </c>
      <c r="K21" s="58">
        <v>20000</v>
      </c>
      <c r="L21" s="96" t="s">
        <v>187</v>
      </c>
      <c r="M21" s="68">
        <f t="shared" si="0"/>
        <v>120</v>
      </c>
      <c r="N21" s="68">
        <f t="shared" si="0"/>
        <v>17</v>
      </c>
      <c r="P21" s="576">
        <v>31.77</v>
      </c>
      <c r="Q21" s="312">
        <f t="shared" si="1"/>
        <v>31.77</v>
      </c>
      <c r="S21" s="69">
        <f t="shared" si="8"/>
        <v>3812.4</v>
      </c>
      <c r="T21" s="69">
        <f t="shared" si="2"/>
        <v>540.09</v>
      </c>
      <c r="U21" s="69"/>
      <c r="V21" s="68">
        <f t="shared" si="3"/>
        <v>120</v>
      </c>
      <c r="W21" s="68">
        <f t="shared" si="3"/>
        <v>17</v>
      </c>
      <c r="Y21" s="69"/>
      <c r="AA21" s="68">
        <f t="shared" si="4"/>
        <v>120</v>
      </c>
      <c r="AB21" s="68">
        <f t="shared" si="4"/>
        <v>17</v>
      </c>
      <c r="AD21" s="901">
        <f t="shared" si="5"/>
        <v>32.83</v>
      </c>
      <c r="AE21" s="82">
        <f t="shared" si="9"/>
        <v>32.83</v>
      </c>
      <c r="AG21" s="69">
        <f t="shared" si="6"/>
        <v>3939.6</v>
      </c>
      <c r="AH21" s="69">
        <f t="shared" si="7"/>
        <v>558.11</v>
      </c>
    </row>
    <row r="22" spans="2:68">
      <c r="B22" s="527" t="s">
        <v>164</v>
      </c>
      <c r="C22" s="71" t="s">
        <v>156</v>
      </c>
      <c r="D22" s="527" t="s">
        <v>796</v>
      </c>
      <c r="E22" s="549">
        <v>16</v>
      </c>
      <c r="F22" s="72"/>
      <c r="G22" s="72" t="str">
        <f t="shared" si="10"/>
        <v>047HANL</v>
      </c>
      <c r="H22" s="408"/>
      <c r="I22" t="s">
        <v>133</v>
      </c>
      <c r="J22" t="s">
        <v>190</v>
      </c>
      <c r="K22" s="58">
        <v>10000</v>
      </c>
      <c r="L22" s="96" t="s">
        <v>188</v>
      </c>
      <c r="M22" s="68">
        <f t="shared" si="0"/>
        <v>0</v>
      </c>
      <c r="N22" s="68">
        <f t="shared" si="0"/>
        <v>5</v>
      </c>
      <c r="P22" s="576">
        <v>29.71</v>
      </c>
      <c r="Q22" s="312">
        <f t="shared" si="1"/>
        <v>29.71</v>
      </c>
      <c r="S22" s="69">
        <f t="shared" si="8"/>
        <v>0</v>
      </c>
      <c r="T22" s="69">
        <f t="shared" si="2"/>
        <v>148.55000000000001</v>
      </c>
      <c r="U22" s="69"/>
      <c r="V22" s="68">
        <f t="shared" si="3"/>
        <v>0</v>
      </c>
      <c r="W22" s="68">
        <f t="shared" si="3"/>
        <v>5</v>
      </c>
      <c r="Y22" s="69"/>
      <c r="AA22" s="68">
        <f t="shared" si="4"/>
        <v>0</v>
      </c>
      <c r="AB22" s="68">
        <f t="shared" si="4"/>
        <v>5</v>
      </c>
      <c r="AD22" s="901">
        <f t="shared" si="5"/>
        <v>30.7</v>
      </c>
      <c r="AE22" s="82">
        <f t="shared" si="9"/>
        <v>30.7</v>
      </c>
      <c r="AG22" s="69">
        <f t="shared" si="6"/>
        <v>0</v>
      </c>
      <c r="AH22" s="69">
        <f t="shared" si="7"/>
        <v>153.5</v>
      </c>
    </row>
    <row r="23" spans="2:68">
      <c r="B23" s="527" t="s">
        <v>164</v>
      </c>
      <c r="C23" s="397" t="s">
        <v>156</v>
      </c>
      <c r="D23" s="569" t="s">
        <v>832</v>
      </c>
      <c r="E23" s="549">
        <v>2</v>
      </c>
      <c r="F23" s="72"/>
      <c r="G23" s="72" t="str">
        <f t="shared" ref="G23" si="12">IF(OR(ISBLANK(C23),ISBLANK(D23)),"",TEXT(C23,"000")&amp;TEXT(D23,"000"))</f>
        <v>047HAOL</v>
      </c>
      <c r="H23" s="408"/>
      <c r="I23" t="s">
        <v>133</v>
      </c>
      <c r="J23" t="s">
        <v>190</v>
      </c>
      <c r="K23" s="58">
        <v>20000</v>
      </c>
      <c r="L23" s="96" t="s">
        <v>189</v>
      </c>
      <c r="M23" s="68">
        <f t="shared" si="0"/>
        <v>1</v>
      </c>
      <c r="N23" s="68">
        <f t="shared" si="0"/>
        <v>0</v>
      </c>
      <c r="P23" s="576">
        <v>37.89</v>
      </c>
      <c r="Q23" s="312">
        <f t="shared" si="1"/>
        <v>37.89</v>
      </c>
      <c r="S23" s="69">
        <f t="shared" si="8"/>
        <v>37.89</v>
      </c>
      <c r="T23" s="69">
        <f t="shared" si="2"/>
        <v>0</v>
      </c>
      <c r="U23" s="69"/>
      <c r="V23" s="68">
        <f t="shared" si="3"/>
        <v>1</v>
      </c>
      <c r="W23" s="68">
        <f t="shared" si="3"/>
        <v>0</v>
      </c>
      <c r="Y23" s="69"/>
      <c r="AA23" s="68">
        <f t="shared" si="4"/>
        <v>1</v>
      </c>
      <c r="AB23" s="68">
        <f t="shared" si="4"/>
        <v>0</v>
      </c>
      <c r="AD23" s="901">
        <f t="shared" si="5"/>
        <v>39.15</v>
      </c>
      <c r="AE23" s="82">
        <f t="shared" si="9"/>
        <v>39.15</v>
      </c>
      <c r="AG23" s="69">
        <f t="shared" si="6"/>
        <v>39.15</v>
      </c>
      <c r="AH23" s="69">
        <f t="shared" si="7"/>
        <v>0</v>
      </c>
    </row>
    <row r="24" spans="2:68">
      <c r="B24" s="527" t="s">
        <v>164</v>
      </c>
      <c r="C24" s="71" t="s">
        <v>156</v>
      </c>
      <c r="D24" s="527" t="s">
        <v>619</v>
      </c>
      <c r="E24" s="549">
        <v>5</v>
      </c>
      <c r="F24" s="72"/>
      <c r="G24" s="72" t="str">
        <f>IF(OR(ISBLANK(C24),ISBLANK(D24)),"",TEXT(C24,"000")&amp;TEXT(D24,"000"))</f>
        <v>047HAPL</v>
      </c>
      <c r="H24" s="408"/>
      <c r="I24" t="s">
        <v>133</v>
      </c>
      <c r="J24" t="s">
        <v>195</v>
      </c>
      <c r="K24" s="58">
        <v>7000</v>
      </c>
      <c r="L24" s="96" t="s">
        <v>192</v>
      </c>
      <c r="M24" s="68">
        <f t="shared" ref="M24:N43" si="13">SUMIF($G:$G,TEXT(M$3,"000")&amp;TEXT($L24,"000"),$E:$E)</f>
        <v>2</v>
      </c>
      <c r="N24" s="68">
        <f t="shared" si="13"/>
        <v>0</v>
      </c>
      <c r="P24" s="576">
        <v>27.71</v>
      </c>
      <c r="Q24" s="312">
        <f t="shared" si="1"/>
        <v>27.71</v>
      </c>
      <c r="S24" s="69">
        <f t="shared" si="8"/>
        <v>55.42</v>
      </c>
      <c r="T24" s="69">
        <f t="shared" si="2"/>
        <v>0</v>
      </c>
      <c r="U24" s="69"/>
      <c r="V24" s="68">
        <f t="shared" ref="V24:W43" si="14">SUMIF($G:$G,TEXT(V$3,"000")&amp;TEXT($L24,"000"),$E:$E)</f>
        <v>2</v>
      </c>
      <c r="W24" s="68">
        <f t="shared" si="14"/>
        <v>0</v>
      </c>
      <c r="Y24" s="69"/>
      <c r="AA24" s="68">
        <f t="shared" si="4"/>
        <v>2</v>
      </c>
      <c r="AB24" s="68">
        <f t="shared" si="4"/>
        <v>0</v>
      </c>
      <c r="AD24" s="901">
        <f t="shared" si="5"/>
        <v>28.63</v>
      </c>
      <c r="AE24" s="82">
        <f t="shared" si="9"/>
        <v>28.63</v>
      </c>
      <c r="AG24" s="69">
        <f t="shared" si="6"/>
        <v>57.26</v>
      </c>
      <c r="AH24" s="69">
        <f t="shared" si="7"/>
        <v>0</v>
      </c>
    </row>
    <row r="25" spans="2:68">
      <c r="B25" s="527" t="s">
        <v>164</v>
      </c>
      <c r="C25" s="397" t="s">
        <v>156</v>
      </c>
      <c r="D25" s="569" t="s">
        <v>906</v>
      </c>
      <c r="E25" s="549">
        <v>19</v>
      </c>
      <c r="F25" s="72"/>
      <c r="G25" s="72" t="str">
        <f>IF(OR(ISBLANK(C25),ISBLANK(D25)),"",TEXT(C25,"000")&amp;TEXT(D25,"000"))</f>
        <v>047HARL</v>
      </c>
      <c r="H25" s="408"/>
      <c r="I25" t="s">
        <v>133</v>
      </c>
      <c r="J25" t="s">
        <v>195</v>
      </c>
      <c r="K25" s="58">
        <v>10000</v>
      </c>
      <c r="L25" s="96" t="s">
        <v>193</v>
      </c>
      <c r="M25" s="68">
        <f t="shared" si="13"/>
        <v>0</v>
      </c>
      <c r="N25" s="68">
        <f t="shared" si="13"/>
        <v>25</v>
      </c>
      <c r="P25" s="576">
        <v>30.97</v>
      </c>
      <c r="Q25" s="312">
        <f t="shared" si="1"/>
        <v>30.97</v>
      </c>
      <c r="S25" s="69">
        <f t="shared" si="8"/>
        <v>0</v>
      </c>
      <c r="T25" s="69">
        <f t="shared" si="2"/>
        <v>774.25</v>
      </c>
      <c r="U25" s="69"/>
      <c r="V25" s="68">
        <f t="shared" si="14"/>
        <v>0</v>
      </c>
      <c r="W25" s="68">
        <f t="shared" si="14"/>
        <v>25</v>
      </c>
      <c r="Y25" s="69"/>
      <c r="AA25" s="68">
        <f t="shared" si="4"/>
        <v>0</v>
      </c>
      <c r="AB25" s="68">
        <f t="shared" si="4"/>
        <v>25</v>
      </c>
      <c r="AD25" s="901">
        <f t="shared" si="5"/>
        <v>32</v>
      </c>
      <c r="AE25" s="82">
        <f t="shared" si="9"/>
        <v>32</v>
      </c>
      <c r="AG25" s="69">
        <f t="shared" si="6"/>
        <v>0</v>
      </c>
      <c r="AH25" s="69">
        <f t="shared" si="7"/>
        <v>800</v>
      </c>
    </row>
    <row r="26" spans="2:68">
      <c r="B26" s="527" t="s">
        <v>164</v>
      </c>
      <c r="C26" s="71" t="s">
        <v>156</v>
      </c>
      <c r="D26" s="527" t="s">
        <v>610</v>
      </c>
      <c r="E26" s="549">
        <v>517</v>
      </c>
      <c r="F26" s="72"/>
      <c r="G26" s="72" t="str">
        <f t="shared" si="10"/>
        <v>047HPAL</v>
      </c>
      <c r="H26" s="408"/>
      <c r="I26" t="s">
        <v>133</v>
      </c>
      <c r="J26" t="s">
        <v>195</v>
      </c>
      <c r="K26" s="58">
        <v>20000</v>
      </c>
      <c r="L26" s="96" t="s">
        <v>194</v>
      </c>
      <c r="M26" s="68">
        <f t="shared" si="13"/>
        <v>2</v>
      </c>
      <c r="N26" s="68">
        <f t="shared" si="13"/>
        <v>0</v>
      </c>
      <c r="P26" s="576">
        <v>39.17</v>
      </c>
      <c r="Q26" s="312">
        <f t="shared" si="1"/>
        <v>39.17</v>
      </c>
      <c r="S26" s="69">
        <f t="shared" si="8"/>
        <v>78.34</v>
      </c>
      <c r="T26" s="69">
        <f t="shared" si="2"/>
        <v>0</v>
      </c>
      <c r="U26" s="69"/>
      <c r="V26" s="68">
        <f t="shared" si="14"/>
        <v>2</v>
      </c>
      <c r="W26" s="68">
        <f t="shared" si="14"/>
        <v>0</v>
      </c>
      <c r="Y26" s="69"/>
      <c r="AA26" s="68">
        <f t="shared" si="4"/>
        <v>2</v>
      </c>
      <c r="AB26" s="68">
        <f t="shared" si="4"/>
        <v>0</v>
      </c>
      <c r="AD26" s="901">
        <f t="shared" si="5"/>
        <v>40.47</v>
      </c>
      <c r="AE26" s="82">
        <f t="shared" si="9"/>
        <v>40.47</v>
      </c>
      <c r="AG26" s="69">
        <f t="shared" si="6"/>
        <v>80.94</v>
      </c>
      <c r="AH26" s="69">
        <f t="shared" si="7"/>
        <v>0</v>
      </c>
    </row>
    <row r="27" spans="2:68">
      <c r="B27" s="527" t="s">
        <v>164</v>
      </c>
      <c r="C27" s="71" t="s">
        <v>156</v>
      </c>
      <c r="D27" s="527" t="s">
        <v>611</v>
      </c>
      <c r="E27" s="549">
        <v>470</v>
      </c>
      <c r="F27" s="72"/>
      <c r="G27" s="72" t="str">
        <f t="shared" si="10"/>
        <v>047HPBL</v>
      </c>
      <c r="H27" s="408"/>
      <c r="I27" s="19" t="s">
        <v>133</v>
      </c>
      <c r="J27" s="19" t="s">
        <v>430</v>
      </c>
      <c r="K27" s="85">
        <v>7000</v>
      </c>
      <c r="L27" s="319" t="s">
        <v>429</v>
      </c>
      <c r="M27" s="68">
        <f t="shared" si="13"/>
        <v>0</v>
      </c>
      <c r="N27" s="68">
        <f t="shared" si="13"/>
        <v>2</v>
      </c>
      <c r="O27" s="318"/>
      <c r="P27" s="576">
        <v>8.1199999999999992</v>
      </c>
      <c r="Q27" s="312">
        <f t="shared" si="1"/>
        <v>8.1199999999999992</v>
      </c>
      <c r="R27" s="318"/>
      <c r="S27" s="69">
        <f t="shared" si="8"/>
        <v>0</v>
      </c>
      <c r="T27" s="69">
        <f t="shared" si="2"/>
        <v>16.239999999999998</v>
      </c>
      <c r="U27" s="69"/>
      <c r="V27" s="68">
        <f t="shared" si="14"/>
        <v>0</v>
      </c>
      <c r="W27" s="68">
        <f t="shared" si="14"/>
        <v>2</v>
      </c>
      <c r="Y27" s="69"/>
      <c r="Z27" s="318"/>
      <c r="AA27" s="68">
        <f t="shared" si="4"/>
        <v>0</v>
      </c>
      <c r="AB27" s="68">
        <f t="shared" si="4"/>
        <v>2</v>
      </c>
      <c r="AC27" s="318"/>
      <c r="AD27" s="570">
        <f>AD16/2</f>
        <v>8.39</v>
      </c>
      <c r="AE27" s="82">
        <f t="shared" si="9"/>
        <v>8.39</v>
      </c>
      <c r="AF27" s="318"/>
      <c r="AG27" s="69">
        <f t="shared" si="6"/>
        <v>0</v>
      </c>
      <c r="AH27" s="69">
        <f t="shared" si="7"/>
        <v>16.78</v>
      </c>
      <c r="AI27" s="318"/>
    </row>
    <row r="28" spans="2:68">
      <c r="B28" s="527" t="s">
        <v>164</v>
      </c>
      <c r="C28" s="71" t="s">
        <v>156</v>
      </c>
      <c r="D28" s="527" t="s">
        <v>632</v>
      </c>
      <c r="E28" s="549">
        <v>115</v>
      </c>
      <c r="F28" s="72"/>
      <c r="G28" s="72" t="str">
        <f t="shared" si="10"/>
        <v>047HPCL</v>
      </c>
      <c r="H28" s="408"/>
      <c r="I28" t="s">
        <v>201</v>
      </c>
      <c r="J28" s="620" t="s">
        <v>634</v>
      </c>
      <c r="K28" s="58" t="s">
        <v>202</v>
      </c>
      <c r="L28" s="96" t="s">
        <v>197</v>
      </c>
      <c r="M28" s="68">
        <f t="shared" si="13"/>
        <v>53</v>
      </c>
      <c r="N28" s="68">
        <f t="shared" si="13"/>
        <v>2</v>
      </c>
      <c r="P28" s="576">
        <v>6.54</v>
      </c>
      <c r="Q28" s="312">
        <f t="shared" si="1"/>
        <v>6.54</v>
      </c>
      <c r="S28" s="69">
        <f t="shared" si="8"/>
        <v>346.62</v>
      </c>
      <c r="T28" s="69">
        <f t="shared" si="2"/>
        <v>13.08</v>
      </c>
      <c r="U28" s="69"/>
      <c r="V28" s="68">
        <f t="shared" si="14"/>
        <v>53</v>
      </c>
      <c r="W28" s="68">
        <f t="shared" si="14"/>
        <v>2</v>
      </c>
      <c r="Y28" s="69"/>
      <c r="AA28" s="68">
        <f t="shared" si="4"/>
        <v>53</v>
      </c>
      <c r="AB28" s="68">
        <f t="shared" si="4"/>
        <v>2</v>
      </c>
      <c r="AD28" s="901">
        <f t="shared" si="5"/>
        <v>6.76</v>
      </c>
      <c r="AE28" s="82">
        <f t="shared" si="9"/>
        <v>6.76</v>
      </c>
      <c r="AG28" s="69">
        <f t="shared" si="6"/>
        <v>358.28</v>
      </c>
      <c r="AH28" s="69">
        <f t="shared" si="7"/>
        <v>13.52</v>
      </c>
    </row>
    <row r="29" spans="2:68">
      <c r="B29" s="527" t="s">
        <v>164</v>
      </c>
      <c r="C29" s="71" t="s">
        <v>156</v>
      </c>
      <c r="D29" s="527" t="s">
        <v>614</v>
      </c>
      <c r="E29" s="549">
        <v>428</v>
      </c>
      <c r="F29" s="72"/>
      <c r="G29" s="72" t="str">
        <f t="shared" si="10"/>
        <v>047HPDL</v>
      </c>
      <c r="H29" s="408"/>
      <c r="I29" s="583" t="s">
        <v>606</v>
      </c>
      <c r="J29" s="583" t="str">
        <f>J6</f>
        <v>on existing standard</v>
      </c>
      <c r="K29" s="583" t="s">
        <v>132</v>
      </c>
      <c r="L29" s="566" t="s">
        <v>610</v>
      </c>
      <c r="M29" s="565">
        <f t="shared" si="13"/>
        <v>517</v>
      </c>
      <c r="N29" s="565">
        <f t="shared" si="13"/>
        <v>844</v>
      </c>
      <c r="O29" s="583"/>
      <c r="P29" s="606">
        <f>P6</f>
        <v>14.12</v>
      </c>
      <c r="Q29" s="312">
        <f t="shared" si="1"/>
        <v>14.12</v>
      </c>
      <c r="R29" s="583"/>
      <c r="S29" s="69">
        <f t="shared" ref="S29:S39" si="15">IF(AND(M29&lt;&gt;0,P29=0),#VALUE!,M29*P29)</f>
        <v>7300.04</v>
      </c>
      <c r="T29" s="69">
        <f t="shared" ref="T29:T39" si="16">IF(AND(N29&lt;&gt;0,Q29=0),#VALUE!,N29*Q29)</f>
        <v>11917.279999999999</v>
      </c>
      <c r="U29" s="69"/>
      <c r="V29" s="565">
        <f t="shared" si="14"/>
        <v>517</v>
      </c>
      <c r="W29" s="565">
        <f t="shared" si="14"/>
        <v>844</v>
      </c>
      <c r="X29" s="583"/>
      <c r="Y29" s="69"/>
      <c r="Z29" s="583"/>
      <c r="AA29" s="565">
        <f t="shared" ref="AA29:AA39" si="17">M29</f>
        <v>517</v>
      </c>
      <c r="AB29" s="565">
        <f t="shared" ref="AB29:AB49" si="18">N29</f>
        <v>844</v>
      </c>
      <c r="AC29" s="583"/>
      <c r="AD29" s="901">
        <f>AD6</f>
        <v>14.59</v>
      </c>
      <c r="AE29" s="82">
        <f t="shared" si="9"/>
        <v>14.59</v>
      </c>
      <c r="AF29" s="583"/>
      <c r="AG29" s="69">
        <f>IF(AND(AA29&lt;&gt;0,AD29=0),#VALUE!,AA29*AD29)</f>
        <v>7543.03</v>
      </c>
      <c r="AH29" s="69">
        <f>IF(AND(AB29&lt;&gt;0,AE29=0),#VALUE!,AB29*AE29)</f>
        <v>12313.96</v>
      </c>
      <c r="AI29" s="583"/>
      <c r="AJ29" s="583"/>
      <c r="AK29" s="583"/>
      <c r="AL29" s="583"/>
      <c r="AM29" s="583"/>
      <c r="AN29" s="583"/>
      <c r="AO29" s="583"/>
      <c r="AP29" s="583"/>
      <c r="AQ29" s="583"/>
      <c r="AR29" s="583"/>
      <c r="AS29" s="583"/>
      <c r="AT29" s="583"/>
      <c r="AU29" s="583"/>
      <c r="AV29" s="583"/>
      <c r="AW29" s="583"/>
      <c r="AX29" s="583"/>
      <c r="AY29" s="583"/>
      <c r="AZ29" s="583"/>
      <c r="BA29" s="583"/>
      <c r="BB29" s="583"/>
    </row>
    <row r="30" spans="2:68">
      <c r="B30" s="527" t="s">
        <v>164</v>
      </c>
      <c r="C30" s="71" t="s">
        <v>156</v>
      </c>
      <c r="D30" s="527" t="s">
        <v>613</v>
      </c>
      <c r="E30" s="549">
        <v>376</v>
      </c>
      <c r="F30" s="72"/>
      <c r="G30" s="72" t="str">
        <f t="shared" si="10"/>
        <v>047HPEL</v>
      </c>
      <c r="H30" s="408"/>
      <c r="I30" s="583" t="s">
        <v>606</v>
      </c>
      <c r="J30" s="583" t="str">
        <f>J7</f>
        <v>on existing standard</v>
      </c>
      <c r="K30" s="583" t="s">
        <v>603</v>
      </c>
      <c r="L30" s="566" t="s">
        <v>611</v>
      </c>
      <c r="M30" s="565">
        <f t="shared" si="13"/>
        <v>470</v>
      </c>
      <c r="N30" s="565">
        <f t="shared" si="13"/>
        <v>114</v>
      </c>
      <c r="O30" s="583"/>
      <c r="P30" s="606">
        <f>P7</f>
        <v>20.05</v>
      </c>
      <c r="Q30" s="312">
        <f t="shared" si="1"/>
        <v>20.05</v>
      </c>
      <c r="R30" s="583"/>
      <c r="S30" s="69">
        <f t="shared" si="15"/>
        <v>9423.5</v>
      </c>
      <c r="T30" s="69">
        <f t="shared" si="16"/>
        <v>2285.7000000000003</v>
      </c>
      <c r="U30" s="69"/>
      <c r="V30" s="565">
        <f t="shared" si="14"/>
        <v>470</v>
      </c>
      <c r="W30" s="565">
        <f t="shared" si="14"/>
        <v>114</v>
      </c>
      <c r="X30" s="583"/>
      <c r="Y30" s="69"/>
      <c r="Z30" s="583"/>
      <c r="AA30" s="565">
        <f t="shared" si="17"/>
        <v>470</v>
      </c>
      <c r="AB30" s="565">
        <f t="shared" si="18"/>
        <v>114</v>
      </c>
      <c r="AC30" s="583"/>
      <c r="AD30" s="901">
        <f>AD7</f>
        <v>20.72</v>
      </c>
      <c r="AE30" s="570">
        <f>AE7</f>
        <v>20.72</v>
      </c>
      <c r="AF30" s="583"/>
      <c r="AG30" s="69">
        <f t="shared" ref="AG30:AG38" si="19">IF(AND(AA30&lt;&gt;0,AD30=0),#VALUE!,AA30*AD30)</f>
        <v>9738.4</v>
      </c>
      <c r="AH30" s="69">
        <f t="shared" ref="AH30:AH39" si="20">IF(AND(AB30&lt;&gt;0,AE30=0),#VALUE!,AB30*AE30)</f>
        <v>2362.08</v>
      </c>
      <c r="AI30" s="583"/>
      <c r="AJ30" s="583"/>
      <c r="AK30" s="583"/>
      <c r="AL30" s="583"/>
      <c r="AM30" s="583"/>
      <c r="AN30" s="583"/>
      <c r="AO30" s="583"/>
      <c r="AP30" s="583"/>
      <c r="AQ30" s="583"/>
      <c r="AR30" s="583"/>
      <c r="AS30" s="583"/>
      <c r="AT30" s="583"/>
      <c r="AU30" s="583"/>
      <c r="AV30" s="583"/>
      <c r="AW30" s="583"/>
      <c r="AX30" s="583"/>
      <c r="AY30" s="583"/>
      <c r="AZ30" s="583"/>
      <c r="BA30" s="583"/>
      <c r="BB30" s="583"/>
      <c r="BC30" s="583"/>
      <c r="BD30" s="583"/>
      <c r="BE30" s="583"/>
      <c r="BF30" s="583"/>
      <c r="BG30" s="583"/>
      <c r="BH30" s="583"/>
    </row>
    <row r="31" spans="2:68">
      <c r="B31" s="527" t="s">
        <v>164</v>
      </c>
      <c r="C31" s="71" t="s">
        <v>156</v>
      </c>
      <c r="D31" s="527" t="s">
        <v>633</v>
      </c>
      <c r="E31" s="549">
        <v>90</v>
      </c>
      <c r="F31" s="72"/>
      <c r="G31" s="72" t="str">
        <f t="shared" si="10"/>
        <v>047HPGL</v>
      </c>
      <c r="H31" s="408"/>
      <c r="I31" s="663" t="s">
        <v>606</v>
      </c>
      <c r="J31" s="663" t="str">
        <f>J8</f>
        <v>on existing standard</v>
      </c>
      <c r="K31" s="663" t="s">
        <v>793</v>
      </c>
      <c r="L31" s="566" t="s">
        <v>632</v>
      </c>
      <c r="M31" s="565">
        <f t="shared" si="13"/>
        <v>115</v>
      </c>
      <c r="N31" s="565">
        <f t="shared" si="13"/>
        <v>6</v>
      </c>
      <c r="O31" s="663"/>
      <c r="P31" s="606">
        <f>P8</f>
        <v>27.7</v>
      </c>
      <c r="Q31" s="312">
        <f>P31</f>
        <v>27.7</v>
      </c>
      <c r="R31" s="663"/>
      <c r="S31" s="69">
        <f>IF(AND(M31&lt;&gt;0,P31=0),#VALUE!,M31*P31)</f>
        <v>3185.5</v>
      </c>
      <c r="T31" s="69">
        <f>IF(AND(N31&lt;&gt;0,Q31=0),#VALUE!,N31*Q31)</f>
        <v>166.2</v>
      </c>
      <c r="U31" s="69"/>
      <c r="V31" s="565">
        <f t="shared" si="14"/>
        <v>115</v>
      </c>
      <c r="W31" s="565">
        <f t="shared" si="14"/>
        <v>6</v>
      </c>
      <c r="X31" s="663"/>
      <c r="Y31" s="69"/>
      <c r="Z31" s="663"/>
      <c r="AA31" s="565">
        <f>M31</f>
        <v>115</v>
      </c>
      <c r="AB31" s="565">
        <f>N31</f>
        <v>6</v>
      </c>
      <c r="AC31" s="663"/>
      <c r="AD31" s="901">
        <f>AD8</f>
        <v>28.62</v>
      </c>
      <c r="AE31" s="570">
        <f>AE8</f>
        <v>28.62</v>
      </c>
      <c r="AF31" s="663"/>
      <c r="AG31" s="69">
        <f>IF(AND(AA31&lt;&gt;0,AD31=0),#VALUE!,AA31*AD31)</f>
        <v>3291.3</v>
      </c>
      <c r="AH31" s="69">
        <f>IF(AND(AB31&lt;&gt;0,AE31=0),#VALUE!,AB31*AE31)</f>
        <v>171.72</v>
      </c>
      <c r="AI31" s="663"/>
      <c r="AJ31" s="663"/>
      <c r="AK31" s="663"/>
      <c r="AL31" s="663"/>
      <c r="AM31" s="663"/>
      <c r="AN31" s="663"/>
      <c r="AO31" s="663"/>
      <c r="AP31" s="663"/>
      <c r="AQ31" s="663"/>
      <c r="AR31" s="663"/>
      <c r="AS31" s="663"/>
      <c r="AT31" s="663"/>
      <c r="AU31" s="663"/>
      <c r="AV31" s="663"/>
      <c r="AW31" s="663"/>
      <c r="AX31" s="663"/>
      <c r="AY31" s="663"/>
      <c r="AZ31" s="663"/>
      <c r="BA31" s="663"/>
      <c r="BB31" s="663"/>
      <c r="BC31" s="583"/>
      <c r="BD31" s="583"/>
      <c r="BE31" s="583"/>
      <c r="BF31" s="583"/>
      <c r="BG31" s="583"/>
      <c r="BH31" s="583"/>
      <c r="BI31" s="583"/>
      <c r="BJ31" s="583"/>
      <c r="BK31" s="583"/>
      <c r="BL31" s="583"/>
      <c r="BM31" s="583"/>
      <c r="BN31" s="583"/>
      <c r="BO31" s="583"/>
      <c r="BP31" s="583"/>
    </row>
    <row r="32" spans="2:68">
      <c r="B32" s="527" t="s">
        <v>164</v>
      </c>
      <c r="C32" s="71" t="s">
        <v>156</v>
      </c>
      <c r="D32" s="527" t="s">
        <v>797</v>
      </c>
      <c r="E32" s="549">
        <v>1</v>
      </c>
      <c r="F32" s="72"/>
      <c r="G32" s="72" t="str">
        <f t="shared" ref="G32:G49" si="21">IF(OR(ISBLANK(C32),ISBLANK(D32)),"",TEXT(C32,"000")&amp;TEXT(D32,"000"))</f>
        <v>047HPKL</v>
      </c>
      <c r="H32" s="408"/>
      <c r="I32" s="583" t="s">
        <v>606</v>
      </c>
      <c r="J32" s="583" t="str">
        <f>J14</f>
        <v>20' fiberglass pole</v>
      </c>
      <c r="K32" s="583" t="s">
        <v>132</v>
      </c>
      <c r="L32" s="566" t="s">
        <v>612</v>
      </c>
      <c r="M32" s="565">
        <f t="shared" si="13"/>
        <v>16</v>
      </c>
      <c r="N32" s="565">
        <f t="shared" si="13"/>
        <v>105</v>
      </c>
      <c r="O32" s="583"/>
      <c r="P32" s="606">
        <f>P14</f>
        <v>20.68</v>
      </c>
      <c r="Q32" s="312">
        <f t="shared" si="1"/>
        <v>20.68</v>
      </c>
      <c r="R32" s="583"/>
      <c r="S32" s="69">
        <f t="shared" si="15"/>
        <v>330.88</v>
      </c>
      <c r="T32" s="69">
        <f t="shared" si="16"/>
        <v>2171.4</v>
      </c>
      <c r="U32" s="69"/>
      <c r="V32" s="565">
        <f t="shared" si="14"/>
        <v>16</v>
      </c>
      <c r="W32" s="565">
        <f t="shared" si="14"/>
        <v>105</v>
      </c>
      <c r="X32" s="583"/>
      <c r="Y32" s="69"/>
      <c r="Z32" s="583"/>
      <c r="AA32" s="565">
        <f t="shared" si="17"/>
        <v>16</v>
      </c>
      <c r="AB32" s="565">
        <f t="shared" si="18"/>
        <v>105</v>
      </c>
      <c r="AC32" s="583"/>
      <c r="AD32" s="901">
        <f>AD14</f>
        <v>21.37</v>
      </c>
      <c r="AE32" s="570">
        <f>AE14</f>
        <v>21.37</v>
      </c>
      <c r="AF32" s="583"/>
      <c r="AG32" s="69">
        <f t="shared" si="19"/>
        <v>341.92</v>
      </c>
      <c r="AH32" s="69">
        <f t="shared" si="20"/>
        <v>2243.85</v>
      </c>
      <c r="AI32" s="583"/>
      <c r="AJ32" s="583"/>
      <c r="AK32" s="583"/>
      <c r="AL32" s="583"/>
      <c r="AM32" s="583"/>
      <c r="AN32" s="583"/>
      <c r="AO32" s="583"/>
      <c r="AP32" s="583"/>
      <c r="AQ32" s="583"/>
      <c r="AR32" s="583"/>
      <c r="AS32" s="583"/>
      <c r="AT32" s="583"/>
      <c r="AU32" s="583"/>
      <c r="AV32" s="583"/>
      <c r="AW32" s="583"/>
      <c r="AX32" s="583"/>
      <c r="AY32" s="583"/>
      <c r="AZ32" s="583"/>
      <c r="BA32" s="583"/>
      <c r="BB32" s="583"/>
      <c r="BC32" s="663"/>
      <c r="BD32" s="663"/>
      <c r="BE32" s="663"/>
      <c r="BF32" s="663"/>
      <c r="BG32" s="663"/>
      <c r="BH32" s="663"/>
      <c r="BI32" s="583"/>
      <c r="BJ32" s="583"/>
      <c r="BK32" s="583"/>
      <c r="BL32" s="583"/>
      <c r="BM32" s="583"/>
      <c r="BN32" s="583"/>
      <c r="BO32" s="583"/>
      <c r="BP32" s="583"/>
    </row>
    <row r="33" spans="1:93">
      <c r="B33" s="527" t="s">
        <v>164</v>
      </c>
      <c r="C33" s="71" t="s">
        <v>156</v>
      </c>
      <c r="D33" s="527" t="s">
        <v>616</v>
      </c>
      <c r="E33" s="549">
        <v>12</v>
      </c>
      <c r="F33" s="72"/>
      <c r="G33" s="72" t="str">
        <f t="shared" si="21"/>
        <v>047HPLL</v>
      </c>
      <c r="H33" s="408"/>
      <c r="I33" s="583" t="s">
        <v>606</v>
      </c>
      <c r="J33" s="583" t="str">
        <f>J10</f>
        <v>35' wood pole</v>
      </c>
      <c r="K33" s="583" t="s">
        <v>132</v>
      </c>
      <c r="L33" s="566" t="s">
        <v>613</v>
      </c>
      <c r="M33" s="565">
        <f t="shared" si="13"/>
        <v>376</v>
      </c>
      <c r="N33" s="565">
        <f t="shared" si="13"/>
        <v>415</v>
      </c>
      <c r="O33" s="583"/>
      <c r="P33" s="606">
        <f>P10</f>
        <v>20.68</v>
      </c>
      <c r="Q33" s="312">
        <f t="shared" si="1"/>
        <v>20.68</v>
      </c>
      <c r="R33" s="583"/>
      <c r="S33" s="69">
        <f t="shared" si="15"/>
        <v>7775.68</v>
      </c>
      <c r="T33" s="69">
        <f t="shared" si="16"/>
        <v>8582.2000000000007</v>
      </c>
      <c r="U33" s="69"/>
      <c r="V33" s="565">
        <f t="shared" si="14"/>
        <v>376</v>
      </c>
      <c r="W33" s="565">
        <f t="shared" si="14"/>
        <v>415</v>
      </c>
      <c r="X33" s="583"/>
      <c r="Y33" s="69"/>
      <c r="Z33" s="583"/>
      <c r="AA33" s="565">
        <f t="shared" si="17"/>
        <v>376</v>
      </c>
      <c r="AB33" s="565">
        <f t="shared" si="18"/>
        <v>415</v>
      </c>
      <c r="AC33" s="583"/>
      <c r="AD33" s="901">
        <f>AD10</f>
        <v>21.37</v>
      </c>
      <c r="AE33" s="570">
        <f>AE10</f>
        <v>21.37</v>
      </c>
      <c r="AF33" s="583"/>
      <c r="AG33" s="69">
        <f t="shared" si="19"/>
        <v>8035.1200000000008</v>
      </c>
      <c r="AH33" s="69">
        <f t="shared" si="20"/>
        <v>8868.5500000000011</v>
      </c>
      <c r="AI33" s="583"/>
      <c r="AJ33" s="583"/>
      <c r="AK33" s="583"/>
      <c r="AL33" s="583"/>
      <c r="AM33" s="583"/>
      <c r="AN33" s="583"/>
      <c r="AO33" s="583"/>
      <c r="AP33" s="583"/>
      <c r="AQ33" s="583"/>
      <c r="AR33" s="583"/>
      <c r="AS33" s="583"/>
      <c r="AT33" s="583"/>
      <c r="AU33" s="583"/>
      <c r="AV33" s="583"/>
      <c r="AW33" s="583"/>
      <c r="AX33" s="583"/>
      <c r="AY33" s="583"/>
      <c r="AZ33" s="583"/>
      <c r="BA33" s="583"/>
      <c r="BB33" s="583"/>
      <c r="BC33" s="583"/>
      <c r="BD33" s="583"/>
      <c r="BE33" s="583"/>
      <c r="BF33" s="583"/>
      <c r="BG33" s="583"/>
      <c r="BH33" s="583"/>
      <c r="BI33" s="663"/>
      <c r="BJ33" s="663"/>
      <c r="BK33" s="663"/>
      <c r="BL33" s="663"/>
      <c r="BM33" s="663"/>
      <c r="BN33" s="663"/>
      <c r="BO33" s="663"/>
      <c r="BP33" s="583"/>
    </row>
    <row r="34" spans="1:93">
      <c r="B34" s="527" t="s">
        <v>164</v>
      </c>
      <c r="C34" s="71" t="s">
        <v>156</v>
      </c>
      <c r="D34" s="527" t="s">
        <v>612</v>
      </c>
      <c r="E34" s="549">
        <v>16</v>
      </c>
      <c r="F34" s="72"/>
      <c r="G34" s="72" t="str">
        <f t="shared" si="21"/>
        <v>047HPSL</v>
      </c>
      <c r="H34" s="408"/>
      <c r="I34" s="583" t="s">
        <v>606</v>
      </c>
      <c r="J34" s="583" t="str">
        <f>J9</f>
        <v>35' wood pole</v>
      </c>
      <c r="K34" s="583" t="s">
        <v>603</v>
      </c>
      <c r="L34" s="566" t="s">
        <v>614</v>
      </c>
      <c r="M34" s="565">
        <f t="shared" si="13"/>
        <v>428</v>
      </c>
      <c r="N34" s="565">
        <f t="shared" si="13"/>
        <v>75</v>
      </c>
      <c r="O34" s="583"/>
      <c r="P34" s="606">
        <f>P9</f>
        <v>27.86</v>
      </c>
      <c r="Q34" s="312">
        <f t="shared" si="1"/>
        <v>27.86</v>
      </c>
      <c r="R34" s="583"/>
      <c r="S34" s="69">
        <f t="shared" si="15"/>
        <v>11924.08</v>
      </c>
      <c r="T34" s="69">
        <f t="shared" si="16"/>
        <v>2089.5</v>
      </c>
      <c r="U34" s="69"/>
      <c r="V34" s="565">
        <f t="shared" si="14"/>
        <v>428</v>
      </c>
      <c r="W34" s="565">
        <f t="shared" si="14"/>
        <v>75</v>
      </c>
      <c r="X34" s="583"/>
      <c r="Y34" s="69"/>
      <c r="Z34" s="583"/>
      <c r="AA34" s="565">
        <f t="shared" si="17"/>
        <v>428</v>
      </c>
      <c r="AB34" s="565">
        <f t="shared" si="18"/>
        <v>75</v>
      </c>
      <c r="AC34" s="583"/>
      <c r="AD34" s="901">
        <f>AD9</f>
        <v>28.79</v>
      </c>
      <c r="AE34" s="570">
        <f>AE9</f>
        <v>28.79</v>
      </c>
      <c r="AF34" s="583"/>
      <c r="AG34" s="69">
        <f t="shared" si="19"/>
        <v>12322.119999999999</v>
      </c>
      <c r="AH34" s="69">
        <f t="shared" si="20"/>
        <v>2159.25</v>
      </c>
      <c r="AI34" s="583"/>
      <c r="AJ34" s="583"/>
      <c r="AK34" s="583"/>
      <c r="AL34" s="583"/>
      <c r="AM34" s="583"/>
      <c r="AN34" s="583"/>
      <c r="AO34" s="583"/>
      <c r="AP34" s="583"/>
      <c r="AQ34" s="583"/>
      <c r="AR34" s="583"/>
      <c r="AS34" s="583"/>
      <c r="AT34" s="583"/>
      <c r="AU34" s="583"/>
      <c r="AV34" s="583"/>
      <c r="AW34" s="583"/>
      <c r="AX34" s="583"/>
      <c r="AY34" s="583"/>
      <c r="AZ34" s="583"/>
      <c r="BA34" s="583"/>
      <c r="BB34" s="583"/>
      <c r="BC34" s="583"/>
      <c r="BD34" s="583"/>
      <c r="BE34" s="583"/>
      <c r="BF34" s="583"/>
      <c r="BG34" s="583"/>
      <c r="BH34" s="583"/>
      <c r="BI34" s="583"/>
      <c r="BJ34" s="583"/>
      <c r="BK34" s="583"/>
      <c r="BL34" s="583"/>
      <c r="BM34" s="583"/>
      <c r="BN34" s="583"/>
      <c r="BO34" s="583"/>
      <c r="BP34" s="583"/>
      <c r="BQ34" s="583"/>
      <c r="BR34" s="583"/>
      <c r="BS34" s="583"/>
      <c r="BT34" s="583"/>
    </row>
    <row r="35" spans="1:93">
      <c r="B35" s="527" t="s">
        <v>164</v>
      </c>
      <c r="C35" s="71" t="s">
        <v>156</v>
      </c>
      <c r="D35" s="527" t="s">
        <v>617</v>
      </c>
      <c r="E35" s="549">
        <v>5</v>
      </c>
      <c r="F35" s="72"/>
      <c r="G35" s="72" t="str">
        <f t="shared" si="21"/>
        <v>047HPYL</v>
      </c>
      <c r="H35" s="408"/>
      <c r="I35" s="583" t="s">
        <v>606</v>
      </c>
      <c r="J35" s="583" t="str">
        <f>J13</f>
        <v>25' steel pole</v>
      </c>
      <c r="K35" s="583" t="s">
        <v>603</v>
      </c>
      <c r="L35" s="566" t="s">
        <v>615</v>
      </c>
      <c r="M35" s="565">
        <f t="shared" si="13"/>
        <v>0</v>
      </c>
      <c r="N35" s="565">
        <f t="shared" si="13"/>
        <v>5</v>
      </c>
      <c r="O35" s="583"/>
      <c r="P35" s="606">
        <f>P13</f>
        <v>30.3</v>
      </c>
      <c r="Q35" s="312">
        <f t="shared" si="1"/>
        <v>30.3</v>
      </c>
      <c r="R35" s="583"/>
      <c r="S35" s="69">
        <f t="shared" si="15"/>
        <v>0</v>
      </c>
      <c r="T35" s="69">
        <f t="shared" si="16"/>
        <v>151.5</v>
      </c>
      <c r="U35" s="69"/>
      <c r="V35" s="565">
        <f t="shared" si="14"/>
        <v>0</v>
      </c>
      <c r="W35" s="565">
        <f t="shared" si="14"/>
        <v>5</v>
      </c>
      <c r="X35" s="583"/>
      <c r="Y35" s="69"/>
      <c r="Z35" s="583"/>
      <c r="AA35" s="565">
        <f t="shared" si="17"/>
        <v>0</v>
      </c>
      <c r="AB35" s="565">
        <f t="shared" si="18"/>
        <v>5</v>
      </c>
      <c r="AC35" s="583"/>
      <c r="AD35" s="901">
        <f>AD13</f>
        <v>31.31</v>
      </c>
      <c r="AE35" s="570">
        <f>AE13</f>
        <v>31.31</v>
      </c>
      <c r="AF35" s="583"/>
      <c r="AG35" s="69">
        <f t="shared" si="19"/>
        <v>0</v>
      </c>
      <c r="AH35" s="69">
        <f t="shared" si="20"/>
        <v>156.54999999999998</v>
      </c>
      <c r="AI35" s="583"/>
      <c r="AJ35" s="583"/>
      <c r="AK35" s="583"/>
      <c r="AL35" s="583"/>
      <c r="AM35" s="583"/>
      <c r="AN35" s="583"/>
      <c r="AO35" s="583"/>
      <c r="AP35" s="583"/>
      <c r="AQ35" s="583"/>
      <c r="AR35" s="583"/>
      <c r="AS35" s="583"/>
      <c r="AT35" s="583"/>
      <c r="AU35" s="583"/>
      <c r="AV35" s="583"/>
      <c r="AW35" s="583"/>
      <c r="AX35" s="583"/>
      <c r="AY35" s="583"/>
      <c r="AZ35" s="583"/>
      <c r="BA35" s="583"/>
      <c r="BB35" s="583"/>
      <c r="BC35" s="583"/>
      <c r="BD35" s="583"/>
      <c r="BE35" s="583"/>
      <c r="BF35" s="583"/>
      <c r="BG35" s="583"/>
      <c r="BH35" s="583"/>
      <c r="BI35" s="583"/>
      <c r="BJ35" s="583"/>
      <c r="BK35" s="583"/>
      <c r="BL35" s="583"/>
      <c r="BM35" s="583"/>
      <c r="BN35" s="583"/>
      <c r="BO35" s="583"/>
      <c r="BP35" s="583"/>
      <c r="BQ35" s="583"/>
      <c r="BR35" s="583"/>
      <c r="BS35" s="583"/>
      <c r="BT35" s="583"/>
      <c r="BU35" s="583"/>
      <c r="BV35" s="583"/>
      <c r="BW35" s="583"/>
      <c r="BX35" s="583"/>
    </row>
    <row r="36" spans="1:93">
      <c r="B36" s="527" t="s">
        <v>164</v>
      </c>
      <c r="C36" s="397" t="s">
        <v>156</v>
      </c>
      <c r="D36" s="569" t="s">
        <v>907</v>
      </c>
      <c r="E36" s="543">
        <v>46</v>
      </c>
      <c r="F36" s="72"/>
      <c r="G36" s="72" t="str">
        <f t="shared" si="21"/>
        <v>047HPZL</v>
      </c>
      <c r="H36" s="408"/>
      <c r="I36" s="583" t="s">
        <v>606</v>
      </c>
      <c r="J36" s="583" t="str">
        <f>J12</f>
        <v>30' steel pole</v>
      </c>
      <c r="K36" s="583" t="s">
        <v>603</v>
      </c>
      <c r="L36" s="566" t="s">
        <v>616</v>
      </c>
      <c r="M36" s="565">
        <f t="shared" si="13"/>
        <v>12</v>
      </c>
      <c r="N36" s="565">
        <f t="shared" si="13"/>
        <v>4</v>
      </c>
      <c r="O36" s="583"/>
      <c r="P36" s="606">
        <f>P12</f>
        <v>34.979999999999997</v>
      </c>
      <c r="Q36" s="312">
        <f t="shared" si="1"/>
        <v>34.979999999999997</v>
      </c>
      <c r="R36" s="583"/>
      <c r="S36" s="69">
        <f t="shared" si="15"/>
        <v>419.76</v>
      </c>
      <c r="T36" s="69">
        <f t="shared" si="16"/>
        <v>139.91999999999999</v>
      </c>
      <c r="U36" s="69"/>
      <c r="V36" s="565">
        <f t="shared" si="14"/>
        <v>12</v>
      </c>
      <c r="W36" s="565">
        <f t="shared" si="14"/>
        <v>4</v>
      </c>
      <c r="X36" s="583"/>
      <c r="Y36" s="69"/>
      <c r="Z36" s="583"/>
      <c r="AA36" s="565">
        <f t="shared" si="17"/>
        <v>12</v>
      </c>
      <c r="AB36" s="565">
        <f t="shared" si="18"/>
        <v>4</v>
      </c>
      <c r="AC36" s="583"/>
      <c r="AD36" s="901">
        <f>AD12</f>
        <v>36.14</v>
      </c>
      <c r="AE36" s="570">
        <f>AE12</f>
        <v>36.14</v>
      </c>
      <c r="AF36" s="583"/>
      <c r="AG36" s="69">
        <f t="shared" si="19"/>
        <v>433.68</v>
      </c>
      <c r="AH36" s="69">
        <f t="shared" si="20"/>
        <v>144.56</v>
      </c>
      <c r="AI36" s="583"/>
      <c r="AJ36" s="583"/>
      <c r="AK36" s="583"/>
      <c r="AL36" s="583"/>
      <c r="AM36" s="583"/>
      <c r="AN36" s="583"/>
      <c r="AO36" s="583"/>
      <c r="AP36" s="583"/>
      <c r="AQ36" s="583"/>
      <c r="AR36" s="583"/>
      <c r="AS36" s="583"/>
      <c r="AT36" s="583"/>
      <c r="AU36" s="583"/>
      <c r="AV36" s="583"/>
      <c r="AW36" s="583"/>
      <c r="AX36" s="583"/>
      <c r="AY36" s="583"/>
      <c r="AZ36" s="583"/>
      <c r="BA36" s="583"/>
      <c r="BB36" s="583"/>
      <c r="BC36" s="583"/>
      <c r="BD36" s="583"/>
      <c r="BE36" s="583"/>
      <c r="BF36" s="583"/>
      <c r="BG36" s="583"/>
      <c r="BH36" s="583"/>
      <c r="BI36" s="583"/>
      <c r="BJ36" s="583"/>
      <c r="BK36" s="583"/>
      <c r="BL36" s="583"/>
      <c r="BM36" s="583"/>
      <c r="BN36" s="583"/>
      <c r="BO36" s="583"/>
      <c r="BP36" s="583"/>
      <c r="BQ36" s="583"/>
      <c r="BR36" s="583"/>
      <c r="BS36" s="583"/>
      <c r="BT36" s="583"/>
      <c r="BU36" s="583"/>
      <c r="BV36" s="583"/>
      <c r="BW36" s="583"/>
      <c r="BX36" s="583"/>
      <c r="BY36" s="583"/>
      <c r="BZ36" s="583"/>
      <c r="CA36" s="583"/>
      <c r="CB36" s="583"/>
      <c r="CC36" s="583"/>
      <c r="CD36" s="583"/>
      <c r="CE36" s="583"/>
      <c r="CF36" s="583"/>
      <c r="CG36" s="583"/>
      <c r="CH36" s="583"/>
      <c r="CI36" s="583"/>
      <c r="CJ36" s="583"/>
      <c r="CK36" s="583"/>
      <c r="CL36" s="583"/>
      <c r="CM36" s="583"/>
      <c r="CN36" s="583"/>
      <c r="CO36" s="583"/>
    </row>
    <row r="37" spans="1:93">
      <c r="A37" s="636"/>
      <c r="B37" s="35" t="s">
        <v>164</v>
      </c>
      <c r="C37" s="71" t="s">
        <v>156</v>
      </c>
      <c r="D37" s="35" t="s">
        <v>181</v>
      </c>
      <c r="E37" s="548">
        <v>92</v>
      </c>
      <c r="F37" s="72"/>
      <c r="G37" s="72" t="str">
        <f t="shared" si="21"/>
        <v>047MVA</v>
      </c>
      <c r="H37" s="408"/>
      <c r="I37" s="583" t="s">
        <v>606</v>
      </c>
      <c r="J37" s="583" t="str">
        <f>J15</f>
        <v>30' steel pole w/2 arms</v>
      </c>
      <c r="K37" s="583" t="s">
        <v>603</v>
      </c>
      <c r="L37" s="566" t="s">
        <v>617</v>
      </c>
      <c r="M37" s="565">
        <f t="shared" si="13"/>
        <v>5</v>
      </c>
      <c r="N37" s="565">
        <f t="shared" si="13"/>
        <v>0</v>
      </c>
      <c r="O37" s="583"/>
      <c r="P37" s="606">
        <f>P15</f>
        <v>59.28</v>
      </c>
      <c r="Q37" s="312">
        <f t="shared" si="1"/>
        <v>59.28</v>
      </c>
      <c r="R37" s="583"/>
      <c r="S37" s="69">
        <f t="shared" si="15"/>
        <v>296.39999999999998</v>
      </c>
      <c r="T37" s="69">
        <f t="shared" si="16"/>
        <v>0</v>
      </c>
      <c r="U37" s="69"/>
      <c r="V37" s="565">
        <f t="shared" si="14"/>
        <v>5</v>
      </c>
      <c r="W37" s="565">
        <f t="shared" si="14"/>
        <v>0</v>
      </c>
      <c r="X37" s="583"/>
      <c r="Y37" s="69"/>
      <c r="Z37" s="583"/>
      <c r="AA37" s="565">
        <f t="shared" si="17"/>
        <v>5</v>
      </c>
      <c r="AB37" s="565">
        <f t="shared" si="18"/>
        <v>0</v>
      </c>
      <c r="AC37" s="583"/>
      <c r="AD37" s="901">
        <f>AD15</f>
        <v>61.25</v>
      </c>
      <c r="AE37" s="570">
        <f>AE15</f>
        <v>61.25</v>
      </c>
      <c r="AF37" s="583"/>
      <c r="AG37" s="69">
        <f t="shared" si="19"/>
        <v>306.25</v>
      </c>
      <c r="AH37" s="69">
        <f t="shared" si="20"/>
        <v>0</v>
      </c>
      <c r="AI37" s="583"/>
      <c r="AJ37" s="583"/>
      <c r="AK37" s="583"/>
      <c r="AL37" s="583"/>
      <c r="AM37" s="583"/>
      <c r="AN37" s="583"/>
      <c r="AO37" s="583"/>
      <c r="AP37" s="583"/>
      <c r="AQ37" s="583"/>
      <c r="AR37" s="583"/>
      <c r="AS37" s="583"/>
      <c r="AT37" s="583"/>
      <c r="AU37" s="583"/>
      <c r="AV37" s="583"/>
      <c r="AW37" s="583"/>
      <c r="AX37" s="583"/>
      <c r="AY37" s="583"/>
      <c r="AZ37" s="583"/>
      <c r="BA37" s="583"/>
      <c r="BB37" s="583"/>
      <c r="BC37" s="583"/>
      <c r="BD37" s="583"/>
      <c r="BE37" s="583"/>
      <c r="BF37" s="583"/>
      <c r="BG37" s="583"/>
      <c r="BH37" s="583"/>
      <c r="BI37" s="583"/>
      <c r="BJ37" s="583"/>
      <c r="BK37" s="583"/>
      <c r="BL37" s="583"/>
      <c r="BM37" s="583"/>
      <c r="BN37" s="583"/>
      <c r="BO37" s="583"/>
      <c r="BP37" s="583"/>
      <c r="BQ37" s="583"/>
      <c r="BR37" s="583"/>
      <c r="BS37" s="583"/>
      <c r="BT37" s="583"/>
      <c r="BU37" s="583"/>
      <c r="BV37" s="583"/>
      <c r="BW37" s="583"/>
      <c r="BX37" s="583"/>
      <c r="BY37" s="583"/>
      <c r="BZ37" s="583"/>
      <c r="CA37" s="583"/>
      <c r="CB37" s="583"/>
      <c r="CC37" s="583"/>
      <c r="CD37" s="583"/>
      <c r="CE37" s="583"/>
      <c r="CF37" s="583"/>
      <c r="CG37" s="583"/>
      <c r="CH37" s="583"/>
      <c r="CI37" s="583"/>
      <c r="CJ37" s="583"/>
      <c r="CK37" s="583"/>
      <c r="CL37" s="583"/>
      <c r="CM37" s="583"/>
      <c r="CN37" s="583"/>
      <c r="CO37" s="583"/>
    </row>
    <row r="38" spans="1:93">
      <c r="B38" s="35" t="s">
        <v>164</v>
      </c>
      <c r="C38" s="71" t="s">
        <v>156</v>
      </c>
      <c r="D38" s="35" t="s">
        <v>183</v>
      </c>
      <c r="E38" s="548">
        <v>134</v>
      </c>
      <c r="F38" s="72"/>
      <c r="G38" s="72" t="str">
        <f t="shared" si="21"/>
        <v>047MVB</v>
      </c>
      <c r="H38" s="408"/>
      <c r="I38" s="583" t="s">
        <v>606</v>
      </c>
      <c r="J38" s="583" t="str">
        <f>J97</f>
        <v>Granville w/16' decorative pole</v>
      </c>
      <c r="K38" s="583" t="s">
        <v>132</v>
      </c>
      <c r="L38" s="566" t="s">
        <v>618</v>
      </c>
      <c r="M38" s="565">
        <f t="shared" si="13"/>
        <v>3</v>
      </c>
      <c r="N38" s="565">
        <f t="shared" si="13"/>
        <v>0</v>
      </c>
      <c r="O38" s="583"/>
      <c r="P38" s="576">
        <v>30.78</v>
      </c>
      <c r="Q38" s="312">
        <f t="shared" si="1"/>
        <v>30.78</v>
      </c>
      <c r="R38" s="583"/>
      <c r="S38" s="69">
        <f t="shared" si="15"/>
        <v>92.34</v>
      </c>
      <c r="T38" s="69">
        <f t="shared" si="16"/>
        <v>0</v>
      </c>
      <c r="U38" s="69"/>
      <c r="V38" s="565">
        <f t="shared" si="14"/>
        <v>3</v>
      </c>
      <c r="W38" s="565">
        <f t="shared" si="14"/>
        <v>0</v>
      </c>
      <c r="X38" s="583"/>
      <c r="Y38" s="69"/>
      <c r="Z38" s="583"/>
      <c r="AA38" s="565">
        <f t="shared" si="17"/>
        <v>3</v>
      </c>
      <c r="AB38" s="565">
        <f t="shared" si="18"/>
        <v>0</v>
      </c>
      <c r="AC38" s="583"/>
      <c r="AD38" s="901">
        <f t="shared" ref="AD38:AD39" si="22">ROUND(P38*(1+AD$1),2)</f>
        <v>31.8</v>
      </c>
      <c r="AE38" s="570">
        <f t="shared" ref="AE38:AE39" si="23">AD38</f>
        <v>31.8</v>
      </c>
      <c r="AF38" s="583"/>
      <c r="AG38" s="69">
        <f t="shared" si="19"/>
        <v>95.4</v>
      </c>
      <c r="AH38" s="69">
        <f t="shared" si="20"/>
        <v>0</v>
      </c>
      <c r="AI38" s="583"/>
      <c r="AJ38" s="583"/>
      <c r="AK38" s="583"/>
      <c r="AL38" s="583"/>
      <c r="AM38" s="583"/>
      <c r="AN38" s="583"/>
      <c r="AO38" s="583"/>
      <c r="AP38" s="583"/>
      <c r="AQ38" s="583"/>
      <c r="AR38" s="583"/>
      <c r="AS38" s="583"/>
      <c r="AT38" s="583"/>
      <c r="AU38" s="583"/>
      <c r="AV38" s="583"/>
      <c r="AW38" s="583"/>
      <c r="AX38" s="583"/>
      <c r="AY38" s="583"/>
      <c r="AZ38" s="583"/>
      <c r="BA38" s="583"/>
      <c r="BB38" s="583"/>
      <c r="BC38" s="583"/>
      <c r="BD38" s="583"/>
      <c r="BE38" s="583"/>
      <c r="BF38" s="583"/>
      <c r="BG38" s="583"/>
      <c r="BH38" s="583"/>
      <c r="BI38" s="583"/>
      <c r="BJ38" s="583"/>
      <c r="BK38" s="583"/>
      <c r="BL38" s="583"/>
      <c r="BM38" s="583"/>
      <c r="BN38" s="583"/>
      <c r="BO38" s="583"/>
      <c r="BP38" s="583"/>
      <c r="BQ38" s="583"/>
      <c r="BR38" s="583"/>
      <c r="BS38" s="583"/>
      <c r="BT38" s="583"/>
      <c r="BU38" s="583"/>
      <c r="BV38" s="583"/>
      <c r="BW38" s="583"/>
      <c r="BX38" s="583"/>
      <c r="BY38" s="583"/>
      <c r="BZ38" s="583"/>
      <c r="CA38" s="583"/>
      <c r="CB38" s="583"/>
      <c r="CC38" s="583"/>
      <c r="CD38" s="583"/>
      <c r="CE38" s="583"/>
      <c r="CF38" s="583"/>
      <c r="CG38" s="583"/>
      <c r="CH38" s="583"/>
      <c r="CI38" s="583"/>
      <c r="CJ38" s="583"/>
      <c r="CK38" s="583"/>
      <c r="CL38" s="583"/>
      <c r="CM38" s="583"/>
      <c r="CN38" s="583"/>
      <c r="CO38" s="583"/>
    </row>
    <row r="39" spans="1:93">
      <c r="A39" s="656"/>
      <c r="B39" s="35" t="s">
        <v>164</v>
      </c>
      <c r="C39" s="71" t="s">
        <v>156</v>
      </c>
      <c r="D39" s="35" t="s">
        <v>184</v>
      </c>
      <c r="E39" s="548">
        <v>247</v>
      </c>
      <c r="F39" s="72"/>
      <c r="G39" s="72" t="str">
        <f t="shared" si="21"/>
        <v>047MVC</v>
      </c>
      <c r="H39" s="408"/>
      <c r="I39" s="583" t="s">
        <v>606</v>
      </c>
      <c r="J39" s="583" t="str">
        <f>J98</f>
        <v>Post Top w/16' decorative pole</v>
      </c>
      <c r="K39" s="583" t="s">
        <v>132</v>
      </c>
      <c r="L39" s="566" t="s">
        <v>619</v>
      </c>
      <c r="M39" s="565">
        <f t="shared" si="13"/>
        <v>5</v>
      </c>
      <c r="N39" s="565">
        <f t="shared" si="13"/>
        <v>3</v>
      </c>
      <c r="O39" s="583"/>
      <c r="P39" s="576">
        <v>29.36</v>
      </c>
      <c r="Q39" s="312">
        <f t="shared" si="1"/>
        <v>29.36</v>
      </c>
      <c r="R39" s="583"/>
      <c r="S39" s="69">
        <f t="shared" si="15"/>
        <v>146.80000000000001</v>
      </c>
      <c r="T39" s="69">
        <f t="shared" si="16"/>
        <v>88.08</v>
      </c>
      <c r="U39" s="69"/>
      <c r="V39" s="565">
        <f t="shared" si="14"/>
        <v>5</v>
      </c>
      <c r="W39" s="565">
        <f t="shared" si="14"/>
        <v>3</v>
      </c>
      <c r="X39" s="583"/>
      <c r="Y39" s="69"/>
      <c r="Z39" s="583"/>
      <c r="AA39" s="565">
        <f t="shared" si="17"/>
        <v>5</v>
      </c>
      <c r="AB39" s="565">
        <f t="shared" si="18"/>
        <v>3</v>
      </c>
      <c r="AC39" s="583"/>
      <c r="AD39" s="901">
        <f t="shared" si="22"/>
        <v>30.34</v>
      </c>
      <c r="AE39" s="570">
        <f t="shared" si="23"/>
        <v>30.34</v>
      </c>
      <c r="AF39" s="583"/>
      <c r="AG39" s="69">
        <f>IF(AND(AA39&lt;&gt;0,AD39=0),#VALUE!,AA39*AD39)</f>
        <v>151.69999999999999</v>
      </c>
      <c r="AH39" s="69">
        <f t="shared" si="20"/>
        <v>91.02</v>
      </c>
      <c r="AI39" s="583"/>
      <c r="AJ39" s="583"/>
      <c r="AK39" s="583"/>
      <c r="AL39" s="583"/>
      <c r="AM39" s="583"/>
      <c r="AN39" s="583"/>
      <c r="AO39" s="583"/>
      <c r="AP39" s="583"/>
      <c r="AQ39" s="583"/>
      <c r="AR39" s="583"/>
      <c r="AS39" s="583"/>
      <c r="AT39" s="583"/>
      <c r="AU39" s="583"/>
      <c r="AV39" s="583"/>
      <c r="AW39" s="583"/>
      <c r="AX39" s="583"/>
      <c r="AY39" s="583"/>
      <c r="AZ39" s="583"/>
      <c r="BA39" s="583"/>
      <c r="BB39" s="583"/>
      <c r="BC39" s="583"/>
      <c r="BD39" s="583"/>
      <c r="BE39" s="583"/>
      <c r="BF39" s="583"/>
      <c r="BG39" s="583"/>
      <c r="BH39" s="583"/>
      <c r="BI39" s="583"/>
      <c r="BJ39" s="583"/>
      <c r="BK39" s="583"/>
      <c r="BL39" s="583"/>
      <c r="BM39" s="583"/>
      <c r="BN39" s="583"/>
      <c r="BO39" s="583"/>
      <c r="BP39" s="583"/>
      <c r="BQ39" s="583"/>
      <c r="BR39" s="583"/>
      <c r="BS39" s="583"/>
      <c r="BT39" s="583"/>
      <c r="BU39" s="583"/>
      <c r="BV39" s="583"/>
      <c r="BW39" s="583"/>
      <c r="BX39" s="583"/>
      <c r="BY39" s="583"/>
      <c r="BZ39" s="583"/>
      <c r="CA39" s="583"/>
      <c r="CB39" s="583"/>
      <c r="CC39" s="583"/>
      <c r="CD39" s="583"/>
      <c r="CE39" s="583"/>
      <c r="CF39" s="583"/>
      <c r="CG39" s="583"/>
      <c r="CH39" s="583"/>
      <c r="CI39" s="583"/>
      <c r="CJ39" s="583"/>
      <c r="CK39" s="583"/>
      <c r="CL39" s="583"/>
      <c r="CM39" s="583"/>
      <c r="CN39" s="583"/>
      <c r="CO39" s="583"/>
    </row>
    <row r="40" spans="1:93">
      <c r="B40" s="35" t="s">
        <v>164</v>
      </c>
      <c r="C40" s="71" t="s">
        <v>156</v>
      </c>
      <c r="D40" s="35" t="s">
        <v>185</v>
      </c>
      <c r="E40" s="548">
        <v>35</v>
      </c>
      <c r="F40" s="72"/>
      <c r="G40" s="72" t="str">
        <f t="shared" si="21"/>
        <v>047MVD</v>
      </c>
      <c r="H40" s="408"/>
      <c r="I40" s="663" t="s">
        <v>606</v>
      </c>
      <c r="J40" s="663" t="s">
        <v>798</v>
      </c>
      <c r="K40" s="663" t="s">
        <v>132</v>
      </c>
      <c r="L40" s="319" t="s">
        <v>794</v>
      </c>
      <c r="M40" s="565">
        <f t="shared" si="13"/>
        <v>0</v>
      </c>
      <c r="N40" s="565">
        <f t="shared" si="13"/>
        <v>8</v>
      </c>
      <c r="O40" s="663"/>
      <c r="P40" s="576">
        <v>29.05</v>
      </c>
      <c r="Q40" s="312">
        <f t="shared" ref="Q40:Q47" si="24">P40</f>
        <v>29.05</v>
      </c>
      <c r="R40" s="663"/>
      <c r="S40" s="69">
        <f t="shared" ref="S40:T49" si="25">IF(AND(M40&lt;&gt;0,P40=0),#VALUE!,M40*P40)</f>
        <v>0</v>
      </c>
      <c r="T40" s="69">
        <f t="shared" si="25"/>
        <v>232.4</v>
      </c>
      <c r="U40" s="69"/>
      <c r="V40" s="565">
        <f t="shared" si="14"/>
        <v>0</v>
      </c>
      <c r="W40" s="565">
        <f t="shared" si="14"/>
        <v>8</v>
      </c>
      <c r="X40" s="663"/>
      <c r="Y40" s="69"/>
      <c r="Z40" s="663"/>
      <c r="AA40" s="565">
        <f t="shared" ref="AA40:AB49" si="26">M40</f>
        <v>0</v>
      </c>
      <c r="AB40" s="565">
        <f t="shared" si="26"/>
        <v>8</v>
      </c>
      <c r="AC40" s="663"/>
      <c r="AD40" s="901">
        <f t="shared" ref="AD40" si="27">ROUND(P40*(1+AD$1),2)</f>
        <v>30.02</v>
      </c>
      <c r="AE40" s="82">
        <f t="shared" ref="AE40" si="28">AD40</f>
        <v>30.02</v>
      </c>
      <c r="AF40" s="663"/>
      <c r="AG40" s="69">
        <f t="shared" ref="AG40:AH49" si="29">IF(AND(AA40&lt;&gt;0,AD40=0),#VALUE!,AA40*AD40)</f>
        <v>0</v>
      </c>
      <c r="AH40" s="69">
        <f t="shared" si="29"/>
        <v>240.16</v>
      </c>
      <c r="AI40" s="663"/>
      <c r="AJ40" s="663"/>
      <c r="AK40" s="663"/>
      <c r="AL40" s="663"/>
      <c r="AM40" s="663"/>
      <c r="AN40" s="663"/>
      <c r="AO40" s="663"/>
      <c r="AP40" s="663"/>
      <c r="AQ40" s="663"/>
      <c r="AR40" s="663"/>
      <c r="AS40" s="663"/>
      <c r="AT40" s="663"/>
      <c r="AU40" s="663"/>
      <c r="AV40" s="663"/>
      <c r="AW40" s="663"/>
      <c r="AX40" s="663"/>
      <c r="AY40" s="663"/>
      <c r="AZ40" s="663"/>
      <c r="BA40" s="663"/>
      <c r="BB40" s="663"/>
      <c r="BC40" s="583"/>
      <c r="BD40" s="583"/>
      <c r="BE40" s="583"/>
      <c r="BF40" s="583"/>
      <c r="BG40" s="583"/>
      <c r="BH40" s="583"/>
      <c r="BI40" s="583"/>
      <c r="BJ40" s="583"/>
      <c r="BK40" s="583"/>
      <c r="BL40" s="583"/>
      <c r="BM40" s="583"/>
      <c r="BN40" s="583"/>
      <c r="BO40" s="583"/>
      <c r="BP40" s="583"/>
      <c r="BQ40" s="583"/>
      <c r="BR40" s="583"/>
      <c r="BS40" s="583"/>
      <c r="BT40" s="583"/>
      <c r="BU40" s="583"/>
      <c r="BV40" s="583"/>
      <c r="BW40" s="583"/>
      <c r="BX40" s="583"/>
      <c r="BY40" s="583"/>
      <c r="BZ40" s="583"/>
      <c r="CA40" s="583"/>
      <c r="CB40" s="583"/>
      <c r="CC40" s="583"/>
      <c r="CD40" s="583"/>
      <c r="CE40" s="583"/>
      <c r="CF40" s="583"/>
      <c r="CG40" s="583"/>
      <c r="CH40" s="583"/>
      <c r="CI40" s="583"/>
      <c r="CJ40" s="583"/>
      <c r="CK40" s="583"/>
      <c r="CL40" s="583"/>
      <c r="CM40" s="583"/>
      <c r="CN40" s="583"/>
      <c r="CO40" s="583"/>
    </row>
    <row r="41" spans="1:93">
      <c r="A41" s="656"/>
      <c r="B41" s="35" t="s">
        <v>164</v>
      </c>
      <c r="C41" s="71" t="s">
        <v>156</v>
      </c>
      <c r="D41" s="35" t="s">
        <v>186</v>
      </c>
      <c r="E41" s="548">
        <v>45</v>
      </c>
      <c r="F41" s="72"/>
      <c r="G41" s="72" t="str">
        <f t="shared" si="21"/>
        <v>047MVE</v>
      </c>
      <c r="H41" s="408"/>
      <c r="I41" s="663" t="s">
        <v>606</v>
      </c>
      <c r="J41" s="663" t="s">
        <v>160</v>
      </c>
      <c r="K41" s="663" t="s">
        <v>799</v>
      </c>
      <c r="L41" s="319" t="s">
        <v>795</v>
      </c>
      <c r="M41" s="565">
        <f t="shared" si="13"/>
        <v>60</v>
      </c>
      <c r="N41" s="565">
        <f t="shared" si="13"/>
        <v>12</v>
      </c>
      <c r="O41" s="663"/>
      <c r="P41" s="576">
        <v>15.67</v>
      </c>
      <c r="Q41" s="312">
        <f t="shared" si="24"/>
        <v>15.67</v>
      </c>
      <c r="R41" s="663"/>
      <c r="S41" s="69">
        <f t="shared" si="25"/>
        <v>940.2</v>
      </c>
      <c r="T41" s="69">
        <f t="shared" si="25"/>
        <v>188.04</v>
      </c>
      <c r="U41" s="69"/>
      <c r="V41" s="565">
        <f t="shared" si="14"/>
        <v>60</v>
      </c>
      <c r="W41" s="565">
        <f t="shared" si="14"/>
        <v>12</v>
      </c>
      <c r="X41" s="663"/>
      <c r="Y41" s="69"/>
      <c r="Z41" s="663"/>
      <c r="AA41" s="565">
        <f t="shared" si="26"/>
        <v>60</v>
      </c>
      <c r="AB41" s="565">
        <f t="shared" si="26"/>
        <v>12</v>
      </c>
      <c r="AC41" s="663"/>
      <c r="AD41" s="901">
        <f t="shared" ref="AD41:AD47" si="30">ROUND(P41*(1+AD$1),2)</f>
        <v>16.190000000000001</v>
      </c>
      <c r="AE41" s="82">
        <f t="shared" ref="AE41:AE47" si="31">AD41</f>
        <v>16.190000000000001</v>
      </c>
      <c r="AF41" s="663"/>
      <c r="AG41" s="69">
        <f>IF(AND(AA41&lt;&gt;0,AD41=0),#VALUE!,AA41*AD41)</f>
        <v>971.40000000000009</v>
      </c>
      <c r="AH41" s="69">
        <f t="shared" si="29"/>
        <v>194.28000000000003</v>
      </c>
      <c r="AI41" s="663"/>
      <c r="AJ41" s="663"/>
      <c r="AK41" s="663"/>
      <c r="AL41" s="663"/>
      <c r="AM41" s="663"/>
      <c r="AN41" s="663"/>
      <c r="AO41" s="663"/>
      <c r="AP41" s="663"/>
      <c r="AQ41" s="663"/>
      <c r="AR41" s="663"/>
      <c r="AS41" s="663"/>
      <c r="AT41" s="663"/>
      <c r="AU41" s="663"/>
      <c r="AV41" s="663"/>
      <c r="AW41" s="663"/>
      <c r="AX41" s="663"/>
      <c r="AY41" s="663"/>
      <c r="AZ41" s="663"/>
      <c r="BA41" s="663"/>
      <c r="BB41" s="663"/>
      <c r="BC41" s="663"/>
      <c r="BD41" s="663"/>
      <c r="BE41" s="663"/>
      <c r="BF41" s="663"/>
      <c r="BG41" s="663"/>
      <c r="BH41" s="663"/>
      <c r="BI41" s="583"/>
      <c r="BJ41" s="583"/>
      <c r="BK41" s="583"/>
      <c r="BL41" s="583"/>
      <c r="BM41" s="583"/>
      <c r="BN41" s="583"/>
      <c r="BO41" s="583"/>
      <c r="BP41" s="583"/>
      <c r="BQ41" s="583"/>
      <c r="BR41" s="583"/>
      <c r="BS41" s="583"/>
      <c r="BT41" s="583"/>
      <c r="BU41" s="583"/>
      <c r="BV41" s="583"/>
      <c r="BW41" s="583"/>
      <c r="BX41" s="583"/>
      <c r="BY41" s="583"/>
      <c r="BZ41" s="583"/>
      <c r="CA41" s="583"/>
      <c r="CB41" s="583"/>
      <c r="CC41" s="583"/>
      <c r="CD41" s="583"/>
      <c r="CE41" s="583"/>
      <c r="CF41" s="583"/>
      <c r="CG41" s="583"/>
      <c r="CH41" s="583"/>
      <c r="CI41" s="583"/>
      <c r="CJ41" s="583"/>
      <c r="CK41" s="583"/>
      <c r="CL41" s="583"/>
      <c r="CM41" s="583"/>
      <c r="CN41" s="583"/>
      <c r="CO41" s="583"/>
    </row>
    <row r="42" spans="1:93">
      <c r="B42" s="35" t="s">
        <v>164</v>
      </c>
      <c r="C42" s="71" t="s">
        <v>156</v>
      </c>
      <c r="D42" s="35" t="s">
        <v>187</v>
      </c>
      <c r="E42" s="548">
        <v>120</v>
      </c>
      <c r="F42" s="72"/>
      <c r="G42" s="72" t="str">
        <f t="shared" si="21"/>
        <v>047MVF</v>
      </c>
      <c r="H42" s="408"/>
      <c r="I42" s="663" t="s">
        <v>606</v>
      </c>
      <c r="J42" s="663" t="s">
        <v>800</v>
      </c>
      <c r="K42" s="663" t="s">
        <v>799</v>
      </c>
      <c r="L42" s="319" t="s">
        <v>796</v>
      </c>
      <c r="M42" s="565">
        <f t="shared" si="13"/>
        <v>16</v>
      </c>
      <c r="N42" s="565">
        <f t="shared" si="13"/>
        <v>2</v>
      </c>
      <c r="O42" s="663"/>
      <c r="P42" s="576">
        <v>22.21</v>
      </c>
      <c r="Q42" s="312">
        <f t="shared" si="24"/>
        <v>22.21</v>
      </c>
      <c r="R42" s="663"/>
      <c r="S42" s="69">
        <f t="shared" si="25"/>
        <v>355.36</v>
      </c>
      <c r="T42" s="69">
        <f t="shared" si="25"/>
        <v>44.42</v>
      </c>
      <c r="U42" s="69"/>
      <c r="V42" s="565">
        <f t="shared" si="14"/>
        <v>16</v>
      </c>
      <c r="W42" s="565">
        <f t="shared" si="14"/>
        <v>2</v>
      </c>
      <c r="X42" s="663"/>
      <c r="Y42" s="69"/>
      <c r="Z42" s="663"/>
      <c r="AA42" s="565">
        <f>M42</f>
        <v>16</v>
      </c>
      <c r="AB42" s="565">
        <f t="shared" si="26"/>
        <v>2</v>
      </c>
      <c r="AC42" s="663"/>
      <c r="AD42" s="901">
        <f t="shared" si="30"/>
        <v>22.95</v>
      </c>
      <c r="AE42" s="82">
        <f t="shared" si="31"/>
        <v>22.95</v>
      </c>
      <c r="AF42" s="663"/>
      <c r="AG42" s="69">
        <f t="shared" si="29"/>
        <v>367.2</v>
      </c>
      <c r="AH42" s="69">
        <f t="shared" si="29"/>
        <v>45.9</v>
      </c>
      <c r="AI42" s="663"/>
      <c r="AJ42" s="663"/>
      <c r="AK42" s="663"/>
      <c r="AL42" s="663"/>
      <c r="AM42" s="663"/>
      <c r="AN42" s="663"/>
      <c r="AO42" s="663"/>
      <c r="AP42" s="663"/>
      <c r="AQ42" s="663"/>
      <c r="AR42" s="663"/>
      <c r="AS42" s="663"/>
      <c r="AT42" s="663"/>
      <c r="AU42" s="663"/>
      <c r="AV42" s="663"/>
      <c r="AW42" s="663"/>
      <c r="AX42" s="663"/>
      <c r="AY42" s="663"/>
      <c r="AZ42" s="663"/>
      <c r="BA42" s="663"/>
      <c r="BB42" s="663"/>
      <c r="BC42" s="663"/>
      <c r="BD42" s="663"/>
      <c r="BE42" s="663"/>
      <c r="BF42" s="663"/>
      <c r="BG42" s="663"/>
      <c r="BH42" s="663"/>
      <c r="BI42" s="663"/>
      <c r="BJ42" s="663"/>
      <c r="BK42" s="663"/>
      <c r="BL42" s="663"/>
      <c r="BM42" s="663"/>
      <c r="BN42" s="663"/>
      <c r="BO42" s="663"/>
      <c r="BP42" s="663"/>
      <c r="BQ42" s="583"/>
      <c r="BR42" s="583"/>
      <c r="BS42" s="583"/>
      <c r="BT42" s="583"/>
      <c r="BU42" s="583"/>
      <c r="BV42" s="583"/>
      <c r="BW42" s="583"/>
      <c r="BX42" s="583"/>
      <c r="BY42" s="583"/>
      <c r="BZ42" s="583"/>
      <c r="CA42" s="583"/>
      <c r="CB42" s="583"/>
      <c r="CC42" s="583"/>
      <c r="CD42" s="583"/>
      <c r="CE42" s="583"/>
      <c r="CF42" s="583"/>
      <c r="CG42" s="583"/>
      <c r="CH42" s="583"/>
      <c r="CI42" s="583"/>
      <c r="CJ42" s="583"/>
      <c r="CK42" s="583"/>
      <c r="CL42" s="583"/>
      <c r="CM42" s="583"/>
      <c r="CN42" s="583"/>
      <c r="CO42" s="583"/>
    </row>
    <row r="43" spans="1:93">
      <c r="B43" s="35" t="s">
        <v>164</v>
      </c>
      <c r="C43" s="71" t="s">
        <v>156</v>
      </c>
      <c r="D43" s="35" t="s">
        <v>188</v>
      </c>
      <c r="E43" s="689"/>
      <c r="F43" s="72"/>
      <c r="G43" s="72" t="str">
        <f t="shared" si="21"/>
        <v>047MVH</v>
      </c>
      <c r="H43" s="408"/>
      <c r="I43" s="671" t="s">
        <v>606</v>
      </c>
      <c r="J43" s="671" t="s">
        <v>834</v>
      </c>
      <c r="K43" s="671" t="s">
        <v>132</v>
      </c>
      <c r="L43" s="319" t="s">
        <v>831</v>
      </c>
      <c r="M43" s="565">
        <f t="shared" si="13"/>
        <v>1</v>
      </c>
      <c r="N43" s="565">
        <f t="shared" si="13"/>
        <v>0</v>
      </c>
      <c r="O43" s="671"/>
      <c r="P43" s="576">
        <v>29.74</v>
      </c>
      <c r="Q43" s="312">
        <f t="shared" si="24"/>
        <v>29.74</v>
      </c>
      <c r="R43" s="671"/>
      <c r="S43" s="69">
        <f t="shared" si="25"/>
        <v>29.74</v>
      </c>
      <c r="T43" s="69">
        <f t="shared" si="25"/>
        <v>0</v>
      </c>
      <c r="U43" s="69"/>
      <c r="V43" s="565">
        <f t="shared" si="14"/>
        <v>1</v>
      </c>
      <c r="W43" s="565">
        <f t="shared" si="14"/>
        <v>0</v>
      </c>
      <c r="X43" s="671"/>
      <c r="Y43" s="69"/>
      <c r="Z43" s="671"/>
      <c r="AA43" s="565">
        <f t="shared" ref="AA43:AA46" si="32">M43</f>
        <v>1</v>
      </c>
      <c r="AB43" s="565">
        <f t="shared" ref="AB43:AB46" si="33">N43</f>
        <v>0</v>
      </c>
      <c r="AC43" s="671"/>
      <c r="AD43" s="901">
        <f t="shared" ref="AD43:AD46" si="34">ROUND(P43*(1+AD$1),2)</f>
        <v>30.73</v>
      </c>
      <c r="AE43" s="82">
        <f t="shared" ref="AE43:AE46" si="35">AD43</f>
        <v>30.73</v>
      </c>
      <c r="AF43" s="671"/>
      <c r="AG43" s="69">
        <f t="shared" ref="AG43:AG46" si="36">IF(AND(AA43&lt;&gt;0,AD43=0),#VALUE!,AA43*AD43)</f>
        <v>30.73</v>
      </c>
      <c r="AH43" s="69">
        <f t="shared" ref="AH43:AH46" si="37">IF(AND(AB43&lt;&gt;0,AE43=0),#VALUE!,AB43*AE43)</f>
        <v>0</v>
      </c>
      <c r="AI43" s="671"/>
      <c r="AJ43" s="671"/>
      <c r="AK43" s="671"/>
      <c r="AL43" s="671"/>
      <c r="AM43" s="671"/>
      <c r="AN43" s="671"/>
      <c r="AO43" s="671"/>
      <c r="AP43" s="671"/>
      <c r="AQ43" s="671"/>
      <c r="AR43" s="671"/>
      <c r="AS43" s="671"/>
      <c r="AT43" s="671"/>
      <c r="AU43" s="671"/>
      <c r="AV43" s="671"/>
      <c r="AW43" s="671"/>
      <c r="AX43" s="671"/>
      <c r="AY43" s="671"/>
      <c r="AZ43" s="671"/>
      <c r="BA43" s="671"/>
      <c r="BB43" s="671"/>
      <c r="BC43" s="663"/>
      <c r="BD43" s="663"/>
      <c r="BE43" s="663"/>
      <c r="BF43" s="663"/>
      <c r="BG43" s="663"/>
      <c r="BH43" s="663"/>
      <c r="BI43" s="663"/>
      <c r="BJ43" s="663"/>
      <c r="BK43" s="663"/>
      <c r="BL43" s="663"/>
      <c r="BM43" s="663"/>
      <c r="BN43" s="663"/>
      <c r="BO43" s="663"/>
      <c r="BP43" s="663"/>
      <c r="BQ43" s="583"/>
      <c r="BR43" s="583"/>
      <c r="BS43" s="583"/>
      <c r="BT43" s="583"/>
      <c r="BU43" s="583"/>
      <c r="BV43" s="583"/>
      <c r="BW43" s="583"/>
      <c r="BX43" s="583"/>
      <c r="BY43" s="583"/>
      <c r="BZ43" s="583"/>
      <c r="CA43" s="583"/>
      <c r="CB43" s="583"/>
      <c r="CC43" s="583"/>
      <c r="CD43" s="583"/>
      <c r="CE43" s="583"/>
      <c r="CF43" s="583"/>
      <c r="CG43" s="583"/>
      <c r="CH43" s="583"/>
      <c r="CI43" s="583"/>
      <c r="CJ43" s="583"/>
      <c r="CK43" s="583"/>
      <c r="CL43" s="583"/>
      <c r="CM43" s="583"/>
      <c r="CN43" s="583"/>
      <c r="CO43" s="583"/>
    </row>
    <row r="44" spans="1:93">
      <c r="A44" s="656"/>
      <c r="B44" s="35" t="s">
        <v>164</v>
      </c>
      <c r="C44" s="71" t="s">
        <v>156</v>
      </c>
      <c r="D44" s="35" t="s">
        <v>189</v>
      </c>
      <c r="E44" s="548">
        <v>1</v>
      </c>
      <c r="F44" s="72"/>
      <c r="G44" s="72" t="str">
        <f t="shared" si="21"/>
        <v>047MVI</v>
      </c>
      <c r="H44" s="408"/>
      <c r="I44" s="671" t="s">
        <v>606</v>
      </c>
      <c r="J44" s="671" t="s">
        <v>835</v>
      </c>
      <c r="K44" s="671" t="s">
        <v>132</v>
      </c>
      <c r="L44" s="319" t="s">
        <v>832</v>
      </c>
      <c r="M44" s="565">
        <f t="shared" ref="M44:N52" si="38">SUMIF($G:$G,TEXT(M$3,"000")&amp;TEXT($L44,"000"),$E:$E)</f>
        <v>2</v>
      </c>
      <c r="N44" s="565">
        <f t="shared" si="38"/>
        <v>3</v>
      </c>
      <c r="O44" s="671"/>
      <c r="P44" s="576">
        <v>27.03</v>
      </c>
      <c r="Q44" s="312">
        <f t="shared" si="24"/>
        <v>27.03</v>
      </c>
      <c r="R44" s="671"/>
      <c r="S44" s="69">
        <f t="shared" ref="S44:S46" si="39">IF(AND(M44&lt;&gt;0,P44=0),#VALUE!,M44*P44)</f>
        <v>54.06</v>
      </c>
      <c r="T44" s="69">
        <f t="shared" ref="T44:T46" si="40">IF(AND(N44&lt;&gt;0,Q44=0),#VALUE!,N44*Q44)</f>
        <v>81.09</v>
      </c>
      <c r="U44" s="69"/>
      <c r="V44" s="565">
        <f t="shared" ref="V44:W52" si="41">SUMIF($G:$G,TEXT(V$3,"000")&amp;TEXT($L44,"000"),$E:$E)</f>
        <v>2</v>
      </c>
      <c r="W44" s="565">
        <f t="shared" si="41"/>
        <v>3</v>
      </c>
      <c r="X44" s="671"/>
      <c r="Y44" s="69"/>
      <c r="Z44" s="671"/>
      <c r="AA44" s="565">
        <f t="shared" si="32"/>
        <v>2</v>
      </c>
      <c r="AB44" s="565">
        <f t="shared" si="33"/>
        <v>3</v>
      </c>
      <c r="AC44" s="671"/>
      <c r="AD44" s="901">
        <f t="shared" si="34"/>
        <v>27.93</v>
      </c>
      <c r="AE44" s="82">
        <f t="shared" si="35"/>
        <v>27.93</v>
      </c>
      <c r="AF44" s="671"/>
      <c r="AG44" s="69">
        <f t="shared" si="36"/>
        <v>55.86</v>
      </c>
      <c r="AH44" s="69">
        <f t="shared" si="37"/>
        <v>83.789999999999992</v>
      </c>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63"/>
      <c r="BJ44" s="663"/>
      <c r="BK44" s="663"/>
      <c r="BL44" s="663"/>
      <c r="BM44" s="663"/>
      <c r="BN44" s="663"/>
      <c r="BO44" s="663"/>
      <c r="BP44" s="663"/>
      <c r="BQ44" s="583"/>
      <c r="BR44" s="583"/>
      <c r="BS44" s="583"/>
      <c r="BT44" s="583"/>
      <c r="BU44" s="583"/>
      <c r="BV44" s="583"/>
      <c r="BW44" s="583"/>
      <c r="BX44" s="583"/>
      <c r="BY44" s="583"/>
      <c r="BZ44" s="583"/>
      <c r="CA44" s="583"/>
      <c r="CB44" s="583"/>
      <c r="CC44" s="583"/>
      <c r="CD44" s="583"/>
      <c r="CE44" s="583"/>
      <c r="CF44" s="583"/>
      <c r="CG44" s="583"/>
      <c r="CH44" s="583"/>
      <c r="CI44" s="583"/>
      <c r="CJ44" s="583"/>
      <c r="CK44" s="583"/>
      <c r="CL44" s="583"/>
      <c r="CM44" s="583"/>
      <c r="CN44" s="583"/>
      <c r="CO44" s="583"/>
    </row>
    <row r="45" spans="1:93">
      <c r="B45" s="35" t="s">
        <v>164</v>
      </c>
      <c r="C45" s="71" t="s">
        <v>156</v>
      </c>
      <c r="D45" s="35" t="s">
        <v>192</v>
      </c>
      <c r="E45" s="548">
        <v>2</v>
      </c>
      <c r="F45" s="72"/>
      <c r="G45" s="72" t="str">
        <f t="shared" si="21"/>
        <v>047MVJ</v>
      </c>
      <c r="H45" s="409"/>
      <c r="I45" s="733" t="s">
        <v>606</v>
      </c>
      <c r="J45" s="422" t="s">
        <v>909</v>
      </c>
      <c r="K45" s="422" t="s">
        <v>626</v>
      </c>
      <c r="L45" s="319" t="s">
        <v>906</v>
      </c>
      <c r="M45" s="565">
        <f t="shared" si="38"/>
        <v>19</v>
      </c>
      <c r="N45" s="565">
        <f t="shared" si="38"/>
        <v>0</v>
      </c>
      <c r="O45" s="733"/>
      <c r="P45" s="576">
        <v>18.559999999999999</v>
      </c>
      <c r="Q45" s="312">
        <f t="shared" ref="Q45" si="42">P45</f>
        <v>18.559999999999999</v>
      </c>
      <c r="R45" s="733"/>
      <c r="S45" s="69">
        <f t="shared" ref="S45" si="43">IF(AND(M45&lt;&gt;0,P45=0),#VALUE!,M45*P45)</f>
        <v>352.64</v>
      </c>
      <c r="T45" s="69">
        <f t="shared" ref="T45" si="44">IF(AND(N45&lt;&gt;0,Q45=0),#VALUE!,N45*Q45)</f>
        <v>0</v>
      </c>
      <c r="U45" s="69"/>
      <c r="V45" s="565">
        <f t="shared" si="41"/>
        <v>19</v>
      </c>
      <c r="W45" s="565">
        <f t="shared" si="41"/>
        <v>0</v>
      </c>
      <c r="X45" s="733"/>
      <c r="Y45" s="69"/>
      <c r="Z45" s="733"/>
      <c r="AA45" s="565">
        <f t="shared" ref="AA45" si="45">M45</f>
        <v>19</v>
      </c>
      <c r="AB45" s="565">
        <f t="shared" ref="AB45" si="46">N45</f>
        <v>0</v>
      </c>
      <c r="AC45" s="733"/>
      <c r="AD45" s="901">
        <f t="shared" ref="AD45" si="47">ROUND(P45*(1+AD$1),2)</f>
        <v>19.18</v>
      </c>
      <c r="AE45" s="570">
        <f t="shared" ref="AE45" si="48">AD45</f>
        <v>19.18</v>
      </c>
      <c r="AF45" s="733"/>
      <c r="AG45" s="69">
        <f t="shared" ref="AG45" si="49">IF(AND(AA45&lt;&gt;0,AD45=0),#VALUE!,AA45*AD45)</f>
        <v>364.42</v>
      </c>
      <c r="AH45" s="69">
        <f t="shared" ref="AH45" si="50">IF(AND(AB45&lt;&gt;0,AE45=0),#VALUE!,AB45*AE45)</f>
        <v>0</v>
      </c>
      <c r="AI45" s="733"/>
      <c r="AJ45" s="733"/>
      <c r="AK45" s="733"/>
      <c r="AL45" s="733"/>
      <c r="AM45" s="733"/>
      <c r="AN45" s="733"/>
      <c r="AO45" s="733"/>
      <c r="AP45" s="733"/>
      <c r="AQ45" s="733"/>
      <c r="AR45" s="733"/>
      <c r="AS45" s="733"/>
      <c r="AT45" s="733"/>
      <c r="AU45" s="733"/>
      <c r="AV45" s="733"/>
      <c r="AW45" s="733"/>
      <c r="AX45" s="733"/>
      <c r="AY45" s="733"/>
      <c r="AZ45" s="733"/>
      <c r="BA45" s="733"/>
      <c r="BB45" s="733"/>
      <c r="BC45" s="671"/>
      <c r="BD45" s="671"/>
      <c r="BE45" s="671"/>
      <c r="BF45" s="671"/>
      <c r="BG45" s="671"/>
      <c r="BH45" s="671"/>
      <c r="BI45" s="671"/>
      <c r="BJ45" s="671"/>
      <c r="BK45" s="671"/>
      <c r="BL45" s="671"/>
      <c r="BM45" s="671"/>
      <c r="BN45" s="671"/>
      <c r="BO45" s="671"/>
      <c r="BP45" s="671"/>
      <c r="BQ45" s="663"/>
      <c r="BR45" s="663"/>
      <c r="BS45" s="663"/>
      <c r="BT45" s="663"/>
      <c r="BU45" s="583"/>
      <c r="BV45" s="583"/>
      <c r="BW45" s="583"/>
      <c r="BX45" s="583"/>
      <c r="BY45" s="583"/>
      <c r="BZ45" s="583"/>
      <c r="CA45" s="583"/>
      <c r="CB45" s="583"/>
      <c r="CC45" s="583"/>
      <c r="CD45" s="583"/>
      <c r="CE45" s="583"/>
      <c r="CF45" s="583"/>
      <c r="CG45" s="583"/>
      <c r="CH45" s="583"/>
      <c r="CI45" s="583"/>
      <c r="CJ45" s="583"/>
      <c r="CK45" s="583"/>
      <c r="CL45" s="583"/>
      <c r="CM45" s="583"/>
      <c r="CN45" s="583"/>
      <c r="CO45" s="583"/>
    </row>
    <row r="46" spans="1:93">
      <c r="A46" s="656"/>
      <c r="B46" s="35" t="s">
        <v>164</v>
      </c>
      <c r="C46" s="71" t="s">
        <v>156</v>
      </c>
      <c r="D46" s="35" t="s">
        <v>193</v>
      </c>
      <c r="E46" s="548"/>
      <c r="F46" s="72"/>
      <c r="G46" s="72" t="str">
        <f t="shared" si="21"/>
        <v>047MVK</v>
      </c>
      <c r="H46" s="408"/>
      <c r="I46" s="671" t="s">
        <v>606</v>
      </c>
      <c r="J46" s="671" t="s">
        <v>836</v>
      </c>
      <c r="K46" s="671" t="s">
        <v>603</v>
      </c>
      <c r="L46" s="319" t="s">
        <v>833</v>
      </c>
      <c r="M46" s="565">
        <f t="shared" si="38"/>
        <v>0</v>
      </c>
      <c r="N46" s="565">
        <f t="shared" si="38"/>
        <v>0</v>
      </c>
      <c r="O46" s="671"/>
      <c r="P46" s="576">
        <v>29.78</v>
      </c>
      <c r="Q46" s="312">
        <f t="shared" si="24"/>
        <v>29.78</v>
      </c>
      <c r="R46" s="671"/>
      <c r="S46" s="69">
        <f t="shared" si="39"/>
        <v>0</v>
      </c>
      <c r="T46" s="69">
        <f t="shared" si="40"/>
        <v>0</v>
      </c>
      <c r="U46" s="69"/>
      <c r="V46" s="565">
        <f t="shared" si="41"/>
        <v>0</v>
      </c>
      <c r="W46" s="565">
        <f t="shared" si="41"/>
        <v>0</v>
      </c>
      <c r="X46" s="671"/>
      <c r="Y46" s="69"/>
      <c r="Z46" s="671"/>
      <c r="AA46" s="565">
        <f t="shared" si="32"/>
        <v>0</v>
      </c>
      <c r="AB46" s="565">
        <f t="shared" si="33"/>
        <v>0</v>
      </c>
      <c r="AC46" s="671"/>
      <c r="AD46" s="901">
        <f t="shared" si="34"/>
        <v>30.77</v>
      </c>
      <c r="AE46" s="82">
        <f t="shared" si="35"/>
        <v>30.77</v>
      </c>
      <c r="AF46" s="671"/>
      <c r="AG46" s="69">
        <f t="shared" si="36"/>
        <v>0</v>
      </c>
      <c r="AH46" s="69">
        <f t="shared" si="37"/>
        <v>0</v>
      </c>
      <c r="AI46" s="671"/>
      <c r="AJ46" s="671"/>
      <c r="AK46" s="671"/>
      <c r="AL46" s="671"/>
      <c r="AM46" s="671"/>
      <c r="AN46" s="671"/>
      <c r="AO46" s="671"/>
      <c r="AP46" s="671"/>
      <c r="AQ46" s="671"/>
      <c r="AR46" s="671"/>
      <c r="AS46" s="671"/>
      <c r="AT46" s="671"/>
      <c r="AU46" s="671"/>
      <c r="AV46" s="671"/>
      <c r="AW46" s="671"/>
      <c r="AX46" s="671"/>
      <c r="AY46" s="671"/>
      <c r="AZ46" s="671"/>
      <c r="BA46" s="671"/>
      <c r="BB46" s="671"/>
      <c r="BC46" s="733"/>
      <c r="BD46" s="733"/>
      <c r="BE46" s="733"/>
      <c r="BF46" s="733"/>
      <c r="BG46" s="733"/>
      <c r="BH46" s="671"/>
      <c r="BI46" s="671"/>
      <c r="BJ46" s="671"/>
      <c r="BK46" s="671"/>
      <c r="BL46" s="671"/>
      <c r="BM46" s="671"/>
      <c r="BN46" s="671"/>
      <c r="BO46" s="671"/>
      <c r="BP46" s="671"/>
      <c r="BQ46" s="663"/>
      <c r="BR46" s="663"/>
      <c r="BS46" s="663"/>
      <c r="BT46" s="663"/>
      <c r="BU46" s="663"/>
      <c r="BV46" s="663"/>
      <c r="BW46" s="663"/>
      <c r="BX46" s="663"/>
      <c r="BY46" s="583"/>
      <c r="BZ46" s="583"/>
      <c r="CA46" s="583"/>
      <c r="CB46" s="583"/>
      <c r="CC46" s="583"/>
      <c r="CD46" s="583"/>
      <c r="CE46" s="583"/>
      <c r="CF46" s="583"/>
      <c r="CG46" s="583"/>
      <c r="CH46" s="583"/>
      <c r="CI46" s="583"/>
      <c r="CJ46" s="583"/>
      <c r="CK46" s="583"/>
      <c r="CL46" s="583"/>
      <c r="CM46" s="583"/>
      <c r="CN46" s="583"/>
      <c r="CO46" s="583"/>
    </row>
    <row r="47" spans="1:93">
      <c r="B47" s="35" t="s">
        <v>164</v>
      </c>
      <c r="C47" s="71" t="s">
        <v>156</v>
      </c>
      <c r="D47" s="35" t="s">
        <v>194</v>
      </c>
      <c r="E47" s="548">
        <v>2</v>
      </c>
      <c r="F47" s="72"/>
      <c r="G47" s="72" t="str">
        <f t="shared" si="21"/>
        <v>047MVL</v>
      </c>
      <c r="H47" s="408"/>
      <c r="I47" s="663" t="s">
        <v>606</v>
      </c>
      <c r="J47" s="663" t="s">
        <v>801</v>
      </c>
      <c r="K47" s="663" t="s">
        <v>132</v>
      </c>
      <c r="L47" s="319" t="s">
        <v>797</v>
      </c>
      <c r="M47" s="565">
        <f t="shared" si="38"/>
        <v>1</v>
      </c>
      <c r="N47" s="565">
        <f t="shared" si="38"/>
        <v>0</v>
      </c>
      <c r="O47" s="663"/>
      <c r="P47" s="576">
        <v>29.05</v>
      </c>
      <c r="Q47" s="312">
        <f t="shared" si="24"/>
        <v>29.05</v>
      </c>
      <c r="R47" s="663"/>
      <c r="S47" s="69">
        <f t="shared" si="25"/>
        <v>29.05</v>
      </c>
      <c r="T47" s="69">
        <f t="shared" si="25"/>
        <v>0</v>
      </c>
      <c r="U47" s="69"/>
      <c r="V47" s="565">
        <f t="shared" si="41"/>
        <v>1</v>
      </c>
      <c r="W47" s="565">
        <f t="shared" si="41"/>
        <v>0</v>
      </c>
      <c r="X47" s="663"/>
      <c r="Y47" s="69"/>
      <c r="Z47" s="663"/>
      <c r="AA47" s="565">
        <f t="shared" si="26"/>
        <v>1</v>
      </c>
      <c r="AB47" s="565">
        <f t="shared" si="26"/>
        <v>0</v>
      </c>
      <c r="AC47" s="663"/>
      <c r="AD47" s="901">
        <f t="shared" si="30"/>
        <v>30.02</v>
      </c>
      <c r="AE47" s="82">
        <f t="shared" si="31"/>
        <v>30.02</v>
      </c>
      <c r="AF47" s="663"/>
      <c r="AG47" s="69">
        <f>IF(AND(AA47&lt;&gt;0,AD47=0),#VALUE!,AA47*AD47)</f>
        <v>30.02</v>
      </c>
      <c r="AH47" s="69">
        <f t="shared" si="29"/>
        <v>0</v>
      </c>
      <c r="AI47" s="663"/>
      <c r="AJ47" s="663"/>
      <c r="AK47" s="663"/>
      <c r="AL47" s="663"/>
      <c r="AM47" s="663"/>
      <c r="AN47" s="663"/>
      <c r="AO47" s="663"/>
      <c r="AP47" s="663"/>
      <c r="AQ47" s="663"/>
      <c r="AR47" s="663"/>
      <c r="AS47" s="663"/>
      <c r="AT47" s="663"/>
      <c r="AU47" s="663"/>
      <c r="AV47" s="663"/>
      <c r="AW47" s="663"/>
      <c r="AX47" s="663"/>
      <c r="AY47" s="663"/>
      <c r="AZ47" s="663"/>
      <c r="BA47" s="663"/>
      <c r="BB47" s="663"/>
      <c r="BC47" s="671"/>
      <c r="BD47" s="671"/>
      <c r="BE47" s="671"/>
      <c r="BF47" s="671"/>
      <c r="BG47" s="671"/>
      <c r="BH47" s="663"/>
      <c r="BI47" s="671"/>
      <c r="BJ47" s="671"/>
      <c r="BK47" s="671"/>
      <c r="BL47" s="671"/>
      <c r="BM47" s="671"/>
      <c r="BN47" s="671"/>
      <c r="BO47" s="671"/>
      <c r="BP47" s="671"/>
      <c r="BQ47" s="663"/>
      <c r="BR47" s="663"/>
      <c r="BS47" s="663"/>
      <c r="BT47" s="663"/>
      <c r="BU47" s="663"/>
      <c r="BV47" s="663"/>
      <c r="BW47" s="663"/>
      <c r="BX47" s="663"/>
      <c r="BY47" s="663"/>
      <c r="BZ47" s="663"/>
      <c r="CA47" s="663"/>
      <c r="CB47" s="663"/>
      <c r="CC47" s="663"/>
      <c r="CD47" s="663"/>
      <c r="CE47" s="663"/>
      <c r="CF47" s="663"/>
      <c r="CG47" s="663"/>
      <c r="CH47" s="663"/>
      <c r="CI47" s="663"/>
      <c r="CJ47" s="663"/>
      <c r="CK47" s="663"/>
      <c r="CN47" s="583"/>
      <c r="CO47" s="583"/>
    </row>
    <row r="48" spans="1:93">
      <c r="B48" s="35" t="s">
        <v>164</v>
      </c>
      <c r="C48" s="71" t="s">
        <v>156</v>
      </c>
      <c r="D48" s="35" t="s">
        <v>196</v>
      </c>
      <c r="E48" s="543"/>
      <c r="F48" s="72"/>
      <c r="G48" s="72" t="str">
        <f t="shared" si="21"/>
        <v>047MVO</v>
      </c>
      <c r="H48" s="408"/>
      <c r="I48" s="733" t="s">
        <v>606</v>
      </c>
      <c r="J48" s="422" t="s">
        <v>908</v>
      </c>
      <c r="K48" s="422" t="s">
        <v>603</v>
      </c>
      <c r="L48" s="319" t="s">
        <v>907</v>
      </c>
      <c r="M48" s="565">
        <f t="shared" si="38"/>
        <v>46</v>
      </c>
      <c r="N48" s="565">
        <f t="shared" si="38"/>
        <v>0</v>
      </c>
      <c r="O48" s="733"/>
      <c r="P48" s="606">
        <f>P34</f>
        <v>27.86</v>
      </c>
      <c r="Q48" s="312">
        <f t="shared" ref="Q48" si="51">P48</f>
        <v>27.86</v>
      </c>
      <c r="R48" s="733"/>
      <c r="S48" s="69">
        <f t="shared" ref="S48" si="52">IF(AND(M48&lt;&gt;0,P48=0),#VALUE!,M48*P48)</f>
        <v>1281.56</v>
      </c>
      <c r="T48" s="69">
        <f t="shared" ref="T48" si="53">IF(AND(N48&lt;&gt;0,Q48=0),#VALUE!,N48*Q48)</f>
        <v>0</v>
      </c>
      <c r="U48" s="69"/>
      <c r="V48" s="565">
        <f t="shared" si="41"/>
        <v>46</v>
      </c>
      <c r="W48" s="565">
        <f t="shared" si="41"/>
        <v>0</v>
      </c>
      <c r="X48" s="733"/>
      <c r="Y48" s="69"/>
      <c r="Z48" s="733"/>
      <c r="AA48" s="565">
        <f t="shared" ref="AA48" si="54">M48</f>
        <v>46</v>
      </c>
      <c r="AB48" s="565">
        <f t="shared" ref="AB48" si="55">N48</f>
        <v>0</v>
      </c>
      <c r="AC48" s="733"/>
      <c r="AD48" s="570">
        <f t="shared" ref="AD48" si="56">ROUND(P48*(1+AD$1),2)</f>
        <v>28.79</v>
      </c>
      <c r="AE48" s="570">
        <f t="shared" ref="AE48" si="57">AD48</f>
        <v>28.79</v>
      </c>
      <c r="AF48" s="733"/>
      <c r="AG48" s="69">
        <f>IF(AND(AA48&lt;&gt;0,AD48=0),#VALUE!,AA48*AD48)</f>
        <v>1324.34</v>
      </c>
      <c r="AH48" s="69">
        <f t="shared" ref="AH48" si="58">IF(AND(AB48&lt;&gt;0,AE48=0),#VALUE!,AB48*AE48)</f>
        <v>0</v>
      </c>
      <c r="AI48" s="733"/>
      <c r="AJ48" s="733"/>
      <c r="AK48" s="733"/>
      <c r="AL48" s="733"/>
      <c r="AM48" s="733"/>
      <c r="AN48" s="733"/>
      <c r="AO48" s="733"/>
      <c r="AP48" s="733"/>
      <c r="AQ48" s="733"/>
      <c r="AR48" s="733"/>
      <c r="AS48" s="733"/>
      <c r="AT48" s="733"/>
      <c r="AU48" s="733"/>
      <c r="AV48" s="733"/>
      <c r="AW48" s="733"/>
      <c r="AX48" s="733"/>
      <c r="AY48" s="733"/>
      <c r="AZ48" s="733"/>
      <c r="BA48" s="733"/>
      <c r="BB48" s="733"/>
      <c r="BC48" s="663"/>
      <c r="BD48" s="663"/>
      <c r="BE48" s="663"/>
      <c r="BF48" s="663"/>
      <c r="BG48" s="663"/>
      <c r="BH48" s="733"/>
      <c r="BI48" s="663"/>
      <c r="BJ48" s="663"/>
      <c r="BK48" s="663"/>
      <c r="BL48" s="663"/>
      <c r="BM48" s="663"/>
      <c r="BN48" s="663"/>
      <c r="BO48" s="663"/>
      <c r="BP48" s="663"/>
      <c r="BQ48" s="671"/>
      <c r="BR48" s="671"/>
      <c r="BS48" s="671"/>
      <c r="BT48" s="671"/>
      <c r="BU48" s="663"/>
      <c r="BV48" s="663"/>
      <c r="BW48" s="663"/>
      <c r="BX48" s="663"/>
      <c r="BY48" s="663"/>
      <c r="BZ48" s="663"/>
      <c r="CA48" s="663"/>
      <c r="CB48" s="663"/>
      <c r="CC48" s="663"/>
      <c r="CD48" s="663"/>
      <c r="CE48" s="663"/>
      <c r="CF48" s="663"/>
      <c r="CG48" s="663"/>
      <c r="CH48" s="663"/>
      <c r="CI48" s="663"/>
      <c r="CJ48" s="663"/>
      <c r="CK48" s="663"/>
      <c r="CN48" s="583"/>
      <c r="CO48" s="583"/>
    </row>
    <row r="49" spans="1:89">
      <c r="A49" s="656"/>
      <c r="B49" s="35" t="s">
        <v>164</v>
      </c>
      <c r="C49" s="71" t="s">
        <v>156</v>
      </c>
      <c r="D49" s="35" t="s">
        <v>197</v>
      </c>
      <c r="E49" s="548">
        <v>53</v>
      </c>
      <c r="F49" s="74"/>
      <c r="G49" s="72" t="str">
        <f t="shared" si="21"/>
        <v>047PA</v>
      </c>
      <c r="H49" s="408"/>
      <c r="I49" s="620" t="s">
        <v>606</v>
      </c>
      <c r="J49" s="620" t="str">
        <f>J11</f>
        <v>35' wood pole</v>
      </c>
      <c r="K49" s="620" t="s">
        <v>626</v>
      </c>
      <c r="L49" s="566" t="s">
        <v>633</v>
      </c>
      <c r="M49" s="565">
        <f t="shared" si="38"/>
        <v>90</v>
      </c>
      <c r="N49" s="565">
        <f t="shared" si="38"/>
        <v>0</v>
      </c>
      <c r="O49" s="620"/>
      <c r="P49" s="606">
        <f>P11</f>
        <v>35.6</v>
      </c>
      <c r="Q49" s="312"/>
      <c r="R49" s="620"/>
      <c r="S49" s="69">
        <f t="shared" si="25"/>
        <v>3204</v>
      </c>
      <c r="T49" s="69">
        <f t="shared" si="25"/>
        <v>0</v>
      </c>
      <c r="U49" s="69"/>
      <c r="V49" s="565">
        <f t="shared" si="41"/>
        <v>90</v>
      </c>
      <c r="W49" s="565">
        <f t="shared" si="41"/>
        <v>0</v>
      </c>
      <c r="X49" s="620"/>
      <c r="Y49" s="69"/>
      <c r="Z49" s="620"/>
      <c r="AA49" s="565">
        <f t="shared" si="26"/>
        <v>90</v>
      </c>
      <c r="AB49" s="565">
        <f t="shared" si="18"/>
        <v>0</v>
      </c>
      <c r="AC49" s="620"/>
      <c r="AD49" s="901">
        <f>AD11</f>
        <v>36.79</v>
      </c>
      <c r="AE49" s="570">
        <f>AE11</f>
        <v>36.79</v>
      </c>
      <c r="AF49" s="620"/>
      <c r="AG49" s="69">
        <f>IF(AND(AA49&lt;&gt;0,AD49=0),#VALUE!,AA49*AD49)</f>
        <v>3311.1</v>
      </c>
      <c r="AH49" s="69">
        <f t="shared" si="29"/>
        <v>0</v>
      </c>
      <c r="AI49" s="620"/>
      <c r="AJ49" s="620"/>
      <c r="AK49" s="620"/>
      <c r="AL49" s="620"/>
      <c r="AM49" s="620"/>
      <c r="AN49" s="620"/>
      <c r="BC49" s="733"/>
      <c r="BD49" s="733"/>
      <c r="BE49" s="733"/>
      <c r="BF49" s="733"/>
      <c r="BG49" s="733"/>
      <c r="BI49" s="733"/>
      <c r="BJ49" s="733"/>
      <c r="BK49" s="733"/>
      <c r="BL49" s="733"/>
      <c r="BM49" s="733"/>
      <c r="BN49" s="733"/>
      <c r="BO49" s="733"/>
      <c r="BP49" s="733"/>
      <c r="BQ49" s="671"/>
      <c r="BR49" s="671"/>
      <c r="BS49" s="671"/>
      <c r="BT49" s="671"/>
      <c r="BU49" s="671"/>
      <c r="BV49" s="671"/>
      <c r="BW49" s="671"/>
      <c r="BX49" s="671"/>
      <c r="BY49" s="663"/>
      <c r="BZ49" s="663"/>
      <c r="CA49" s="663"/>
      <c r="CB49" s="663"/>
      <c r="CC49" s="663"/>
      <c r="CD49" s="663"/>
      <c r="CE49" s="663"/>
      <c r="CF49" s="663"/>
      <c r="CG49" s="663"/>
      <c r="CH49" s="663"/>
      <c r="CI49" s="663"/>
      <c r="CJ49" s="663"/>
      <c r="CK49" s="663"/>
    </row>
    <row r="50" spans="1:89">
      <c r="E50" s="73">
        <f>SUM(E7:E49)</f>
        <v>5432</v>
      </c>
      <c r="F50" s="72"/>
      <c r="G50" s="72" t="str">
        <f>IF(OR(ISBLANK(C51),ISBLANK(D51)),"",TEXT(C51,"000")&amp;TEXT(D51,"000"))</f>
        <v/>
      </c>
      <c r="H50" s="408"/>
      <c r="I50" s="583"/>
      <c r="L50" s="96" t="s">
        <v>205</v>
      </c>
      <c r="M50" s="68">
        <f t="shared" si="38"/>
        <v>0</v>
      </c>
      <c r="N50" s="81">
        <f t="shared" si="38"/>
        <v>0</v>
      </c>
      <c r="P50" s="97"/>
      <c r="Q50" s="139">
        <v>9.9999999999999995E-8</v>
      </c>
      <c r="S50" s="69">
        <f t="shared" si="8"/>
        <v>0</v>
      </c>
      <c r="T50" s="69">
        <f t="shared" si="2"/>
        <v>0</v>
      </c>
      <c r="U50" s="69"/>
      <c r="V50" s="68">
        <f t="shared" si="41"/>
        <v>0</v>
      </c>
      <c r="W50" s="81">
        <f t="shared" si="41"/>
        <v>0</v>
      </c>
      <c r="Y50" s="69"/>
      <c r="AA50" s="68">
        <f t="shared" si="4"/>
        <v>0</v>
      </c>
      <c r="AB50" s="68">
        <f t="shared" si="4"/>
        <v>0</v>
      </c>
      <c r="AD50" s="230">
        <f>ROUND(P50*(1+$Z$1),2)</f>
        <v>0</v>
      </c>
      <c r="AE50" s="140">
        <v>9.9999999999999995E-7</v>
      </c>
      <c r="AG50" s="69">
        <f t="shared" si="6"/>
        <v>0</v>
      </c>
      <c r="AH50" s="69">
        <f t="shared" si="7"/>
        <v>0</v>
      </c>
      <c r="BQ50" s="671"/>
      <c r="BR50" s="671"/>
      <c r="BS50" s="671"/>
      <c r="BT50" s="671"/>
      <c r="BU50" s="671"/>
      <c r="BV50" s="671"/>
      <c r="BW50" s="671"/>
      <c r="BX50" s="671"/>
      <c r="BY50" s="671"/>
      <c r="BZ50" s="671"/>
      <c r="CA50" s="671"/>
      <c r="CB50" s="671"/>
      <c r="CC50" s="671"/>
      <c r="CD50" s="671"/>
      <c r="CE50" s="671"/>
      <c r="CF50" s="671"/>
      <c r="CG50" s="671"/>
      <c r="CH50" s="671"/>
      <c r="CI50" s="671"/>
      <c r="CJ50" s="671"/>
      <c r="CK50" s="671"/>
    </row>
    <row r="51" spans="1:89">
      <c r="A51" s="656"/>
      <c r="E51" s="72"/>
      <c r="F51" s="72"/>
      <c r="G51" s="72"/>
      <c r="H51" s="408"/>
      <c r="I51" s="583"/>
      <c r="L51" s="96" t="s">
        <v>206</v>
      </c>
      <c r="M51" s="68">
        <f t="shared" si="38"/>
        <v>0</v>
      </c>
      <c r="N51" s="81">
        <f t="shared" si="38"/>
        <v>166</v>
      </c>
      <c r="P51" s="97"/>
      <c r="Q51" s="139">
        <v>9.9999999999999995E-7</v>
      </c>
      <c r="S51" s="69">
        <f t="shared" si="8"/>
        <v>0</v>
      </c>
      <c r="T51" s="69">
        <f t="shared" si="2"/>
        <v>1.66E-4</v>
      </c>
      <c r="U51" s="69"/>
      <c r="V51" s="68">
        <f t="shared" si="41"/>
        <v>0</v>
      </c>
      <c r="W51" s="81">
        <f t="shared" si="41"/>
        <v>166</v>
      </c>
      <c r="Y51" s="69"/>
      <c r="AA51" s="68">
        <f t="shared" si="4"/>
        <v>0</v>
      </c>
      <c r="AB51" s="68">
        <f t="shared" si="4"/>
        <v>166</v>
      </c>
      <c r="AD51" s="230">
        <f>ROUND(P51*(1+$Z$1),2)</f>
        <v>0</v>
      </c>
      <c r="AE51" s="140">
        <v>9.9999999999999995E-7</v>
      </c>
      <c r="AG51" s="69">
        <f t="shared" si="6"/>
        <v>0</v>
      </c>
      <c r="AH51" s="69">
        <f t="shared" si="7"/>
        <v>1.66E-4</v>
      </c>
      <c r="BQ51" s="663"/>
      <c r="BR51" s="663"/>
      <c r="BS51" s="663"/>
      <c r="BT51" s="663"/>
      <c r="BU51" s="671"/>
      <c r="BV51" s="671"/>
      <c r="BW51" s="671"/>
      <c r="BX51" s="671"/>
      <c r="BY51" s="671"/>
      <c r="BZ51" s="671"/>
      <c r="CA51" s="671"/>
      <c r="CB51" s="671"/>
      <c r="CC51" s="671"/>
      <c r="CD51" s="671"/>
      <c r="CE51" s="671"/>
      <c r="CF51" s="671"/>
      <c r="CG51" s="671"/>
      <c r="CH51" s="671"/>
      <c r="CI51" s="671"/>
      <c r="CJ51" s="671"/>
      <c r="CK51" s="671"/>
    </row>
    <row r="52" spans="1:89">
      <c r="B52" s="35" t="s">
        <v>164</v>
      </c>
      <c r="C52" s="71" t="s">
        <v>157</v>
      </c>
      <c r="D52" s="35" t="s">
        <v>161</v>
      </c>
      <c r="E52" s="549">
        <v>3</v>
      </c>
      <c r="F52" s="72"/>
      <c r="G52" s="72" t="str">
        <f t="shared" ref="G52:G74" si="59">IF(OR(ISBLANK(C52),ISBLANK(D52)),"",TEXT(C52,"000")&amp;TEXT(D52,"000"))</f>
        <v>048HAH</v>
      </c>
      <c r="H52" s="408"/>
      <c r="L52" s="96" t="s">
        <v>207</v>
      </c>
      <c r="M52" s="68">
        <f t="shared" si="38"/>
        <v>0</v>
      </c>
      <c r="N52" s="81">
        <f t="shared" si="38"/>
        <v>0</v>
      </c>
      <c r="P52" s="97"/>
      <c r="Q52" s="139">
        <v>9.9999999999999995E-7</v>
      </c>
      <c r="S52" s="69">
        <f t="shared" si="8"/>
        <v>0</v>
      </c>
      <c r="T52" s="69">
        <f t="shared" si="2"/>
        <v>0</v>
      </c>
      <c r="U52" s="69"/>
      <c r="V52" s="68">
        <f t="shared" si="41"/>
        <v>0</v>
      </c>
      <c r="W52" s="81">
        <f t="shared" si="41"/>
        <v>0</v>
      </c>
      <c r="Y52" s="69"/>
      <c r="AA52" s="68">
        <f t="shared" si="4"/>
        <v>0</v>
      </c>
      <c r="AB52" s="68">
        <f t="shared" si="4"/>
        <v>0</v>
      </c>
      <c r="AD52" s="230">
        <f>ROUND(P52*(1+$Z$1),2)</f>
        <v>0</v>
      </c>
      <c r="AE52" s="140">
        <v>9.9999999999999995E-7</v>
      </c>
      <c r="AG52" s="69">
        <f t="shared" si="6"/>
        <v>0</v>
      </c>
      <c r="AH52" s="69">
        <f t="shared" si="7"/>
        <v>0</v>
      </c>
      <c r="BU52" s="663"/>
      <c r="BV52" s="663"/>
      <c r="BW52" s="663"/>
      <c r="BX52" s="663"/>
      <c r="BY52" s="671"/>
      <c r="BZ52" s="671"/>
      <c r="CA52" s="671"/>
      <c r="CB52" s="671"/>
      <c r="CC52" s="671"/>
      <c r="CD52" s="671"/>
      <c r="CE52" s="671"/>
      <c r="CF52" s="671"/>
      <c r="CG52" s="671"/>
      <c r="CH52" s="671"/>
      <c r="CI52" s="671"/>
      <c r="CJ52" s="671"/>
      <c r="CK52" s="671"/>
    </row>
    <row r="53" spans="1:89">
      <c r="A53" s="656"/>
      <c r="B53" s="35" t="s">
        <v>164</v>
      </c>
      <c r="C53" s="71" t="s">
        <v>157</v>
      </c>
      <c r="D53" s="35" t="s">
        <v>163</v>
      </c>
      <c r="E53" s="549">
        <v>2</v>
      </c>
      <c r="F53" s="72"/>
      <c r="G53" s="72" t="str">
        <f t="shared" si="59"/>
        <v>048HAI</v>
      </c>
      <c r="H53" s="408"/>
      <c r="P53" s="53"/>
      <c r="Q53" s="53"/>
      <c r="S53" s="69"/>
      <c r="T53" s="69"/>
      <c r="U53" s="69"/>
      <c r="Y53" s="69"/>
      <c r="AD53" s="53"/>
      <c r="AE53" s="53"/>
      <c r="AG53" s="69"/>
      <c r="AH53" s="69"/>
      <c r="BY53" s="663"/>
      <c r="BZ53" s="663"/>
      <c r="CA53" s="663"/>
      <c r="CB53" s="663"/>
      <c r="CC53" s="663"/>
      <c r="CD53" s="663"/>
      <c r="CE53" s="663"/>
      <c r="CF53" s="663"/>
      <c r="CG53" s="663"/>
      <c r="CH53" s="663"/>
      <c r="CI53" s="663"/>
      <c r="CJ53" s="663"/>
      <c r="CK53" s="663"/>
    </row>
    <row r="54" spans="1:89">
      <c r="B54" s="527" t="s">
        <v>164</v>
      </c>
      <c r="C54" s="71" t="s">
        <v>157</v>
      </c>
      <c r="D54" s="527" t="s">
        <v>166</v>
      </c>
      <c r="E54" s="543"/>
      <c r="F54" s="72"/>
      <c r="G54" s="72" t="str">
        <f t="shared" si="59"/>
        <v>048HAP</v>
      </c>
      <c r="H54" s="408"/>
      <c r="K54" s="564" t="s">
        <v>66</v>
      </c>
      <c r="M54" s="76">
        <f>SUM(M4:M53)</f>
        <v>5432</v>
      </c>
      <c r="N54" s="76">
        <f>SUM(N4:N53)</f>
        <v>3791</v>
      </c>
      <c r="S54" s="77">
        <f>SUM(S4:S53)</f>
        <v>120186.13999999998</v>
      </c>
      <c r="T54" s="77">
        <f>SUM(T4:T53)</f>
        <v>67627.360165999984</v>
      </c>
      <c r="U54" s="77"/>
      <c r="V54" s="76">
        <f>SUM(V4:V53)</f>
        <v>5432</v>
      </c>
      <c r="W54" s="76">
        <f>SUM(W4:W53)</f>
        <v>3791</v>
      </c>
      <c r="Y54" s="378"/>
      <c r="AA54" s="76">
        <f>SUM(AA4:AA53)</f>
        <v>5432</v>
      </c>
      <c r="AB54" s="76">
        <f>SUM(AB4:AB53)</f>
        <v>3791</v>
      </c>
      <c r="AG54" s="77">
        <f>SUM(AG4:AG53)</f>
        <v>124194.32999999994</v>
      </c>
      <c r="AH54" s="77">
        <f>SUM(AH4:AH53)</f>
        <v>69881.620165999993</v>
      </c>
    </row>
    <row r="55" spans="1:89">
      <c r="B55" s="35" t="s">
        <v>164</v>
      </c>
      <c r="C55" s="71" t="s">
        <v>157</v>
      </c>
      <c r="D55" s="35" t="s">
        <v>167</v>
      </c>
      <c r="E55" s="549">
        <v>491</v>
      </c>
      <c r="F55" s="72"/>
      <c r="G55" s="72" t="str">
        <f t="shared" si="59"/>
        <v>048HPA</v>
      </c>
      <c r="H55" s="408"/>
      <c r="N55" s="68">
        <f>SUM(M54:N54)</f>
        <v>9223</v>
      </c>
      <c r="S55" s="69"/>
      <c r="T55" s="78">
        <f>ROUND(SUM(S54:T54),2)</f>
        <v>187813.5</v>
      </c>
      <c r="U55" s="78"/>
      <c r="W55" s="68">
        <f>SUM(V54:W54)</f>
        <v>9223</v>
      </c>
      <c r="Y55" s="78"/>
      <c r="AB55" s="68">
        <f>SUM(AA54:AB54)</f>
        <v>9223</v>
      </c>
      <c r="AG55" s="69"/>
      <c r="AH55" s="78">
        <f>ROUND(SUM(AG54:AH54),2)</f>
        <v>194075.95</v>
      </c>
    </row>
    <row r="56" spans="1:89">
      <c r="B56" s="527" t="s">
        <v>164</v>
      </c>
      <c r="C56" s="71" t="s">
        <v>157</v>
      </c>
      <c r="D56" s="527" t="s">
        <v>610</v>
      </c>
      <c r="E56" s="549">
        <v>844</v>
      </c>
      <c r="F56" s="72"/>
      <c r="G56" s="72" t="str">
        <f t="shared" si="59"/>
        <v>048HPAL</v>
      </c>
      <c r="H56" s="408"/>
      <c r="I56" s="590">
        <f>'St Lts'!I99</f>
        <v>0</v>
      </c>
      <c r="J56" s="19"/>
      <c r="K56" s="85"/>
      <c r="L56" s="19"/>
      <c r="M56" s="19"/>
      <c r="N56" s="72">
        <f>ROUND(N55-E96,0)</f>
        <v>0</v>
      </c>
      <c r="S56" s="98"/>
      <c r="T56" s="98"/>
      <c r="U56" s="98"/>
      <c r="W56" s="72"/>
      <c r="Y56" s="98"/>
      <c r="Z56" s="329"/>
      <c r="AB56" s="72">
        <f>AB55-N55</f>
        <v>0</v>
      </c>
      <c r="AH56" s="84">
        <f>AH55/T55-1</f>
        <v>3.334398219510315E-2</v>
      </c>
    </row>
    <row r="57" spans="1:89">
      <c r="B57" s="35" t="s">
        <v>164</v>
      </c>
      <c r="C57" s="71" t="s">
        <v>157</v>
      </c>
      <c r="D57" s="35" t="s">
        <v>169</v>
      </c>
      <c r="E57" s="549">
        <v>398</v>
      </c>
      <c r="F57" s="72"/>
      <c r="G57" s="72" t="str">
        <f t="shared" si="59"/>
        <v>048HPB</v>
      </c>
      <c r="H57" s="408"/>
      <c r="P57" s="97"/>
      <c r="R57" s="19"/>
      <c r="S57" s="141">
        <f>S54-S56</f>
        <v>120186.13999999998</v>
      </c>
      <c r="T57" s="141">
        <f>T54-T56</f>
        <v>67627.360165999984</v>
      </c>
      <c r="U57" s="378"/>
      <c r="Y57" s="378"/>
    </row>
    <row r="58" spans="1:89">
      <c r="B58" s="527" t="s">
        <v>164</v>
      </c>
      <c r="C58" s="71" t="s">
        <v>157</v>
      </c>
      <c r="D58" s="527" t="s">
        <v>611</v>
      </c>
      <c r="E58" s="549">
        <v>114</v>
      </c>
      <c r="F58" s="72"/>
      <c r="G58" s="72" t="str">
        <f t="shared" si="59"/>
        <v>048HPBL</v>
      </c>
      <c r="H58" s="408"/>
      <c r="I58" s="44"/>
      <c r="P58" s="97"/>
      <c r="R58" s="19"/>
      <c r="S58" s="19"/>
      <c r="T58" s="693"/>
      <c r="U58" s="78"/>
      <c r="Y58" s="78"/>
    </row>
    <row r="59" spans="1:89">
      <c r="B59" s="35" t="s">
        <v>164</v>
      </c>
      <c r="C59" s="71" t="s">
        <v>157</v>
      </c>
      <c r="D59" s="35" t="s">
        <v>170</v>
      </c>
      <c r="E59" s="549">
        <v>8</v>
      </c>
      <c r="F59" s="72"/>
      <c r="G59" s="72" t="str">
        <f t="shared" si="59"/>
        <v>048HPC</v>
      </c>
      <c r="H59" s="408"/>
      <c r="P59" s="97"/>
      <c r="Q59" s="602"/>
      <c r="R59" s="602"/>
      <c r="S59" s="280"/>
      <c r="T59" s="608"/>
      <c r="U59" s="608"/>
      <c r="V59" s="602"/>
      <c r="W59" s="602"/>
      <c r="X59" s="602"/>
      <c r="Y59" s="608"/>
      <c r="Z59" s="602"/>
      <c r="AA59" s="602"/>
      <c r="AB59" s="602"/>
      <c r="AC59" s="602"/>
      <c r="AD59" s="602"/>
      <c r="AE59" s="266"/>
      <c r="AF59" s="266"/>
      <c r="AG59" s="694"/>
      <c r="AH59" s="266"/>
    </row>
    <row r="60" spans="1:89">
      <c r="B60" s="527" t="s">
        <v>164</v>
      </c>
      <c r="C60" s="71" t="s">
        <v>157</v>
      </c>
      <c r="D60" s="527" t="s">
        <v>632</v>
      </c>
      <c r="E60" s="549">
        <v>6</v>
      </c>
      <c r="F60" s="72"/>
      <c r="G60" s="72" t="str">
        <f t="shared" si="59"/>
        <v>048HPCL</v>
      </c>
      <c r="H60" s="408"/>
      <c r="Q60" s="602"/>
      <c r="R60" s="602"/>
      <c r="S60" s="602"/>
      <c r="T60" s="602"/>
      <c r="U60" s="602"/>
      <c r="V60" s="602"/>
      <c r="W60" s="602"/>
      <c r="X60" s="602"/>
      <c r="Y60" s="602"/>
      <c r="Z60" s="602"/>
      <c r="AA60" s="602"/>
      <c r="AB60" s="602"/>
      <c r="AC60" s="602"/>
      <c r="AD60" s="602"/>
      <c r="AE60" s="266"/>
      <c r="AF60" s="266"/>
      <c r="AG60" s="266"/>
      <c r="AH60" s="266"/>
    </row>
    <row r="61" spans="1:89">
      <c r="B61" s="35" t="s">
        <v>164</v>
      </c>
      <c r="C61" s="71" t="s">
        <v>157</v>
      </c>
      <c r="D61" s="35" t="s">
        <v>171</v>
      </c>
      <c r="E61" s="549">
        <v>175</v>
      </c>
      <c r="F61" s="72"/>
      <c r="G61" s="72" t="str">
        <f t="shared" si="59"/>
        <v>048HPD</v>
      </c>
      <c r="H61" s="408"/>
      <c r="Q61" s="568"/>
      <c r="R61" s="690"/>
      <c r="S61" s="691"/>
      <c r="T61" s="691"/>
      <c r="U61" s="144"/>
      <c r="V61" s="602"/>
      <c r="W61" s="602"/>
      <c r="X61" s="602"/>
      <c r="Y61" s="144"/>
      <c r="Z61" s="602"/>
      <c r="AA61" s="602"/>
      <c r="AB61" s="602"/>
      <c r="AC61" s="602"/>
      <c r="AD61" s="602"/>
      <c r="AE61" s="266"/>
      <c r="AF61" s="267"/>
      <c r="AG61" s="695"/>
      <c r="AH61" s="695"/>
    </row>
    <row r="62" spans="1:89">
      <c r="B62" s="527" t="s">
        <v>164</v>
      </c>
      <c r="C62" s="71" t="s">
        <v>157</v>
      </c>
      <c r="D62" s="527" t="s">
        <v>614</v>
      </c>
      <c r="E62" s="549">
        <v>75</v>
      </c>
      <c r="F62" s="72"/>
      <c r="G62" s="72" t="str">
        <f t="shared" si="59"/>
        <v>048HPDL</v>
      </c>
      <c r="H62" s="408"/>
      <c r="Q62" s="568"/>
      <c r="R62" s="690"/>
      <c r="S62" s="692"/>
      <c r="T62" s="692"/>
      <c r="U62" s="609"/>
      <c r="V62" s="602"/>
      <c r="W62" s="602"/>
      <c r="X62" s="602"/>
      <c r="Y62" s="609"/>
      <c r="Z62" s="602"/>
      <c r="AA62" s="602"/>
      <c r="AB62" s="602"/>
      <c r="AC62" s="602"/>
      <c r="AD62" s="602"/>
      <c r="AE62" s="266"/>
      <c r="AF62" s="267"/>
      <c r="AG62" s="696"/>
      <c r="AH62" s="696"/>
    </row>
    <row r="63" spans="1:89">
      <c r="B63" s="35" t="s">
        <v>164</v>
      </c>
      <c r="C63" s="71" t="s">
        <v>157</v>
      </c>
      <c r="D63" s="35" t="s">
        <v>173</v>
      </c>
      <c r="E63" s="549">
        <v>202</v>
      </c>
      <c r="F63" s="72"/>
      <c r="G63" s="72" t="str">
        <f t="shared" si="59"/>
        <v>048HPE</v>
      </c>
      <c r="H63" s="408"/>
      <c r="Q63" s="602"/>
      <c r="R63" s="602"/>
      <c r="S63" s="378">
        <f>S61+S62</f>
        <v>0</v>
      </c>
      <c r="T63" s="378">
        <f>T61+T62</f>
        <v>0</v>
      </c>
      <c r="U63" s="378"/>
      <c r="V63" s="602"/>
      <c r="W63" s="602"/>
      <c r="X63" s="602"/>
      <c r="Y63" s="378"/>
      <c r="Z63" s="602"/>
      <c r="AA63" s="602"/>
      <c r="AB63" s="602"/>
      <c r="AC63" s="602"/>
      <c r="AD63" s="602"/>
      <c r="AE63" s="266"/>
      <c r="AF63" s="266"/>
      <c r="AG63" s="697"/>
      <c r="AH63" s="697"/>
    </row>
    <row r="64" spans="1:89">
      <c r="A64" s="318"/>
      <c r="B64" s="527" t="s">
        <v>164</v>
      </c>
      <c r="C64" s="71" t="s">
        <v>157</v>
      </c>
      <c r="D64" s="527" t="s">
        <v>613</v>
      </c>
      <c r="E64" s="549">
        <v>415</v>
      </c>
      <c r="F64" s="72"/>
      <c r="G64" s="72" t="str">
        <f t="shared" si="59"/>
        <v>048HPEL</v>
      </c>
      <c r="H64" s="408"/>
      <c r="J64" s="19"/>
      <c r="Q64" s="602"/>
      <c r="R64" s="602"/>
      <c r="S64" s="602"/>
      <c r="T64" s="69">
        <f>S63+T63</f>
        <v>0</v>
      </c>
      <c r="U64" s="69"/>
      <c r="V64" s="602"/>
      <c r="W64" s="602"/>
      <c r="X64" s="602"/>
      <c r="Y64" s="69"/>
      <c r="Z64" s="602"/>
      <c r="AA64" s="602"/>
      <c r="AB64" s="602"/>
      <c r="AC64" s="602"/>
      <c r="AD64" s="602"/>
      <c r="AE64" s="266"/>
      <c r="AF64" s="266"/>
      <c r="AG64" s="266"/>
      <c r="AH64" s="697"/>
    </row>
    <row r="65" spans="2:24">
      <c r="B65" s="35" t="s">
        <v>164</v>
      </c>
      <c r="C65" s="71" t="s">
        <v>157</v>
      </c>
      <c r="D65" s="35" t="s">
        <v>174</v>
      </c>
      <c r="E65" s="549">
        <v>4</v>
      </c>
      <c r="F65" s="72"/>
      <c r="G65" s="72" t="str">
        <f t="shared" si="59"/>
        <v>048HPG</v>
      </c>
      <c r="H65" s="408"/>
      <c r="J65" s="19"/>
    </row>
    <row r="66" spans="2:24">
      <c r="B66" s="35" t="s">
        <v>164</v>
      </c>
      <c r="C66" s="71" t="s">
        <v>157</v>
      </c>
      <c r="D66" s="35" t="s">
        <v>175</v>
      </c>
      <c r="E66" s="549">
        <v>7</v>
      </c>
      <c r="F66" s="72"/>
      <c r="G66" s="72" t="str">
        <f t="shared" si="59"/>
        <v>048HPL</v>
      </c>
      <c r="H66" s="408"/>
    </row>
    <row r="67" spans="2:24">
      <c r="B67" s="527" t="s">
        <v>164</v>
      </c>
      <c r="C67" s="71" t="s">
        <v>157</v>
      </c>
      <c r="D67" s="527" t="s">
        <v>616</v>
      </c>
      <c r="E67" s="549">
        <v>4</v>
      </c>
      <c r="F67" s="72"/>
      <c r="G67" s="72" t="str">
        <f t="shared" si="59"/>
        <v>048HPLL</v>
      </c>
      <c r="H67" s="408"/>
      <c r="S67" s="596"/>
      <c r="T67" s="596"/>
      <c r="X67" s="521" t="s">
        <v>556</v>
      </c>
    </row>
    <row r="68" spans="2:24">
      <c r="B68" s="35" t="s">
        <v>164</v>
      </c>
      <c r="C68" s="71" t="s">
        <v>157</v>
      </c>
      <c r="D68" s="35" t="s">
        <v>178</v>
      </c>
      <c r="E68" s="549">
        <v>1</v>
      </c>
      <c r="F68" s="72"/>
      <c r="G68" s="72" t="str">
        <f t="shared" si="59"/>
        <v>048HPO</v>
      </c>
      <c r="H68" s="408"/>
      <c r="S68" s="19"/>
      <c r="T68" s="19"/>
      <c r="X68" s="376" t="s">
        <v>445</v>
      </c>
    </row>
    <row r="69" spans="2:24">
      <c r="B69" s="527" t="s">
        <v>164</v>
      </c>
      <c r="C69" s="71" t="s">
        <v>157</v>
      </c>
      <c r="D69" s="527" t="s">
        <v>615</v>
      </c>
      <c r="E69" s="549">
        <v>5</v>
      </c>
      <c r="F69" s="72"/>
      <c r="G69" s="72" t="str">
        <f t="shared" si="59"/>
        <v>048HPOL</v>
      </c>
      <c r="H69" s="408"/>
      <c r="S69" s="19"/>
      <c r="T69" s="19"/>
    </row>
    <row r="70" spans="2:24">
      <c r="B70" s="35" t="s">
        <v>164</v>
      </c>
      <c r="C70" s="71" t="s">
        <v>157</v>
      </c>
      <c r="D70" s="35" t="s">
        <v>176</v>
      </c>
      <c r="E70" s="549">
        <v>135</v>
      </c>
      <c r="F70" s="72"/>
      <c r="G70" s="72" t="str">
        <f t="shared" si="59"/>
        <v>048HPS</v>
      </c>
      <c r="H70" s="408"/>
      <c r="S70" s="19"/>
      <c r="T70" s="19"/>
    </row>
    <row r="71" spans="2:24">
      <c r="B71" s="527" t="s">
        <v>164</v>
      </c>
      <c r="C71" s="71" t="s">
        <v>157</v>
      </c>
      <c r="D71" s="527" t="s">
        <v>612</v>
      </c>
      <c r="E71" s="549">
        <v>105</v>
      </c>
      <c r="F71" s="72"/>
      <c r="G71" s="72" t="str">
        <f t="shared" si="59"/>
        <v>048HPSL</v>
      </c>
      <c r="H71" s="408"/>
      <c r="S71" s="596"/>
      <c r="T71" s="596"/>
    </row>
    <row r="72" spans="2:24">
      <c r="B72" s="527" t="s">
        <v>164</v>
      </c>
      <c r="C72" s="71" t="s">
        <v>157</v>
      </c>
      <c r="D72" s="527" t="s">
        <v>794</v>
      </c>
      <c r="E72" s="549">
        <v>8</v>
      </c>
      <c r="F72" s="72"/>
      <c r="G72" s="72" t="str">
        <f t="shared" si="59"/>
        <v>048HAAL</v>
      </c>
      <c r="H72" s="408"/>
    </row>
    <row r="73" spans="2:24">
      <c r="B73" s="527" t="s">
        <v>164</v>
      </c>
      <c r="C73" s="71" t="s">
        <v>157</v>
      </c>
      <c r="D73" s="527" t="s">
        <v>795</v>
      </c>
      <c r="E73" s="549">
        <v>12</v>
      </c>
      <c r="F73" s="72"/>
      <c r="G73" s="72" t="str">
        <f t="shared" si="59"/>
        <v>048HAML</v>
      </c>
      <c r="H73" s="408"/>
    </row>
    <row r="74" spans="2:24">
      <c r="B74" s="527" t="s">
        <v>164</v>
      </c>
      <c r="C74" s="71" t="s">
        <v>157</v>
      </c>
      <c r="D74" s="527" t="s">
        <v>796</v>
      </c>
      <c r="E74" s="549">
        <v>2</v>
      </c>
      <c r="F74" s="72"/>
      <c r="G74" s="72" t="str">
        <f t="shared" si="59"/>
        <v>048HANL</v>
      </c>
      <c r="H74" s="408"/>
    </row>
    <row r="75" spans="2:24">
      <c r="B75" s="527" t="s">
        <v>164</v>
      </c>
      <c r="C75" s="397" t="s">
        <v>157</v>
      </c>
      <c r="D75" s="569" t="s">
        <v>832</v>
      </c>
      <c r="E75" s="549">
        <v>3</v>
      </c>
      <c r="F75" s="72"/>
      <c r="G75" s="72" t="str">
        <f t="shared" ref="G75" si="60">IF(OR(ISBLANK(C75),ISBLANK(D75)),"",TEXT(C75,"000")&amp;TEXT(D75,"000"))</f>
        <v>048HAOL</v>
      </c>
      <c r="H75" s="408"/>
    </row>
    <row r="76" spans="2:24">
      <c r="B76" s="527" t="s">
        <v>164</v>
      </c>
      <c r="C76" s="71" t="s">
        <v>157</v>
      </c>
      <c r="D76" s="527" t="s">
        <v>619</v>
      </c>
      <c r="E76" s="549">
        <v>3</v>
      </c>
      <c r="F76" s="72"/>
      <c r="G76" s="72" t="str">
        <f t="shared" ref="G76:G93" si="61">IF(OR(ISBLANK(C76),ISBLANK(D76)),"",TEXT(C76,"000")&amp;TEXT(D76,"000"))</f>
        <v>048HAPL</v>
      </c>
      <c r="H76" s="408"/>
    </row>
    <row r="77" spans="2:24">
      <c r="B77" s="527" t="s">
        <v>164</v>
      </c>
      <c r="C77" s="71" t="s">
        <v>157</v>
      </c>
      <c r="D77" s="527" t="s">
        <v>797</v>
      </c>
      <c r="E77" s="549"/>
      <c r="F77" s="72"/>
      <c r="G77" s="72" t="str">
        <f t="shared" si="61"/>
        <v>048HPKL</v>
      </c>
      <c r="H77" s="408"/>
    </row>
    <row r="78" spans="2:24">
      <c r="B78" s="35" t="s">
        <v>164</v>
      </c>
      <c r="C78" s="71" t="s">
        <v>157</v>
      </c>
      <c r="D78" s="35" t="s">
        <v>181</v>
      </c>
      <c r="E78" s="549">
        <v>198</v>
      </c>
      <c r="F78" s="72"/>
      <c r="G78" s="72" t="str">
        <f t="shared" si="61"/>
        <v>048MVA</v>
      </c>
      <c r="H78" s="408"/>
    </row>
    <row r="79" spans="2:24">
      <c r="B79" s="35" t="s">
        <v>164</v>
      </c>
      <c r="C79" s="71" t="s">
        <v>157</v>
      </c>
      <c r="D79" s="35" t="s">
        <v>183</v>
      </c>
      <c r="E79" s="549">
        <v>209</v>
      </c>
      <c r="F79" s="72"/>
      <c r="G79" s="72" t="str">
        <f t="shared" si="61"/>
        <v>048MVB</v>
      </c>
      <c r="H79" s="408"/>
    </row>
    <row r="80" spans="2:24">
      <c r="B80" s="35" t="s">
        <v>164</v>
      </c>
      <c r="C80" s="71" t="s">
        <v>157</v>
      </c>
      <c r="D80" s="35" t="s">
        <v>184</v>
      </c>
      <c r="E80" s="549">
        <v>15</v>
      </c>
      <c r="F80" s="74"/>
      <c r="G80" s="72" t="str">
        <f t="shared" si="61"/>
        <v>048MVC</v>
      </c>
      <c r="H80" s="408"/>
    </row>
    <row r="81" spans="2:8">
      <c r="B81" s="35" t="s">
        <v>164</v>
      </c>
      <c r="C81" s="71" t="s">
        <v>157</v>
      </c>
      <c r="D81" s="35" t="s">
        <v>185</v>
      </c>
      <c r="E81" s="549">
        <v>87</v>
      </c>
      <c r="G81" s="72" t="str">
        <f t="shared" si="61"/>
        <v>048MVD</v>
      </c>
      <c r="H81" s="408"/>
    </row>
    <row r="82" spans="2:8">
      <c r="B82" s="35" t="s">
        <v>164</v>
      </c>
      <c r="C82" s="71" t="s">
        <v>157</v>
      </c>
      <c r="D82" s="35" t="s">
        <v>186</v>
      </c>
      <c r="E82" s="549">
        <v>43</v>
      </c>
      <c r="F82" s="72"/>
      <c r="G82" s="72" t="str">
        <f t="shared" si="61"/>
        <v>048MVE</v>
      </c>
      <c r="H82" s="408"/>
    </row>
    <row r="83" spans="2:8">
      <c r="B83" s="35" t="s">
        <v>164</v>
      </c>
      <c r="C83" s="71" t="s">
        <v>157</v>
      </c>
      <c r="D83" s="35" t="s">
        <v>187</v>
      </c>
      <c r="E83" s="549">
        <v>17</v>
      </c>
      <c r="F83" s="72"/>
      <c r="G83" s="72" t="str">
        <f t="shared" si="61"/>
        <v>048MVF</v>
      </c>
      <c r="H83" s="408"/>
    </row>
    <row r="84" spans="2:8">
      <c r="B84" s="35" t="s">
        <v>164</v>
      </c>
      <c r="C84" s="71" t="s">
        <v>157</v>
      </c>
      <c r="D84" s="35" t="s">
        <v>191</v>
      </c>
      <c r="E84" s="543"/>
      <c r="F84" s="72"/>
      <c r="G84" s="72" t="str">
        <f t="shared" si="61"/>
        <v>048MVG</v>
      </c>
      <c r="H84" s="408"/>
    </row>
    <row r="85" spans="2:8">
      <c r="B85" s="35" t="s">
        <v>164</v>
      </c>
      <c r="C85" s="71" t="s">
        <v>157</v>
      </c>
      <c r="D85" s="35" t="s">
        <v>188</v>
      </c>
      <c r="E85" s="549">
        <v>5</v>
      </c>
      <c r="F85" s="72"/>
      <c r="G85" s="72" t="str">
        <f t="shared" si="61"/>
        <v>048MVH</v>
      </c>
      <c r="H85" s="408"/>
    </row>
    <row r="86" spans="2:8">
      <c r="B86" s="35" t="s">
        <v>164</v>
      </c>
      <c r="C86" s="71" t="s">
        <v>157</v>
      </c>
      <c r="D86" s="35" t="s">
        <v>193</v>
      </c>
      <c r="E86" s="549">
        <v>25</v>
      </c>
      <c r="F86" s="72"/>
      <c r="G86" s="72" t="str">
        <f t="shared" si="61"/>
        <v>048MVK</v>
      </c>
      <c r="H86" s="408"/>
    </row>
    <row r="87" spans="2:8">
      <c r="B87" s="35" t="s">
        <v>164</v>
      </c>
      <c r="C87" s="71" t="s">
        <v>157</v>
      </c>
      <c r="D87" s="35" t="s">
        <v>200</v>
      </c>
      <c r="E87" s="543"/>
      <c r="F87" s="72"/>
      <c r="G87" s="72" t="str">
        <f t="shared" si="61"/>
        <v>048MVN</v>
      </c>
      <c r="H87" s="734"/>
    </row>
    <row r="88" spans="2:8">
      <c r="B88" s="35" t="s">
        <v>164</v>
      </c>
      <c r="C88" s="71" t="s">
        <v>157</v>
      </c>
      <c r="D88" s="35" t="s">
        <v>429</v>
      </c>
      <c r="E88" s="549">
        <v>2</v>
      </c>
      <c r="G88" s="72" t="str">
        <f t="shared" si="61"/>
        <v>048MVV</v>
      </c>
      <c r="H88" s="410"/>
    </row>
    <row r="89" spans="2:8">
      <c r="B89" s="35" t="s">
        <v>164</v>
      </c>
      <c r="C89" s="71" t="s">
        <v>157</v>
      </c>
      <c r="D89" s="35" t="s">
        <v>197</v>
      </c>
      <c r="E89" s="549">
        <v>2</v>
      </c>
      <c r="F89" s="72"/>
      <c r="G89" s="72" t="str">
        <f t="shared" si="61"/>
        <v>048PA</v>
      </c>
      <c r="H89" s="408"/>
    </row>
    <row r="90" spans="2:8">
      <c r="B90" s="35" t="s">
        <v>164</v>
      </c>
      <c r="C90" s="71" t="s">
        <v>157</v>
      </c>
      <c r="D90" s="35" t="s">
        <v>204</v>
      </c>
      <c r="E90" s="549"/>
      <c r="F90" s="72"/>
      <c r="G90" s="72" t="str">
        <f t="shared" si="61"/>
        <v>048PB</v>
      </c>
      <c r="H90" s="408"/>
    </row>
    <row r="91" spans="2:8">
      <c r="B91" s="35" t="s">
        <v>164</v>
      </c>
      <c r="C91" s="71" t="s">
        <v>157</v>
      </c>
      <c r="D91" s="35" t="s">
        <v>205</v>
      </c>
      <c r="E91" s="549"/>
      <c r="F91" s="72"/>
      <c r="G91" s="72" t="str">
        <f t="shared" si="61"/>
        <v>048SLB</v>
      </c>
    </row>
    <row r="92" spans="2:8">
      <c r="B92" s="35" t="s">
        <v>164</v>
      </c>
      <c r="C92" s="71" t="s">
        <v>157</v>
      </c>
      <c r="D92" s="35" t="s">
        <v>206</v>
      </c>
      <c r="E92" s="549">
        <v>166</v>
      </c>
      <c r="F92" s="72"/>
      <c r="G92" s="72" t="str">
        <f t="shared" si="61"/>
        <v>048SLC</v>
      </c>
    </row>
    <row r="93" spans="2:8">
      <c r="B93" s="35" t="s">
        <v>164</v>
      </c>
      <c r="C93" s="71" t="s">
        <v>157</v>
      </c>
      <c r="D93" s="35" t="s">
        <v>207</v>
      </c>
      <c r="E93" s="549"/>
      <c r="F93" s="74"/>
      <c r="G93" s="72" t="str">
        <f t="shared" si="61"/>
        <v>048SLD</v>
      </c>
    </row>
    <row r="94" spans="2:8">
      <c r="E94" s="73">
        <f>SUM(E52:E93)</f>
        <v>3791</v>
      </c>
      <c r="G94" s="72" t="str">
        <f t="shared" ref="G94" si="62">IF(OR(ISBLANK(C95),ISBLANK(D95)),"",TEXT(C95,"000")&amp;TEXT(D95,"000"))</f>
        <v/>
      </c>
    </row>
    <row r="95" spans="2:8">
      <c r="F95" s="72"/>
      <c r="G95" s="72"/>
    </row>
    <row r="96" spans="2:8">
      <c r="B96" s="35" t="s">
        <v>164</v>
      </c>
      <c r="E96" s="72">
        <f>E50+E94</f>
        <v>9223</v>
      </c>
    </row>
    <row r="97" spans="9:35">
      <c r="I97" s="599" t="s">
        <v>111</v>
      </c>
      <c r="J97" s="599" t="s">
        <v>158</v>
      </c>
      <c r="K97" s="604" t="s">
        <v>134</v>
      </c>
      <c r="L97" s="605" t="s">
        <v>159</v>
      </c>
      <c r="M97" s="621">
        <f t="shared" ref="M97:N103" si="63">SUMIF($G:$G,TEXT(M$3,"000")&amp;TEXT($L97,"000"),$E:$E)</f>
        <v>0</v>
      </c>
      <c r="N97" s="621">
        <f t="shared" si="63"/>
        <v>0</v>
      </c>
      <c r="O97" s="599"/>
      <c r="P97" s="674"/>
      <c r="Q97" s="675">
        <f t="shared" ref="Q97:Q103" si="64">P97</f>
        <v>0</v>
      </c>
      <c r="R97" s="599"/>
      <c r="S97" s="673">
        <f t="shared" ref="S97:T103" si="65">IF(AND(M97&lt;&gt;0,P97=0),#VALUE!,M97*P97)</f>
        <v>0</v>
      </c>
      <c r="T97" s="673">
        <f t="shared" si="65"/>
        <v>0</v>
      </c>
      <c r="U97" s="673"/>
      <c r="V97" s="621">
        <f t="shared" ref="V97:W103" si="66">SUMIF($G:$G,TEXT(V$3,"000")&amp;TEXT($L97,"000"),$E:$E)</f>
        <v>0</v>
      </c>
      <c r="W97" s="621">
        <f t="shared" si="66"/>
        <v>0</v>
      </c>
      <c r="X97" s="599"/>
      <c r="Y97" s="673"/>
      <c r="Z97" s="599"/>
      <c r="AA97" s="621">
        <f t="shared" ref="AA97:AB103" si="67">M97</f>
        <v>0</v>
      </c>
      <c r="AB97" s="621">
        <f t="shared" si="67"/>
        <v>0</v>
      </c>
      <c r="AC97" s="599"/>
      <c r="AD97" s="623">
        <f t="shared" ref="AD97:AD103" si="68">ROUND(P97*(1+AD$1),2)</f>
        <v>0</v>
      </c>
      <c r="AE97" s="676">
        <f t="shared" ref="AE97:AE103" si="69">AD97</f>
        <v>0</v>
      </c>
      <c r="AF97" s="599"/>
      <c r="AG97" s="673">
        <f t="shared" ref="AG97:AH103" si="70">IF(AND(AA97&lt;&gt;0,AD97=0),#VALUE!,AA97*AD97)</f>
        <v>0</v>
      </c>
      <c r="AH97" s="673">
        <f t="shared" si="70"/>
        <v>0</v>
      </c>
    </row>
    <row r="98" spans="9:35">
      <c r="I98" s="599" t="s">
        <v>111</v>
      </c>
      <c r="J98" s="599" t="s">
        <v>165</v>
      </c>
      <c r="K98" s="604" t="s">
        <v>134</v>
      </c>
      <c r="L98" s="605" t="s">
        <v>166</v>
      </c>
      <c r="M98" s="621">
        <f t="shared" si="63"/>
        <v>0</v>
      </c>
      <c r="N98" s="621">
        <f t="shared" si="63"/>
        <v>0</v>
      </c>
      <c r="O98" s="599"/>
      <c r="P98" s="674"/>
      <c r="Q98" s="675">
        <f t="shared" si="64"/>
        <v>0</v>
      </c>
      <c r="R98" s="599"/>
      <c r="S98" s="673">
        <f t="shared" si="65"/>
        <v>0</v>
      </c>
      <c r="T98" s="673">
        <f t="shared" si="65"/>
        <v>0</v>
      </c>
      <c r="U98" s="673"/>
      <c r="V98" s="621">
        <f t="shared" si="66"/>
        <v>0</v>
      </c>
      <c r="W98" s="621">
        <f t="shared" si="66"/>
        <v>0</v>
      </c>
      <c r="X98" s="599"/>
      <c r="Y98" s="673"/>
      <c r="Z98" s="599"/>
      <c r="AA98" s="621">
        <f t="shared" si="67"/>
        <v>0</v>
      </c>
      <c r="AB98" s="621">
        <f t="shared" si="67"/>
        <v>0</v>
      </c>
      <c r="AC98" s="599"/>
      <c r="AD98" s="623">
        <f t="shared" si="68"/>
        <v>0</v>
      </c>
      <c r="AE98" s="676">
        <f t="shared" si="69"/>
        <v>0</v>
      </c>
      <c r="AF98" s="599"/>
      <c r="AG98" s="673">
        <f t="shared" si="70"/>
        <v>0</v>
      </c>
      <c r="AH98" s="673">
        <f t="shared" si="70"/>
        <v>0</v>
      </c>
    </row>
    <row r="99" spans="9:35">
      <c r="I99" s="599" t="s">
        <v>133</v>
      </c>
      <c r="J99" s="599" t="s">
        <v>190</v>
      </c>
      <c r="K99" s="604">
        <v>7000</v>
      </c>
      <c r="L99" s="605" t="s">
        <v>191</v>
      </c>
      <c r="M99" s="621">
        <f t="shared" si="63"/>
        <v>0</v>
      </c>
      <c r="N99" s="621">
        <f t="shared" si="63"/>
        <v>0</v>
      </c>
      <c r="O99" s="599"/>
      <c r="P99" s="674"/>
      <c r="Q99" s="675">
        <f t="shared" si="64"/>
        <v>0</v>
      </c>
      <c r="R99" s="599"/>
      <c r="S99" s="673">
        <f t="shared" si="65"/>
        <v>0</v>
      </c>
      <c r="T99" s="673">
        <f t="shared" si="65"/>
        <v>0</v>
      </c>
      <c r="U99" s="673"/>
      <c r="V99" s="621">
        <f t="shared" si="66"/>
        <v>0</v>
      </c>
      <c r="W99" s="621">
        <f t="shared" si="66"/>
        <v>0</v>
      </c>
      <c r="X99" s="599"/>
      <c r="Y99" s="673"/>
      <c r="Z99" s="599"/>
      <c r="AA99" s="621">
        <f t="shared" si="67"/>
        <v>0</v>
      </c>
      <c r="AB99" s="621">
        <f t="shared" si="67"/>
        <v>0</v>
      </c>
      <c r="AC99" s="599"/>
      <c r="AD99" s="623">
        <f t="shared" si="68"/>
        <v>0</v>
      </c>
      <c r="AE99" s="676">
        <f t="shared" si="69"/>
        <v>0</v>
      </c>
      <c r="AF99" s="599"/>
      <c r="AG99" s="673">
        <f t="shared" si="70"/>
        <v>0</v>
      </c>
      <c r="AH99" s="673">
        <f t="shared" si="70"/>
        <v>0</v>
      </c>
    </row>
    <row r="100" spans="9:35">
      <c r="I100" s="599" t="s">
        <v>133</v>
      </c>
      <c r="J100" s="599" t="s">
        <v>198</v>
      </c>
      <c r="K100" s="604">
        <v>7000</v>
      </c>
      <c r="L100" s="605" t="s">
        <v>199</v>
      </c>
      <c r="M100" s="621">
        <f t="shared" si="63"/>
        <v>0</v>
      </c>
      <c r="N100" s="621">
        <f t="shared" si="63"/>
        <v>0</v>
      </c>
      <c r="O100" s="599"/>
      <c r="P100" s="674"/>
      <c r="Q100" s="675">
        <f t="shared" si="64"/>
        <v>0</v>
      </c>
      <c r="R100" s="599"/>
      <c r="S100" s="673">
        <f t="shared" si="65"/>
        <v>0</v>
      </c>
      <c r="T100" s="673">
        <f t="shared" si="65"/>
        <v>0</v>
      </c>
      <c r="U100" s="673"/>
      <c r="V100" s="621">
        <f t="shared" si="66"/>
        <v>0</v>
      </c>
      <c r="W100" s="621">
        <f t="shared" si="66"/>
        <v>0</v>
      </c>
      <c r="X100" s="599"/>
      <c r="Y100" s="673"/>
      <c r="Z100" s="599"/>
      <c r="AA100" s="621">
        <f t="shared" si="67"/>
        <v>0</v>
      </c>
      <c r="AB100" s="621">
        <f t="shared" si="67"/>
        <v>0</v>
      </c>
      <c r="AC100" s="599"/>
      <c r="AD100" s="623">
        <f t="shared" si="68"/>
        <v>0</v>
      </c>
      <c r="AE100" s="676">
        <f t="shared" si="69"/>
        <v>0</v>
      </c>
      <c r="AF100" s="599"/>
      <c r="AG100" s="673">
        <f t="shared" si="70"/>
        <v>0</v>
      </c>
      <c r="AH100" s="673">
        <f t="shared" si="70"/>
        <v>0</v>
      </c>
    </row>
    <row r="101" spans="9:35">
      <c r="I101" s="599" t="s">
        <v>133</v>
      </c>
      <c r="J101" s="599" t="s">
        <v>198</v>
      </c>
      <c r="K101" s="604">
        <v>10000</v>
      </c>
      <c r="L101" s="605" t="s">
        <v>200</v>
      </c>
      <c r="M101" s="621">
        <f t="shared" si="63"/>
        <v>0</v>
      </c>
      <c r="N101" s="621">
        <f t="shared" si="63"/>
        <v>0</v>
      </c>
      <c r="O101" s="599"/>
      <c r="P101" s="674"/>
      <c r="Q101" s="675">
        <f t="shared" si="64"/>
        <v>0</v>
      </c>
      <c r="R101" s="599"/>
      <c r="S101" s="673">
        <f t="shared" si="65"/>
        <v>0</v>
      </c>
      <c r="T101" s="673">
        <f t="shared" si="65"/>
        <v>0</v>
      </c>
      <c r="U101" s="673"/>
      <c r="V101" s="621">
        <f t="shared" si="66"/>
        <v>0</v>
      </c>
      <c r="W101" s="621">
        <f t="shared" si="66"/>
        <v>0</v>
      </c>
      <c r="X101" s="599"/>
      <c r="Y101" s="673"/>
      <c r="Z101" s="599"/>
      <c r="AA101" s="621">
        <f t="shared" si="67"/>
        <v>0</v>
      </c>
      <c r="AB101" s="621">
        <f t="shared" si="67"/>
        <v>0</v>
      </c>
      <c r="AC101" s="599"/>
      <c r="AD101" s="623">
        <f t="shared" si="68"/>
        <v>0</v>
      </c>
      <c r="AE101" s="676">
        <f t="shared" si="69"/>
        <v>0</v>
      </c>
      <c r="AF101" s="599"/>
      <c r="AG101" s="673">
        <f t="shared" si="70"/>
        <v>0</v>
      </c>
      <c r="AH101" s="673">
        <f t="shared" si="70"/>
        <v>0</v>
      </c>
    </row>
    <row r="102" spans="9:35">
      <c r="I102" s="599" t="s">
        <v>133</v>
      </c>
      <c r="J102" s="599" t="s">
        <v>198</v>
      </c>
      <c r="K102" s="604">
        <v>20000</v>
      </c>
      <c r="L102" s="605" t="s">
        <v>196</v>
      </c>
      <c r="M102" s="621">
        <f t="shared" si="63"/>
        <v>0</v>
      </c>
      <c r="N102" s="621">
        <f t="shared" si="63"/>
        <v>0</v>
      </c>
      <c r="O102" s="599"/>
      <c r="P102" s="674"/>
      <c r="Q102" s="675">
        <f t="shared" si="64"/>
        <v>0</v>
      </c>
      <c r="R102" s="599"/>
      <c r="S102" s="673">
        <f t="shared" si="65"/>
        <v>0</v>
      </c>
      <c r="T102" s="673">
        <f t="shared" si="65"/>
        <v>0</v>
      </c>
      <c r="U102" s="673"/>
      <c r="V102" s="621">
        <f t="shared" si="66"/>
        <v>0</v>
      </c>
      <c r="W102" s="621">
        <f t="shared" si="66"/>
        <v>0</v>
      </c>
      <c r="X102" s="599"/>
      <c r="Y102" s="673"/>
      <c r="Z102" s="599"/>
      <c r="AA102" s="621">
        <f t="shared" si="67"/>
        <v>0</v>
      </c>
      <c r="AB102" s="621">
        <f t="shared" si="67"/>
        <v>0</v>
      </c>
      <c r="AC102" s="599"/>
      <c r="AD102" s="623">
        <f t="shared" si="68"/>
        <v>0</v>
      </c>
      <c r="AE102" s="676">
        <f t="shared" si="69"/>
        <v>0</v>
      </c>
      <c r="AF102" s="599"/>
      <c r="AG102" s="673">
        <f t="shared" si="70"/>
        <v>0</v>
      </c>
      <c r="AH102" s="673">
        <f t="shared" si="70"/>
        <v>0</v>
      </c>
    </row>
    <row r="103" spans="9:35">
      <c r="I103" s="599" t="s">
        <v>201</v>
      </c>
      <c r="J103" s="599" t="s">
        <v>203</v>
      </c>
      <c r="K103" s="604" t="s">
        <v>202</v>
      </c>
      <c r="L103" s="605" t="s">
        <v>204</v>
      </c>
      <c r="M103" s="621">
        <f t="shared" si="63"/>
        <v>0</v>
      </c>
      <c r="N103" s="621">
        <f t="shared" si="63"/>
        <v>0</v>
      </c>
      <c r="O103" s="599"/>
      <c r="P103" s="674"/>
      <c r="Q103" s="675">
        <f t="shared" si="64"/>
        <v>0</v>
      </c>
      <c r="R103" s="599"/>
      <c r="S103" s="673">
        <f t="shared" si="65"/>
        <v>0</v>
      </c>
      <c r="T103" s="673">
        <f t="shared" si="65"/>
        <v>0</v>
      </c>
      <c r="U103" s="673"/>
      <c r="V103" s="621">
        <f t="shared" si="66"/>
        <v>0</v>
      </c>
      <c r="W103" s="621">
        <f t="shared" si="66"/>
        <v>0</v>
      </c>
      <c r="X103" s="599"/>
      <c r="Y103" s="673"/>
      <c r="Z103" s="599"/>
      <c r="AA103" s="621">
        <f t="shared" si="67"/>
        <v>0</v>
      </c>
      <c r="AB103" s="621">
        <f t="shared" si="67"/>
        <v>0</v>
      </c>
      <c r="AC103" s="599"/>
      <c r="AD103" s="623">
        <f t="shared" si="68"/>
        <v>0</v>
      </c>
      <c r="AE103" s="676">
        <f t="shared" si="69"/>
        <v>0</v>
      </c>
      <c r="AF103" s="599"/>
      <c r="AG103" s="673">
        <f t="shared" si="70"/>
        <v>0</v>
      </c>
      <c r="AH103" s="673">
        <f t="shared" si="70"/>
        <v>0</v>
      </c>
      <c r="AI103" s="599"/>
    </row>
  </sheetData>
  <phoneticPr fontId="17" type="noConversion"/>
  <conditionalFormatting sqref="AB56 N56 W56">
    <cfRule type="cellIs" dxfId="0" priority="8" stopIfTrue="1" operator="notEqual">
      <formula>0</formula>
    </cfRule>
  </conditionalFormatting>
  <pageMargins left="0.5" right="0" top="0.5" bottom="0" header="0.5" footer="0.35"/>
  <pageSetup scale="65" orientation="landscape"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92D050"/>
    <pageSetUpPr fitToPage="1"/>
  </sheetPr>
  <dimension ref="A5:P41"/>
  <sheetViews>
    <sheetView topLeftCell="E1" zoomScale="115" zoomScaleNormal="115" workbookViewId="0">
      <selection activeCell="F7" sqref="F7"/>
    </sheetView>
  </sheetViews>
  <sheetFormatPr defaultRowHeight="12.75"/>
  <cols>
    <col min="1" max="1" width="33.42578125" hidden="1" customWidth="1"/>
    <col min="2" max="2" width="11.7109375" hidden="1" customWidth="1"/>
    <col min="3" max="3" width="16.7109375" hidden="1" customWidth="1"/>
    <col min="4" max="4" width="11.7109375" hidden="1" customWidth="1"/>
    <col min="5" max="5" width="4.28515625" customWidth="1"/>
    <col min="6" max="6" width="33.42578125" bestFit="1" customWidth="1"/>
    <col min="7" max="7" width="11.7109375" bestFit="1" customWidth="1"/>
    <col min="8" max="8" width="16.7109375" bestFit="1" customWidth="1"/>
    <col min="9" max="9" width="11.7109375" bestFit="1" customWidth="1"/>
    <col min="10" max="10" width="10" style="19" bestFit="1" customWidth="1"/>
    <col min="11" max="11" width="11.28515625" bestFit="1" customWidth="1"/>
    <col min="12" max="12" width="34.42578125" style="598" bestFit="1" customWidth="1"/>
    <col min="13" max="13" width="12.42578125" style="598" bestFit="1" customWidth="1"/>
    <col min="14" max="14" width="16.7109375" style="598" bestFit="1" customWidth="1"/>
    <col min="15" max="15" width="11.28515625" style="598" customWidth="1"/>
    <col min="16" max="16" width="24.7109375" style="19" bestFit="1" customWidth="1"/>
  </cols>
  <sheetData>
    <row r="5" spans="1:16">
      <c r="A5" s="522" t="s">
        <v>517</v>
      </c>
      <c r="B5" s="522"/>
      <c r="C5" s="522"/>
      <c r="D5" s="522"/>
      <c r="F5" s="522" t="s">
        <v>517</v>
      </c>
      <c r="G5" s="522"/>
      <c r="H5" s="522"/>
      <c r="I5" s="522"/>
      <c r="K5" s="522"/>
      <c r="L5" s="598" t="s">
        <v>517</v>
      </c>
      <c r="P5" s="616"/>
    </row>
    <row r="6" spans="1:16">
      <c r="A6" s="522" t="s">
        <v>518</v>
      </c>
      <c r="B6" s="522"/>
      <c r="C6" s="522"/>
      <c r="D6" s="522"/>
      <c r="F6" s="522" t="s">
        <v>518</v>
      </c>
      <c r="G6" s="522"/>
      <c r="H6" s="522"/>
      <c r="I6" s="522"/>
      <c r="K6" s="522"/>
      <c r="L6" s="598" t="s">
        <v>518</v>
      </c>
      <c r="P6" s="616"/>
    </row>
    <row r="7" spans="1:16">
      <c r="A7" s="535" t="s">
        <v>542</v>
      </c>
      <c r="B7" s="522"/>
      <c r="C7" s="522"/>
      <c r="D7" s="522"/>
      <c r="F7" s="422" t="s">
        <v>877</v>
      </c>
      <c r="G7" s="522"/>
      <c r="H7" s="522"/>
      <c r="I7" s="522"/>
      <c r="K7" s="522"/>
      <c r="L7" s="422" t="s">
        <v>1051</v>
      </c>
      <c r="P7" s="616"/>
    </row>
    <row r="8" spans="1:16">
      <c r="A8" s="522"/>
      <c r="B8" s="522"/>
      <c r="C8" s="522"/>
      <c r="D8" s="522"/>
      <c r="F8" s="522"/>
      <c r="G8" s="522"/>
      <c r="H8" s="522"/>
      <c r="I8" s="522"/>
      <c r="K8" s="522"/>
      <c r="P8" s="616"/>
    </row>
    <row r="9" spans="1:16" ht="13.5" thickBot="1">
      <c r="A9" s="522"/>
      <c r="B9" s="522"/>
      <c r="C9" s="522"/>
      <c r="D9" s="522"/>
      <c r="F9" s="522"/>
      <c r="G9" s="522"/>
      <c r="H9" s="522"/>
      <c r="I9" s="522"/>
      <c r="K9" s="522"/>
      <c r="P9" s="616"/>
    </row>
    <row r="10" spans="1:16" ht="16.5" thickBot="1">
      <c r="A10" s="444" t="s">
        <v>519</v>
      </c>
      <c r="B10" s="445"/>
      <c r="C10" s="445"/>
      <c r="D10" s="446"/>
      <c r="F10" s="444" t="s">
        <v>519</v>
      </c>
      <c r="G10" s="445"/>
      <c r="H10" s="445"/>
      <c r="I10" s="446"/>
      <c r="J10" s="615" t="s">
        <v>559</v>
      </c>
      <c r="K10" s="522"/>
      <c r="L10" s="586" t="s">
        <v>519</v>
      </c>
      <c r="M10" s="587"/>
      <c r="N10" s="587"/>
      <c r="O10" s="588"/>
      <c r="P10" s="617" t="s">
        <v>559</v>
      </c>
    </row>
    <row r="11" spans="1:16" ht="15">
      <c r="A11" s="447" t="s">
        <v>516</v>
      </c>
      <c r="B11" s="448" t="s">
        <v>516</v>
      </c>
      <c r="C11" s="449" t="s">
        <v>520</v>
      </c>
      <c r="D11" s="450" t="s">
        <v>521</v>
      </c>
      <c r="F11" s="447" t="s">
        <v>516</v>
      </c>
      <c r="G11" s="448" t="s">
        <v>516</v>
      </c>
      <c r="H11" s="449" t="s">
        <v>520</v>
      </c>
      <c r="I11" s="450" t="s">
        <v>521</v>
      </c>
      <c r="K11" s="522"/>
      <c r="L11" s="447" t="s">
        <v>516</v>
      </c>
      <c r="M11" s="448" t="s">
        <v>516</v>
      </c>
      <c r="N11" s="449" t="s">
        <v>520</v>
      </c>
      <c r="O11" s="450" t="s">
        <v>521</v>
      </c>
      <c r="P11" s="616"/>
    </row>
    <row r="12" spans="1:16" ht="15">
      <c r="A12" s="451" t="s">
        <v>520</v>
      </c>
      <c r="B12" s="452" t="s">
        <v>522</v>
      </c>
      <c r="C12" s="453" t="s">
        <v>523</v>
      </c>
      <c r="D12" s="454" t="s">
        <v>523</v>
      </c>
      <c r="F12" s="451" t="s">
        <v>520</v>
      </c>
      <c r="G12" s="452" t="s">
        <v>522</v>
      </c>
      <c r="H12" s="453" t="s">
        <v>523</v>
      </c>
      <c r="I12" s="454" t="s">
        <v>523</v>
      </c>
      <c r="K12" s="522"/>
      <c r="L12" s="451" t="s">
        <v>520</v>
      </c>
      <c r="M12" s="452" t="s">
        <v>522</v>
      </c>
      <c r="N12" s="453" t="s">
        <v>523</v>
      </c>
      <c r="O12" s="454" t="s">
        <v>523</v>
      </c>
      <c r="P12" s="616"/>
    </row>
    <row r="13" spans="1:16" ht="15">
      <c r="A13" s="455" t="s">
        <v>524</v>
      </c>
      <c r="B13" s="456">
        <v>0.53</v>
      </c>
      <c r="C13" s="457">
        <v>5.7200000000000001E-2</v>
      </c>
      <c r="D13" s="458">
        <f>B13*C13</f>
        <v>3.0316000000000003E-2</v>
      </c>
      <c r="F13" s="455" t="s">
        <v>524</v>
      </c>
      <c r="G13" s="456">
        <v>0.51500000000000001</v>
      </c>
      <c r="H13" s="457">
        <v>5.1499999999999997E-2</v>
      </c>
      <c r="I13" s="458">
        <f>G13*H13</f>
        <v>2.6522500000000001E-2</v>
      </c>
      <c r="J13" s="19" t="s">
        <v>625</v>
      </c>
      <c r="K13" s="19"/>
      <c r="L13" s="455" t="s">
        <v>524</v>
      </c>
      <c r="M13" s="904">
        <v>0.51500000000000001</v>
      </c>
      <c r="N13" s="905">
        <v>4.9700000000000001E-2</v>
      </c>
      <c r="O13" s="902">
        <f>M13*N13</f>
        <v>2.55955E-2</v>
      </c>
      <c r="P13" s="644" t="s">
        <v>1055</v>
      </c>
    </row>
    <row r="14" spans="1:16" ht="15">
      <c r="A14" s="455" t="s">
        <v>525</v>
      </c>
      <c r="B14" s="456">
        <v>0</v>
      </c>
      <c r="C14" s="457">
        <v>0</v>
      </c>
      <c r="D14" s="458">
        <f>B14*C14</f>
        <v>0</v>
      </c>
      <c r="F14" s="455" t="s">
        <v>525</v>
      </c>
      <c r="G14" s="456">
        <v>0</v>
      </c>
      <c r="H14" s="457">
        <v>0</v>
      </c>
      <c r="I14" s="458">
        <f>G14*H14</f>
        <v>0</v>
      </c>
      <c r="J14" s="19" t="s">
        <v>625</v>
      </c>
      <c r="K14" s="19"/>
      <c r="L14" s="455" t="s">
        <v>525</v>
      </c>
      <c r="M14" s="904">
        <v>0</v>
      </c>
      <c r="N14" s="905">
        <v>0</v>
      </c>
      <c r="O14" s="902">
        <f>M14*N14</f>
        <v>0</v>
      </c>
      <c r="P14" s="644" t="s">
        <v>1055</v>
      </c>
    </row>
    <row r="15" spans="1:16" ht="15.75" thickBot="1">
      <c r="A15" s="459" t="s">
        <v>526</v>
      </c>
      <c r="B15" s="460">
        <v>0.47</v>
      </c>
      <c r="C15" s="461">
        <v>9.8000000000000004E-2</v>
      </c>
      <c r="D15" s="458">
        <f>B15*C15</f>
        <v>4.6059999999999997E-2</v>
      </c>
      <c r="F15" s="459" t="s">
        <v>526</v>
      </c>
      <c r="G15" s="460">
        <v>0.48499999999999999</v>
      </c>
      <c r="H15" s="461">
        <v>9.4E-2</v>
      </c>
      <c r="I15" s="458">
        <f>G15*H15</f>
        <v>4.5589999999999999E-2</v>
      </c>
      <c r="J15" s="19" t="s">
        <v>625</v>
      </c>
      <c r="K15" s="19"/>
      <c r="L15" s="459" t="s">
        <v>526</v>
      </c>
      <c r="M15" s="906">
        <v>0.48499999999999999</v>
      </c>
      <c r="N15" s="907">
        <v>9.4E-2</v>
      </c>
      <c r="O15" s="902">
        <f>M15*N15</f>
        <v>4.5589999999999999E-2</v>
      </c>
      <c r="P15" s="644" t="s">
        <v>1055</v>
      </c>
    </row>
    <row r="16" spans="1:16" ht="16.5" thickTop="1" thickBot="1">
      <c r="A16" s="462" t="s">
        <v>66</v>
      </c>
      <c r="B16" s="463">
        <f>SUM(B13:B15)</f>
        <v>1</v>
      </c>
      <c r="C16" s="464"/>
      <c r="D16" s="465">
        <f>SUM(D13:D15)</f>
        <v>7.6375999999999999E-2</v>
      </c>
      <c r="F16" s="462" t="s">
        <v>66</v>
      </c>
      <c r="G16" s="463">
        <f>SUM(G13:G15)</f>
        <v>1</v>
      </c>
      <c r="H16" s="464"/>
      <c r="I16" s="465">
        <f>SUM(I13:I15)</f>
        <v>7.2112499999999996E-2</v>
      </c>
      <c r="K16" s="19"/>
      <c r="L16" s="462" t="s">
        <v>66</v>
      </c>
      <c r="M16" s="463">
        <f>SUM(M13:M15)</f>
        <v>1</v>
      </c>
      <c r="N16" s="464"/>
      <c r="O16" s="903">
        <f>SUM(O13:O15)</f>
        <v>7.1185499999999999E-2</v>
      </c>
      <c r="P16" s="616"/>
    </row>
    <row r="17" spans="1:16" ht="15">
      <c r="A17" s="466"/>
      <c r="B17" s="466"/>
      <c r="C17" s="467"/>
      <c r="D17" s="467"/>
      <c r="F17" s="466"/>
      <c r="G17" s="466"/>
      <c r="H17" s="467"/>
      <c r="I17" s="467"/>
      <c r="K17" s="19"/>
      <c r="L17" s="466"/>
      <c r="M17" s="466"/>
      <c r="N17" s="467"/>
      <c r="O17" s="467"/>
      <c r="P17" s="616"/>
    </row>
    <row r="18" spans="1:16" ht="15.75" thickBot="1">
      <c r="A18" s="468"/>
      <c r="B18" s="468"/>
      <c r="C18" s="468"/>
      <c r="D18" s="468"/>
      <c r="F18" s="468"/>
      <c r="G18" s="468"/>
      <c r="H18" s="468"/>
      <c r="I18" s="468"/>
      <c r="K18" s="19"/>
      <c r="L18" s="468"/>
      <c r="M18" s="468"/>
      <c r="N18" s="468"/>
      <c r="O18" s="468"/>
      <c r="P18" s="616"/>
    </row>
    <row r="19" spans="1:16" ht="16.5" thickBot="1">
      <c r="A19" s="444" t="s">
        <v>527</v>
      </c>
      <c r="B19" s="445"/>
      <c r="C19" s="445"/>
      <c r="D19" s="446"/>
      <c r="F19" s="444" t="s">
        <v>527</v>
      </c>
      <c r="G19" s="445"/>
      <c r="H19" s="445"/>
      <c r="I19" s="446"/>
      <c r="K19" s="19"/>
      <c r="L19" s="586" t="s">
        <v>527</v>
      </c>
      <c r="M19" s="587"/>
      <c r="N19" s="587"/>
      <c r="O19" s="588"/>
      <c r="P19" s="616"/>
    </row>
    <row r="20" spans="1:16" ht="15">
      <c r="A20" s="455"/>
      <c r="B20" s="468"/>
      <c r="C20" s="468"/>
      <c r="D20" s="469"/>
      <c r="F20" s="455"/>
      <c r="G20" s="468"/>
      <c r="H20" s="468"/>
      <c r="I20" s="469"/>
      <c r="K20" s="19"/>
      <c r="L20" s="455"/>
      <c r="M20" s="468"/>
      <c r="N20" s="468"/>
      <c r="O20" s="469"/>
      <c r="P20" s="616"/>
    </row>
    <row r="21" spans="1:16" ht="15">
      <c r="A21" s="455" t="s">
        <v>528</v>
      </c>
      <c r="B21" s="468"/>
      <c r="C21" s="468"/>
      <c r="D21" s="470">
        <f>1/0.62082</f>
        <v>1.6107728488128603</v>
      </c>
      <c r="F21" s="455" t="s">
        <v>528</v>
      </c>
      <c r="G21" s="468"/>
      <c r="H21" s="468"/>
      <c r="I21" s="470">
        <f>1/0.754948</f>
        <v>1.3245945416108129</v>
      </c>
      <c r="K21" s="19"/>
      <c r="L21" s="455" t="s">
        <v>528</v>
      </c>
      <c r="M21" s="468"/>
      <c r="N21" s="468"/>
      <c r="O21" s="470">
        <f>1/0.755294</f>
        <v>1.3239877451694306</v>
      </c>
      <c r="P21" s="616" t="s">
        <v>752</v>
      </c>
    </row>
    <row r="22" spans="1:16" ht="15">
      <c r="A22" s="455"/>
      <c r="B22" s="468"/>
      <c r="C22" s="471"/>
      <c r="D22" s="469"/>
      <c r="F22" s="455"/>
      <c r="G22" s="468"/>
      <c r="H22" s="471"/>
      <c r="I22" s="469"/>
      <c r="K22" s="19"/>
      <c r="L22" s="455"/>
      <c r="M22" s="468"/>
      <c r="N22" s="471"/>
      <c r="O22" s="469"/>
      <c r="P22" s="616"/>
    </row>
    <row r="23" spans="1:16" ht="15">
      <c r="A23" s="455"/>
      <c r="B23" s="468"/>
      <c r="C23" s="471"/>
      <c r="D23" s="469"/>
      <c r="F23" s="455"/>
      <c r="G23" s="468"/>
      <c r="H23" s="471"/>
      <c r="I23" s="469"/>
      <c r="K23" s="19"/>
      <c r="L23" s="455"/>
      <c r="M23" s="468"/>
      <c r="N23" s="471"/>
      <c r="O23" s="469"/>
      <c r="P23" s="616"/>
    </row>
    <row r="24" spans="1:16" ht="15">
      <c r="A24" s="455" t="s">
        <v>529</v>
      </c>
      <c r="B24" s="468"/>
      <c r="C24" s="472" t="s">
        <v>530</v>
      </c>
      <c r="D24" s="458">
        <f>D15*D21</f>
        <v>7.4192197416320341E-2</v>
      </c>
      <c r="F24" s="455" t="s">
        <v>529</v>
      </c>
      <c r="G24" s="468"/>
      <c r="H24" s="472" t="s">
        <v>878</v>
      </c>
      <c r="I24" s="458">
        <f>I15*I21</f>
        <v>6.0388265152036956E-2</v>
      </c>
      <c r="K24" s="19"/>
      <c r="L24" s="455" t="s">
        <v>529</v>
      </c>
      <c r="M24" s="468"/>
      <c r="N24" s="472" t="s">
        <v>823</v>
      </c>
      <c r="O24" s="458">
        <f>O15*O21</f>
        <v>6.0360601302274337E-2</v>
      </c>
      <c r="P24" s="616"/>
    </row>
    <row r="25" spans="1:16" ht="15">
      <c r="A25" s="455" t="s">
        <v>524</v>
      </c>
      <c r="B25" s="468"/>
      <c r="C25" s="473"/>
      <c r="D25" s="458">
        <f>D13</f>
        <v>3.0316000000000003E-2</v>
      </c>
      <c r="F25" s="455" t="s">
        <v>524</v>
      </c>
      <c r="G25" s="468"/>
      <c r="H25" s="473"/>
      <c r="I25" s="458">
        <f>I13</f>
        <v>2.6522500000000001E-2</v>
      </c>
      <c r="K25" s="19"/>
      <c r="L25" s="455" t="s">
        <v>524</v>
      </c>
      <c r="M25" s="468"/>
      <c r="N25" s="473"/>
      <c r="O25" s="458">
        <f>O13</f>
        <v>2.55955E-2</v>
      </c>
    </row>
    <row r="26" spans="1:16" ht="15.75" thickBot="1">
      <c r="A26" s="459" t="s">
        <v>531</v>
      </c>
      <c r="B26" s="474"/>
      <c r="C26" s="475" t="s">
        <v>532</v>
      </c>
      <c r="D26" s="476">
        <f>D14*D21</f>
        <v>0</v>
      </c>
      <c r="F26" s="459" t="s">
        <v>531</v>
      </c>
      <c r="G26" s="474"/>
      <c r="H26" s="475" t="s">
        <v>822</v>
      </c>
      <c r="I26" s="476">
        <f>I14*I21</f>
        <v>0</v>
      </c>
      <c r="K26" s="19"/>
      <c r="L26" s="459" t="s">
        <v>531</v>
      </c>
      <c r="M26" s="474"/>
      <c r="N26" s="475" t="s">
        <v>822</v>
      </c>
      <c r="O26" s="476">
        <f>O14*O21</f>
        <v>0</v>
      </c>
      <c r="P26" s="616"/>
    </row>
    <row r="27" spans="1:16" ht="17.25" thickTop="1" thickBot="1">
      <c r="A27" s="462" t="s">
        <v>527</v>
      </c>
      <c r="B27" s="477"/>
      <c r="C27" s="477"/>
      <c r="D27" s="579">
        <f>SUM(D24:D26)</f>
        <v>0.10450819741632034</v>
      </c>
      <c r="F27" s="462" t="s">
        <v>527</v>
      </c>
      <c r="G27" s="477"/>
      <c r="H27" s="477"/>
      <c r="I27" s="579">
        <f>SUM(I24:I26)</f>
        <v>8.6910765152036953E-2</v>
      </c>
      <c r="K27" s="19"/>
      <c r="L27" s="462" t="s">
        <v>527</v>
      </c>
      <c r="M27" s="477"/>
      <c r="N27" s="477"/>
      <c r="O27" s="589">
        <f>SUM(O24:O26)</f>
        <v>8.5956101302274338E-2</v>
      </c>
      <c r="P27" s="616"/>
    </row>
    <row r="28" spans="1:16">
      <c r="A28" s="522"/>
      <c r="B28" s="522"/>
      <c r="C28" s="522"/>
      <c r="D28" s="522"/>
      <c r="F28" s="522"/>
      <c r="G28" s="522"/>
      <c r="H28" s="522"/>
      <c r="I28" s="522"/>
      <c r="K28" s="19"/>
      <c r="P28" s="616"/>
    </row>
    <row r="29" spans="1:16">
      <c r="A29" s="522"/>
      <c r="B29" s="522"/>
      <c r="C29" s="522"/>
      <c r="D29" s="522"/>
      <c r="F29" s="522"/>
      <c r="G29" s="522"/>
      <c r="H29" s="522"/>
      <c r="I29" s="522"/>
      <c r="K29" s="19"/>
      <c r="P29" s="616"/>
    </row>
    <row r="30" spans="1:16" ht="13.5" thickBot="1">
      <c r="A30" s="522"/>
      <c r="B30" s="522"/>
      <c r="C30" s="522"/>
      <c r="D30" s="522"/>
      <c r="E30" s="522"/>
      <c r="F30" s="522"/>
      <c r="G30" s="522"/>
      <c r="K30" s="19"/>
      <c r="P30" s="616"/>
    </row>
    <row r="31" spans="1:16">
      <c r="A31" s="478"/>
      <c r="B31" s="479"/>
      <c r="C31" s="480" t="s">
        <v>533</v>
      </c>
      <c r="D31" s="480" t="s">
        <v>534</v>
      </c>
      <c r="F31" s="478"/>
      <c r="G31" s="479"/>
      <c r="H31" s="480" t="s">
        <v>533</v>
      </c>
      <c r="I31" s="480" t="s">
        <v>534</v>
      </c>
      <c r="K31" s="19"/>
      <c r="L31" s="478"/>
      <c r="M31" s="479"/>
      <c r="N31" s="480" t="s">
        <v>533</v>
      </c>
      <c r="O31" s="480" t="s">
        <v>534</v>
      </c>
      <c r="P31" s="616"/>
    </row>
    <row r="32" spans="1:16">
      <c r="A32" s="481" t="s">
        <v>535</v>
      </c>
      <c r="B32" s="482" t="s">
        <v>536</v>
      </c>
      <c r="C32" s="482" t="s">
        <v>537</v>
      </c>
      <c r="D32" s="482" t="s">
        <v>537</v>
      </c>
      <c r="F32" s="481" t="s">
        <v>535</v>
      </c>
      <c r="G32" s="482" t="s">
        <v>536</v>
      </c>
      <c r="H32" s="482" t="s">
        <v>537</v>
      </c>
      <c r="I32" s="482" t="s">
        <v>537</v>
      </c>
      <c r="K32" s="19"/>
      <c r="L32" s="481" t="s">
        <v>535</v>
      </c>
      <c r="M32" s="482" t="s">
        <v>536</v>
      </c>
      <c r="N32" s="482" t="s">
        <v>537</v>
      </c>
      <c r="O32" s="482" t="s">
        <v>537</v>
      </c>
      <c r="P32" s="616"/>
    </row>
    <row r="33" spans="1:16" ht="13.5" thickBot="1">
      <c r="A33" s="483" t="s">
        <v>291</v>
      </c>
      <c r="B33" s="484" t="s">
        <v>290</v>
      </c>
      <c r="C33" s="484" t="s">
        <v>538</v>
      </c>
      <c r="D33" s="484" t="s">
        <v>275</v>
      </c>
      <c r="F33" s="483" t="s">
        <v>291</v>
      </c>
      <c r="G33" s="484" t="s">
        <v>290</v>
      </c>
      <c r="H33" s="484" t="s">
        <v>538</v>
      </c>
      <c r="I33" s="484" t="s">
        <v>275</v>
      </c>
      <c r="K33" s="19"/>
      <c r="L33" s="483" t="s">
        <v>291</v>
      </c>
      <c r="M33" s="484" t="s">
        <v>290</v>
      </c>
      <c r="N33" s="484" t="s">
        <v>538</v>
      </c>
      <c r="O33" s="484" t="s">
        <v>275</v>
      </c>
      <c r="P33" s="616"/>
    </row>
    <row r="34" spans="1:16" ht="13.5" thickBot="1">
      <c r="A34" s="485" t="s">
        <v>539</v>
      </c>
      <c r="B34" s="486">
        <v>20810000</v>
      </c>
      <c r="C34" s="486">
        <v>593000</v>
      </c>
      <c r="D34" s="487">
        <f>C34/B34</f>
        <v>2.8495915425276311E-2</v>
      </c>
      <c r="F34" s="557" t="s">
        <v>539</v>
      </c>
      <c r="G34" s="613">
        <v>42485000</v>
      </c>
      <c r="H34" s="613">
        <v>1386000</v>
      </c>
      <c r="I34" s="593">
        <f>H34/G34</f>
        <v>3.2623278804283867E-2</v>
      </c>
      <c r="J34" s="19" t="s">
        <v>560</v>
      </c>
      <c r="K34" s="19"/>
      <c r="L34" s="557" t="s">
        <v>539</v>
      </c>
      <c r="M34" s="613">
        <v>42569000</v>
      </c>
      <c r="N34" s="613">
        <v>909000</v>
      </c>
      <c r="O34" s="593">
        <f>N34/M34</f>
        <v>2.1353567149803847E-2</v>
      </c>
      <c r="P34" s="618" t="s">
        <v>605</v>
      </c>
    </row>
    <row r="35" spans="1:16" ht="13.5" thickBot="1">
      <c r="A35" s="560" t="s">
        <v>578</v>
      </c>
      <c r="B35" s="559"/>
      <c r="C35" s="561"/>
      <c r="D35" s="556">
        <v>0.95498899999999998</v>
      </c>
      <c r="F35" s="560" t="s">
        <v>578</v>
      </c>
      <c r="G35" s="559"/>
      <c r="H35" s="561"/>
      <c r="I35" s="614">
        <v>0.95563100000000001</v>
      </c>
      <c r="K35" s="19"/>
      <c r="L35" s="560" t="s">
        <v>578</v>
      </c>
      <c r="M35" s="559"/>
      <c r="N35" s="561"/>
      <c r="O35" s="614">
        <v>0.95606899999999995</v>
      </c>
      <c r="P35" s="616" t="s">
        <v>752</v>
      </c>
    </row>
    <row r="36" spans="1:16" s="562" customFormat="1" ht="14.25" thickTop="1" thickBot="1">
      <c r="A36" s="575" t="s">
        <v>577</v>
      </c>
      <c r="B36" s="558"/>
      <c r="C36" s="558"/>
      <c r="D36" s="574">
        <f>D34/D35</f>
        <v>2.9838998590849018E-2</v>
      </c>
      <c r="F36" s="575" t="s">
        <v>577</v>
      </c>
      <c r="G36" s="558"/>
      <c r="H36" s="558"/>
      <c r="I36" s="574">
        <f>I34/I35</f>
        <v>3.4137945299267045E-2</v>
      </c>
      <c r="J36" s="19"/>
      <c r="L36" s="575" t="s">
        <v>577</v>
      </c>
      <c r="M36" s="558"/>
      <c r="N36" s="558"/>
      <c r="O36" s="574">
        <f>O34/O35</f>
        <v>2.2334755284193764E-2</v>
      </c>
      <c r="P36" s="616"/>
    </row>
    <row r="37" spans="1:16" s="562" customFormat="1">
      <c r="H37" s="578"/>
      <c r="J37" s="19"/>
      <c r="L37" s="598"/>
      <c r="M37" s="598"/>
      <c r="N37" s="578"/>
      <c r="O37" s="598"/>
      <c r="P37" s="616"/>
    </row>
    <row r="38" spans="1:16">
      <c r="A38" s="488" t="s">
        <v>540</v>
      </c>
      <c r="B38" s="522"/>
      <c r="C38" s="522"/>
      <c r="D38" s="522"/>
      <c r="F38" s="488" t="s">
        <v>540</v>
      </c>
      <c r="G38" s="522"/>
      <c r="H38" s="522"/>
      <c r="I38" s="522"/>
      <c r="L38" s="578" t="s">
        <v>540</v>
      </c>
      <c r="P38" s="616"/>
    </row>
    <row r="39" spans="1:16">
      <c r="A39" s="522"/>
      <c r="B39" s="522"/>
      <c r="C39" s="522"/>
      <c r="D39" s="522"/>
      <c r="F39" s="522"/>
      <c r="G39" s="522"/>
      <c r="H39" s="522"/>
      <c r="I39" s="522"/>
      <c r="P39" s="616"/>
    </row>
    <row r="40" spans="1:16" ht="15.75">
      <c r="A40" s="60" t="s">
        <v>541</v>
      </c>
      <c r="B40" s="489">
        <f>D27+D36</f>
        <v>0.13434719600716935</v>
      </c>
      <c r="C40" s="522"/>
      <c r="D40" s="522"/>
      <c r="F40" s="60" t="s">
        <v>541</v>
      </c>
      <c r="G40" s="489">
        <f>I27+I36</f>
        <v>0.121048710451304</v>
      </c>
      <c r="H40" s="522"/>
      <c r="I40" s="522"/>
      <c r="L40" s="60" t="s">
        <v>541</v>
      </c>
      <c r="M40" s="489">
        <f>O27+O36</f>
        <v>0.1082908565864681</v>
      </c>
      <c r="P40" s="616"/>
    </row>
    <row r="41" spans="1:16">
      <c r="A41" s="158"/>
      <c r="B41" s="158"/>
      <c r="C41" s="158"/>
      <c r="D41" s="158"/>
      <c r="E41" s="158"/>
      <c r="F41" s="158"/>
      <c r="G41" s="158"/>
      <c r="H41" s="158"/>
      <c r="I41" s="158"/>
      <c r="J41" s="266"/>
      <c r="K41" s="158"/>
      <c r="L41" s="568"/>
      <c r="M41" s="568"/>
      <c r="N41" s="568"/>
      <c r="O41" s="568"/>
    </row>
  </sheetData>
  <pageMargins left="0.86" right="0.34" top="0.75" bottom="0.75" header="0.3" footer="0.3"/>
  <pageSetup scale="6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3:S167"/>
  <sheetViews>
    <sheetView topLeftCell="A139" workbookViewId="0">
      <selection activeCell="J173" sqref="J173"/>
    </sheetView>
  </sheetViews>
  <sheetFormatPr defaultColWidth="9.28515625" defaultRowHeight="12.75"/>
  <cols>
    <col min="1" max="1" width="11.7109375" style="403" customWidth="1"/>
    <col min="2" max="2" width="16.5703125" style="403" bestFit="1" customWidth="1"/>
    <col min="3" max="12" width="12.7109375" style="403" bestFit="1" customWidth="1"/>
    <col min="13" max="13" width="12.28515625" style="403" bestFit="1" customWidth="1"/>
    <col min="14" max="14" width="12.7109375" style="403" bestFit="1" customWidth="1"/>
    <col min="15" max="15" width="14.5703125" style="403" bestFit="1" customWidth="1"/>
    <col min="16" max="16" width="12.28515625" style="403" bestFit="1" customWidth="1"/>
    <col min="17" max="17" width="9.28515625" style="403"/>
    <col min="18" max="18" width="14" style="403" bestFit="1" customWidth="1"/>
    <col min="19" max="16384" width="9.28515625" style="403"/>
  </cols>
  <sheetData>
    <row r="3" spans="1:19">
      <c r="A3" s="403" t="s">
        <v>511</v>
      </c>
    </row>
    <row r="4" spans="1:19">
      <c r="C4" s="527" t="s">
        <v>490</v>
      </c>
      <c r="D4" s="527" t="s">
        <v>491</v>
      </c>
      <c r="E4" s="527" t="s">
        <v>492</v>
      </c>
      <c r="F4" s="527" t="s">
        <v>493</v>
      </c>
      <c r="G4" s="527" t="s">
        <v>494</v>
      </c>
      <c r="H4" s="527" t="s">
        <v>495</v>
      </c>
      <c r="I4" s="527" t="s">
        <v>484</v>
      </c>
      <c r="J4" s="527" t="s">
        <v>485</v>
      </c>
      <c r="K4" s="527" t="s">
        <v>486</v>
      </c>
      <c r="L4" s="527" t="s">
        <v>487</v>
      </c>
      <c r="M4" s="527" t="s">
        <v>488</v>
      </c>
      <c r="N4" s="527" t="s">
        <v>489</v>
      </c>
      <c r="O4" s="35" t="s">
        <v>496</v>
      </c>
    </row>
    <row r="5" spans="1:19" ht="13.5" thickBot="1">
      <c r="A5" s="403" t="s">
        <v>497</v>
      </c>
    </row>
    <row r="6" spans="1:19">
      <c r="A6" s="758"/>
      <c r="B6" s="759" t="s">
        <v>687</v>
      </c>
      <c r="C6" s="760"/>
      <c r="D6" s="760"/>
      <c r="E6" s="760"/>
      <c r="F6" s="760"/>
      <c r="G6" s="760"/>
      <c r="H6" s="760"/>
      <c r="I6" s="760"/>
      <c r="J6" s="760"/>
      <c r="K6" s="760"/>
      <c r="L6" s="760"/>
      <c r="M6" s="760"/>
      <c r="N6" s="760"/>
      <c r="O6" s="761"/>
      <c r="P6" s="762"/>
    </row>
    <row r="7" spans="1:19">
      <c r="A7" s="763"/>
      <c r="B7" s="568" t="s">
        <v>498</v>
      </c>
      <c r="C7" s="764">
        <f>'REVRUNS 12ME1219'!D61+'REVRUNS 12ME1219'!D76</f>
        <v>150521497.73298001</v>
      </c>
      <c r="D7" s="764">
        <f>'REVRUNS 12ME1219'!E61+'REVRUNS 12ME1219'!E76</f>
        <v>142827945.669</v>
      </c>
      <c r="E7" s="764">
        <f>'REVRUNS 12ME1219'!F61+'REVRUNS 12ME1219'!F76</f>
        <v>150371493.72187999</v>
      </c>
      <c r="F7" s="764">
        <f>'REVRUNS 12ME1219'!G61+'REVRUNS 12ME1219'!G76</f>
        <v>133502792.49804001</v>
      </c>
      <c r="G7" s="764">
        <f>'REVRUNS 12ME1219'!H61+'REVRUNS 12ME1219'!H76</f>
        <v>126403425.97394</v>
      </c>
      <c r="H7" s="764">
        <f>'REVRUNS 12ME1219'!I61+'REVRUNS 12ME1219'!I76</f>
        <v>121620287.59674999</v>
      </c>
      <c r="I7" s="764">
        <f>'REVRUNS 12ME1219'!J61+'REVRUNS 12ME1219'!J76</f>
        <v>127081653.93531999</v>
      </c>
      <c r="J7" s="764">
        <f>'REVRUNS 12ME1219'!K61+'REVRUNS 12ME1219'!K76</f>
        <v>132306245.95862</v>
      </c>
      <c r="K7" s="764">
        <f>'REVRUNS 12ME1219'!L61+'REVRUNS 12ME1219'!L76</f>
        <v>128702746.16773</v>
      </c>
      <c r="L7" s="764">
        <f>'REVRUNS 12ME1219'!M61+'REVRUNS 12ME1219'!M76</f>
        <v>131517034.25931001</v>
      </c>
      <c r="M7" s="764">
        <f>'REVRUNS 12ME1219'!N61+'REVRUNS 12ME1219'!N76</f>
        <v>137443756.74180999</v>
      </c>
      <c r="N7" s="764">
        <f>'REVRUNS 12ME1219'!O61+'REVRUNS 12ME1219'!O76</f>
        <v>150343194.24575001</v>
      </c>
      <c r="O7" s="765">
        <f>SUM(C7:N7)</f>
        <v>1632642074.5011301</v>
      </c>
      <c r="P7" s="766"/>
      <c r="R7" s="43">
        <v>0</v>
      </c>
      <c r="S7" s="412" t="e">
        <f>R7/$R$10</f>
        <v>#DIV/0!</v>
      </c>
    </row>
    <row r="8" spans="1:19">
      <c r="A8" s="763"/>
      <c r="B8" s="568" t="s">
        <v>499</v>
      </c>
      <c r="C8" s="764">
        <f>'REVRUNS 12ME1219'!D62+'REVRUNS 12ME1219'!D77</f>
        <v>65384022.025019996</v>
      </c>
      <c r="D8" s="764">
        <f>'REVRUNS 12ME1219'!E62+'REVRUNS 12ME1219'!E77</f>
        <v>58184607.883999996</v>
      </c>
      <c r="E8" s="764">
        <f>'REVRUNS 12ME1219'!F62+'REVRUNS 12ME1219'!F77</f>
        <v>63280736.525119998</v>
      </c>
      <c r="F8" s="764">
        <f>'REVRUNS 12ME1219'!G62+'REVRUNS 12ME1219'!G77</f>
        <v>37793261.212959997</v>
      </c>
      <c r="G8" s="764">
        <f>'REVRUNS 12ME1219'!H62+'REVRUNS 12ME1219'!H77</f>
        <v>25238194.362059999</v>
      </c>
      <c r="H8" s="764">
        <f>'REVRUNS 12ME1219'!I62+'REVRUNS 12ME1219'!I77</f>
        <v>22826177.73525</v>
      </c>
      <c r="I8" s="764">
        <f>'REVRUNS 12ME1219'!J62+'REVRUNS 12ME1219'!J77</f>
        <v>30356117.66468</v>
      </c>
      <c r="J8" s="764">
        <f>'REVRUNS 12ME1219'!K62+'REVRUNS 12ME1219'!K77</f>
        <v>37629491.04738</v>
      </c>
      <c r="K8" s="764">
        <f>'REVRUNS 12ME1219'!L62+'REVRUNS 12ME1219'!L77</f>
        <v>34712830.572270006</v>
      </c>
      <c r="L8" s="764">
        <f>'REVRUNS 12ME1219'!M62+'REVRUNS 12ME1219'!M77</f>
        <v>27135846.21469</v>
      </c>
      <c r="M8" s="764">
        <f>'REVRUNS 12ME1219'!N62+'REVRUNS 12ME1219'!N77</f>
        <v>40096855.794190004</v>
      </c>
      <c r="N8" s="764">
        <f>'REVRUNS 12ME1219'!O62+'REVRUNS 12ME1219'!O77</f>
        <v>61915473.835249998</v>
      </c>
      <c r="O8" s="765">
        <f>SUM(C8:N8)</f>
        <v>504553614.87287003</v>
      </c>
      <c r="P8" s="766"/>
      <c r="R8" s="43">
        <v>0</v>
      </c>
      <c r="S8" s="412" t="e">
        <f>R8/$R$10</f>
        <v>#DIV/0!</v>
      </c>
    </row>
    <row r="9" spans="1:19">
      <c r="A9" s="763"/>
      <c r="B9" s="568" t="s">
        <v>510</v>
      </c>
      <c r="C9" s="764">
        <f>'REVRUNS 12ME1219'!D63+'REVRUNS 12ME1219'!D78</f>
        <v>52519538.243000001</v>
      </c>
      <c r="D9" s="764">
        <f>'REVRUNS 12ME1219'!E63+'REVRUNS 12ME1219'!E78</f>
        <v>47451088.742000006</v>
      </c>
      <c r="E9" s="764">
        <f>'REVRUNS 12ME1219'!F63+'REVRUNS 12ME1219'!F78</f>
        <v>58442474.133000001</v>
      </c>
      <c r="F9" s="764">
        <f>'REVRUNS 12ME1219'!G63+'REVRUNS 12ME1219'!G78</f>
        <v>17961335.528000001</v>
      </c>
      <c r="G9" s="764">
        <f>'REVRUNS 12ME1219'!H63+'REVRUNS 12ME1219'!H78</f>
        <v>7495673.9060000004</v>
      </c>
      <c r="H9" s="764">
        <f>'REVRUNS 12ME1219'!I63+'REVRUNS 12ME1219'!I78</f>
        <v>6194426.0250000004</v>
      </c>
      <c r="I9" s="764">
        <f>'REVRUNS 12ME1219'!J63+'REVRUNS 12ME1219'!J78</f>
        <v>9573679.7280000001</v>
      </c>
      <c r="J9" s="764">
        <f>'REVRUNS 12ME1219'!K63+'REVRUNS 12ME1219'!K78</f>
        <v>12905860.596000001</v>
      </c>
      <c r="K9" s="764">
        <f>'REVRUNS 12ME1219'!L63+'REVRUNS 12ME1219'!L78</f>
        <v>12088453.002</v>
      </c>
      <c r="L9" s="764">
        <f>'REVRUNS 12ME1219'!M63+'REVRUNS 12ME1219'!M78</f>
        <v>8337490.2230000002</v>
      </c>
      <c r="M9" s="764">
        <f>'REVRUNS 12ME1219'!N63+'REVRUNS 12ME1219'!N78</f>
        <v>19600956.425000001</v>
      </c>
      <c r="N9" s="764">
        <f>'REVRUNS 12ME1219'!O63+'REVRUNS 12ME1219'!O78</f>
        <v>46502343.906000003</v>
      </c>
      <c r="O9" s="765">
        <f>SUM(C9:N9)</f>
        <v>299073320.45700002</v>
      </c>
      <c r="P9" s="766"/>
      <c r="R9" s="411">
        <v>0</v>
      </c>
      <c r="S9" s="413" t="e">
        <f>R9/$R$10</f>
        <v>#DIV/0!</v>
      </c>
    </row>
    <row r="10" spans="1:19">
      <c r="A10" s="763" t="s">
        <v>500</v>
      </c>
      <c r="B10" s="713" t="s">
        <v>66</v>
      </c>
      <c r="C10" s="407">
        <f>SUM(C7:C9)</f>
        <v>268425058.00100002</v>
      </c>
      <c r="D10" s="407">
        <f t="shared" ref="D10:O10" si="0">SUM(D7:D9)</f>
        <v>248463642.29500002</v>
      </c>
      <c r="E10" s="407">
        <f t="shared" si="0"/>
        <v>272094704.38</v>
      </c>
      <c r="F10" s="407">
        <f t="shared" si="0"/>
        <v>189257389.23899999</v>
      </c>
      <c r="G10" s="407">
        <f t="shared" si="0"/>
        <v>159137294.24199998</v>
      </c>
      <c r="H10" s="407">
        <f t="shared" si="0"/>
        <v>150640891.35699999</v>
      </c>
      <c r="I10" s="407">
        <f t="shared" si="0"/>
        <v>167011451.32800001</v>
      </c>
      <c r="J10" s="407">
        <f t="shared" si="0"/>
        <v>182841597.602</v>
      </c>
      <c r="K10" s="407">
        <f t="shared" si="0"/>
        <v>175504029.74200001</v>
      </c>
      <c r="L10" s="407">
        <f t="shared" si="0"/>
        <v>166990370.697</v>
      </c>
      <c r="M10" s="407">
        <f t="shared" si="0"/>
        <v>197141568.96100003</v>
      </c>
      <c r="N10" s="407">
        <f t="shared" si="0"/>
        <v>258761011.98699999</v>
      </c>
      <c r="O10" s="407">
        <f t="shared" si="0"/>
        <v>2436269009.8310003</v>
      </c>
      <c r="P10" s="766"/>
      <c r="R10" s="43">
        <f>SUM(R7:R9)</f>
        <v>0</v>
      </c>
      <c r="S10" s="84" t="e">
        <f>SUM(S7:S9)</f>
        <v>#DIV/0!</v>
      </c>
    </row>
    <row r="11" spans="1:19">
      <c r="A11" s="763"/>
      <c r="B11" s="568" t="s">
        <v>501</v>
      </c>
      <c r="C11" s="767">
        <f>'REVRUNS 12ME1219'!C39</f>
        <v>218072</v>
      </c>
      <c r="D11" s="767">
        <f>'REVRUNS 12ME1219'!D39</f>
        <v>211902</v>
      </c>
      <c r="E11" s="767">
        <f>'REVRUNS 12ME1219'!E39</f>
        <v>222747</v>
      </c>
      <c r="F11" s="767">
        <f>'REVRUNS 12ME1219'!F39</f>
        <v>215993</v>
      </c>
      <c r="G11" s="767">
        <f>'REVRUNS 12ME1219'!G39</f>
        <v>220087</v>
      </c>
      <c r="H11" s="767">
        <f>'REVRUNS 12ME1219'!H39</f>
        <v>217384</v>
      </c>
      <c r="I11" s="767">
        <f>'REVRUNS 12ME1219'!I39</f>
        <v>217872</v>
      </c>
      <c r="J11" s="767">
        <f>'REVRUNS 12ME1219'!J39</f>
        <v>218567</v>
      </c>
      <c r="K11" s="767">
        <f>'REVRUNS 12ME1219'!K39</f>
        <v>212455</v>
      </c>
      <c r="L11" s="767">
        <f>'REVRUNS 12ME1219'!L39</f>
        <v>225200</v>
      </c>
      <c r="M11" s="767">
        <f>'REVRUNS 12ME1219'!M39</f>
        <v>219433</v>
      </c>
      <c r="N11" s="767">
        <f>'REVRUNS 12ME1219'!N39</f>
        <v>219805</v>
      </c>
      <c r="O11" s="46">
        <f>SUM(C11:N11)</f>
        <v>2619517</v>
      </c>
      <c r="P11" s="766"/>
    </row>
    <row r="12" spans="1:19">
      <c r="A12" s="763"/>
      <c r="B12" s="568" t="s">
        <v>502</v>
      </c>
      <c r="C12" s="765">
        <f>C11*800</f>
        <v>174457600</v>
      </c>
      <c r="D12" s="765">
        <f t="shared" ref="D12:N12" si="1">D11*800</f>
        <v>169521600</v>
      </c>
      <c r="E12" s="765">
        <f t="shared" si="1"/>
        <v>178197600</v>
      </c>
      <c r="F12" s="765">
        <f t="shared" si="1"/>
        <v>172794400</v>
      </c>
      <c r="G12" s="765">
        <f t="shared" si="1"/>
        <v>176069600</v>
      </c>
      <c r="H12" s="765">
        <f t="shared" si="1"/>
        <v>173907200</v>
      </c>
      <c r="I12" s="765">
        <f t="shared" si="1"/>
        <v>174297600</v>
      </c>
      <c r="J12" s="765">
        <f t="shared" si="1"/>
        <v>174853600</v>
      </c>
      <c r="K12" s="765">
        <f t="shared" si="1"/>
        <v>169964000</v>
      </c>
      <c r="L12" s="765">
        <f t="shared" si="1"/>
        <v>180160000</v>
      </c>
      <c r="M12" s="765">
        <f t="shared" si="1"/>
        <v>175546400</v>
      </c>
      <c r="N12" s="765">
        <f t="shared" si="1"/>
        <v>175844000</v>
      </c>
      <c r="O12" s="46">
        <f>SUM(C12:N12)</f>
        <v>2095613600</v>
      </c>
      <c r="P12" s="766"/>
    </row>
    <row r="13" spans="1:19">
      <c r="A13" s="763"/>
      <c r="B13" s="568" t="s">
        <v>95</v>
      </c>
      <c r="C13" s="767">
        <f>'REVRUNS 12ME1219'!D333</f>
        <v>268421353.00100002</v>
      </c>
      <c r="D13" s="767">
        <f>'REVRUNS 12ME1219'!E333</f>
        <v>248463642.29500002</v>
      </c>
      <c r="E13" s="767">
        <f>'REVRUNS 12ME1219'!F333</f>
        <v>272094704.38</v>
      </c>
      <c r="F13" s="767">
        <f>'REVRUNS 12ME1219'!G333</f>
        <v>189257389.23899999</v>
      </c>
      <c r="G13" s="767">
        <f>'REVRUNS 12ME1219'!H333</f>
        <v>159137014.24199998</v>
      </c>
      <c r="H13" s="767">
        <f>'REVRUNS 12ME1219'!I333</f>
        <v>150640891.35699999</v>
      </c>
      <c r="I13" s="767">
        <f>'REVRUNS 12ME1219'!J333</f>
        <v>167011451.32799998</v>
      </c>
      <c r="J13" s="767">
        <f>'REVRUNS 12ME1219'!K333</f>
        <v>182841597.602</v>
      </c>
      <c r="K13" s="767">
        <f>'REVRUNS 12ME1219'!L333</f>
        <v>175504029.74200001</v>
      </c>
      <c r="L13" s="767">
        <f>'REVRUNS 12ME1219'!M333</f>
        <v>166990370.697</v>
      </c>
      <c r="M13" s="767">
        <f>'REVRUNS 12ME1219'!N333</f>
        <v>197141568.961</v>
      </c>
      <c r="N13" s="767">
        <f>'REVRUNS 12ME1219'!O333</f>
        <v>258761011.98700002</v>
      </c>
      <c r="O13" s="46">
        <f>SUM(C13:N13)</f>
        <v>2436265024.8310003</v>
      </c>
      <c r="P13" s="766"/>
    </row>
    <row r="14" spans="1:19">
      <c r="A14" s="763"/>
      <c r="B14" s="568" t="s">
        <v>513</v>
      </c>
      <c r="C14" s="765">
        <f>C13-C10</f>
        <v>-3705</v>
      </c>
      <c r="D14" s="765">
        <f t="shared" ref="D14:N14" si="2">D13-D10</f>
        <v>0</v>
      </c>
      <c r="E14" s="765">
        <f t="shared" si="2"/>
        <v>0</v>
      </c>
      <c r="F14" s="765">
        <f t="shared" si="2"/>
        <v>0</v>
      </c>
      <c r="G14" s="765">
        <f t="shared" si="2"/>
        <v>-280</v>
      </c>
      <c r="H14" s="765">
        <f t="shared" si="2"/>
        <v>0</v>
      </c>
      <c r="I14" s="768">
        <f t="shared" si="2"/>
        <v>0</v>
      </c>
      <c r="J14" s="768">
        <f t="shared" si="2"/>
        <v>0</v>
      </c>
      <c r="K14" s="768">
        <f t="shared" si="2"/>
        <v>0</v>
      </c>
      <c r="L14" s="768">
        <f t="shared" si="2"/>
        <v>0</v>
      </c>
      <c r="M14" s="768">
        <f t="shared" si="2"/>
        <v>0</v>
      </c>
      <c r="N14" s="768">
        <f t="shared" si="2"/>
        <v>0</v>
      </c>
      <c r="O14" s="46">
        <f>SUM(C14:N14)</f>
        <v>-3985</v>
      </c>
      <c r="P14" s="769">
        <f>O14/O13</f>
        <v>-1.6357005331455812E-6</v>
      </c>
    </row>
    <row r="15" spans="1:19">
      <c r="A15" s="763"/>
      <c r="B15" s="568"/>
      <c r="C15" s="765"/>
      <c r="D15" s="765"/>
      <c r="E15" s="765"/>
      <c r="F15" s="765"/>
      <c r="G15" s="765"/>
      <c r="H15" s="765"/>
      <c r="I15" s="768"/>
      <c r="J15" s="768"/>
      <c r="K15" s="768"/>
      <c r="L15" s="768"/>
      <c r="M15" s="768"/>
      <c r="N15" s="768"/>
      <c r="O15" s="46"/>
      <c r="P15" s="769"/>
    </row>
    <row r="16" spans="1:19">
      <c r="A16" s="763"/>
      <c r="B16" s="568" t="s">
        <v>498</v>
      </c>
      <c r="C16" s="410">
        <f>(C7/C$10)*C$14</f>
        <v>-2077.6083770041073</v>
      </c>
      <c r="D16" s="410">
        <f>(D7/D$10)*D$14</f>
        <v>0</v>
      </c>
      <c r="E16" s="410">
        <f>(E7/E$10)*E$14</f>
        <v>0</v>
      </c>
      <c r="F16" s="410">
        <f>(F7/F$10)*F$14</f>
        <v>0</v>
      </c>
      <c r="G16" s="410">
        <f>(G7/G$10)*G$14</f>
        <v>-222.40518441190252</v>
      </c>
      <c r="H16" s="410">
        <f t="shared" ref="H16:N16" si="3">(H7/H$10)*H$14</f>
        <v>0</v>
      </c>
      <c r="I16" s="410">
        <f t="shared" si="3"/>
        <v>0</v>
      </c>
      <c r="J16" s="410">
        <f t="shared" si="3"/>
        <v>0</v>
      </c>
      <c r="K16" s="410">
        <f t="shared" si="3"/>
        <v>0</v>
      </c>
      <c r="L16" s="410">
        <f t="shared" si="3"/>
        <v>0</v>
      </c>
      <c r="M16" s="410">
        <f>(M7/M$10)*M$14</f>
        <v>0</v>
      </c>
      <c r="N16" s="410">
        <f t="shared" si="3"/>
        <v>0</v>
      </c>
      <c r="O16" s="410">
        <f>SUM(C16:N16)</f>
        <v>-2300.0135614160099</v>
      </c>
      <c r="P16" s="769"/>
    </row>
    <row r="17" spans="1:19">
      <c r="A17" s="763"/>
      <c r="B17" s="568" t="s">
        <v>499</v>
      </c>
      <c r="C17" s="410">
        <f t="shared" ref="C17:F18" si="4">(C8/C$10)*C$14</f>
        <v>-902.47834314260103</v>
      </c>
      <c r="D17" s="410">
        <f t="shared" si="4"/>
        <v>0</v>
      </c>
      <c r="E17" s="410">
        <f t="shared" si="4"/>
        <v>0</v>
      </c>
      <c r="F17" s="410">
        <f t="shared" si="4"/>
        <v>0</v>
      </c>
      <c r="G17" s="410">
        <f t="shared" ref="G17:N17" si="5">(G8/G$10)*G$14</f>
        <v>-44.406274814692289</v>
      </c>
      <c r="H17" s="410">
        <f t="shared" si="5"/>
        <v>0</v>
      </c>
      <c r="I17" s="410">
        <f t="shared" si="5"/>
        <v>0</v>
      </c>
      <c r="J17" s="410">
        <f t="shared" si="5"/>
        <v>0</v>
      </c>
      <c r="K17" s="410">
        <f t="shared" si="5"/>
        <v>0</v>
      </c>
      <c r="L17" s="410">
        <f t="shared" si="5"/>
        <v>0</v>
      </c>
      <c r="M17" s="410">
        <f t="shared" si="5"/>
        <v>0</v>
      </c>
      <c r="N17" s="410">
        <f t="shared" si="5"/>
        <v>0</v>
      </c>
      <c r="O17" s="410">
        <f>SUM(C17:N17)</f>
        <v>-946.88461795729336</v>
      </c>
      <c r="P17" s="769"/>
    </row>
    <row r="18" spans="1:19">
      <c r="A18" s="763"/>
      <c r="B18" s="568" t="s">
        <v>510</v>
      </c>
      <c r="C18" s="409">
        <f t="shared" si="4"/>
        <v>-724.91327985329178</v>
      </c>
      <c r="D18" s="409">
        <f t="shared" si="4"/>
        <v>0</v>
      </c>
      <c r="E18" s="409">
        <f t="shared" si="4"/>
        <v>0</v>
      </c>
      <c r="F18" s="409">
        <f t="shared" si="4"/>
        <v>0</v>
      </c>
      <c r="G18" s="409">
        <f t="shared" ref="G18:N18" si="6">(G9/G$10)*G$14</f>
        <v>-13.188540773405219</v>
      </c>
      <c r="H18" s="409">
        <f t="shared" si="6"/>
        <v>0</v>
      </c>
      <c r="I18" s="409">
        <f t="shared" si="6"/>
        <v>0</v>
      </c>
      <c r="J18" s="409">
        <f t="shared" si="6"/>
        <v>0</v>
      </c>
      <c r="K18" s="409">
        <f t="shared" si="6"/>
        <v>0</v>
      </c>
      <c r="L18" s="409">
        <f t="shared" si="6"/>
        <v>0</v>
      </c>
      <c r="M18" s="409">
        <f t="shared" si="6"/>
        <v>0</v>
      </c>
      <c r="N18" s="409">
        <f t="shared" si="6"/>
        <v>0</v>
      </c>
      <c r="O18" s="409">
        <f>SUM(C18:N18)</f>
        <v>-738.10182062669696</v>
      </c>
      <c r="P18" s="769"/>
    </row>
    <row r="19" spans="1:19">
      <c r="A19" s="763"/>
      <c r="B19" s="568"/>
      <c r="C19" s="410">
        <f t="shared" ref="C19:O19" si="7">SUM(C16:C18)</f>
        <v>-3705</v>
      </c>
      <c r="D19" s="410">
        <f t="shared" si="7"/>
        <v>0</v>
      </c>
      <c r="E19" s="410">
        <f t="shared" si="7"/>
        <v>0</v>
      </c>
      <c r="F19" s="410">
        <f t="shared" si="7"/>
        <v>0</v>
      </c>
      <c r="G19" s="410">
        <f t="shared" si="7"/>
        <v>-280.00000000000006</v>
      </c>
      <c r="H19" s="410">
        <f t="shared" si="7"/>
        <v>0</v>
      </c>
      <c r="I19" s="410">
        <f t="shared" si="7"/>
        <v>0</v>
      </c>
      <c r="J19" s="410">
        <f t="shared" si="7"/>
        <v>0</v>
      </c>
      <c r="K19" s="410">
        <f t="shared" si="7"/>
        <v>0</v>
      </c>
      <c r="L19" s="410">
        <f t="shared" si="7"/>
        <v>0</v>
      </c>
      <c r="M19" s="410">
        <f t="shared" si="7"/>
        <v>0</v>
      </c>
      <c r="N19" s="410">
        <f t="shared" si="7"/>
        <v>0</v>
      </c>
      <c r="O19" s="410">
        <f t="shared" si="7"/>
        <v>-3985</v>
      </c>
      <c r="P19" s="769"/>
    </row>
    <row r="20" spans="1:19">
      <c r="A20" s="763"/>
      <c r="B20" s="568"/>
      <c r="C20" s="410"/>
      <c r="D20" s="410"/>
      <c r="E20" s="410"/>
      <c r="F20" s="410"/>
      <c r="G20" s="410"/>
      <c r="H20" s="410"/>
      <c r="I20" s="410"/>
      <c r="J20" s="410"/>
      <c r="K20" s="410"/>
      <c r="L20" s="410"/>
      <c r="M20" s="410"/>
      <c r="N20" s="410"/>
      <c r="O20" s="410"/>
      <c r="P20" s="769"/>
    </row>
    <row r="21" spans="1:19">
      <c r="A21" s="763"/>
      <c r="B21" s="568" t="s">
        <v>498</v>
      </c>
      <c r="C21" s="410">
        <f>C7+C16</f>
        <v>150519420.124603</v>
      </c>
      <c r="D21" s="410">
        <f>D7+D16</f>
        <v>142827945.669</v>
      </c>
      <c r="E21" s="410">
        <f>E7+E16</f>
        <v>150371493.72187999</v>
      </c>
      <c r="F21" s="410">
        <f>F7+F16</f>
        <v>133502792.49804001</v>
      </c>
      <c r="G21" s="410">
        <f>G7+G16</f>
        <v>126403203.56875558</v>
      </c>
      <c r="H21" s="410">
        <f t="shared" ref="H21:N21" si="8">H7+H16</f>
        <v>121620287.59674999</v>
      </c>
      <c r="I21" s="410">
        <f t="shared" si="8"/>
        <v>127081653.93531999</v>
      </c>
      <c r="J21" s="410">
        <f t="shared" si="8"/>
        <v>132306245.95862</v>
      </c>
      <c r="K21" s="410">
        <f t="shared" si="8"/>
        <v>128702746.16773</v>
      </c>
      <c r="L21" s="410">
        <f t="shared" si="8"/>
        <v>131517034.25931001</v>
      </c>
      <c r="M21" s="410">
        <f t="shared" si="8"/>
        <v>137443756.74180999</v>
      </c>
      <c r="N21" s="410">
        <f t="shared" si="8"/>
        <v>150343194.24575001</v>
      </c>
      <c r="O21" s="410">
        <f>SUM(C21:N21)</f>
        <v>1632639774.4875689</v>
      </c>
      <c r="P21" s="769"/>
    </row>
    <row r="22" spans="1:19">
      <c r="A22" s="763"/>
      <c r="B22" s="568" t="s">
        <v>499</v>
      </c>
      <c r="C22" s="410">
        <f t="shared" ref="C22:F23" si="9">C8+C17</f>
        <v>65383119.546676852</v>
      </c>
      <c r="D22" s="410">
        <f t="shared" si="9"/>
        <v>58184607.883999996</v>
      </c>
      <c r="E22" s="410">
        <f t="shared" si="9"/>
        <v>63280736.525119998</v>
      </c>
      <c r="F22" s="410">
        <f t="shared" si="9"/>
        <v>37793261.212959997</v>
      </c>
      <c r="G22" s="410">
        <f t="shared" ref="G22:N22" si="10">G8+G17</f>
        <v>25238149.955785185</v>
      </c>
      <c r="H22" s="410">
        <f t="shared" si="10"/>
        <v>22826177.73525</v>
      </c>
      <c r="I22" s="410">
        <f t="shared" si="10"/>
        <v>30356117.66468</v>
      </c>
      <c r="J22" s="410">
        <f t="shared" si="10"/>
        <v>37629491.04738</v>
      </c>
      <c r="K22" s="410">
        <f t="shared" si="10"/>
        <v>34712830.572270006</v>
      </c>
      <c r="L22" s="410">
        <f t="shared" si="10"/>
        <v>27135846.21469</v>
      </c>
      <c r="M22" s="410">
        <f t="shared" si="10"/>
        <v>40096855.794190004</v>
      </c>
      <c r="N22" s="410">
        <f t="shared" si="10"/>
        <v>61915473.835249998</v>
      </c>
      <c r="O22" s="410">
        <f>SUM(C22:N22)</f>
        <v>504552667.9882521</v>
      </c>
      <c r="P22" s="769"/>
    </row>
    <row r="23" spans="1:19">
      <c r="A23" s="763"/>
      <c r="B23" s="568" t="s">
        <v>510</v>
      </c>
      <c r="C23" s="409">
        <f t="shared" si="9"/>
        <v>52518813.329720147</v>
      </c>
      <c r="D23" s="409">
        <f t="shared" si="9"/>
        <v>47451088.742000006</v>
      </c>
      <c r="E23" s="409">
        <f t="shared" si="9"/>
        <v>58442474.133000001</v>
      </c>
      <c r="F23" s="409">
        <f t="shared" si="9"/>
        <v>17961335.528000001</v>
      </c>
      <c r="G23" s="409">
        <f t="shared" ref="G23:N23" si="11">G9+G18</f>
        <v>7495660.717459227</v>
      </c>
      <c r="H23" s="409">
        <f t="shared" si="11"/>
        <v>6194426.0250000004</v>
      </c>
      <c r="I23" s="409">
        <f t="shared" si="11"/>
        <v>9573679.7280000001</v>
      </c>
      <c r="J23" s="409">
        <f t="shared" si="11"/>
        <v>12905860.596000001</v>
      </c>
      <c r="K23" s="409">
        <f t="shared" si="11"/>
        <v>12088453.002</v>
      </c>
      <c r="L23" s="409">
        <f t="shared" si="11"/>
        <v>8337490.2230000002</v>
      </c>
      <c r="M23" s="409">
        <f t="shared" si="11"/>
        <v>19600956.425000001</v>
      </c>
      <c r="N23" s="409">
        <f t="shared" si="11"/>
        <v>46502343.906000003</v>
      </c>
      <c r="O23" s="409">
        <f>SUM(C23:N23)</f>
        <v>299072582.35517937</v>
      </c>
      <c r="P23" s="769"/>
    </row>
    <row r="24" spans="1:19">
      <c r="A24" s="763"/>
      <c r="B24" s="568"/>
      <c r="C24" s="410">
        <f t="shared" ref="C24:O24" si="12">SUM(C21:C23)</f>
        <v>268421353.00099999</v>
      </c>
      <c r="D24" s="410">
        <f t="shared" si="12"/>
        <v>248463642.29500002</v>
      </c>
      <c r="E24" s="410">
        <f t="shared" si="12"/>
        <v>272094704.38</v>
      </c>
      <c r="F24" s="410">
        <f t="shared" si="12"/>
        <v>189257389.23899999</v>
      </c>
      <c r="G24" s="410">
        <f t="shared" si="12"/>
        <v>159137014.24200001</v>
      </c>
      <c r="H24" s="410">
        <f t="shared" si="12"/>
        <v>150640891.35699999</v>
      </c>
      <c r="I24" s="410">
        <f t="shared" si="12"/>
        <v>167011451.32800001</v>
      </c>
      <c r="J24" s="410">
        <f t="shared" si="12"/>
        <v>182841597.602</v>
      </c>
      <c r="K24" s="410">
        <f t="shared" si="12"/>
        <v>175504029.74200001</v>
      </c>
      <c r="L24" s="410">
        <f t="shared" si="12"/>
        <v>166990370.697</v>
      </c>
      <c r="M24" s="410">
        <f t="shared" si="12"/>
        <v>197141568.96100003</v>
      </c>
      <c r="N24" s="410">
        <f t="shared" si="12"/>
        <v>258761011.98699999</v>
      </c>
      <c r="O24" s="410">
        <f t="shared" si="12"/>
        <v>2436265024.8310003</v>
      </c>
      <c r="P24" s="769"/>
    </row>
    <row r="25" spans="1:19">
      <c r="A25" s="763"/>
      <c r="B25" s="568"/>
      <c r="C25" s="765">
        <f t="shared" ref="C25:O25" si="13">C24-C13</f>
        <v>0</v>
      </c>
      <c r="D25" s="765">
        <f t="shared" si="13"/>
        <v>0</v>
      </c>
      <c r="E25" s="765">
        <f t="shared" si="13"/>
        <v>0</v>
      </c>
      <c r="F25" s="765">
        <f t="shared" si="13"/>
        <v>0</v>
      </c>
      <c r="G25" s="765">
        <f t="shared" si="13"/>
        <v>0</v>
      </c>
      <c r="H25" s="765">
        <f t="shared" si="13"/>
        <v>0</v>
      </c>
      <c r="I25" s="765">
        <f t="shared" si="13"/>
        <v>0</v>
      </c>
      <c r="J25" s="765">
        <f t="shared" si="13"/>
        <v>0</v>
      </c>
      <c r="K25" s="765">
        <f t="shared" si="13"/>
        <v>0</v>
      </c>
      <c r="L25" s="765">
        <f t="shared" si="13"/>
        <v>0</v>
      </c>
      <c r="M25" s="765">
        <f t="shared" si="13"/>
        <v>0</v>
      </c>
      <c r="N25" s="765">
        <f t="shared" si="13"/>
        <v>0</v>
      </c>
      <c r="O25" s="765">
        <f t="shared" si="13"/>
        <v>0</v>
      </c>
      <c r="P25" s="769"/>
    </row>
    <row r="26" spans="1:19" ht="13.5" thickBot="1">
      <c r="A26" s="770"/>
      <c r="B26" s="558"/>
      <c r="C26" s="771"/>
      <c r="D26" s="771"/>
      <c r="E26" s="771"/>
      <c r="F26" s="771"/>
      <c r="G26" s="771"/>
      <c r="H26" s="771"/>
      <c r="I26" s="772"/>
      <c r="J26" s="772"/>
      <c r="K26" s="772"/>
      <c r="L26" s="772"/>
      <c r="M26" s="772"/>
      <c r="N26" s="772"/>
      <c r="O26" s="773"/>
      <c r="P26" s="774"/>
    </row>
    <row r="27" spans="1:19">
      <c r="A27" s="758"/>
      <c r="B27" s="759" t="s">
        <v>503</v>
      </c>
      <c r="C27" s="775"/>
      <c r="D27" s="775"/>
      <c r="E27" s="775"/>
      <c r="F27" s="775"/>
      <c r="G27" s="775"/>
      <c r="H27" s="775"/>
      <c r="I27" s="775"/>
      <c r="J27" s="775"/>
      <c r="K27" s="775"/>
      <c r="L27" s="775"/>
      <c r="M27" s="775"/>
      <c r="N27" s="775"/>
      <c r="O27" s="760"/>
      <c r="P27" s="762"/>
    </row>
    <row r="28" spans="1:19">
      <c r="A28" s="763"/>
      <c r="B28" s="568" t="s">
        <v>498</v>
      </c>
      <c r="C28" s="764">
        <f>'REVRUNS 12ME1219'!D94+'REVRUNS 12ME1219'!D108</f>
        <v>41056435.984030001</v>
      </c>
      <c r="D28" s="764">
        <f>'REVRUNS 12ME1219'!E94+'REVRUNS 12ME1219'!E108</f>
        <v>39763617.713320002</v>
      </c>
      <c r="E28" s="764">
        <f>'REVRUNS 12ME1219'!F94+'REVRUNS 12ME1219'!F108</f>
        <v>42055458.346959993</v>
      </c>
      <c r="F28" s="764">
        <f>'REVRUNS 12ME1219'!G94+'REVRUNS 12ME1219'!G108</f>
        <v>36076227.193340003</v>
      </c>
      <c r="G28" s="764">
        <f>'REVRUNS 12ME1219'!H94+'REVRUNS 12ME1219'!H108</f>
        <v>33095003.359000001</v>
      </c>
      <c r="H28" s="764">
        <f>'REVRUNS 12ME1219'!I94+'REVRUNS 12ME1219'!I108</f>
        <v>32197046.79135</v>
      </c>
      <c r="I28" s="764">
        <f>'REVRUNS 12ME1219'!J94+'REVRUNS 12ME1219'!J108</f>
        <v>33106582.694670003</v>
      </c>
      <c r="J28" s="764">
        <f>'REVRUNS 12ME1219'!K94+'REVRUNS 12ME1219'!K108</f>
        <v>34260890.127690002</v>
      </c>
      <c r="K28" s="764">
        <f>'REVRUNS 12ME1219'!L94+'REVRUNS 12ME1219'!L108</f>
        <v>34103766.51399</v>
      </c>
      <c r="L28" s="764">
        <f>'REVRUNS 12ME1219'!M94+'REVRUNS 12ME1219'!M108</f>
        <v>33751385.560860001</v>
      </c>
      <c r="M28" s="764">
        <f>'REVRUNS 12ME1219'!N94+'REVRUNS 12ME1219'!N108</f>
        <v>35753840.165299997</v>
      </c>
      <c r="N28" s="764">
        <f>'REVRUNS 12ME1219'!O94+'REVRUNS 12ME1219'!O108</f>
        <v>40759038.567329995</v>
      </c>
      <c r="O28" s="765">
        <f>SUM(C28:N28)</f>
        <v>435979293.01783997</v>
      </c>
      <c r="P28" s="766"/>
      <c r="R28" s="43">
        <v>0</v>
      </c>
      <c r="S28" s="412" t="e">
        <f>R28/$R$30</f>
        <v>#DIV/0!</v>
      </c>
    </row>
    <row r="29" spans="1:19">
      <c r="A29" s="763"/>
      <c r="B29" s="568" t="s">
        <v>499</v>
      </c>
      <c r="C29" s="764">
        <f>'REVRUNS 12ME1219'!D95+'REVRUNS 12ME1219'!D109</f>
        <v>18863891.138969999</v>
      </c>
      <c r="D29" s="764">
        <f>'REVRUNS 12ME1219'!E95+'REVRUNS 12ME1219'!E109</f>
        <v>18075870.773680001</v>
      </c>
      <c r="E29" s="764">
        <f>'REVRUNS 12ME1219'!F95+'REVRUNS 12ME1219'!F109</f>
        <v>19521502.077040002</v>
      </c>
      <c r="F29" s="764">
        <f>'REVRUNS 12ME1219'!G95+'REVRUNS 12ME1219'!G109</f>
        <v>13893541.65466</v>
      </c>
      <c r="G29" s="764">
        <f>'REVRUNS 12ME1219'!H95+'REVRUNS 12ME1219'!H109</f>
        <v>12389114.386</v>
      </c>
      <c r="H29" s="764">
        <f>'REVRUNS 12ME1219'!I95+'REVRUNS 12ME1219'!I109</f>
        <v>13056545.66965</v>
      </c>
      <c r="I29" s="764">
        <f>'REVRUNS 12ME1219'!J95+'REVRUNS 12ME1219'!J109</f>
        <v>15296452.372329999</v>
      </c>
      <c r="J29" s="764">
        <f>'REVRUNS 12ME1219'!K95+'REVRUNS 12ME1219'!K109</f>
        <v>17003706.280309997</v>
      </c>
      <c r="K29" s="764">
        <f>'REVRUNS 12ME1219'!L95+'REVRUNS 12ME1219'!L109</f>
        <v>16997415.525010001</v>
      </c>
      <c r="L29" s="764">
        <f>'REVRUNS 12ME1219'!M95+'REVRUNS 12ME1219'!M109</f>
        <v>12773463.86014</v>
      </c>
      <c r="M29" s="764">
        <f>'REVRUNS 12ME1219'!N95+'REVRUNS 12ME1219'!N109</f>
        <v>13854869.8377</v>
      </c>
      <c r="N29" s="764">
        <f>'REVRUNS 12ME1219'!O95+'REVRUNS 12ME1219'!O109</f>
        <v>19390075.942669999</v>
      </c>
      <c r="O29" s="765">
        <f>SUM(C29:N29)</f>
        <v>191116449.51815999</v>
      </c>
      <c r="P29" s="766"/>
      <c r="R29" s="411">
        <v>0</v>
      </c>
      <c r="S29" s="413" t="e">
        <f>R29/$R$30</f>
        <v>#DIV/0!</v>
      </c>
    </row>
    <row r="30" spans="1:19">
      <c r="A30" s="763" t="s">
        <v>500</v>
      </c>
      <c r="B30" s="713" t="s">
        <v>66</v>
      </c>
      <c r="C30" s="407">
        <f t="shared" ref="C30:H30" si="14">SUM(C28:C29)</f>
        <v>59920327.122999996</v>
      </c>
      <c r="D30" s="407">
        <f t="shared" si="14"/>
        <v>57839488.487000003</v>
      </c>
      <c r="E30" s="407">
        <f t="shared" si="14"/>
        <v>61576960.423999995</v>
      </c>
      <c r="F30" s="407">
        <f t="shared" si="14"/>
        <v>49969768.848000005</v>
      </c>
      <c r="G30" s="407">
        <f t="shared" si="14"/>
        <v>45484117.745000005</v>
      </c>
      <c r="H30" s="407">
        <f t="shared" si="14"/>
        <v>45253592.460999995</v>
      </c>
      <c r="I30" s="407">
        <f>SUM(I28:I29)</f>
        <v>48403035.067000002</v>
      </c>
      <c r="J30" s="407">
        <f t="shared" ref="J30:O30" si="15">SUM(J28:J29)</f>
        <v>51264596.408</v>
      </c>
      <c r="K30" s="407">
        <f t="shared" si="15"/>
        <v>51101182.039000005</v>
      </c>
      <c r="L30" s="407">
        <f t="shared" si="15"/>
        <v>46524849.421000004</v>
      </c>
      <c r="M30" s="407">
        <f t="shared" si="15"/>
        <v>49608710.002999999</v>
      </c>
      <c r="N30" s="407">
        <f t="shared" si="15"/>
        <v>60149114.50999999</v>
      </c>
      <c r="O30" s="407">
        <f t="shared" si="15"/>
        <v>627095742.53600001</v>
      </c>
      <c r="P30" s="766"/>
      <c r="R30" s="43">
        <f>SUM(R28:R29)</f>
        <v>0</v>
      </c>
      <c r="S30" s="84" t="e">
        <f>SUM(S28:S29)</f>
        <v>#DIV/0!</v>
      </c>
    </row>
    <row r="31" spans="1:19">
      <c r="A31" s="763"/>
      <c r="B31" s="568" t="s">
        <v>95</v>
      </c>
      <c r="C31" s="533">
        <f>'REVRUNS 12ME1219'!D334</f>
        <v>59920327.122999996</v>
      </c>
      <c r="D31" s="533">
        <f>'REVRUNS 12ME1219'!E334</f>
        <v>57839488.487000003</v>
      </c>
      <c r="E31" s="533">
        <f>'REVRUNS 12ME1219'!F334</f>
        <v>61576960.423999995</v>
      </c>
      <c r="F31" s="533">
        <f>'REVRUNS 12ME1219'!G334</f>
        <v>49969768.848000005</v>
      </c>
      <c r="G31" s="533">
        <f>'REVRUNS 12ME1219'!H334</f>
        <v>45483877.745000005</v>
      </c>
      <c r="H31" s="533">
        <f>'REVRUNS 12ME1219'!I334</f>
        <v>45253592.461000003</v>
      </c>
      <c r="I31" s="533">
        <f>'REVRUNS 12ME1219'!J334</f>
        <v>48403035.067000002</v>
      </c>
      <c r="J31" s="533">
        <f>'REVRUNS 12ME1219'!K334</f>
        <v>51264596.407999992</v>
      </c>
      <c r="K31" s="533">
        <f>'REVRUNS 12ME1219'!L334</f>
        <v>51101182.038999997</v>
      </c>
      <c r="L31" s="533">
        <f>'REVRUNS 12ME1219'!M334</f>
        <v>46524849.420999996</v>
      </c>
      <c r="M31" s="533">
        <f>'REVRUNS 12ME1219'!N334</f>
        <v>49608710.002999999</v>
      </c>
      <c r="N31" s="533">
        <f>'REVRUNS 12ME1219'!O334</f>
        <v>60149114.510000005</v>
      </c>
      <c r="O31" s="765">
        <f>SUM(C31:N31)</f>
        <v>627095502.53599989</v>
      </c>
      <c r="P31" s="766"/>
    </row>
    <row r="32" spans="1:19">
      <c r="A32" s="763"/>
      <c r="B32" s="568"/>
      <c r="C32" s="46">
        <f t="shared" ref="C32:N32" si="16">C31-C30</f>
        <v>0</v>
      </c>
      <c r="D32" s="46">
        <f t="shared" si="16"/>
        <v>0</v>
      </c>
      <c r="E32" s="46">
        <f t="shared" si="16"/>
        <v>0</v>
      </c>
      <c r="F32" s="46">
        <f t="shared" si="16"/>
        <v>0</v>
      </c>
      <c r="G32" s="46">
        <f t="shared" si="16"/>
        <v>-240</v>
      </c>
      <c r="H32" s="46">
        <f t="shared" si="16"/>
        <v>0</v>
      </c>
      <c r="I32" s="46">
        <f t="shared" si="16"/>
        <v>0</v>
      </c>
      <c r="J32" s="302">
        <f t="shared" si="16"/>
        <v>0</v>
      </c>
      <c r="K32" s="46">
        <f t="shared" si="16"/>
        <v>0</v>
      </c>
      <c r="L32" s="302">
        <f t="shared" si="16"/>
        <v>0</v>
      </c>
      <c r="M32" s="46">
        <f t="shared" si="16"/>
        <v>0</v>
      </c>
      <c r="N32" s="46">
        <f t="shared" si="16"/>
        <v>0</v>
      </c>
      <c r="O32" s="765">
        <f>SUM(C32:N32)</f>
        <v>-240</v>
      </c>
      <c r="P32" s="769">
        <f>O32/O31</f>
        <v>-3.8271682547463692E-7</v>
      </c>
    </row>
    <row r="33" spans="1:18">
      <c r="A33" s="763"/>
      <c r="B33" s="568"/>
      <c r="C33" s="46"/>
      <c r="D33" s="46"/>
      <c r="E33" s="46"/>
      <c r="F33" s="46"/>
      <c r="G33" s="46"/>
      <c r="H33" s="46"/>
      <c r="I33" s="46"/>
      <c r="J33" s="302"/>
      <c r="K33" s="46"/>
      <c r="L33" s="302"/>
      <c r="M33" s="46"/>
      <c r="N33" s="46"/>
      <c r="O33" s="765"/>
      <c r="P33" s="769"/>
    </row>
    <row r="34" spans="1:18">
      <c r="A34" s="763"/>
      <c r="B34" s="568" t="s">
        <v>498</v>
      </c>
      <c r="C34" s="410">
        <f>(C28/C$30)*C$32</f>
        <v>0</v>
      </c>
      <c r="D34" s="410">
        <f t="shared" ref="D34:N34" si="17">(D28/D$30)*D$32</f>
        <v>0</v>
      </c>
      <c r="E34" s="410">
        <f t="shared" si="17"/>
        <v>0</v>
      </c>
      <c r="F34" s="410">
        <f t="shared" si="17"/>
        <v>0</v>
      </c>
      <c r="G34" s="410">
        <f t="shared" si="17"/>
        <v>-174.62800643271001</v>
      </c>
      <c r="H34" s="410">
        <f t="shared" si="17"/>
        <v>0</v>
      </c>
      <c r="I34" s="410">
        <f t="shared" si="17"/>
        <v>0</v>
      </c>
      <c r="J34" s="410">
        <f t="shared" si="17"/>
        <v>0</v>
      </c>
      <c r="K34" s="410">
        <f t="shared" si="17"/>
        <v>0</v>
      </c>
      <c r="L34" s="410">
        <f t="shared" si="17"/>
        <v>0</v>
      </c>
      <c r="M34" s="410">
        <f t="shared" si="17"/>
        <v>0</v>
      </c>
      <c r="N34" s="410">
        <f t="shared" si="17"/>
        <v>0</v>
      </c>
      <c r="O34" s="410">
        <f>SUM(C34:N34)</f>
        <v>-174.62800643271001</v>
      </c>
      <c r="P34" s="769"/>
    </row>
    <row r="35" spans="1:18">
      <c r="A35" s="763"/>
      <c r="B35" s="568" t="s">
        <v>499</v>
      </c>
      <c r="C35" s="409">
        <f t="shared" ref="C35:N35" si="18">(C29/C$30)*C$32</f>
        <v>0</v>
      </c>
      <c r="D35" s="409">
        <f t="shared" si="18"/>
        <v>0</v>
      </c>
      <c r="E35" s="409">
        <f t="shared" si="18"/>
        <v>0</v>
      </c>
      <c r="F35" s="409">
        <f t="shared" si="18"/>
        <v>0</v>
      </c>
      <c r="G35" s="409">
        <f t="shared" si="18"/>
        <v>-65.371993567289977</v>
      </c>
      <c r="H35" s="409">
        <f t="shared" si="18"/>
        <v>0</v>
      </c>
      <c r="I35" s="409">
        <f t="shared" si="18"/>
        <v>0</v>
      </c>
      <c r="J35" s="409">
        <f t="shared" si="18"/>
        <v>0</v>
      </c>
      <c r="K35" s="409">
        <f t="shared" si="18"/>
        <v>0</v>
      </c>
      <c r="L35" s="409">
        <f t="shared" si="18"/>
        <v>0</v>
      </c>
      <c r="M35" s="409">
        <f t="shared" si="18"/>
        <v>0</v>
      </c>
      <c r="N35" s="409">
        <f t="shared" si="18"/>
        <v>0</v>
      </c>
      <c r="O35" s="409">
        <f>SUM(C35:N35)</f>
        <v>-65.371993567289977</v>
      </c>
      <c r="P35" s="769"/>
    </row>
    <row r="36" spans="1:18">
      <c r="A36" s="763"/>
      <c r="B36" s="568"/>
      <c r="C36" s="410">
        <f>SUM(C34:C35)</f>
        <v>0</v>
      </c>
      <c r="D36" s="410">
        <f t="shared" ref="D36:N36" si="19">SUM(D34:D35)</f>
        <v>0</v>
      </c>
      <c r="E36" s="410">
        <f t="shared" si="19"/>
        <v>0</v>
      </c>
      <c r="F36" s="410">
        <f t="shared" si="19"/>
        <v>0</v>
      </c>
      <c r="G36" s="410">
        <f t="shared" si="19"/>
        <v>-240</v>
      </c>
      <c r="H36" s="410">
        <f t="shared" si="19"/>
        <v>0</v>
      </c>
      <c r="I36" s="410">
        <f t="shared" si="19"/>
        <v>0</v>
      </c>
      <c r="J36" s="410">
        <f t="shared" si="19"/>
        <v>0</v>
      </c>
      <c r="K36" s="410">
        <f t="shared" si="19"/>
        <v>0</v>
      </c>
      <c r="L36" s="410">
        <f t="shared" si="19"/>
        <v>0</v>
      </c>
      <c r="M36" s="410">
        <f t="shared" si="19"/>
        <v>0</v>
      </c>
      <c r="N36" s="410">
        <f t="shared" si="19"/>
        <v>0</v>
      </c>
      <c r="O36" s="410">
        <f>SUM(O34:O35)</f>
        <v>-240</v>
      </c>
      <c r="P36" s="769"/>
    </row>
    <row r="37" spans="1:18">
      <c r="A37" s="763"/>
      <c r="B37" s="568"/>
      <c r="C37" s="410"/>
      <c r="D37" s="410"/>
      <c r="E37" s="410"/>
      <c r="F37" s="410"/>
      <c r="G37" s="410"/>
      <c r="H37" s="410"/>
      <c r="I37" s="410"/>
      <c r="J37" s="410"/>
      <c r="K37" s="410"/>
      <c r="L37" s="410"/>
      <c r="M37" s="410"/>
      <c r="N37" s="410"/>
      <c r="O37" s="410"/>
      <c r="P37" s="769"/>
    </row>
    <row r="38" spans="1:18">
      <c r="A38" s="763"/>
      <c r="B38" s="568" t="s">
        <v>498</v>
      </c>
      <c r="C38" s="410">
        <f>C28+C34</f>
        <v>41056435.984030001</v>
      </c>
      <c r="D38" s="410">
        <f t="shared" ref="D38:N38" si="20">D28+D34</f>
        <v>39763617.713320002</v>
      </c>
      <c r="E38" s="410">
        <f t="shared" si="20"/>
        <v>42055458.346959993</v>
      </c>
      <c r="F38" s="410">
        <f t="shared" si="20"/>
        <v>36076227.193340003</v>
      </c>
      <c r="G38" s="410">
        <f t="shared" si="20"/>
        <v>33094828.730993569</v>
      </c>
      <c r="H38" s="410">
        <f t="shared" si="20"/>
        <v>32197046.79135</v>
      </c>
      <c r="I38" s="410">
        <f t="shared" si="20"/>
        <v>33106582.694670003</v>
      </c>
      <c r="J38" s="410">
        <f t="shared" si="20"/>
        <v>34260890.127690002</v>
      </c>
      <c r="K38" s="410">
        <f t="shared" si="20"/>
        <v>34103766.51399</v>
      </c>
      <c r="L38" s="410">
        <f t="shared" si="20"/>
        <v>33751385.560860001</v>
      </c>
      <c r="M38" s="410">
        <f t="shared" si="20"/>
        <v>35753840.165299997</v>
      </c>
      <c r="N38" s="410">
        <f t="shared" si="20"/>
        <v>40759038.567329995</v>
      </c>
      <c r="O38" s="410">
        <f>SUM(C38:N38)</f>
        <v>435979118.38983351</v>
      </c>
      <c r="P38" s="769"/>
    </row>
    <row r="39" spans="1:18">
      <c r="A39" s="763"/>
      <c r="B39" s="568" t="s">
        <v>499</v>
      </c>
      <c r="C39" s="409">
        <f>C29+C35</f>
        <v>18863891.138969999</v>
      </c>
      <c r="D39" s="409">
        <f t="shared" ref="D39:N39" si="21">D29+D35</f>
        <v>18075870.773680001</v>
      </c>
      <c r="E39" s="409">
        <f t="shared" si="21"/>
        <v>19521502.077040002</v>
      </c>
      <c r="F39" s="409">
        <f t="shared" si="21"/>
        <v>13893541.65466</v>
      </c>
      <c r="G39" s="409">
        <f t="shared" si="21"/>
        <v>12389049.014006432</v>
      </c>
      <c r="H39" s="409">
        <f t="shared" si="21"/>
        <v>13056545.66965</v>
      </c>
      <c r="I39" s="409">
        <f t="shared" si="21"/>
        <v>15296452.372329999</v>
      </c>
      <c r="J39" s="409">
        <f t="shared" si="21"/>
        <v>17003706.280309997</v>
      </c>
      <c r="K39" s="409">
        <f t="shared" si="21"/>
        <v>16997415.525010001</v>
      </c>
      <c r="L39" s="409">
        <f t="shared" si="21"/>
        <v>12773463.86014</v>
      </c>
      <c r="M39" s="409">
        <f t="shared" si="21"/>
        <v>13854869.8377</v>
      </c>
      <c r="N39" s="409">
        <f t="shared" si="21"/>
        <v>19390075.942669999</v>
      </c>
      <c r="O39" s="409">
        <f>SUM(C39:N39)</f>
        <v>191116384.14616641</v>
      </c>
      <c r="P39" s="769"/>
    </row>
    <row r="40" spans="1:18">
      <c r="A40" s="763"/>
      <c r="B40" s="568"/>
      <c r="C40" s="410">
        <f t="shared" ref="C40:O40" si="22">SUM(C38:C39)</f>
        <v>59920327.122999996</v>
      </c>
      <c r="D40" s="410">
        <f t="shared" si="22"/>
        <v>57839488.487000003</v>
      </c>
      <c r="E40" s="410">
        <f t="shared" si="22"/>
        <v>61576960.423999995</v>
      </c>
      <c r="F40" s="410">
        <f t="shared" si="22"/>
        <v>49969768.848000005</v>
      </c>
      <c r="G40" s="410">
        <f t="shared" si="22"/>
        <v>45483877.745000005</v>
      </c>
      <c r="H40" s="410">
        <f t="shared" si="22"/>
        <v>45253592.460999995</v>
      </c>
      <c r="I40" s="410">
        <f t="shared" si="22"/>
        <v>48403035.067000002</v>
      </c>
      <c r="J40" s="410">
        <f t="shared" si="22"/>
        <v>51264596.408</v>
      </c>
      <c r="K40" s="410">
        <f t="shared" si="22"/>
        <v>51101182.039000005</v>
      </c>
      <c r="L40" s="410">
        <f t="shared" si="22"/>
        <v>46524849.421000004</v>
      </c>
      <c r="M40" s="410">
        <f t="shared" si="22"/>
        <v>49608710.002999999</v>
      </c>
      <c r="N40" s="410">
        <f t="shared" si="22"/>
        <v>60149114.50999999</v>
      </c>
      <c r="O40" s="410">
        <f t="shared" si="22"/>
        <v>627095502.53599989</v>
      </c>
      <c r="P40" s="769"/>
    </row>
    <row r="41" spans="1:18">
      <c r="A41" s="763"/>
      <c r="B41" s="568"/>
      <c r="C41" s="765">
        <f t="shared" ref="C41:O41" si="23">C40-C31</f>
        <v>0</v>
      </c>
      <c r="D41" s="765">
        <f t="shared" si="23"/>
        <v>0</v>
      </c>
      <c r="E41" s="765">
        <f t="shared" si="23"/>
        <v>0</v>
      </c>
      <c r="F41" s="765">
        <f t="shared" si="23"/>
        <v>0</v>
      </c>
      <c r="G41" s="765">
        <f t="shared" si="23"/>
        <v>0</v>
      </c>
      <c r="H41" s="765">
        <f t="shared" si="23"/>
        <v>0</v>
      </c>
      <c r="I41" s="765">
        <f t="shared" si="23"/>
        <v>0</v>
      </c>
      <c r="J41" s="765">
        <f t="shared" si="23"/>
        <v>0</v>
      </c>
      <c r="K41" s="765">
        <f t="shared" si="23"/>
        <v>0</v>
      </c>
      <c r="L41" s="765">
        <f t="shared" si="23"/>
        <v>0</v>
      </c>
      <c r="M41" s="765">
        <f t="shared" si="23"/>
        <v>0</v>
      </c>
      <c r="N41" s="765">
        <f t="shared" si="23"/>
        <v>0</v>
      </c>
      <c r="O41" s="765">
        <f t="shared" si="23"/>
        <v>0</v>
      </c>
      <c r="P41" s="769"/>
    </row>
    <row r="42" spans="1:18">
      <c r="A42" s="763"/>
      <c r="B42" s="568"/>
      <c r="C42" s="46"/>
      <c r="D42" s="46"/>
      <c r="E42" s="46"/>
      <c r="F42" s="46"/>
      <c r="G42" s="46"/>
      <c r="H42" s="46"/>
      <c r="I42" s="46"/>
      <c r="J42" s="302"/>
      <c r="K42" s="46"/>
      <c r="L42" s="302"/>
      <c r="M42" s="46"/>
      <c r="N42" s="46"/>
      <c r="O42" s="765"/>
      <c r="P42" s="769"/>
    </row>
    <row r="43" spans="1:18">
      <c r="A43" s="776"/>
      <c r="B43" s="713" t="s">
        <v>503</v>
      </c>
      <c r="C43" s="777"/>
      <c r="D43" s="777"/>
      <c r="E43" s="777"/>
      <c r="F43" s="777"/>
      <c r="G43" s="777"/>
      <c r="H43" s="777"/>
      <c r="I43" s="777"/>
      <c r="J43" s="777"/>
      <c r="K43" s="777"/>
      <c r="L43" s="777"/>
      <c r="M43" s="777"/>
      <c r="N43" s="777"/>
      <c r="O43" s="568"/>
      <c r="P43" s="766"/>
    </row>
    <row r="44" spans="1:18">
      <c r="A44" s="763"/>
      <c r="B44" s="568" t="s">
        <v>498</v>
      </c>
      <c r="C44" s="764"/>
      <c r="D44" s="764"/>
      <c r="E44" s="764"/>
      <c r="F44" s="764"/>
      <c r="G44" s="764"/>
      <c r="H44" s="764"/>
      <c r="I44" s="764"/>
      <c r="J44" s="764"/>
      <c r="K44" s="764"/>
      <c r="L44" s="764"/>
      <c r="M44" s="764"/>
      <c r="N44" s="764"/>
      <c r="O44" s="765">
        <f>SUM(C44:N44)</f>
        <v>0</v>
      </c>
      <c r="P44" s="766"/>
      <c r="R44" s="43">
        <v>0</v>
      </c>
    </row>
    <row r="45" spans="1:18">
      <c r="A45" s="763"/>
      <c r="B45" s="568" t="s">
        <v>499</v>
      </c>
      <c r="C45" s="768">
        <f>('REVRUNS 12ME1219'!D411+'REVRUNS 12ME1219'!D416)/6.5</f>
        <v>33626.856923076921</v>
      </c>
      <c r="D45" s="768">
        <f>('REVRUNS 12ME1219'!E411+'REVRUNS 12ME1219'!E416)/6.5</f>
        <v>34090.753846153842</v>
      </c>
      <c r="E45" s="768">
        <f>('REVRUNS 12ME1219'!F411+'REVRUNS 12ME1219'!F416)/6.5</f>
        <v>36822.150769230771</v>
      </c>
      <c r="F45" s="768">
        <f>('REVRUNS 12ME1219'!G411+'REVRUNS 12ME1219'!G416)/6.5</f>
        <v>31433.550769230773</v>
      </c>
      <c r="G45" s="768">
        <f>('REVRUNS 12ME1219'!H411+'REVRUNS 12ME1219'!H416)/6.5</f>
        <v>32968.041538461533</v>
      </c>
      <c r="H45" s="768">
        <f>('REVRUNS 12ME1219'!I411+'REVRUNS 12ME1219'!I416)/6.5</f>
        <v>35683.461538461539</v>
      </c>
      <c r="I45" s="768">
        <f>('REVRUNS 12ME1219'!J411+'REVRUNS 12ME1219'!J416)/6.5</f>
        <v>37262.713846153842</v>
      </c>
      <c r="J45" s="768">
        <f>('REVRUNS 12ME1219'!K411+'REVRUNS 12ME1219'!K416)/6.5</f>
        <v>41140.769230769234</v>
      </c>
      <c r="K45" s="768">
        <f>('REVRUNS 12ME1219'!L411+'REVRUNS 12ME1219'!L416)/6.5</f>
        <v>41696.213846153842</v>
      </c>
      <c r="L45" s="768">
        <f>('REVRUNS 12ME1219'!M411+'REVRUNS 12ME1219'!M416)/6.5</f>
        <v>39237.326153846159</v>
      </c>
      <c r="M45" s="768">
        <f>('REVRUNS 12ME1219'!N411+'REVRUNS 12ME1219'!N416)/6.5</f>
        <v>37801.272307692314</v>
      </c>
      <c r="N45" s="768">
        <f>('REVRUNS 12ME1219'!O411+'REVRUNS 12ME1219'!O416)/6.5</f>
        <v>36544.866153846153</v>
      </c>
      <c r="O45" s="765">
        <f>SUM(C45:N45)</f>
        <v>438307.97692307696</v>
      </c>
      <c r="P45" s="778">
        <f>(O45-(('REVRUNS 12ME1219'!P411+'REVRUNS 12ME1219'!P416)/6.5))</f>
        <v>0</v>
      </c>
      <c r="R45" s="411">
        <v>0</v>
      </c>
    </row>
    <row r="46" spans="1:18">
      <c r="A46" s="763" t="s">
        <v>504</v>
      </c>
      <c r="B46" s="713" t="s">
        <v>66</v>
      </c>
      <c r="C46" s="407">
        <f t="shared" ref="C46:H46" si="24">SUM(C44:C45)</f>
        <v>33626.856923076921</v>
      </c>
      <c r="D46" s="407">
        <f t="shared" si="24"/>
        <v>34090.753846153842</v>
      </c>
      <c r="E46" s="407">
        <f t="shared" si="24"/>
        <v>36822.150769230771</v>
      </c>
      <c r="F46" s="407">
        <f t="shared" si="24"/>
        <v>31433.550769230773</v>
      </c>
      <c r="G46" s="407">
        <f t="shared" si="24"/>
        <v>32968.041538461533</v>
      </c>
      <c r="H46" s="407">
        <f t="shared" si="24"/>
        <v>35683.461538461539</v>
      </c>
      <c r="I46" s="407">
        <f>SUM(I44:I45)</f>
        <v>37262.713846153842</v>
      </c>
      <c r="J46" s="407">
        <f t="shared" ref="J46:O46" si="25">SUM(J44:J45)</f>
        <v>41140.769230769234</v>
      </c>
      <c r="K46" s="407">
        <f t="shared" si="25"/>
        <v>41696.213846153842</v>
      </c>
      <c r="L46" s="407">
        <f t="shared" si="25"/>
        <v>39237.326153846159</v>
      </c>
      <c r="M46" s="407">
        <f t="shared" si="25"/>
        <v>37801.272307692314</v>
      </c>
      <c r="N46" s="407">
        <f t="shared" si="25"/>
        <v>36544.866153846153</v>
      </c>
      <c r="O46" s="407">
        <f t="shared" si="25"/>
        <v>438307.97692307696</v>
      </c>
      <c r="P46" s="766"/>
      <c r="R46" s="43">
        <f>SUM(R44:R45)</f>
        <v>0</v>
      </c>
    </row>
    <row r="47" spans="1:18">
      <c r="A47" s="763"/>
      <c r="B47" s="568"/>
      <c r="C47" s="568"/>
      <c r="D47" s="568"/>
      <c r="E47" s="568"/>
      <c r="F47" s="568"/>
      <c r="G47" s="568"/>
      <c r="H47" s="568"/>
      <c r="I47" s="568"/>
      <c r="J47" s="568"/>
      <c r="K47" s="568"/>
      <c r="L47" s="568"/>
      <c r="M47" s="568"/>
      <c r="N47" s="568"/>
      <c r="O47" s="568"/>
      <c r="P47" s="766"/>
    </row>
    <row r="48" spans="1:18">
      <c r="A48" s="776"/>
      <c r="B48" s="713" t="s">
        <v>503</v>
      </c>
      <c r="C48" s="568"/>
      <c r="D48" s="568"/>
      <c r="E48" s="568"/>
      <c r="F48" s="568"/>
      <c r="G48" s="568"/>
      <c r="H48" s="568"/>
      <c r="I48" s="568"/>
      <c r="J48" s="568"/>
      <c r="K48" s="568"/>
      <c r="L48" s="568"/>
      <c r="M48" s="568"/>
      <c r="N48" s="568"/>
      <c r="O48" s="568"/>
      <c r="P48" s="766"/>
    </row>
    <row r="49" spans="1:19">
      <c r="A49" s="763"/>
      <c r="B49" s="568" t="s">
        <v>505</v>
      </c>
      <c r="C49" s="768">
        <f>('REVRUNS 12ME1219'!D412+'REVRUNS 12ME1219'!D417)/0.5</f>
        <v>0</v>
      </c>
      <c r="D49" s="768">
        <f>('REVRUNS 12ME1219'!E412+'REVRUNS 12ME1219'!E417)/0.5</f>
        <v>0</v>
      </c>
      <c r="E49" s="768">
        <f>('REVRUNS 12ME1219'!F412+'REVRUNS 12ME1219'!F417)/0.5</f>
        <v>0</v>
      </c>
      <c r="F49" s="768">
        <f>('REVRUNS 12ME1219'!G412+'REVRUNS 12ME1219'!G417)/0.5</f>
        <v>0</v>
      </c>
      <c r="G49" s="768">
        <f>('REVRUNS 12ME1219'!H412+'REVRUNS 12ME1219'!H417)/0.5</f>
        <v>0</v>
      </c>
      <c r="H49" s="768">
        <f>('REVRUNS 12ME1219'!I412+'REVRUNS 12ME1219'!I417)/0.5</f>
        <v>0</v>
      </c>
      <c r="I49" s="768">
        <f>('REVRUNS 12ME1219'!J412+'REVRUNS 12ME1219'!J417)/0.5</f>
        <v>0</v>
      </c>
      <c r="J49" s="768">
        <f>('REVRUNS 12ME1219'!K412+'REVRUNS 12ME1219'!K417)/0.5</f>
        <v>0</v>
      </c>
      <c r="K49" s="768">
        <f>('REVRUNS 12ME1219'!L412+'REVRUNS 12ME1219'!L417)/0.5</f>
        <v>0</v>
      </c>
      <c r="L49" s="768">
        <f>('REVRUNS 12ME1219'!M412+'REVRUNS 12ME1219'!M417)/0.5</f>
        <v>0</v>
      </c>
      <c r="M49" s="768">
        <f>('REVRUNS 12ME1219'!N412+'REVRUNS 12ME1219'!N417)/0.5</f>
        <v>0</v>
      </c>
      <c r="N49" s="768">
        <f>('REVRUNS 12ME1219'!O412+'REVRUNS 12ME1219'!O417)/0.5</f>
        <v>0</v>
      </c>
      <c r="O49" s="765">
        <f>SUM(C49:N49)</f>
        <v>0</v>
      </c>
      <c r="P49" s="766"/>
      <c r="R49" s="43">
        <v>0</v>
      </c>
    </row>
    <row r="50" spans="1:19">
      <c r="A50" s="763"/>
      <c r="B50" s="568" t="s">
        <v>506</v>
      </c>
      <c r="C50" s="779">
        <v>0.5</v>
      </c>
      <c r="D50" s="779">
        <v>0.5</v>
      </c>
      <c r="E50" s="779">
        <v>0.5</v>
      </c>
      <c r="F50" s="779">
        <v>0.5</v>
      </c>
      <c r="G50" s="779">
        <v>0.5</v>
      </c>
      <c r="H50" s="779">
        <v>0.5</v>
      </c>
      <c r="I50" s="779">
        <v>0.5</v>
      </c>
      <c r="J50" s="779">
        <v>0.5</v>
      </c>
      <c r="K50" s="779">
        <v>0.5</v>
      </c>
      <c r="L50" s="779">
        <v>0.5</v>
      </c>
      <c r="M50" s="779">
        <v>0.5</v>
      </c>
      <c r="N50" s="779">
        <v>0.5</v>
      </c>
      <c r="O50" s="780">
        <v>0.5</v>
      </c>
      <c r="P50" s="766"/>
    </row>
    <row r="51" spans="1:19">
      <c r="A51" s="763"/>
      <c r="B51" s="568" t="s">
        <v>507</v>
      </c>
      <c r="C51" s="780">
        <f t="shared" ref="C51:O51" si="26">C49*C50</f>
        <v>0</v>
      </c>
      <c r="D51" s="780">
        <f t="shared" si="26"/>
        <v>0</v>
      </c>
      <c r="E51" s="780">
        <f t="shared" si="26"/>
        <v>0</v>
      </c>
      <c r="F51" s="780">
        <f t="shared" si="26"/>
        <v>0</v>
      </c>
      <c r="G51" s="780">
        <f t="shared" si="26"/>
        <v>0</v>
      </c>
      <c r="H51" s="780">
        <f t="shared" si="26"/>
        <v>0</v>
      </c>
      <c r="I51" s="780">
        <f t="shared" si="26"/>
        <v>0</v>
      </c>
      <c r="J51" s="780">
        <f t="shared" si="26"/>
        <v>0</v>
      </c>
      <c r="K51" s="780">
        <f t="shared" si="26"/>
        <v>0</v>
      </c>
      <c r="L51" s="780">
        <f t="shared" si="26"/>
        <v>0</v>
      </c>
      <c r="M51" s="780">
        <f t="shared" si="26"/>
        <v>0</v>
      </c>
      <c r="N51" s="780">
        <f t="shared" si="26"/>
        <v>0</v>
      </c>
      <c r="O51" s="780">
        <f t="shared" si="26"/>
        <v>0</v>
      </c>
      <c r="P51" s="781">
        <f>O51-'REVRUNS 12ME1219'!P412-'REVRUNS 12ME1219'!P417</f>
        <v>0</v>
      </c>
    </row>
    <row r="52" spans="1:19" ht="13.5" thickBot="1">
      <c r="A52" s="770"/>
      <c r="B52" s="558"/>
      <c r="C52" s="558"/>
      <c r="D52" s="558"/>
      <c r="E52" s="558"/>
      <c r="F52" s="558"/>
      <c r="G52" s="558"/>
      <c r="H52" s="558"/>
      <c r="I52" s="782"/>
      <c r="J52" s="782"/>
      <c r="K52" s="782"/>
      <c r="L52" s="782"/>
      <c r="M52" s="782"/>
      <c r="N52" s="782"/>
      <c r="O52" s="558"/>
      <c r="P52" s="783"/>
    </row>
    <row r="53" spans="1:19" s="755" customFormat="1">
      <c r="A53" s="758"/>
      <c r="B53" s="759" t="s">
        <v>957</v>
      </c>
      <c r="C53" s="775"/>
      <c r="D53" s="775"/>
      <c r="E53" s="775"/>
      <c r="F53" s="775"/>
      <c r="G53" s="775"/>
      <c r="H53" s="775"/>
      <c r="I53" s="775"/>
      <c r="J53" s="775"/>
      <c r="K53" s="775"/>
      <c r="L53" s="775"/>
      <c r="M53" s="775"/>
      <c r="N53" s="775"/>
      <c r="O53" s="760"/>
      <c r="P53" s="762"/>
    </row>
    <row r="54" spans="1:19" s="755" customFormat="1">
      <c r="A54" s="763"/>
      <c r="B54" s="568" t="s">
        <v>498</v>
      </c>
      <c r="C54" s="764">
        <f>'REVRUNS 12ME1219'!D123</f>
        <v>0</v>
      </c>
      <c r="D54" s="764">
        <f>'REVRUNS 12ME1219'!E123</f>
        <v>0</v>
      </c>
      <c r="E54" s="764">
        <f>'REVRUNS 12ME1219'!F123</f>
        <v>0</v>
      </c>
      <c r="F54" s="764">
        <f>'REVRUNS 12ME1219'!G123</f>
        <v>0</v>
      </c>
      <c r="G54" s="764">
        <f>'REVRUNS 12ME1219'!H123</f>
        <v>0</v>
      </c>
      <c r="H54" s="764">
        <f>'REVRUNS 12ME1219'!I123</f>
        <v>0</v>
      </c>
      <c r="I54" s="764">
        <f>'REVRUNS 12ME1219'!J123</f>
        <v>0</v>
      </c>
      <c r="J54" s="764">
        <f>'REVRUNS 12ME1219'!K123</f>
        <v>0</v>
      </c>
      <c r="K54" s="764">
        <f>'REVRUNS 12ME1219'!L123</f>
        <v>0</v>
      </c>
      <c r="L54" s="764">
        <f>'REVRUNS 12ME1219'!M123</f>
        <v>0</v>
      </c>
      <c r="M54" s="764">
        <f>'REVRUNS 12ME1219'!N123</f>
        <v>0</v>
      </c>
      <c r="N54" s="764">
        <f>'REVRUNS 12ME1219'!O123</f>
        <v>0</v>
      </c>
      <c r="O54" s="765">
        <f>SUM(C54:N54)</f>
        <v>0</v>
      </c>
      <c r="P54" s="766"/>
      <c r="R54" s="528">
        <v>0</v>
      </c>
      <c r="S54" s="412" t="e">
        <f>R54/$R$30</f>
        <v>#DIV/0!</v>
      </c>
    </row>
    <row r="55" spans="1:19" s="755" customFormat="1">
      <c r="A55" s="763"/>
      <c r="B55" s="568" t="s">
        <v>499</v>
      </c>
      <c r="C55" s="764">
        <f>'REVRUNS 12ME1219'!D124</f>
        <v>0</v>
      </c>
      <c r="D55" s="764">
        <f>'REVRUNS 12ME1219'!E124</f>
        <v>0</v>
      </c>
      <c r="E55" s="764">
        <f>'REVRUNS 12ME1219'!F124</f>
        <v>0</v>
      </c>
      <c r="F55" s="764">
        <f>'REVRUNS 12ME1219'!G124</f>
        <v>0</v>
      </c>
      <c r="G55" s="764">
        <f>'REVRUNS 12ME1219'!H124</f>
        <v>0</v>
      </c>
      <c r="H55" s="764">
        <f>'REVRUNS 12ME1219'!I124</f>
        <v>0</v>
      </c>
      <c r="I55" s="764">
        <f>'REVRUNS 12ME1219'!J124</f>
        <v>0</v>
      </c>
      <c r="J55" s="764">
        <f>'REVRUNS 12ME1219'!K124</f>
        <v>0</v>
      </c>
      <c r="K55" s="764">
        <f>'REVRUNS 12ME1219'!L124</f>
        <v>0</v>
      </c>
      <c r="L55" s="764">
        <f>'REVRUNS 12ME1219'!M124</f>
        <v>0</v>
      </c>
      <c r="M55" s="764">
        <f>'REVRUNS 12ME1219'!N124</f>
        <v>0</v>
      </c>
      <c r="N55" s="764">
        <f>'REVRUNS 12ME1219'!O124</f>
        <v>0</v>
      </c>
      <c r="O55" s="765">
        <f>SUM(C55:N55)</f>
        <v>0</v>
      </c>
      <c r="P55" s="766"/>
      <c r="R55" s="411">
        <v>0</v>
      </c>
      <c r="S55" s="413" t="e">
        <f>R55/$R$30</f>
        <v>#DIV/0!</v>
      </c>
    </row>
    <row r="56" spans="1:19" s="755" customFormat="1">
      <c r="A56" s="763" t="s">
        <v>500</v>
      </c>
      <c r="B56" s="713" t="s">
        <v>66</v>
      </c>
      <c r="C56" s="407">
        <f t="shared" ref="C56:H56" si="27">SUM(C54:C55)</f>
        <v>0</v>
      </c>
      <c r="D56" s="407">
        <f t="shared" si="27"/>
        <v>0</v>
      </c>
      <c r="E56" s="407">
        <f t="shared" si="27"/>
        <v>0</v>
      </c>
      <c r="F56" s="407">
        <f t="shared" si="27"/>
        <v>0</v>
      </c>
      <c r="G56" s="407">
        <f t="shared" si="27"/>
        <v>0</v>
      </c>
      <c r="H56" s="407">
        <f t="shared" si="27"/>
        <v>0</v>
      </c>
      <c r="I56" s="407">
        <f>SUM(I54:I55)</f>
        <v>0</v>
      </c>
      <c r="J56" s="407">
        <f t="shared" ref="J56:O56" si="28">SUM(J54:J55)</f>
        <v>0</v>
      </c>
      <c r="K56" s="407">
        <f t="shared" si="28"/>
        <v>0</v>
      </c>
      <c r="L56" s="407">
        <f t="shared" si="28"/>
        <v>0</v>
      </c>
      <c r="M56" s="407">
        <f t="shared" si="28"/>
        <v>0</v>
      </c>
      <c r="N56" s="407">
        <f t="shared" si="28"/>
        <v>0</v>
      </c>
      <c r="O56" s="407">
        <f t="shared" si="28"/>
        <v>0</v>
      </c>
      <c r="P56" s="766"/>
      <c r="R56" s="528">
        <f>SUM(R54:R55)</f>
        <v>0</v>
      </c>
      <c r="S56" s="84" t="e">
        <f>SUM(S54:S55)</f>
        <v>#DIV/0!</v>
      </c>
    </row>
    <row r="57" spans="1:19" s="755" customFormat="1">
      <c r="A57" s="763"/>
      <c r="B57" s="568" t="s">
        <v>95</v>
      </c>
      <c r="C57" s="533">
        <f>'REVRUNS 12ME1219'!D335</f>
        <v>0</v>
      </c>
      <c r="D57" s="533">
        <f>'REVRUNS 12ME1219'!E335</f>
        <v>0</v>
      </c>
      <c r="E57" s="533">
        <f>'REVRUNS 12ME1219'!F335</f>
        <v>0</v>
      </c>
      <c r="F57" s="533">
        <f>'REVRUNS 12ME1219'!G335</f>
        <v>0</v>
      </c>
      <c r="G57" s="533">
        <f>'REVRUNS 12ME1219'!H335</f>
        <v>0</v>
      </c>
      <c r="H57" s="533">
        <f>'REVRUNS 12ME1219'!I335</f>
        <v>0</v>
      </c>
      <c r="I57" s="533">
        <f>'REVRUNS 12ME1219'!J335</f>
        <v>0</v>
      </c>
      <c r="J57" s="533">
        <f>'REVRUNS 12ME1219'!K335</f>
        <v>0</v>
      </c>
      <c r="K57" s="533">
        <f>'REVRUNS 12ME1219'!L335</f>
        <v>0</v>
      </c>
      <c r="L57" s="533">
        <f>'REVRUNS 12ME1219'!M335</f>
        <v>0</v>
      </c>
      <c r="M57" s="533">
        <f>'REVRUNS 12ME1219'!N335</f>
        <v>0</v>
      </c>
      <c r="N57" s="533">
        <f>'REVRUNS 12ME1219'!O335</f>
        <v>0</v>
      </c>
      <c r="O57" s="765">
        <f>SUM(C57:N57)</f>
        <v>0</v>
      </c>
      <c r="P57" s="766"/>
    </row>
    <row r="58" spans="1:19" s="755" customFormat="1">
      <c r="A58" s="763"/>
      <c r="B58" s="568"/>
      <c r="C58" s="46">
        <f t="shared" ref="C58:N58" si="29">C57-C56</f>
        <v>0</v>
      </c>
      <c r="D58" s="46">
        <f t="shared" si="29"/>
        <v>0</v>
      </c>
      <c r="E58" s="46">
        <f t="shared" si="29"/>
        <v>0</v>
      </c>
      <c r="F58" s="46">
        <f t="shared" si="29"/>
        <v>0</v>
      </c>
      <c r="G58" s="46">
        <f t="shared" si="29"/>
        <v>0</v>
      </c>
      <c r="H58" s="46">
        <f t="shared" si="29"/>
        <v>0</v>
      </c>
      <c r="I58" s="46">
        <f t="shared" si="29"/>
        <v>0</v>
      </c>
      <c r="J58" s="302">
        <f t="shared" si="29"/>
        <v>0</v>
      </c>
      <c r="K58" s="46">
        <f t="shared" si="29"/>
        <v>0</v>
      </c>
      <c r="L58" s="302">
        <f t="shared" si="29"/>
        <v>0</v>
      </c>
      <c r="M58" s="46">
        <f t="shared" si="29"/>
        <v>0</v>
      </c>
      <c r="N58" s="46">
        <f t="shared" si="29"/>
        <v>0</v>
      </c>
      <c r="O58" s="765">
        <f>SUM(C58:N58)</f>
        <v>0</v>
      </c>
      <c r="P58" s="769" t="e">
        <f>O58/O57</f>
        <v>#DIV/0!</v>
      </c>
    </row>
    <row r="59" spans="1:19" s="755" customFormat="1">
      <c r="A59" s="763"/>
      <c r="B59" s="568"/>
      <c r="C59" s="46"/>
      <c r="D59" s="46"/>
      <c r="E59" s="46"/>
      <c r="F59" s="46"/>
      <c r="G59" s="46"/>
      <c r="H59" s="46"/>
      <c r="I59" s="46"/>
      <c r="J59" s="302"/>
      <c r="K59" s="46"/>
      <c r="L59" s="302"/>
      <c r="M59" s="46"/>
      <c r="N59" s="46"/>
      <c r="O59" s="765"/>
      <c r="P59" s="769"/>
    </row>
    <row r="60" spans="1:19" s="755" customFormat="1">
      <c r="A60" s="763"/>
      <c r="B60" s="568" t="s">
        <v>498</v>
      </c>
      <c r="C60" s="410">
        <f>IF(C56=0,0,(C54/C$57)*C$58)</f>
        <v>0</v>
      </c>
      <c r="D60" s="410">
        <f t="shared" ref="D60:N60" si="30">IF(D56=0,0,(D54/D$57)*D$58)</f>
        <v>0</v>
      </c>
      <c r="E60" s="410">
        <f t="shared" si="30"/>
        <v>0</v>
      </c>
      <c r="F60" s="410">
        <f t="shared" si="30"/>
        <v>0</v>
      </c>
      <c r="G60" s="410">
        <f t="shared" si="30"/>
        <v>0</v>
      </c>
      <c r="H60" s="410">
        <f t="shared" si="30"/>
        <v>0</v>
      </c>
      <c r="I60" s="410">
        <f t="shared" si="30"/>
        <v>0</v>
      </c>
      <c r="J60" s="410">
        <f t="shared" si="30"/>
        <v>0</v>
      </c>
      <c r="K60" s="410">
        <f t="shared" si="30"/>
        <v>0</v>
      </c>
      <c r="L60" s="410">
        <f t="shared" si="30"/>
        <v>0</v>
      </c>
      <c r="M60" s="410">
        <f t="shared" si="30"/>
        <v>0</v>
      </c>
      <c r="N60" s="410">
        <f t="shared" si="30"/>
        <v>0</v>
      </c>
      <c r="O60" s="410">
        <f>SUM(C60:N60)</f>
        <v>0</v>
      </c>
      <c r="P60" s="769"/>
    </row>
    <row r="61" spans="1:19" s="755" customFormat="1">
      <c r="A61" s="763"/>
      <c r="B61" s="568" t="s">
        <v>499</v>
      </c>
      <c r="C61" s="409">
        <f>IF(C56=0,0,(C55/C$57)*C$58)</f>
        <v>0</v>
      </c>
      <c r="D61" s="409">
        <f t="shared" ref="D61:N61" si="31">IF(D56=0,0,(D55/D$57)*D$58)</f>
        <v>0</v>
      </c>
      <c r="E61" s="409">
        <f t="shared" si="31"/>
        <v>0</v>
      </c>
      <c r="F61" s="409">
        <f t="shared" si="31"/>
        <v>0</v>
      </c>
      <c r="G61" s="409">
        <f t="shared" si="31"/>
        <v>0</v>
      </c>
      <c r="H61" s="409">
        <f t="shared" si="31"/>
        <v>0</v>
      </c>
      <c r="I61" s="409">
        <f t="shared" si="31"/>
        <v>0</v>
      </c>
      <c r="J61" s="409">
        <f t="shared" si="31"/>
        <v>0</v>
      </c>
      <c r="K61" s="409">
        <f t="shared" si="31"/>
        <v>0</v>
      </c>
      <c r="L61" s="409">
        <f t="shared" si="31"/>
        <v>0</v>
      </c>
      <c r="M61" s="409">
        <f t="shared" si="31"/>
        <v>0</v>
      </c>
      <c r="N61" s="409">
        <f t="shared" si="31"/>
        <v>0</v>
      </c>
      <c r="O61" s="409">
        <f>SUM(C61:N61)</f>
        <v>0</v>
      </c>
      <c r="P61" s="769"/>
    </row>
    <row r="62" spans="1:19" s="755" customFormat="1">
      <c r="A62" s="763"/>
      <c r="B62" s="568"/>
      <c r="C62" s="410">
        <f>SUM(C60:C61)</f>
        <v>0</v>
      </c>
      <c r="D62" s="410">
        <f t="shared" ref="D62:N62" si="32">SUM(D60:D61)</f>
        <v>0</v>
      </c>
      <c r="E62" s="410">
        <f t="shared" si="32"/>
        <v>0</v>
      </c>
      <c r="F62" s="410">
        <f t="shared" si="32"/>
        <v>0</v>
      </c>
      <c r="G62" s="410">
        <f t="shared" si="32"/>
        <v>0</v>
      </c>
      <c r="H62" s="410">
        <f t="shared" si="32"/>
        <v>0</v>
      </c>
      <c r="I62" s="410">
        <f t="shared" si="32"/>
        <v>0</v>
      </c>
      <c r="J62" s="410">
        <f t="shared" si="32"/>
        <v>0</v>
      </c>
      <c r="K62" s="410">
        <f t="shared" si="32"/>
        <v>0</v>
      </c>
      <c r="L62" s="410">
        <f t="shared" si="32"/>
        <v>0</v>
      </c>
      <c r="M62" s="410">
        <f t="shared" si="32"/>
        <v>0</v>
      </c>
      <c r="N62" s="410">
        <f t="shared" si="32"/>
        <v>0</v>
      </c>
      <c r="O62" s="410">
        <f>SUM(O60:O61)</f>
        <v>0</v>
      </c>
      <c r="P62" s="769"/>
    </row>
    <row r="63" spans="1:19" s="755" customFormat="1">
      <c r="A63" s="763"/>
      <c r="B63" s="568"/>
      <c r="C63" s="410"/>
      <c r="D63" s="410"/>
      <c r="E63" s="410"/>
      <c r="F63" s="410"/>
      <c r="G63" s="410"/>
      <c r="H63" s="410"/>
      <c r="I63" s="410"/>
      <c r="J63" s="410"/>
      <c r="K63" s="410"/>
      <c r="L63" s="410"/>
      <c r="M63" s="410"/>
      <c r="N63" s="410"/>
      <c r="O63" s="410"/>
      <c r="P63" s="769"/>
    </row>
    <row r="64" spans="1:19" s="755" customFormat="1">
      <c r="A64" s="763"/>
      <c r="B64" s="568" t="s">
        <v>498</v>
      </c>
      <c r="C64" s="410">
        <f>C54+C60</f>
        <v>0</v>
      </c>
      <c r="D64" s="410">
        <f t="shared" ref="D64:N64" si="33">D54+D60</f>
        <v>0</v>
      </c>
      <c r="E64" s="410">
        <f t="shared" si="33"/>
        <v>0</v>
      </c>
      <c r="F64" s="410">
        <f t="shared" si="33"/>
        <v>0</v>
      </c>
      <c r="G64" s="410">
        <f t="shared" si="33"/>
        <v>0</v>
      </c>
      <c r="H64" s="410">
        <f t="shared" si="33"/>
        <v>0</v>
      </c>
      <c r="I64" s="410">
        <f t="shared" si="33"/>
        <v>0</v>
      </c>
      <c r="J64" s="410">
        <f t="shared" si="33"/>
        <v>0</v>
      </c>
      <c r="K64" s="410">
        <f t="shared" si="33"/>
        <v>0</v>
      </c>
      <c r="L64" s="410">
        <f t="shared" si="33"/>
        <v>0</v>
      </c>
      <c r="M64" s="410">
        <f t="shared" si="33"/>
        <v>0</v>
      </c>
      <c r="N64" s="410">
        <f t="shared" si="33"/>
        <v>0</v>
      </c>
      <c r="O64" s="410">
        <f>SUM(C64:N64)</f>
        <v>0</v>
      </c>
      <c r="P64" s="769"/>
    </row>
    <row r="65" spans="1:19" s="755" customFormat="1">
      <c r="A65" s="763"/>
      <c r="B65" s="568" t="s">
        <v>499</v>
      </c>
      <c r="C65" s="409">
        <f>C55+C61</f>
        <v>0</v>
      </c>
      <c r="D65" s="409">
        <f t="shared" ref="D65:N65" si="34">D55+D61</f>
        <v>0</v>
      </c>
      <c r="E65" s="409">
        <f t="shared" si="34"/>
        <v>0</v>
      </c>
      <c r="F65" s="409">
        <f t="shared" si="34"/>
        <v>0</v>
      </c>
      <c r="G65" s="409">
        <f t="shared" si="34"/>
        <v>0</v>
      </c>
      <c r="H65" s="409">
        <f t="shared" si="34"/>
        <v>0</v>
      </c>
      <c r="I65" s="409">
        <f t="shared" si="34"/>
        <v>0</v>
      </c>
      <c r="J65" s="409">
        <f t="shared" si="34"/>
        <v>0</v>
      </c>
      <c r="K65" s="409">
        <f t="shared" si="34"/>
        <v>0</v>
      </c>
      <c r="L65" s="409">
        <f t="shared" si="34"/>
        <v>0</v>
      </c>
      <c r="M65" s="409">
        <f t="shared" si="34"/>
        <v>0</v>
      </c>
      <c r="N65" s="409">
        <f t="shared" si="34"/>
        <v>0</v>
      </c>
      <c r="O65" s="409">
        <f>SUM(C65:N65)</f>
        <v>0</v>
      </c>
      <c r="P65" s="769"/>
    </row>
    <row r="66" spans="1:19" s="755" customFormat="1">
      <c r="A66" s="763"/>
      <c r="B66" s="568"/>
      <c r="C66" s="410">
        <f t="shared" ref="C66:O66" si="35">SUM(C64:C65)</f>
        <v>0</v>
      </c>
      <c r="D66" s="410">
        <f t="shared" si="35"/>
        <v>0</v>
      </c>
      <c r="E66" s="410">
        <f t="shared" si="35"/>
        <v>0</v>
      </c>
      <c r="F66" s="410">
        <f t="shared" si="35"/>
        <v>0</v>
      </c>
      <c r="G66" s="410">
        <f t="shared" si="35"/>
        <v>0</v>
      </c>
      <c r="H66" s="410">
        <f t="shared" si="35"/>
        <v>0</v>
      </c>
      <c r="I66" s="410">
        <f t="shared" si="35"/>
        <v>0</v>
      </c>
      <c r="J66" s="410">
        <f t="shared" si="35"/>
        <v>0</v>
      </c>
      <c r="K66" s="410">
        <f t="shared" si="35"/>
        <v>0</v>
      </c>
      <c r="L66" s="410">
        <f t="shared" si="35"/>
        <v>0</v>
      </c>
      <c r="M66" s="410">
        <f t="shared" si="35"/>
        <v>0</v>
      </c>
      <c r="N66" s="410">
        <f t="shared" si="35"/>
        <v>0</v>
      </c>
      <c r="O66" s="410">
        <f t="shared" si="35"/>
        <v>0</v>
      </c>
      <c r="P66" s="769"/>
    </row>
    <row r="67" spans="1:19" s="755" customFormat="1">
      <c r="A67" s="763"/>
      <c r="B67" s="568"/>
      <c r="C67" s="765">
        <f t="shared" ref="C67:O67" si="36">C66-C57</f>
        <v>0</v>
      </c>
      <c r="D67" s="765">
        <f t="shared" si="36"/>
        <v>0</v>
      </c>
      <c r="E67" s="765">
        <f t="shared" si="36"/>
        <v>0</v>
      </c>
      <c r="F67" s="765">
        <f t="shared" si="36"/>
        <v>0</v>
      </c>
      <c r="G67" s="765">
        <f t="shared" si="36"/>
        <v>0</v>
      </c>
      <c r="H67" s="765">
        <f t="shared" si="36"/>
        <v>0</v>
      </c>
      <c r="I67" s="765">
        <f t="shared" si="36"/>
        <v>0</v>
      </c>
      <c r="J67" s="765">
        <f t="shared" si="36"/>
        <v>0</v>
      </c>
      <c r="K67" s="765">
        <f t="shared" si="36"/>
        <v>0</v>
      </c>
      <c r="L67" s="765">
        <f t="shared" si="36"/>
        <v>0</v>
      </c>
      <c r="M67" s="765">
        <f t="shared" si="36"/>
        <v>0</v>
      </c>
      <c r="N67" s="765">
        <f t="shared" si="36"/>
        <v>0</v>
      </c>
      <c r="O67" s="765">
        <f t="shared" si="36"/>
        <v>0</v>
      </c>
      <c r="P67" s="769"/>
    </row>
    <row r="68" spans="1:19" s="755" customFormat="1">
      <c r="A68" s="763"/>
      <c r="B68" s="568"/>
      <c r="C68" s="46"/>
      <c r="D68" s="46"/>
      <c r="E68" s="46"/>
      <c r="F68" s="46"/>
      <c r="G68" s="46"/>
      <c r="H68" s="46"/>
      <c r="I68" s="46"/>
      <c r="J68" s="302"/>
      <c r="K68" s="46"/>
      <c r="L68" s="302"/>
      <c r="M68" s="46"/>
      <c r="N68" s="46"/>
      <c r="O68" s="765"/>
      <c r="P68" s="769"/>
    </row>
    <row r="69" spans="1:19" s="755" customFormat="1">
      <c r="A69" s="776"/>
      <c r="B69" s="713" t="s">
        <v>957</v>
      </c>
      <c r="C69" s="777"/>
      <c r="D69" s="777"/>
      <c r="E69" s="777"/>
      <c r="F69" s="777"/>
      <c r="G69" s="777"/>
      <c r="H69" s="777"/>
      <c r="I69" s="777"/>
      <c r="J69" s="777"/>
      <c r="K69" s="777"/>
      <c r="L69" s="777"/>
      <c r="M69" s="777"/>
      <c r="N69" s="777"/>
      <c r="O69" s="568"/>
      <c r="P69" s="766"/>
    </row>
    <row r="70" spans="1:19" s="755" customFormat="1">
      <c r="A70" s="763"/>
      <c r="B70" s="568" t="s">
        <v>498</v>
      </c>
      <c r="C70" s="764"/>
      <c r="D70" s="764"/>
      <c r="E70" s="764"/>
      <c r="F70" s="764"/>
      <c r="G70" s="764"/>
      <c r="H70" s="764"/>
      <c r="I70" s="764"/>
      <c r="J70" s="764"/>
      <c r="K70" s="764"/>
      <c r="L70" s="764"/>
      <c r="M70" s="764"/>
      <c r="N70" s="764"/>
      <c r="O70" s="765">
        <f>SUM(C70:N70)</f>
        <v>0</v>
      </c>
      <c r="P70" s="766"/>
      <c r="R70" s="528">
        <v>0</v>
      </c>
    </row>
    <row r="71" spans="1:19" s="755" customFormat="1">
      <c r="A71" s="763"/>
      <c r="B71" s="568" t="s">
        <v>499</v>
      </c>
      <c r="C71" s="768">
        <f>'REVRUNS 12ME1219'!D421/'REVRUNS 12ME1219'!D423</f>
        <v>0</v>
      </c>
      <c r="D71" s="768">
        <f>'REVRUNS 12ME1219'!E421/'REVRUNS 12ME1219'!E423</f>
        <v>0</v>
      </c>
      <c r="E71" s="768">
        <f>'REVRUNS 12ME1219'!F421/'REVRUNS 12ME1219'!F423</f>
        <v>0</v>
      </c>
      <c r="F71" s="768">
        <f>'REVRUNS 12ME1219'!G421/'REVRUNS 12ME1219'!G423</f>
        <v>0</v>
      </c>
      <c r="G71" s="768">
        <f>'REVRUNS 12ME1219'!H421/'REVRUNS 12ME1219'!H423</f>
        <v>0</v>
      </c>
      <c r="H71" s="768">
        <f>'REVRUNS 12ME1219'!I421/'REVRUNS 12ME1219'!I423</f>
        <v>0</v>
      </c>
      <c r="I71" s="768">
        <f>'REVRUNS 12ME1219'!J421/'REVRUNS 12ME1219'!J423</f>
        <v>0</v>
      </c>
      <c r="J71" s="768">
        <f>'REVRUNS 12ME1219'!K421/'REVRUNS 12ME1219'!K423</f>
        <v>0</v>
      </c>
      <c r="K71" s="768">
        <f>'REVRUNS 12ME1219'!L421/'REVRUNS 12ME1219'!L423</f>
        <v>0</v>
      </c>
      <c r="L71" s="768">
        <f>'REVRUNS 12ME1219'!M421/'REVRUNS 12ME1219'!M423</f>
        <v>0</v>
      </c>
      <c r="M71" s="768">
        <f>'REVRUNS 12ME1219'!N421/'REVRUNS 12ME1219'!N423</f>
        <v>0</v>
      </c>
      <c r="N71" s="768">
        <f>'REVRUNS 12ME1219'!O421/'REVRUNS 12ME1219'!O423</f>
        <v>0</v>
      </c>
      <c r="O71" s="765">
        <f>SUM(C71:N71)</f>
        <v>0</v>
      </c>
      <c r="P71" s="778">
        <f>(O71-'REVRUNS 12ME1219'!D421/6.5)</f>
        <v>0</v>
      </c>
      <c r="R71" s="411">
        <v>0</v>
      </c>
    </row>
    <row r="72" spans="1:19" s="755" customFormat="1">
      <c r="A72" s="763" t="s">
        <v>504</v>
      </c>
      <c r="B72" s="713" t="s">
        <v>66</v>
      </c>
      <c r="C72" s="407">
        <f t="shared" ref="C72:H72" si="37">SUM(C70:C71)</f>
        <v>0</v>
      </c>
      <c r="D72" s="407">
        <f t="shared" si="37"/>
        <v>0</v>
      </c>
      <c r="E72" s="407">
        <f t="shared" si="37"/>
        <v>0</v>
      </c>
      <c r="F72" s="407">
        <f t="shared" si="37"/>
        <v>0</v>
      </c>
      <c r="G72" s="407">
        <f t="shared" si="37"/>
        <v>0</v>
      </c>
      <c r="H72" s="407">
        <f t="shared" si="37"/>
        <v>0</v>
      </c>
      <c r="I72" s="407">
        <f>SUM(I70:I71)</f>
        <v>0</v>
      </c>
      <c r="J72" s="407">
        <f t="shared" ref="J72:O72" si="38">SUM(J70:J71)</f>
        <v>0</v>
      </c>
      <c r="K72" s="407">
        <f t="shared" si="38"/>
        <v>0</v>
      </c>
      <c r="L72" s="407">
        <f t="shared" si="38"/>
        <v>0</v>
      </c>
      <c r="M72" s="407">
        <f t="shared" si="38"/>
        <v>0</v>
      </c>
      <c r="N72" s="407">
        <f t="shared" si="38"/>
        <v>0</v>
      </c>
      <c r="O72" s="407">
        <f t="shared" si="38"/>
        <v>0</v>
      </c>
      <c r="P72" s="766"/>
      <c r="R72" s="528">
        <f>SUM(R70:R71)</f>
        <v>0</v>
      </c>
    </row>
    <row r="73" spans="1:19" s="755" customFormat="1">
      <c r="A73" s="763"/>
      <c r="B73" s="568"/>
      <c r="C73" s="568"/>
      <c r="D73" s="568"/>
      <c r="E73" s="568"/>
      <c r="F73" s="568"/>
      <c r="G73" s="568"/>
      <c r="H73" s="568"/>
      <c r="I73" s="568"/>
      <c r="J73" s="568"/>
      <c r="K73" s="568"/>
      <c r="L73" s="568"/>
      <c r="M73" s="568"/>
      <c r="N73" s="568"/>
      <c r="O73" s="568"/>
      <c r="P73" s="766"/>
    </row>
    <row r="74" spans="1:19" s="755" customFormat="1">
      <c r="A74" s="776"/>
      <c r="B74" s="713" t="s">
        <v>957</v>
      </c>
      <c r="C74" s="568"/>
      <c r="D74" s="568"/>
      <c r="E74" s="568"/>
      <c r="F74" s="568"/>
      <c r="G74" s="568"/>
      <c r="H74" s="568"/>
      <c r="I74" s="568"/>
      <c r="J74" s="568"/>
      <c r="K74" s="568"/>
      <c r="L74" s="568"/>
      <c r="M74" s="568"/>
      <c r="N74" s="568"/>
      <c r="O74" s="568"/>
      <c r="P74" s="766"/>
    </row>
    <row r="75" spans="1:19" s="755" customFormat="1">
      <c r="A75" s="763"/>
      <c r="B75" s="568" t="s">
        <v>505</v>
      </c>
      <c r="C75" s="768">
        <f>'REVRUNS 12ME1219'!D422/'REVRUNS 12ME1219'!D424</f>
        <v>0</v>
      </c>
      <c r="D75" s="768">
        <f>'REVRUNS 12ME1219'!E422/'REVRUNS 12ME1219'!E424</f>
        <v>0</v>
      </c>
      <c r="E75" s="768">
        <f>'REVRUNS 12ME1219'!F422/'REVRUNS 12ME1219'!F424</f>
        <v>0</v>
      </c>
      <c r="F75" s="768">
        <f>'REVRUNS 12ME1219'!G422/'REVRUNS 12ME1219'!G424</f>
        <v>0</v>
      </c>
      <c r="G75" s="768">
        <f>'REVRUNS 12ME1219'!H422/'REVRUNS 12ME1219'!H424</f>
        <v>0</v>
      </c>
      <c r="H75" s="768">
        <f>'REVRUNS 12ME1219'!I422/'REVRUNS 12ME1219'!I424</f>
        <v>0</v>
      </c>
      <c r="I75" s="768">
        <f>'REVRUNS 12ME1219'!J422/'REVRUNS 12ME1219'!J424</f>
        <v>0</v>
      </c>
      <c r="J75" s="768">
        <f>'REVRUNS 12ME1219'!K422/'REVRUNS 12ME1219'!K424</f>
        <v>0</v>
      </c>
      <c r="K75" s="768">
        <f>'REVRUNS 12ME1219'!L422/'REVRUNS 12ME1219'!L424</f>
        <v>0</v>
      </c>
      <c r="L75" s="768">
        <f>'REVRUNS 12ME1219'!M422/'REVRUNS 12ME1219'!M424</f>
        <v>0</v>
      </c>
      <c r="M75" s="768">
        <f>'REVRUNS 12ME1219'!N422/'REVRUNS 12ME1219'!N424</f>
        <v>0</v>
      </c>
      <c r="N75" s="768">
        <f>'REVRUNS 12ME1219'!O422/'REVRUNS 12ME1219'!O424</f>
        <v>0</v>
      </c>
      <c r="O75" s="765">
        <f>SUM(C75:N75)</f>
        <v>0</v>
      </c>
      <c r="P75" s="766"/>
      <c r="R75" s="528">
        <v>0</v>
      </c>
    </row>
    <row r="76" spans="1:19" s="755" customFormat="1">
      <c r="A76" s="763"/>
      <c r="B76" s="568" t="s">
        <v>506</v>
      </c>
      <c r="C76" s="779">
        <v>0.5</v>
      </c>
      <c r="D76" s="779">
        <v>0.5</v>
      </c>
      <c r="E76" s="779">
        <v>0.5</v>
      </c>
      <c r="F76" s="779">
        <v>0.5</v>
      </c>
      <c r="G76" s="779">
        <v>0.5</v>
      </c>
      <c r="H76" s="779">
        <v>0.5</v>
      </c>
      <c r="I76" s="779">
        <v>0.5</v>
      </c>
      <c r="J76" s="779">
        <v>0.5</v>
      </c>
      <c r="K76" s="779">
        <v>0.5</v>
      </c>
      <c r="L76" s="779">
        <v>0.5</v>
      </c>
      <c r="M76" s="779">
        <v>0.5</v>
      </c>
      <c r="N76" s="779">
        <v>0.5</v>
      </c>
      <c r="O76" s="780">
        <v>0.5</v>
      </c>
      <c r="P76" s="766"/>
    </row>
    <row r="77" spans="1:19" s="755" customFormat="1">
      <c r="A77" s="763"/>
      <c r="B77" s="568" t="s">
        <v>507</v>
      </c>
      <c r="C77" s="780">
        <f t="shared" ref="C77:O77" si="39">C75*C76</f>
        <v>0</v>
      </c>
      <c r="D77" s="780">
        <f t="shared" si="39"/>
        <v>0</v>
      </c>
      <c r="E77" s="780">
        <f t="shared" si="39"/>
        <v>0</v>
      </c>
      <c r="F77" s="780">
        <f t="shared" si="39"/>
        <v>0</v>
      </c>
      <c r="G77" s="780">
        <f t="shared" si="39"/>
        <v>0</v>
      </c>
      <c r="H77" s="780">
        <f t="shared" si="39"/>
        <v>0</v>
      </c>
      <c r="I77" s="780">
        <f t="shared" si="39"/>
        <v>0</v>
      </c>
      <c r="J77" s="780">
        <f t="shared" si="39"/>
        <v>0</v>
      </c>
      <c r="K77" s="780">
        <f t="shared" si="39"/>
        <v>0</v>
      </c>
      <c r="L77" s="780">
        <f t="shared" si="39"/>
        <v>0</v>
      </c>
      <c r="M77" s="780">
        <f t="shared" si="39"/>
        <v>0</v>
      </c>
      <c r="N77" s="780">
        <f t="shared" si="39"/>
        <v>0</v>
      </c>
      <c r="O77" s="780">
        <f t="shared" si="39"/>
        <v>0</v>
      </c>
      <c r="P77" s="781">
        <f>O77-'REVRUNS 12ME1219'!P450-'REVRUNS 12ME1219'!P464</f>
        <v>866885.77</v>
      </c>
    </row>
    <row r="78" spans="1:19" s="755" customFormat="1" ht="13.5" thickBot="1">
      <c r="A78" s="770"/>
      <c r="B78" s="558"/>
      <c r="C78" s="558"/>
      <c r="D78" s="558"/>
      <c r="E78" s="558"/>
      <c r="F78" s="558"/>
      <c r="G78" s="558"/>
      <c r="H78" s="558"/>
      <c r="I78" s="782"/>
      <c r="J78" s="782"/>
      <c r="K78" s="782"/>
      <c r="L78" s="782"/>
      <c r="M78" s="782"/>
      <c r="N78" s="782"/>
      <c r="O78" s="558"/>
      <c r="P78" s="783"/>
    </row>
    <row r="79" spans="1:19">
      <c r="A79" s="758"/>
      <c r="B79" s="759" t="s">
        <v>508</v>
      </c>
      <c r="C79" s="760"/>
      <c r="D79" s="760"/>
      <c r="E79" s="760"/>
      <c r="F79" s="760"/>
      <c r="G79" s="760"/>
      <c r="H79" s="760"/>
      <c r="I79" s="784"/>
      <c r="J79" s="784"/>
      <c r="K79" s="784"/>
      <c r="L79" s="784"/>
      <c r="M79" s="784"/>
      <c r="N79" s="784"/>
      <c r="O79" s="760"/>
      <c r="P79" s="762"/>
    </row>
    <row r="80" spans="1:19">
      <c r="A80" s="763"/>
      <c r="B80" s="568" t="s">
        <v>498</v>
      </c>
      <c r="C80" s="764">
        <f>'REVRUNS 12ME1219'!D138+'REVRUNS 12ME1219'!D152</f>
        <v>108358321.55833</v>
      </c>
      <c r="D80" s="764">
        <f>'REVRUNS 12ME1219'!E138+'REVRUNS 12ME1219'!E152</f>
        <v>102275964.95</v>
      </c>
      <c r="E80" s="764">
        <f>'REVRUNS 12ME1219'!F138+'REVRUNS 12ME1219'!F152</f>
        <v>107993601.13467</v>
      </c>
      <c r="F80" s="764">
        <f>'REVRUNS 12ME1219'!G138+'REVRUNS 12ME1219'!G152</f>
        <v>98423683.714000002</v>
      </c>
      <c r="G80" s="764">
        <f>'REVRUNS 12ME1219'!H138+'REVRUNS 12ME1219'!H152</f>
        <v>96197841.162</v>
      </c>
      <c r="H80" s="764">
        <f>'REVRUNS 12ME1219'!I138+'REVRUNS 12ME1219'!I152</f>
        <v>98782467.812999994</v>
      </c>
      <c r="I80" s="764">
        <f>'REVRUNS 12ME1219'!J138+'REVRUNS 12ME1219'!J152</f>
        <v>103224516.31</v>
      </c>
      <c r="J80" s="764">
        <f>'REVRUNS 12ME1219'!K138+'REVRUNS 12ME1219'!K152</f>
        <v>103968002.022</v>
      </c>
      <c r="K80" s="764">
        <f>'REVRUNS 12ME1219'!L138+'REVRUNS 12ME1219'!L152</f>
        <v>102026064.064</v>
      </c>
      <c r="L80" s="764">
        <f>'REVRUNS 12ME1219'!M138+'REVRUNS 12ME1219'!M152</f>
        <v>101652667.33967</v>
      </c>
      <c r="M80" s="764">
        <f>'REVRUNS 12ME1219'!N138+'REVRUNS 12ME1219'!N152</f>
        <v>97289918.782000005</v>
      </c>
      <c r="N80" s="764">
        <f>'REVRUNS 12ME1219'!O138+'REVRUNS 12ME1219'!O152</f>
        <v>109598102.954</v>
      </c>
      <c r="O80" s="765">
        <f>SUM(C80:N80)</f>
        <v>1229791151.8036699</v>
      </c>
      <c r="P80" s="766"/>
      <c r="R80" s="43">
        <v>0</v>
      </c>
      <c r="S80" s="412" t="e">
        <f>R80/$R$82</f>
        <v>#DIV/0!</v>
      </c>
    </row>
    <row r="81" spans="1:19">
      <c r="A81" s="763"/>
      <c r="B81" s="568" t="s">
        <v>499</v>
      </c>
      <c r="C81" s="764">
        <f>'REVRUNS 12ME1219'!D139+'REVRUNS 12ME1219'!D153</f>
        <v>12223095.066670001</v>
      </c>
      <c r="D81" s="764">
        <f>'REVRUNS 12ME1219'!E139+'REVRUNS 12ME1219'!E153</f>
        <v>10979830.199999999</v>
      </c>
      <c r="E81" s="764">
        <f>'REVRUNS 12ME1219'!F139+'REVRUNS 12ME1219'!F153</f>
        <v>11863762.693329999</v>
      </c>
      <c r="F81" s="764">
        <f>'REVRUNS 12ME1219'!G139+'REVRUNS 12ME1219'!G153</f>
        <v>10248358.960000001</v>
      </c>
      <c r="G81" s="764">
        <f>'REVRUNS 12ME1219'!H139+'REVRUNS 12ME1219'!H153</f>
        <v>11158280.640000001</v>
      </c>
      <c r="H81" s="764">
        <f>'REVRUNS 12ME1219'!I139+'REVRUNS 12ME1219'!I153</f>
        <v>11736635.699999999</v>
      </c>
      <c r="I81" s="764">
        <f>'REVRUNS 12ME1219'!J139+'REVRUNS 12ME1219'!J153</f>
        <v>13256235.26</v>
      </c>
      <c r="J81" s="764">
        <f>'REVRUNS 12ME1219'!K139+'REVRUNS 12ME1219'!K153</f>
        <v>14153976.560000001</v>
      </c>
      <c r="K81" s="764">
        <f>'REVRUNS 12ME1219'!L139+'REVRUNS 12ME1219'!L153</f>
        <v>15279978.18</v>
      </c>
      <c r="L81" s="764">
        <f>'REVRUNS 12ME1219'!M139+'REVRUNS 12ME1219'!M153</f>
        <v>11559763.25333</v>
      </c>
      <c r="M81" s="764">
        <f>'REVRUNS 12ME1219'!N139+'REVRUNS 12ME1219'!N153</f>
        <v>10691308.640000001</v>
      </c>
      <c r="N81" s="764">
        <f>'REVRUNS 12ME1219'!O139+'REVRUNS 12ME1219'!O153</f>
        <v>13086599.300000001</v>
      </c>
      <c r="O81" s="765">
        <f>SUM(C81:N81)</f>
        <v>146237824.45333001</v>
      </c>
      <c r="P81" s="766"/>
      <c r="R81" s="411">
        <v>0</v>
      </c>
      <c r="S81" s="413" t="e">
        <f>R81/$R$82</f>
        <v>#DIV/0!</v>
      </c>
    </row>
    <row r="82" spans="1:19">
      <c r="A82" s="763" t="s">
        <v>500</v>
      </c>
      <c r="B82" s="713" t="s">
        <v>66</v>
      </c>
      <c r="C82" s="407">
        <f t="shared" ref="C82:H82" si="40">SUM(C80:C81)</f>
        <v>120581416.625</v>
      </c>
      <c r="D82" s="407">
        <f t="shared" si="40"/>
        <v>113255795.15000001</v>
      </c>
      <c r="E82" s="407">
        <f t="shared" si="40"/>
        <v>119857363.82800001</v>
      </c>
      <c r="F82" s="407">
        <f t="shared" si="40"/>
        <v>108672042.67399999</v>
      </c>
      <c r="G82" s="407">
        <f t="shared" si="40"/>
        <v>107356121.802</v>
      </c>
      <c r="H82" s="407">
        <f t="shared" si="40"/>
        <v>110519103.513</v>
      </c>
      <c r="I82" s="407">
        <f>SUM(I80:I81)</f>
        <v>116480751.57000001</v>
      </c>
      <c r="J82" s="407">
        <f t="shared" ref="J82:O82" si="41">SUM(J80:J81)</f>
        <v>118121978.582</v>
      </c>
      <c r="K82" s="407">
        <f t="shared" si="41"/>
        <v>117306042.24399999</v>
      </c>
      <c r="L82" s="407">
        <f t="shared" si="41"/>
        <v>113212430.59299999</v>
      </c>
      <c r="M82" s="407">
        <f t="shared" si="41"/>
        <v>107981227.42200001</v>
      </c>
      <c r="N82" s="407">
        <f t="shared" si="41"/>
        <v>122684702.25399999</v>
      </c>
      <c r="O82" s="407">
        <f t="shared" si="41"/>
        <v>1376028976.257</v>
      </c>
      <c r="P82" s="766"/>
      <c r="R82" s="43">
        <f>SUM(R80:R81)</f>
        <v>0</v>
      </c>
      <c r="S82" s="84" t="e">
        <f>SUM(S80:S81)</f>
        <v>#DIV/0!</v>
      </c>
    </row>
    <row r="83" spans="1:19">
      <c r="A83" s="763"/>
      <c r="B83" s="568" t="s">
        <v>95</v>
      </c>
      <c r="C83" s="533">
        <f>'REVRUNS 12ME1219'!D336</f>
        <v>120581416.625</v>
      </c>
      <c r="D83" s="533">
        <f>'REVRUNS 12ME1219'!E336</f>
        <v>113255795.15000001</v>
      </c>
      <c r="E83" s="533">
        <f>'REVRUNS 12ME1219'!F336</f>
        <v>119857363.82800001</v>
      </c>
      <c r="F83" s="533">
        <f>'REVRUNS 12ME1219'!G336</f>
        <v>108672042.67399999</v>
      </c>
      <c r="G83" s="533">
        <f>'REVRUNS 12ME1219'!H336</f>
        <v>107356121.802</v>
      </c>
      <c r="H83" s="533">
        <f>'REVRUNS 12ME1219'!I336</f>
        <v>110519103.513</v>
      </c>
      <c r="I83" s="533">
        <f>'REVRUNS 12ME1219'!J336</f>
        <v>116480751.57000001</v>
      </c>
      <c r="J83" s="533">
        <f>'REVRUNS 12ME1219'!K336</f>
        <v>118121978.582</v>
      </c>
      <c r="K83" s="533">
        <f>'REVRUNS 12ME1219'!L336</f>
        <v>117306042.244</v>
      </c>
      <c r="L83" s="533">
        <f>'REVRUNS 12ME1219'!M336</f>
        <v>113212430.59299999</v>
      </c>
      <c r="M83" s="533">
        <f>'REVRUNS 12ME1219'!N336</f>
        <v>107981227.42200001</v>
      </c>
      <c r="N83" s="533">
        <f>'REVRUNS 12ME1219'!O336</f>
        <v>122684702.25399999</v>
      </c>
      <c r="O83" s="765">
        <f>SUM(C83:N83)</f>
        <v>1376028976.257</v>
      </c>
      <c r="P83" s="766"/>
    </row>
    <row r="84" spans="1:19">
      <c r="A84" s="763"/>
      <c r="B84" s="568"/>
      <c r="C84" s="46">
        <f t="shared" ref="C84:N84" si="42">C83-C82</f>
        <v>0</v>
      </c>
      <c r="D84" s="46">
        <f t="shared" si="42"/>
        <v>0</v>
      </c>
      <c r="E84" s="46">
        <f t="shared" si="42"/>
        <v>0</v>
      </c>
      <c r="F84" s="46">
        <f t="shared" si="42"/>
        <v>0</v>
      </c>
      <c r="G84" s="46">
        <f t="shared" si="42"/>
        <v>0</v>
      </c>
      <c r="H84" s="46">
        <f t="shared" si="42"/>
        <v>0</v>
      </c>
      <c r="I84" s="46">
        <f t="shared" si="42"/>
        <v>0</v>
      </c>
      <c r="J84" s="302">
        <f t="shared" si="42"/>
        <v>0</v>
      </c>
      <c r="K84" s="302">
        <f t="shared" si="42"/>
        <v>0</v>
      </c>
      <c r="L84" s="46">
        <f t="shared" si="42"/>
        <v>0</v>
      </c>
      <c r="M84" s="302">
        <f t="shared" si="42"/>
        <v>0</v>
      </c>
      <c r="N84" s="46">
        <f t="shared" si="42"/>
        <v>0</v>
      </c>
      <c r="O84" s="765">
        <f>SUM(C84:N84)</f>
        <v>0</v>
      </c>
      <c r="P84" s="769">
        <f>O84/O83</f>
        <v>0</v>
      </c>
    </row>
    <row r="85" spans="1:19">
      <c r="A85" s="763"/>
      <c r="B85" s="568"/>
      <c r="C85" s="46"/>
      <c r="D85" s="46"/>
      <c r="E85" s="46"/>
      <c r="F85" s="46"/>
      <c r="G85" s="46"/>
      <c r="H85" s="46"/>
      <c r="I85" s="46"/>
      <c r="J85" s="302"/>
      <c r="K85" s="302"/>
      <c r="L85" s="46"/>
      <c r="M85" s="302"/>
      <c r="N85" s="46"/>
      <c r="O85" s="765"/>
      <c r="P85" s="769"/>
    </row>
    <row r="86" spans="1:19">
      <c r="A86" s="763"/>
      <c r="B86" s="568" t="s">
        <v>498</v>
      </c>
      <c r="C86" s="410">
        <f>(C80/C$82)*C$84</f>
        <v>0</v>
      </c>
      <c r="D86" s="410">
        <f t="shared" ref="D86:N86" si="43">(D80/D$82)*D$84</f>
        <v>0</v>
      </c>
      <c r="E86" s="410">
        <f t="shared" si="43"/>
        <v>0</v>
      </c>
      <c r="F86" s="410">
        <f t="shared" si="43"/>
        <v>0</v>
      </c>
      <c r="G86" s="410">
        <f t="shared" si="43"/>
        <v>0</v>
      </c>
      <c r="H86" s="410">
        <f t="shared" si="43"/>
        <v>0</v>
      </c>
      <c r="I86" s="410">
        <f t="shared" si="43"/>
        <v>0</v>
      </c>
      <c r="J86" s="410">
        <f t="shared" si="43"/>
        <v>0</v>
      </c>
      <c r="K86" s="410">
        <f t="shared" si="43"/>
        <v>0</v>
      </c>
      <c r="L86" s="410">
        <f t="shared" si="43"/>
        <v>0</v>
      </c>
      <c r="M86" s="410">
        <f t="shared" si="43"/>
        <v>0</v>
      </c>
      <c r="N86" s="410">
        <f t="shared" si="43"/>
        <v>0</v>
      </c>
      <c r="O86" s="410">
        <f>SUM(C86:N86)</f>
        <v>0</v>
      </c>
      <c r="P86" s="769"/>
    </row>
    <row r="87" spans="1:19">
      <c r="A87" s="763"/>
      <c r="B87" s="568" t="s">
        <v>499</v>
      </c>
      <c r="C87" s="409">
        <f>(C81/C$82)*C$84</f>
        <v>0</v>
      </c>
      <c r="D87" s="409">
        <f t="shared" ref="D87:N87" si="44">(D81/D$82)*D$84</f>
        <v>0</v>
      </c>
      <c r="E87" s="409">
        <f t="shared" si="44"/>
        <v>0</v>
      </c>
      <c r="F87" s="409">
        <f t="shared" si="44"/>
        <v>0</v>
      </c>
      <c r="G87" s="409">
        <f t="shared" si="44"/>
        <v>0</v>
      </c>
      <c r="H87" s="409">
        <f t="shared" si="44"/>
        <v>0</v>
      </c>
      <c r="I87" s="409">
        <f t="shared" si="44"/>
        <v>0</v>
      </c>
      <c r="J87" s="409">
        <f t="shared" si="44"/>
        <v>0</v>
      </c>
      <c r="K87" s="409">
        <f t="shared" si="44"/>
        <v>0</v>
      </c>
      <c r="L87" s="409">
        <f t="shared" si="44"/>
        <v>0</v>
      </c>
      <c r="M87" s="409">
        <f t="shared" si="44"/>
        <v>0</v>
      </c>
      <c r="N87" s="409">
        <f t="shared" si="44"/>
        <v>0</v>
      </c>
      <c r="O87" s="409">
        <f>SUM(C87:N87)</f>
        <v>0</v>
      </c>
      <c r="P87" s="769"/>
    </row>
    <row r="88" spans="1:19">
      <c r="A88" s="763"/>
      <c r="B88" s="568"/>
      <c r="C88" s="410">
        <f t="shared" ref="C88:O88" si="45">SUM(C86:C87)</f>
        <v>0</v>
      </c>
      <c r="D88" s="410">
        <f t="shared" si="45"/>
        <v>0</v>
      </c>
      <c r="E88" s="410">
        <f t="shared" si="45"/>
        <v>0</v>
      </c>
      <c r="F88" s="410">
        <f t="shared" si="45"/>
        <v>0</v>
      </c>
      <c r="G88" s="410">
        <f t="shared" si="45"/>
        <v>0</v>
      </c>
      <c r="H88" s="410">
        <f t="shared" si="45"/>
        <v>0</v>
      </c>
      <c r="I88" s="410">
        <f t="shared" si="45"/>
        <v>0</v>
      </c>
      <c r="J88" s="410">
        <f t="shared" si="45"/>
        <v>0</v>
      </c>
      <c r="K88" s="410">
        <f t="shared" si="45"/>
        <v>0</v>
      </c>
      <c r="L88" s="410">
        <f t="shared" si="45"/>
        <v>0</v>
      </c>
      <c r="M88" s="410">
        <f t="shared" si="45"/>
        <v>0</v>
      </c>
      <c r="N88" s="410">
        <f t="shared" si="45"/>
        <v>0</v>
      </c>
      <c r="O88" s="410">
        <f t="shared" si="45"/>
        <v>0</v>
      </c>
      <c r="P88" s="769"/>
    </row>
    <row r="89" spans="1:19">
      <c r="A89" s="763"/>
      <c r="B89" s="568"/>
      <c r="C89" s="410"/>
      <c r="D89" s="410"/>
      <c r="E89" s="410"/>
      <c r="F89" s="410"/>
      <c r="G89" s="410"/>
      <c r="H89" s="410"/>
      <c r="I89" s="410"/>
      <c r="J89" s="410"/>
      <c r="K89" s="410"/>
      <c r="L89" s="410"/>
      <c r="M89" s="410"/>
      <c r="N89" s="410"/>
      <c r="O89" s="410"/>
      <c r="P89" s="769"/>
    </row>
    <row r="90" spans="1:19">
      <c r="A90" s="763"/>
      <c r="B90" s="568" t="s">
        <v>498</v>
      </c>
      <c r="C90" s="410">
        <f>C80+C86</f>
        <v>108358321.55833</v>
      </c>
      <c r="D90" s="410">
        <f t="shared" ref="D90:N90" si="46">D80+D86</f>
        <v>102275964.95</v>
      </c>
      <c r="E90" s="410">
        <f t="shared" si="46"/>
        <v>107993601.13467</v>
      </c>
      <c r="F90" s="410">
        <f t="shared" si="46"/>
        <v>98423683.714000002</v>
      </c>
      <c r="G90" s="410">
        <f t="shared" si="46"/>
        <v>96197841.162</v>
      </c>
      <c r="H90" s="410">
        <f t="shared" si="46"/>
        <v>98782467.812999994</v>
      </c>
      <c r="I90" s="410">
        <f t="shared" si="46"/>
        <v>103224516.31</v>
      </c>
      <c r="J90" s="410">
        <f t="shared" si="46"/>
        <v>103968002.022</v>
      </c>
      <c r="K90" s="410">
        <f t="shared" si="46"/>
        <v>102026064.064</v>
      </c>
      <c r="L90" s="410">
        <f t="shared" si="46"/>
        <v>101652667.33967</v>
      </c>
      <c r="M90" s="410">
        <f t="shared" si="46"/>
        <v>97289918.782000005</v>
      </c>
      <c r="N90" s="410">
        <f t="shared" si="46"/>
        <v>109598102.954</v>
      </c>
      <c r="O90" s="410">
        <f>SUM(C90:N90)</f>
        <v>1229791151.8036699</v>
      </c>
      <c r="P90" s="769"/>
    </row>
    <row r="91" spans="1:19">
      <c r="A91" s="763"/>
      <c r="B91" s="568" t="s">
        <v>499</v>
      </c>
      <c r="C91" s="409">
        <f>C81+C87</f>
        <v>12223095.066670001</v>
      </c>
      <c r="D91" s="409">
        <f t="shared" ref="D91:N91" si="47">D81+D87</f>
        <v>10979830.199999999</v>
      </c>
      <c r="E91" s="409">
        <f t="shared" si="47"/>
        <v>11863762.693329999</v>
      </c>
      <c r="F91" s="409">
        <f t="shared" si="47"/>
        <v>10248358.960000001</v>
      </c>
      <c r="G91" s="409">
        <f t="shared" si="47"/>
        <v>11158280.640000001</v>
      </c>
      <c r="H91" s="409">
        <f t="shared" si="47"/>
        <v>11736635.699999999</v>
      </c>
      <c r="I91" s="409">
        <f t="shared" si="47"/>
        <v>13256235.26</v>
      </c>
      <c r="J91" s="409">
        <f t="shared" si="47"/>
        <v>14153976.560000001</v>
      </c>
      <c r="K91" s="409">
        <f t="shared" si="47"/>
        <v>15279978.18</v>
      </c>
      <c r="L91" s="409">
        <f t="shared" si="47"/>
        <v>11559763.25333</v>
      </c>
      <c r="M91" s="409">
        <f t="shared" si="47"/>
        <v>10691308.640000001</v>
      </c>
      <c r="N91" s="409">
        <f t="shared" si="47"/>
        <v>13086599.300000001</v>
      </c>
      <c r="O91" s="409">
        <f>SUM(C91:N91)</f>
        <v>146237824.45333001</v>
      </c>
      <c r="P91" s="769"/>
    </row>
    <row r="92" spans="1:19">
      <c r="A92" s="763"/>
      <c r="B92" s="568"/>
      <c r="C92" s="410">
        <f t="shared" ref="C92:O92" si="48">SUM(C90:C91)</f>
        <v>120581416.625</v>
      </c>
      <c r="D92" s="410">
        <f t="shared" si="48"/>
        <v>113255795.15000001</v>
      </c>
      <c r="E92" s="410">
        <f t="shared" si="48"/>
        <v>119857363.82800001</v>
      </c>
      <c r="F92" s="410">
        <f t="shared" si="48"/>
        <v>108672042.67399999</v>
      </c>
      <c r="G92" s="410">
        <f t="shared" si="48"/>
        <v>107356121.802</v>
      </c>
      <c r="H92" s="410">
        <f t="shared" si="48"/>
        <v>110519103.513</v>
      </c>
      <c r="I92" s="410">
        <f t="shared" si="48"/>
        <v>116480751.57000001</v>
      </c>
      <c r="J92" s="410">
        <f t="shared" si="48"/>
        <v>118121978.582</v>
      </c>
      <c r="K92" s="410">
        <f t="shared" si="48"/>
        <v>117306042.24399999</v>
      </c>
      <c r="L92" s="410">
        <f t="shared" si="48"/>
        <v>113212430.59299999</v>
      </c>
      <c r="M92" s="410">
        <f t="shared" si="48"/>
        <v>107981227.42200001</v>
      </c>
      <c r="N92" s="410">
        <f t="shared" si="48"/>
        <v>122684702.25399999</v>
      </c>
      <c r="O92" s="410">
        <f t="shared" si="48"/>
        <v>1376028976.257</v>
      </c>
      <c r="P92" s="769"/>
    </row>
    <row r="93" spans="1:19">
      <c r="A93" s="763"/>
      <c r="B93" s="568"/>
      <c r="C93" s="765">
        <f t="shared" ref="C93:O93" si="49">C92-C83</f>
        <v>0</v>
      </c>
      <c r="D93" s="765">
        <f t="shared" si="49"/>
        <v>0</v>
      </c>
      <c r="E93" s="765">
        <f t="shared" si="49"/>
        <v>0</v>
      </c>
      <c r="F93" s="765">
        <f t="shared" si="49"/>
        <v>0</v>
      </c>
      <c r="G93" s="765">
        <f t="shared" si="49"/>
        <v>0</v>
      </c>
      <c r="H93" s="765">
        <f t="shared" si="49"/>
        <v>0</v>
      </c>
      <c r="I93" s="765">
        <f t="shared" si="49"/>
        <v>0</v>
      </c>
      <c r="J93" s="765">
        <f t="shared" si="49"/>
        <v>0</v>
      </c>
      <c r="K93" s="765">
        <f t="shared" si="49"/>
        <v>0</v>
      </c>
      <c r="L93" s="765">
        <f t="shared" si="49"/>
        <v>0</v>
      </c>
      <c r="M93" s="765">
        <f t="shared" si="49"/>
        <v>0</v>
      </c>
      <c r="N93" s="765">
        <f t="shared" si="49"/>
        <v>0</v>
      </c>
      <c r="O93" s="765">
        <f t="shared" si="49"/>
        <v>0</v>
      </c>
      <c r="P93" s="769"/>
    </row>
    <row r="94" spans="1:19">
      <c r="A94" s="763"/>
      <c r="B94" s="568"/>
      <c r="C94" s="46"/>
      <c r="D94" s="46"/>
      <c r="E94" s="46"/>
      <c r="F94" s="46"/>
      <c r="G94" s="46"/>
      <c r="H94" s="46"/>
      <c r="I94" s="46"/>
      <c r="J94" s="302"/>
      <c r="K94" s="302"/>
      <c r="L94" s="46"/>
      <c r="M94" s="302"/>
      <c r="N94" s="46"/>
      <c r="O94" s="765"/>
      <c r="P94" s="769"/>
    </row>
    <row r="95" spans="1:19">
      <c r="A95" s="776"/>
      <c r="B95" s="713" t="s">
        <v>508</v>
      </c>
      <c r="C95" s="568"/>
      <c r="D95" s="568"/>
      <c r="E95" s="568"/>
      <c r="F95" s="568"/>
      <c r="G95" s="568"/>
      <c r="H95" s="568"/>
      <c r="I95" s="568"/>
      <c r="J95" s="568"/>
      <c r="K95" s="568"/>
      <c r="L95" s="568"/>
      <c r="M95" s="568"/>
      <c r="N95" s="568"/>
      <c r="O95" s="568"/>
      <c r="P95" s="766"/>
    </row>
    <row r="96" spans="1:19">
      <c r="A96" s="763"/>
      <c r="B96" s="568" t="s">
        <v>498</v>
      </c>
      <c r="C96" s="764"/>
      <c r="D96" s="764"/>
      <c r="E96" s="764"/>
      <c r="F96" s="764"/>
      <c r="G96" s="764"/>
      <c r="H96" s="764"/>
      <c r="I96" s="764"/>
      <c r="J96" s="764"/>
      <c r="K96" s="764"/>
      <c r="L96" s="764"/>
      <c r="M96" s="764"/>
      <c r="N96" s="764"/>
      <c r="O96" s="765">
        <f>SUM(C96:N96)</f>
        <v>0</v>
      </c>
      <c r="P96" s="766"/>
      <c r="R96" s="43">
        <v>0</v>
      </c>
    </row>
    <row r="97" spans="1:19">
      <c r="A97" s="763"/>
      <c r="B97" s="568" t="s">
        <v>499</v>
      </c>
      <c r="C97" s="768">
        <f>('REVRUNS 12ME1219'!D426+'REVRUNS 12ME1219'!D433)/6.5</f>
        <v>208524.54769230768</v>
      </c>
      <c r="D97" s="768">
        <f>('REVRUNS 12ME1219'!E426+'REVRUNS 12ME1219'!E433)/6.5</f>
        <v>202774.69384615385</v>
      </c>
      <c r="E97" s="768">
        <f>('REVRUNS 12ME1219'!F426+'REVRUNS 12ME1219'!F433)/6.5</f>
        <v>216029.02769230772</v>
      </c>
      <c r="F97" s="768">
        <f>('REVRUNS 12ME1219'!G426+'REVRUNS 12ME1219'!G433)/6.5</f>
        <v>205960.78153846154</v>
      </c>
      <c r="G97" s="768">
        <f>('REVRUNS 12ME1219'!H426+'REVRUNS 12ME1219'!H433)/6.5</f>
        <v>209866.62153846154</v>
      </c>
      <c r="H97" s="768">
        <f>('REVRUNS 12ME1219'!I426+'REVRUNS 12ME1219'!I433)/6.5</f>
        <v>229276.4107692308</v>
      </c>
      <c r="I97" s="768">
        <f>('REVRUNS 12ME1219'!J426+'REVRUNS 12ME1219'!J433)/6.5</f>
        <v>233678.21692307692</v>
      </c>
      <c r="J97" s="768">
        <f>('REVRUNS 12ME1219'!K426+'REVRUNS 12ME1219'!K433)/6.5</f>
        <v>240385.66153846154</v>
      </c>
      <c r="K97" s="768">
        <f>('REVRUNS 12ME1219'!L426+'REVRUNS 12ME1219'!L433)/6.5</f>
        <v>232430.70461538463</v>
      </c>
      <c r="L97" s="768">
        <f>('REVRUNS 12ME1219'!M426+'REVRUNS 12ME1219'!M433)/6.5</f>
        <v>237029.42153846152</v>
      </c>
      <c r="M97" s="768">
        <f>('REVRUNS 12ME1219'!N426+'REVRUNS 12ME1219'!N433)/6.5</f>
        <v>219396.10923076922</v>
      </c>
      <c r="N97" s="768">
        <f>('REVRUNS 12ME1219'!O426+'REVRUNS 12ME1219'!O433)/6.5</f>
        <v>212683.40461538458</v>
      </c>
      <c r="O97" s="765">
        <f>SUM(C97:N97)</f>
        <v>2648035.6015384616</v>
      </c>
      <c r="P97" s="778">
        <f>('REVRUNS 12ME1219'!P426+'REVRUNS 12ME1219'!P433)/6.5-O97</f>
        <v>0</v>
      </c>
      <c r="R97" s="411">
        <v>0</v>
      </c>
    </row>
    <row r="98" spans="1:19">
      <c r="A98" s="763" t="s">
        <v>504</v>
      </c>
      <c r="B98" s="713" t="s">
        <v>66</v>
      </c>
      <c r="C98" s="407">
        <f t="shared" ref="C98:O98" si="50">SUM(C96:C97)</f>
        <v>208524.54769230768</v>
      </c>
      <c r="D98" s="407">
        <f t="shared" si="50"/>
        <v>202774.69384615385</v>
      </c>
      <c r="E98" s="407">
        <f t="shared" si="50"/>
        <v>216029.02769230772</v>
      </c>
      <c r="F98" s="407">
        <f t="shared" si="50"/>
        <v>205960.78153846154</v>
      </c>
      <c r="G98" s="407">
        <f t="shared" si="50"/>
        <v>209866.62153846154</v>
      </c>
      <c r="H98" s="407">
        <f t="shared" si="50"/>
        <v>229276.4107692308</v>
      </c>
      <c r="I98" s="407">
        <f t="shared" si="50"/>
        <v>233678.21692307692</v>
      </c>
      <c r="J98" s="407">
        <f t="shared" si="50"/>
        <v>240385.66153846154</v>
      </c>
      <c r="K98" s="407">
        <f t="shared" si="50"/>
        <v>232430.70461538463</v>
      </c>
      <c r="L98" s="407">
        <f t="shared" si="50"/>
        <v>237029.42153846152</v>
      </c>
      <c r="M98" s="407">
        <f t="shared" si="50"/>
        <v>219396.10923076922</v>
      </c>
      <c r="N98" s="407">
        <f t="shared" si="50"/>
        <v>212683.40461538458</v>
      </c>
      <c r="O98" s="407">
        <f t="shared" si="50"/>
        <v>2648035.6015384616</v>
      </c>
      <c r="P98" s="766"/>
      <c r="R98" s="43">
        <f>SUM(R96:R97)</f>
        <v>0</v>
      </c>
    </row>
    <row r="99" spans="1:19">
      <c r="A99" s="763"/>
      <c r="B99" s="568"/>
      <c r="C99" s="568"/>
      <c r="D99" s="568"/>
      <c r="E99" s="568"/>
      <c r="F99" s="568"/>
      <c r="G99" s="568"/>
      <c r="H99" s="568"/>
      <c r="I99" s="568"/>
      <c r="J99" s="568"/>
      <c r="K99" s="568"/>
      <c r="L99" s="568"/>
      <c r="M99" s="568"/>
      <c r="N99" s="568"/>
      <c r="O99" s="568"/>
      <c r="P99" s="766"/>
    </row>
    <row r="100" spans="1:19">
      <c r="A100" s="776"/>
      <c r="B100" s="713" t="s">
        <v>508</v>
      </c>
      <c r="C100" s="568"/>
      <c r="D100" s="568"/>
      <c r="E100" s="568"/>
      <c r="F100" s="568"/>
      <c r="G100" s="568"/>
      <c r="H100" s="568"/>
      <c r="I100" s="568"/>
      <c r="J100" s="568"/>
      <c r="K100" s="568"/>
      <c r="L100" s="568"/>
      <c r="M100" s="568"/>
      <c r="N100" s="568"/>
      <c r="O100" s="568"/>
      <c r="P100" s="766"/>
    </row>
    <row r="101" spans="1:19">
      <c r="A101" s="763"/>
      <c r="B101" s="568" t="s">
        <v>505</v>
      </c>
      <c r="C101" s="768">
        <f>('REVRUNS 12ME1219'!D427+'REVRUNS 12ME1219'!D434)/0.5</f>
        <v>18226.46</v>
      </c>
      <c r="D101" s="768">
        <f>('REVRUNS 12ME1219'!E427+'REVRUNS 12ME1219'!E434)/0.5</f>
        <v>17336.36</v>
      </c>
      <c r="E101" s="768">
        <f>('REVRUNS 12ME1219'!F427+'REVRUNS 12ME1219'!F434)/0.5</f>
        <v>16984.3</v>
      </c>
      <c r="F101" s="768">
        <f>('REVRUNS 12ME1219'!G427+'REVRUNS 12ME1219'!G434)/0.5</f>
        <v>18368.88</v>
      </c>
      <c r="G101" s="768">
        <f>('REVRUNS 12ME1219'!H427+'REVRUNS 12ME1219'!H434)/0.5</f>
        <v>20140.580000000002</v>
      </c>
      <c r="H101" s="768">
        <f>('REVRUNS 12ME1219'!I427+'REVRUNS 12ME1219'!I434)/0.5</f>
        <v>21872.62</v>
      </c>
      <c r="I101" s="768">
        <f>('REVRUNS 12ME1219'!J427+'REVRUNS 12ME1219'!J434)/0.5</f>
        <v>24412.9</v>
      </c>
      <c r="J101" s="768">
        <f>('REVRUNS 12ME1219'!K427+'REVRUNS 12ME1219'!K434)/0.5</f>
        <v>23655.34</v>
      </c>
      <c r="K101" s="768">
        <f>('REVRUNS 12ME1219'!L427+'REVRUNS 12ME1219'!L434)/0.5</f>
        <v>24940.6</v>
      </c>
      <c r="L101" s="768">
        <f>('REVRUNS 12ME1219'!M427+'REVRUNS 12ME1219'!M434)/0.5</f>
        <v>23026.719999999998</v>
      </c>
      <c r="M101" s="768">
        <f>('REVRUNS 12ME1219'!N427+'REVRUNS 12ME1219'!N434)/0.5</f>
        <v>22253.040000000001</v>
      </c>
      <c r="N101" s="768">
        <f>('REVRUNS 12ME1219'!O427+'REVRUNS 12ME1219'!O434)/0.5</f>
        <v>21367.08</v>
      </c>
      <c r="O101" s="765">
        <f>SUM(C101:N101)</f>
        <v>252584.88</v>
      </c>
      <c r="P101" s="766"/>
      <c r="R101" s="43">
        <v>0</v>
      </c>
    </row>
    <row r="102" spans="1:19">
      <c r="A102" s="763"/>
      <c r="B102" s="568" t="s">
        <v>506</v>
      </c>
      <c r="C102" s="779">
        <v>0.5</v>
      </c>
      <c r="D102" s="779">
        <v>0.5</v>
      </c>
      <c r="E102" s="779">
        <v>0.5</v>
      </c>
      <c r="F102" s="779">
        <v>0.5</v>
      </c>
      <c r="G102" s="779">
        <v>0.5</v>
      </c>
      <c r="H102" s="779">
        <v>0.5</v>
      </c>
      <c r="I102" s="779">
        <v>0.5</v>
      </c>
      <c r="J102" s="779">
        <v>0.5</v>
      </c>
      <c r="K102" s="779">
        <v>0.5</v>
      </c>
      <c r="L102" s="779">
        <v>0.5</v>
      </c>
      <c r="M102" s="779">
        <v>0.5</v>
      </c>
      <c r="N102" s="779">
        <v>0.5</v>
      </c>
      <c r="O102" s="779">
        <v>0.5</v>
      </c>
      <c r="P102" s="766"/>
    </row>
    <row r="103" spans="1:19">
      <c r="A103" s="763"/>
      <c r="B103" s="568" t="s">
        <v>507</v>
      </c>
      <c r="C103" s="780">
        <f t="shared" ref="C103:H103" si="51">C101*C102</f>
        <v>9113.23</v>
      </c>
      <c r="D103" s="780">
        <f t="shared" si="51"/>
        <v>8668.18</v>
      </c>
      <c r="E103" s="780">
        <f t="shared" si="51"/>
        <v>8492.15</v>
      </c>
      <c r="F103" s="780">
        <f t="shared" si="51"/>
        <v>9184.44</v>
      </c>
      <c r="G103" s="780">
        <f t="shared" si="51"/>
        <v>10070.290000000001</v>
      </c>
      <c r="H103" s="780">
        <f t="shared" si="51"/>
        <v>10936.31</v>
      </c>
      <c r="I103" s="780">
        <f>I101*I102</f>
        <v>12206.45</v>
      </c>
      <c r="J103" s="780">
        <f t="shared" ref="J103:O103" si="52">J101*J102</f>
        <v>11827.67</v>
      </c>
      <c r="K103" s="780">
        <f t="shared" si="52"/>
        <v>12470.3</v>
      </c>
      <c r="L103" s="780">
        <f t="shared" si="52"/>
        <v>11513.359999999999</v>
      </c>
      <c r="M103" s="780">
        <f t="shared" si="52"/>
        <v>11126.52</v>
      </c>
      <c r="N103" s="780">
        <f t="shared" si="52"/>
        <v>10683.54</v>
      </c>
      <c r="O103" s="780">
        <f t="shared" si="52"/>
        <v>126292.44</v>
      </c>
      <c r="P103" s="781">
        <f>O103-'REVRUNS 12ME1219'!P427-'REVRUNS 12ME1219'!P434</f>
        <v>-2.3305801732931286E-12</v>
      </c>
    </row>
    <row r="104" spans="1:19" ht="13.5" thickBot="1">
      <c r="A104" s="770"/>
      <c r="B104" s="558"/>
      <c r="C104" s="558"/>
      <c r="D104" s="558"/>
      <c r="E104" s="558"/>
      <c r="F104" s="558"/>
      <c r="G104" s="558"/>
      <c r="H104" s="558"/>
      <c r="I104" s="558"/>
      <c r="J104" s="558"/>
      <c r="K104" s="558"/>
      <c r="L104" s="558"/>
      <c r="M104" s="558"/>
      <c r="N104" s="558"/>
      <c r="O104" s="558"/>
      <c r="P104" s="783"/>
    </row>
    <row r="105" spans="1:19" s="755" customFormat="1">
      <c r="A105" s="758"/>
      <c r="B105" s="759" t="s">
        <v>960</v>
      </c>
      <c r="C105" s="760"/>
      <c r="D105" s="760"/>
      <c r="E105" s="760"/>
      <c r="F105" s="760"/>
      <c r="G105" s="760"/>
      <c r="H105" s="760"/>
      <c r="I105" s="784"/>
      <c r="J105" s="784"/>
      <c r="K105" s="784"/>
      <c r="L105" s="784"/>
      <c r="M105" s="784"/>
      <c r="N105" s="784"/>
      <c r="O105" s="760"/>
      <c r="P105" s="762"/>
    </row>
    <row r="106" spans="1:19" s="755" customFormat="1">
      <c r="A106" s="763"/>
      <c r="B106" s="568" t="s">
        <v>498</v>
      </c>
      <c r="C106" s="764">
        <f>'REVRUNS 12ME1219'!D167</f>
        <v>0</v>
      </c>
      <c r="D106" s="764">
        <f>'REVRUNS 12ME1219'!E167</f>
        <v>0</v>
      </c>
      <c r="E106" s="764">
        <f>'REVRUNS 12ME1219'!F167</f>
        <v>0</v>
      </c>
      <c r="F106" s="764">
        <f>'REVRUNS 12ME1219'!G167</f>
        <v>0</v>
      </c>
      <c r="G106" s="764">
        <f>'REVRUNS 12ME1219'!H167</f>
        <v>0</v>
      </c>
      <c r="H106" s="764">
        <f>'REVRUNS 12ME1219'!I167</f>
        <v>0</v>
      </c>
      <c r="I106" s="764">
        <f>'REVRUNS 12ME1219'!J167</f>
        <v>0</v>
      </c>
      <c r="J106" s="764">
        <f>'REVRUNS 12ME1219'!K167</f>
        <v>0</v>
      </c>
      <c r="K106" s="764">
        <f>'REVRUNS 12ME1219'!L167</f>
        <v>0</v>
      </c>
      <c r="L106" s="764">
        <f>'REVRUNS 12ME1219'!M167</f>
        <v>0</v>
      </c>
      <c r="M106" s="764">
        <f>'REVRUNS 12ME1219'!N167</f>
        <v>0</v>
      </c>
      <c r="N106" s="764">
        <f>'REVRUNS 12ME1219'!O167</f>
        <v>0</v>
      </c>
      <c r="O106" s="765">
        <f>SUM(C106:N106)</f>
        <v>0</v>
      </c>
      <c r="P106" s="766"/>
      <c r="R106" s="528">
        <v>0</v>
      </c>
      <c r="S106" s="412" t="e">
        <f>R106/$R$82</f>
        <v>#DIV/0!</v>
      </c>
    </row>
    <row r="107" spans="1:19" s="755" customFormat="1">
      <c r="A107" s="763"/>
      <c r="B107" s="568" t="s">
        <v>499</v>
      </c>
      <c r="C107" s="764">
        <f>'REVRUNS 12ME1219'!D168</f>
        <v>0</v>
      </c>
      <c r="D107" s="764">
        <f>'REVRUNS 12ME1219'!E168</f>
        <v>0</v>
      </c>
      <c r="E107" s="764">
        <f>'REVRUNS 12ME1219'!F168</f>
        <v>0</v>
      </c>
      <c r="F107" s="764">
        <f>'REVRUNS 12ME1219'!G168</f>
        <v>0</v>
      </c>
      <c r="G107" s="764">
        <f>'REVRUNS 12ME1219'!H168</f>
        <v>0</v>
      </c>
      <c r="H107" s="764">
        <f>'REVRUNS 12ME1219'!I168</f>
        <v>0</v>
      </c>
      <c r="I107" s="764">
        <f>'REVRUNS 12ME1219'!J168</f>
        <v>0</v>
      </c>
      <c r="J107" s="764">
        <f>'REVRUNS 12ME1219'!K168</f>
        <v>0</v>
      </c>
      <c r="K107" s="764">
        <f>'REVRUNS 12ME1219'!L168</f>
        <v>0</v>
      </c>
      <c r="L107" s="764">
        <f>'REVRUNS 12ME1219'!M168</f>
        <v>0</v>
      </c>
      <c r="M107" s="764">
        <f>'REVRUNS 12ME1219'!N168</f>
        <v>0</v>
      </c>
      <c r="N107" s="764">
        <f>'REVRUNS 12ME1219'!O168</f>
        <v>0</v>
      </c>
      <c r="O107" s="765">
        <f>SUM(C107:N107)</f>
        <v>0</v>
      </c>
      <c r="P107" s="766"/>
      <c r="R107" s="411">
        <v>0</v>
      </c>
      <c r="S107" s="413" t="e">
        <f>R107/$R$82</f>
        <v>#DIV/0!</v>
      </c>
    </row>
    <row r="108" spans="1:19" s="755" customFormat="1">
      <c r="A108" s="763" t="s">
        <v>500</v>
      </c>
      <c r="B108" s="713" t="s">
        <v>66</v>
      </c>
      <c r="C108" s="407">
        <f t="shared" ref="C108:H108" si="53">SUM(C106:C107)</f>
        <v>0</v>
      </c>
      <c r="D108" s="407">
        <f t="shared" si="53"/>
        <v>0</v>
      </c>
      <c r="E108" s="407">
        <f t="shared" si="53"/>
        <v>0</v>
      </c>
      <c r="F108" s="407">
        <f t="shared" si="53"/>
        <v>0</v>
      </c>
      <c r="G108" s="407">
        <f t="shared" si="53"/>
        <v>0</v>
      </c>
      <c r="H108" s="407">
        <f t="shared" si="53"/>
        <v>0</v>
      </c>
      <c r="I108" s="407">
        <f>SUM(I106:I107)</f>
        <v>0</v>
      </c>
      <c r="J108" s="407">
        <f t="shared" ref="J108:O108" si="54">SUM(J106:J107)</f>
        <v>0</v>
      </c>
      <c r="K108" s="407">
        <f t="shared" si="54"/>
        <v>0</v>
      </c>
      <c r="L108" s="407">
        <f t="shared" si="54"/>
        <v>0</v>
      </c>
      <c r="M108" s="407">
        <f t="shared" si="54"/>
        <v>0</v>
      </c>
      <c r="N108" s="407">
        <f t="shared" si="54"/>
        <v>0</v>
      </c>
      <c r="O108" s="407">
        <f t="shared" si="54"/>
        <v>0</v>
      </c>
      <c r="P108" s="766"/>
      <c r="R108" s="528">
        <f>SUM(R106:R107)</f>
        <v>0</v>
      </c>
      <c r="S108" s="84" t="e">
        <f>SUM(S106:S107)</f>
        <v>#DIV/0!</v>
      </c>
    </row>
    <row r="109" spans="1:19" s="755" customFormat="1">
      <c r="A109" s="763"/>
      <c r="B109" s="568" t="s">
        <v>95</v>
      </c>
      <c r="C109" s="533">
        <f>'REVRUNS 12ME1219'!D337</f>
        <v>0</v>
      </c>
      <c r="D109" s="533">
        <f>'REVRUNS 12ME1219'!E337</f>
        <v>0</v>
      </c>
      <c r="E109" s="533">
        <f>'REVRUNS 12ME1219'!F337</f>
        <v>0</v>
      </c>
      <c r="F109" s="533">
        <f>'REVRUNS 12ME1219'!G337</f>
        <v>0</v>
      </c>
      <c r="G109" s="533">
        <f>'REVRUNS 12ME1219'!H337</f>
        <v>0</v>
      </c>
      <c r="H109" s="533">
        <f>'REVRUNS 12ME1219'!I337</f>
        <v>0</v>
      </c>
      <c r="I109" s="533">
        <f>'REVRUNS 12ME1219'!J337</f>
        <v>0</v>
      </c>
      <c r="J109" s="533">
        <f>'REVRUNS 12ME1219'!K337</f>
        <v>0</v>
      </c>
      <c r="K109" s="533">
        <f>'REVRUNS 12ME1219'!L337</f>
        <v>0</v>
      </c>
      <c r="L109" s="533">
        <f>'REVRUNS 12ME1219'!M337</f>
        <v>0</v>
      </c>
      <c r="M109" s="533">
        <f>'REVRUNS 12ME1219'!N337</f>
        <v>0</v>
      </c>
      <c r="N109" s="533">
        <f>'REVRUNS 12ME1219'!O337</f>
        <v>0</v>
      </c>
      <c r="O109" s="765">
        <f>SUM(C109:N109)</f>
        <v>0</v>
      </c>
      <c r="P109" s="766"/>
    </row>
    <row r="110" spans="1:19" s="755" customFormat="1">
      <c r="A110" s="763"/>
      <c r="B110" s="568"/>
      <c r="C110" s="46">
        <f t="shared" ref="C110:N110" si="55">C109-C108</f>
        <v>0</v>
      </c>
      <c r="D110" s="46">
        <f t="shared" si="55"/>
        <v>0</v>
      </c>
      <c r="E110" s="46">
        <f t="shared" si="55"/>
        <v>0</v>
      </c>
      <c r="F110" s="46">
        <f t="shared" si="55"/>
        <v>0</v>
      </c>
      <c r="G110" s="46">
        <f t="shared" si="55"/>
        <v>0</v>
      </c>
      <c r="H110" s="46">
        <f t="shared" si="55"/>
        <v>0</v>
      </c>
      <c r="I110" s="46">
        <f t="shared" si="55"/>
        <v>0</v>
      </c>
      <c r="J110" s="302">
        <f t="shared" si="55"/>
        <v>0</v>
      </c>
      <c r="K110" s="302">
        <f t="shared" si="55"/>
        <v>0</v>
      </c>
      <c r="L110" s="46">
        <f t="shared" si="55"/>
        <v>0</v>
      </c>
      <c r="M110" s="302">
        <f t="shared" si="55"/>
        <v>0</v>
      </c>
      <c r="N110" s="46">
        <f t="shared" si="55"/>
        <v>0</v>
      </c>
      <c r="O110" s="765">
        <f>SUM(C110:N110)</f>
        <v>0</v>
      </c>
      <c r="P110" s="769" t="e">
        <f>O110/O109</f>
        <v>#DIV/0!</v>
      </c>
    </row>
    <row r="111" spans="1:19" s="755" customFormat="1">
      <c r="A111" s="763"/>
      <c r="B111" s="568"/>
      <c r="C111" s="46"/>
      <c r="D111" s="46"/>
      <c r="E111" s="46"/>
      <c r="F111" s="46"/>
      <c r="G111" s="46"/>
      <c r="H111" s="46"/>
      <c r="I111" s="46"/>
      <c r="J111" s="302"/>
      <c r="K111" s="302"/>
      <c r="L111" s="46"/>
      <c r="M111" s="302"/>
      <c r="N111" s="46"/>
      <c r="O111" s="765"/>
      <c r="P111" s="769"/>
    </row>
    <row r="112" spans="1:19" s="755" customFormat="1">
      <c r="A112" s="763"/>
      <c r="B112" s="568" t="s">
        <v>498</v>
      </c>
      <c r="C112" s="410">
        <f>IF(C108=0,0,(C106/C$108)*C$111)</f>
        <v>0</v>
      </c>
      <c r="D112" s="410">
        <f t="shared" ref="D112:N112" si="56">IF(D108=0,0,(D106/D$108)*D$111)</f>
        <v>0</v>
      </c>
      <c r="E112" s="410">
        <f t="shared" si="56"/>
        <v>0</v>
      </c>
      <c r="F112" s="410">
        <f t="shared" si="56"/>
        <v>0</v>
      </c>
      <c r="G112" s="410">
        <f t="shared" si="56"/>
        <v>0</v>
      </c>
      <c r="H112" s="410">
        <f t="shared" si="56"/>
        <v>0</v>
      </c>
      <c r="I112" s="410">
        <f t="shared" si="56"/>
        <v>0</v>
      </c>
      <c r="J112" s="410">
        <f t="shared" si="56"/>
        <v>0</v>
      </c>
      <c r="K112" s="410">
        <f t="shared" si="56"/>
        <v>0</v>
      </c>
      <c r="L112" s="410">
        <f t="shared" si="56"/>
        <v>0</v>
      </c>
      <c r="M112" s="410">
        <f t="shared" si="56"/>
        <v>0</v>
      </c>
      <c r="N112" s="410">
        <f t="shared" si="56"/>
        <v>0</v>
      </c>
      <c r="O112" s="410">
        <f>SUM(C112:N112)</f>
        <v>0</v>
      </c>
      <c r="P112" s="769"/>
    </row>
    <row r="113" spans="1:18" s="755" customFormat="1">
      <c r="A113" s="763"/>
      <c r="B113" s="568" t="s">
        <v>499</v>
      </c>
      <c r="C113" s="409">
        <f>IF(C108=0,0,(C107/C$108)*C$111)</f>
        <v>0</v>
      </c>
      <c r="D113" s="409">
        <f t="shared" ref="D113:N113" si="57">IF(D108=0,0,(D107/D$108)*D$111)</f>
        <v>0</v>
      </c>
      <c r="E113" s="409">
        <f t="shared" si="57"/>
        <v>0</v>
      </c>
      <c r="F113" s="409">
        <f t="shared" si="57"/>
        <v>0</v>
      </c>
      <c r="G113" s="409">
        <f t="shared" si="57"/>
        <v>0</v>
      </c>
      <c r="H113" s="409">
        <f t="shared" si="57"/>
        <v>0</v>
      </c>
      <c r="I113" s="409">
        <f t="shared" si="57"/>
        <v>0</v>
      </c>
      <c r="J113" s="409">
        <f t="shared" si="57"/>
        <v>0</v>
      </c>
      <c r="K113" s="409">
        <f t="shared" si="57"/>
        <v>0</v>
      </c>
      <c r="L113" s="409">
        <f t="shared" si="57"/>
        <v>0</v>
      </c>
      <c r="M113" s="409">
        <f t="shared" si="57"/>
        <v>0</v>
      </c>
      <c r="N113" s="409">
        <f t="shared" si="57"/>
        <v>0</v>
      </c>
      <c r="O113" s="409">
        <f>SUM(C113:N113)</f>
        <v>0</v>
      </c>
      <c r="P113" s="769"/>
    </row>
    <row r="114" spans="1:18" s="755" customFormat="1">
      <c r="A114" s="763"/>
      <c r="B114" s="568"/>
      <c r="C114" s="410">
        <f t="shared" ref="C114:O114" si="58">SUM(C112:C113)</f>
        <v>0</v>
      </c>
      <c r="D114" s="410">
        <f t="shared" si="58"/>
        <v>0</v>
      </c>
      <c r="E114" s="410">
        <f t="shared" si="58"/>
        <v>0</v>
      </c>
      <c r="F114" s="410">
        <f t="shared" si="58"/>
        <v>0</v>
      </c>
      <c r="G114" s="410">
        <f t="shared" si="58"/>
        <v>0</v>
      </c>
      <c r="H114" s="410">
        <f t="shared" si="58"/>
        <v>0</v>
      </c>
      <c r="I114" s="410">
        <f t="shared" si="58"/>
        <v>0</v>
      </c>
      <c r="J114" s="410">
        <f t="shared" si="58"/>
        <v>0</v>
      </c>
      <c r="K114" s="410">
        <f t="shared" si="58"/>
        <v>0</v>
      </c>
      <c r="L114" s="410">
        <f t="shared" si="58"/>
        <v>0</v>
      </c>
      <c r="M114" s="410">
        <f t="shared" si="58"/>
        <v>0</v>
      </c>
      <c r="N114" s="410">
        <f t="shared" si="58"/>
        <v>0</v>
      </c>
      <c r="O114" s="410">
        <f t="shared" si="58"/>
        <v>0</v>
      </c>
      <c r="P114" s="769"/>
    </row>
    <row r="115" spans="1:18" s="755" customFormat="1">
      <c r="A115" s="763"/>
      <c r="B115" s="568"/>
      <c r="C115" s="410"/>
      <c r="D115" s="410"/>
      <c r="E115" s="410"/>
      <c r="F115" s="410"/>
      <c r="G115" s="410"/>
      <c r="H115" s="410"/>
      <c r="I115" s="410"/>
      <c r="J115" s="410"/>
      <c r="K115" s="410"/>
      <c r="L115" s="410"/>
      <c r="M115" s="410"/>
      <c r="N115" s="410"/>
      <c r="O115" s="410"/>
      <c r="P115" s="769"/>
    </row>
    <row r="116" spans="1:18" s="755" customFormat="1">
      <c r="A116" s="763"/>
      <c r="B116" s="568" t="s">
        <v>498</v>
      </c>
      <c r="C116" s="410">
        <f>C106+C112</f>
        <v>0</v>
      </c>
      <c r="D116" s="410">
        <f t="shared" ref="D116:N116" si="59">D106+D112</f>
        <v>0</v>
      </c>
      <c r="E116" s="410">
        <f t="shared" si="59"/>
        <v>0</v>
      </c>
      <c r="F116" s="410">
        <f t="shared" si="59"/>
        <v>0</v>
      </c>
      <c r="G116" s="410">
        <f t="shared" si="59"/>
        <v>0</v>
      </c>
      <c r="H116" s="410">
        <f t="shared" si="59"/>
        <v>0</v>
      </c>
      <c r="I116" s="410">
        <f t="shared" si="59"/>
        <v>0</v>
      </c>
      <c r="J116" s="410">
        <f t="shared" si="59"/>
        <v>0</v>
      </c>
      <c r="K116" s="410">
        <f t="shared" si="59"/>
        <v>0</v>
      </c>
      <c r="L116" s="410">
        <f t="shared" si="59"/>
        <v>0</v>
      </c>
      <c r="M116" s="410">
        <f t="shared" si="59"/>
        <v>0</v>
      </c>
      <c r="N116" s="410">
        <f t="shared" si="59"/>
        <v>0</v>
      </c>
      <c r="O116" s="410">
        <f>SUM(C116:N116)</f>
        <v>0</v>
      </c>
      <c r="P116" s="769"/>
    </row>
    <row r="117" spans="1:18" s="755" customFormat="1">
      <c r="A117" s="763"/>
      <c r="B117" s="568" t="s">
        <v>499</v>
      </c>
      <c r="C117" s="409">
        <f>C107+C113</f>
        <v>0</v>
      </c>
      <c r="D117" s="409">
        <f t="shared" ref="D117:N117" si="60">D107+D113</f>
        <v>0</v>
      </c>
      <c r="E117" s="409">
        <f t="shared" si="60"/>
        <v>0</v>
      </c>
      <c r="F117" s="409">
        <f t="shared" si="60"/>
        <v>0</v>
      </c>
      <c r="G117" s="409">
        <f t="shared" si="60"/>
        <v>0</v>
      </c>
      <c r="H117" s="409">
        <f t="shared" si="60"/>
        <v>0</v>
      </c>
      <c r="I117" s="409">
        <f t="shared" si="60"/>
        <v>0</v>
      </c>
      <c r="J117" s="409">
        <f t="shared" si="60"/>
        <v>0</v>
      </c>
      <c r="K117" s="409">
        <f t="shared" si="60"/>
        <v>0</v>
      </c>
      <c r="L117" s="409">
        <f t="shared" si="60"/>
        <v>0</v>
      </c>
      <c r="M117" s="409">
        <f t="shared" si="60"/>
        <v>0</v>
      </c>
      <c r="N117" s="409">
        <f t="shared" si="60"/>
        <v>0</v>
      </c>
      <c r="O117" s="409">
        <f>SUM(C117:N117)</f>
        <v>0</v>
      </c>
      <c r="P117" s="769"/>
    </row>
    <row r="118" spans="1:18" s="755" customFormat="1">
      <c r="A118" s="763"/>
      <c r="B118" s="568"/>
      <c r="C118" s="410">
        <f t="shared" ref="C118:O118" si="61">SUM(C116:C117)</f>
        <v>0</v>
      </c>
      <c r="D118" s="410">
        <f t="shared" si="61"/>
        <v>0</v>
      </c>
      <c r="E118" s="410">
        <f t="shared" si="61"/>
        <v>0</v>
      </c>
      <c r="F118" s="410">
        <f t="shared" si="61"/>
        <v>0</v>
      </c>
      <c r="G118" s="410">
        <f t="shared" si="61"/>
        <v>0</v>
      </c>
      <c r="H118" s="410">
        <f t="shared" si="61"/>
        <v>0</v>
      </c>
      <c r="I118" s="410">
        <f t="shared" si="61"/>
        <v>0</v>
      </c>
      <c r="J118" s="410">
        <f t="shared" si="61"/>
        <v>0</v>
      </c>
      <c r="K118" s="410">
        <f t="shared" si="61"/>
        <v>0</v>
      </c>
      <c r="L118" s="410">
        <f t="shared" si="61"/>
        <v>0</v>
      </c>
      <c r="M118" s="410">
        <f t="shared" si="61"/>
        <v>0</v>
      </c>
      <c r="N118" s="410">
        <f t="shared" si="61"/>
        <v>0</v>
      </c>
      <c r="O118" s="410">
        <f t="shared" si="61"/>
        <v>0</v>
      </c>
      <c r="P118" s="769"/>
    </row>
    <row r="119" spans="1:18" s="755" customFormat="1">
      <c r="A119" s="763"/>
      <c r="B119" s="568"/>
      <c r="C119" s="765">
        <f t="shared" ref="C119:O119" si="62">C118-C109</f>
        <v>0</v>
      </c>
      <c r="D119" s="765">
        <f t="shared" si="62"/>
        <v>0</v>
      </c>
      <c r="E119" s="765">
        <f t="shared" si="62"/>
        <v>0</v>
      </c>
      <c r="F119" s="765">
        <f t="shared" si="62"/>
        <v>0</v>
      </c>
      <c r="G119" s="765">
        <f t="shared" si="62"/>
        <v>0</v>
      </c>
      <c r="H119" s="765">
        <f t="shared" si="62"/>
        <v>0</v>
      </c>
      <c r="I119" s="765">
        <f t="shared" si="62"/>
        <v>0</v>
      </c>
      <c r="J119" s="765">
        <f t="shared" si="62"/>
        <v>0</v>
      </c>
      <c r="K119" s="765">
        <f t="shared" si="62"/>
        <v>0</v>
      </c>
      <c r="L119" s="765">
        <f t="shared" si="62"/>
        <v>0</v>
      </c>
      <c r="M119" s="765">
        <f t="shared" si="62"/>
        <v>0</v>
      </c>
      <c r="N119" s="765">
        <f t="shared" si="62"/>
        <v>0</v>
      </c>
      <c r="O119" s="765">
        <f t="shared" si="62"/>
        <v>0</v>
      </c>
      <c r="P119" s="769"/>
    </row>
    <row r="120" spans="1:18" s="755" customFormat="1">
      <c r="A120" s="763"/>
      <c r="B120" s="568"/>
      <c r="C120" s="46"/>
      <c r="D120" s="46"/>
      <c r="E120" s="46"/>
      <c r="F120" s="46"/>
      <c r="G120" s="46"/>
      <c r="H120" s="46"/>
      <c r="I120" s="46"/>
      <c r="J120" s="302"/>
      <c r="K120" s="302"/>
      <c r="L120" s="46"/>
      <c r="M120" s="302"/>
      <c r="N120" s="46"/>
      <c r="O120" s="765"/>
      <c r="P120" s="769"/>
    </row>
    <row r="121" spans="1:18" s="755" customFormat="1">
      <c r="A121" s="776"/>
      <c r="B121" s="713" t="s">
        <v>960</v>
      </c>
      <c r="C121" s="568"/>
      <c r="D121" s="568"/>
      <c r="E121" s="568"/>
      <c r="F121" s="568"/>
      <c r="G121" s="568"/>
      <c r="H121" s="568"/>
      <c r="I121" s="568"/>
      <c r="J121" s="568"/>
      <c r="K121" s="568"/>
      <c r="L121" s="568"/>
      <c r="M121" s="568"/>
      <c r="N121" s="568"/>
      <c r="O121" s="568"/>
      <c r="P121" s="766"/>
    </row>
    <row r="122" spans="1:18" s="755" customFormat="1">
      <c r="A122" s="763"/>
      <c r="B122" s="568" t="s">
        <v>498</v>
      </c>
      <c r="C122" s="764"/>
      <c r="D122" s="764"/>
      <c r="E122" s="764"/>
      <c r="F122" s="764"/>
      <c r="G122" s="764"/>
      <c r="H122" s="764"/>
      <c r="I122" s="764"/>
      <c r="J122" s="764"/>
      <c r="K122" s="764"/>
      <c r="L122" s="764"/>
      <c r="M122" s="764"/>
      <c r="N122" s="764"/>
      <c r="O122" s="765">
        <f>SUM(C122:N122)</f>
        <v>0</v>
      </c>
      <c r="P122" s="766"/>
      <c r="R122" s="528">
        <v>0</v>
      </c>
    </row>
    <row r="123" spans="1:18" s="755" customFormat="1">
      <c r="A123" s="763"/>
      <c r="B123" s="568" t="s">
        <v>499</v>
      </c>
      <c r="C123" s="768">
        <f>'REVRUNS 12ME1219'!D440/'REVRUNS 12ME1219'!D443</f>
        <v>0</v>
      </c>
      <c r="D123" s="768">
        <f>'REVRUNS 12ME1219'!E440/'REVRUNS 12ME1219'!E443</f>
        <v>0</v>
      </c>
      <c r="E123" s="768">
        <f>'REVRUNS 12ME1219'!F440/'REVRUNS 12ME1219'!F443</f>
        <v>0</v>
      </c>
      <c r="F123" s="768">
        <f>'REVRUNS 12ME1219'!G440/'REVRUNS 12ME1219'!G443</f>
        <v>0</v>
      </c>
      <c r="G123" s="768">
        <f>'REVRUNS 12ME1219'!H440/'REVRUNS 12ME1219'!H443</f>
        <v>0</v>
      </c>
      <c r="H123" s="768">
        <f>'REVRUNS 12ME1219'!I440/'REVRUNS 12ME1219'!I443</f>
        <v>0</v>
      </c>
      <c r="I123" s="768">
        <f>'REVRUNS 12ME1219'!J440/'REVRUNS 12ME1219'!J443</f>
        <v>0</v>
      </c>
      <c r="J123" s="768">
        <f>'REVRUNS 12ME1219'!K440/'REVRUNS 12ME1219'!K443</f>
        <v>0</v>
      </c>
      <c r="K123" s="768">
        <f>'REVRUNS 12ME1219'!L440/'REVRUNS 12ME1219'!L443</f>
        <v>0</v>
      </c>
      <c r="L123" s="768">
        <f>'REVRUNS 12ME1219'!M440/'REVRUNS 12ME1219'!M443</f>
        <v>0</v>
      </c>
      <c r="M123" s="768">
        <f>'REVRUNS 12ME1219'!N440/'REVRUNS 12ME1219'!N443</f>
        <v>0</v>
      </c>
      <c r="N123" s="768">
        <f>'REVRUNS 12ME1219'!O440/'REVRUNS 12ME1219'!O443</f>
        <v>0</v>
      </c>
      <c r="O123" s="765">
        <f>SUM(C123:N123)</f>
        <v>0</v>
      </c>
      <c r="P123" s="778">
        <f>'REVRUNS 12ME1219'!P440/6.5-O123</f>
        <v>0</v>
      </c>
      <c r="R123" s="411">
        <v>0</v>
      </c>
    </row>
    <row r="124" spans="1:18" s="755" customFormat="1">
      <c r="A124" s="763" t="s">
        <v>504</v>
      </c>
      <c r="B124" s="713" t="s">
        <v>66</v>
      </c>
      <c r="C124" s="407">
        <f t="shared" ref="C124:O124" si="63">SUM(C122:C123)</f>
        <v>0</v>
      </c>
      <c r="D124" s="407">
        <f t="shared" si="63"/>
        <v>0</v>
      </c>
      <c r="E124" s="407">
        <f t="shared" si="63"/>
        <v>0</v>
      </c>
      <c r="F124" s="407">
        <f t="shared" si="63"/>
        <v>0</v>
      </c>
      <c r="G124" s="407">
        <f t="shared" si="63"/>
        <v>0</v>
      </c>
      <c r="H124" s="407">
        <f t="shared" si="63"/>
        <v>0</v>
      </c>
      <c r="I124" s="407">
        <f t="shared" si="63"/>
        <v>0</v>
      </c>
      <c r="J124" s="407">
        <f t="shared" si="63"/>
        <v>0</v>
      </c>
      <c r="K124" s="407">
        <f t="shared" si="63"/>
        <v>0</v>
      </c>
      <c r="L124" s="407">
        <f t="shared" si="63"/>
        <v>0</v>
      </c>
      <c r="M124" s="407">
        <f t="shared" si="63"/>
        <v>0</v>
      </c>
      <c r="N124" s="407">
        <f t="shared" si="63"/>
        <v>0</v>
      </c>
      <c r="O124" s="407">
        <f t="shared" si="63"/>
        <v>0</v>
      </c>
      <c r="P124" s="766"/>
      <c r="R124" s="528">
        <f>SUM(R122:R123)</f>
        <v>0</v>
      </c>
    </row>
    <row r="125" spans="1:18" s="755" customFormat="1">
      <c r="A125" s="763"/>
      <c r="B125" s="568"/>
      <c r="C125" s="568"/>
      <c r="D125" s="568"/>
      <c r="E125" s="568"/>
      <c r="F125" s="568"/>
      <c r="G125" s="568"/>
      <c r="H125" s="568"/>
      <c r="I125" s="568"/>
      <c r="J125" s="568"/>
      <c r="K125" s="568"/>
      <c r="L125" s="568"/>
      <c r="M125" s="568"/>
      <c r="N125" s="568"/>
      <c r="O125" s="568"/>
      <c r="P125" s="766"/>
    </row>
    <row r="126" spans="1:18" s="755" customFormat="1">
      <c r="A126" s="776"/>
      <c r="B126" s="713" t="s">
        <v>960</v>
      </c>
      <c r="C126" s="568"/>
      <c r="D126" s="568"/>
      <c r="E126" s="568"/>
      <c r="F126" s="568"/>
      <c r="G126" s="568"/>
      <c r="H126" s="568"/>
      <c r="I126" s="568"/>
      <c r="J126" s="568"/>
      <c r="K126" s="568"/>
      <c r="L126" s="568"/>
      <c r="M126" s="568"/>
      <c r="N126" s="568"/>
      <c r="O126" s="568"/>
      <c r="P126" s="766"/>
    </row>
    <row r="127" spans="1:18" s="755" customFormat="1">
      <c r="A127" s="763"/>
      <c r="B127" s="568" t="s">
        <v>505</v>
      </c>
      <c r="C127" s="768">
        <f>'REVRUNS 12ME1219'!D441/'REVRUNS 12ME1219'!D444</f>
        <v>0</v>
      </c>
      <c r="D127" s="768">
        <f>'REVRUNS 12ME1219'!E441/'REVRUNS 12ME1219'!E444</f>
        <v>0</v>
      </c>
      <c r="E127" s="768">
        <f>'REVRUNS 12ME1219'!F441/'REVRUNS 12ME1219'!F444</f>
        <v>0</v>
      </c>
      <c r="F127" s="768">
        <f>'REVRUNS 12ME1219'!G441/'REVRUNS 12ME1219'!G444</f>
        <v>0</v>
      </c>
      <c r="G127" s="768">
        <f>'REVRUNS 12ME1219'!H441/'REVRUNS 12ME1219'!H444</f>
        <v>0</v>
      </c>
      <c r="H127" s="768">
        <f>'REVRUNS 12ME1219'!I441/'REVRUNS 12ME1219'!I444</f>
        <v>0</v>
      </c>
      <c r="I127" s="768">
        <f>'REVRUNS 12ME1219'!J441/'REVRUNS 12ME1219'!J444</f>
        <v>0</v>
      </c>
      <c r="J127" s="768">
        <f>'REVRUNS 12ME1219'!K441/'REVRUNS 12ME1219'!K444</f>
        <v>0</v>
      </c>
      <c r="K127" s="768">
        <f>'REVRUNS 12ME1219'!L441/'REVRUNS 12ME1219'!L444</f>
        <v>0</v>
      </c>
      <c r="L127" s="768">
        <f>'REVRUNS 12ME1219'!M441/'REVRUNS 12ME1219'!M444</f>
        <v>0</v>
      </c>
      <c r="M127" s="768">
        <f>'REVRUNS 12ME1219'!N441/'REVRUNS 12ME1219'!N444</f>
        <v>0</v>
      </c>
      <c r="N127" s="768">
        <f>'REVRUNS 12ME1219'!O441/'REVRUNS 12ME1219'!O444</f>
        <v>0</v>
      </c>
      <c r="O127" s="765">
        <f>SUM(C127:N127)</f>
        <v>0</v>
      </c>
      <c r="P127" s="766"/>
      <c r="R127" s="528">
        <v>0</v>
      </c>
    </row>
    <row r="128" spans="1:18" s="755" customFormat="1">
      <c r="A128" s="763"/>
      <c r="B128" s="568" t="s">
        <v>506</v>
      </c>
      <c r="C128" s="779">
        <v>0.5</v>
      </c>
      <c r="D128" s="779">
        <v>0.5</v>
      </c>
      <c r="E128" s="779">
        <v>0.5</v>
      </c>
      <c r="F128" s="779">
        <v>0.5</v>
      </c>
      <c r="G128" s="779">
        <v>0.5</v>
      </c>
      <c r="H128" s="779">
        <v>0.5</v>
      </c>
      <c r="I128" s="779">
        <v>0.5</v>
      </c>
      <c r="J128" s="779">
        <v>0.5</v>
      </c>
      <c r="K128" s="779">
        <v>0.5</v>
      </c>
      <c r="L128" s="779">
        <v>0.5</v>
      </c>
      <c r="M128" s="779">
        <v>0.5</v>
      </c>
      <c r="N128" s="779">
        <v>0.5</v>
      </c>
      <c r="O128" s="779">
        <v>0.5</v>
      </c>
      <c r="P128" s="766"/>
    </row>
    <row r="129" spans="1:19" s="755" customFormat="1">
      <c r="A129" s="763"/>
      <c r="B129" s="568" t="s">
        <v>507</v>
      </c>
      <c r="C129" s="780">
        <f t="shared" ref="C129:H129" si="64">C127*C128</f>
        <v>0</v>
      </c>
      <c r="D129" s="780">
        <f t="shared" si="64"/>
        <v>0</v>
      </c>
      <c r="E129" s="780">
        <f t="shared" si="64"/>
        <v>0</v>
      </c>
      <c r="F129" s="780">
        <f t="shared" si="64"/>
        <v>0</v>
      </c>
      <c r="G129" s="780">
        <f t="shared" si="64"/>
        <v>0</v>
      </c>
      <c r="H129" s="780">
        <f t="shared" si="64"/>
        <v>0</v>
      </c>
      <c r="I129" s="780">
        <f>I127*I128</f>
        <v>0</v>
      </c>
      <c r="J129" s="780">
        <f t="shared" ref="J129:O129" si="65">J127*J128</f>
        <v>0</v>
      </c>
      <c r="K129" s="780">
        <f t="shared" si="65"/>
        <v>0</v>
      </c>
      <c r="L129" s="780">
        <f t="shared" si="65"/>
        <v>0</v>
      </c>
      <c r="M129" s="780">
        <f t="shared" si="65"/>
        <v>0</v>
      </c>
      <c r="N129" s="780">
        <f t="shared" si="65"/>
        <v>0</v>
      </c>
      <c r="O129" s="780">
        <f t="shared" si="65"/>
        <v>0</v>
      </c>
      <c r="P129" s="781">
        <f>O129-'REVRUNS 12ME1219'!P469-'REVRUNS 12ME1219'!P476</f>
        <v>0</v>
      </c>
    </row>
    <row r="130" spans="1:19" s="755" customFormat="1" ht="13.5" thickBot="1">
      <c r="A130" s="770"/>
      <c r="B130" s="558"/>
      <c r="C130" s="558"/>
      <c r="D130" s="558"/>
      <c r="E130" s="558"/>
      <c r="F130" s="558"/>
      <c r="G130" s="558"/>
      <c r="H130" s="558"/>
      <c r="I130" s="558"/>
      <c r="J130" s="558"/>
      <c r="K130" s="558"/>
      <c r="L130" s="558"/>
      <c r="M130" s="558"/>
      <c r="N130" s="558"/>
      <c r="O130" s="558"/>
      <c r="P130" s="783"/>
    </row>
    <row r="131" spans="1:19">
      <c r="A131" s="758"/>
      <c r="B131" s="759" t="s">
        <v>512</v>
      </c>
      <c r="C131" s="760"/>
      <c r="D131" s="760"/>
      <c r="E131" s="760"/>
      <c r="F131" s="760"/>
      <c r="G131" s="760"/>
      <c r="H131" s="760"/>
      <c r="I131" s="760"/>
      <c r="J131" s="760"/>
      <c r="K131" s="760"/>
      <c r="L131" s="760"/>
      <c r="M131" s="760"/>
      <c r="N131" s="760"/>
      <c r="O131" s="760"/>
      <c r="P131" s="762"/>
    </row>
    <row r="132" spans="1:19">
      <c r="A132" s="763"/>
      <c r="B132" s="568" t="s">
        <v>498</v>
      </c>
      <c r="C132" s="764">
        <f>'REVRUNS 12ME1219'!D224+'REVRUNS 12ME1219'!D237</f>
        <v>1558446.5706799999</v>
      </c>
      <c r="D132" s="764">
        <f>'REVRUNS 12ME1219'!E224+'REVRUNS 12ME1219'!E237</f>
        <v>1621911.9316700001</v>
      </c>
      <c r="E132" s="764">
        <f>'REVRUNS 12ME1219'!F224+'REVRUNS 12ME1219'!F237</f>
        <v>1656268.9913299999</v>
      </c>
      <c r="F132" s="764">
        <f>'REVRUNS 12ME1219'!G224+'REVRUNS 12ME1219'!G237</f>
        <v>1815577.89133</v>
      </c>
      <c r="G132" s="764">
        <f>'REVRUNS 12ME1219'!H224+'REVRUNS 12ME1219'!H237</f>
        <v>3279861.838</v>
      </c>
      <c r="H132" s="764">
        <f>'REVRUNS 12ME1219'!I224+'REVRUNS 12ME1219'!I237</f>
        <v>4298187.57467</v>
      </c>
      <c r="I132" s="764">
        <f>'REVRUNS 12ME1219'!J224+'REVRUNS 12ME1219'!J237</f>
        <v>4736307.7769999998</v>
      </c>
      <c r="J132" s="764">
        <f>'REVRUNS 12ME1219'!K224+'REVRUNS 12ME1219'!K237</f>
        <v>5023006.2288300004</v>
      </c>
      <c r="K132" s="764">
        <f>'REVRUNS 12ME1219'!L224+'REVRUNS 12ME1219'!L237</f>
        <v>4756270.5123399999</v>
      </c>
      <c r="L132" s="764">
        <f>'REVRUNS 12ME1219'!M224+'REVRUNS 12ME1219'!M237</f>
        <v>3386712.2659900002</v>
      </c>
      <c r="M132" s="764">
        <f>'REVRUNS 12ME1219'!N224+'REVRUNS 12ME1219'!N237</f>
        <v>1727064.0085100001</v>
      </c>
      <c r="N132" s="764">
        <f>'REVRUNS 12ME1219'!O224+'REVRUNS 12ME1219'!O237</f>
        <v>1657402.59216</v>
      </c>
      <c r="O132" s="765">
        <f>SUM(C132:N132)</f>
        <v>35517018.182510003</v>
      </c>
      <c r="P132" s="785"/>
      <c r="R132" s="43">
        <v>0</v>
      </c>
      <c r="S132" s="412" t="e">
        <f>R132/$R$135</f>
        <v>#DIV/0!</v>
      </c>
    </row>
    <row r="133" spans="1:19">
      <c r="A133" s="763"/>
      <c r="B133" s="568" t="s">
        <v>499</v>
      </c>
      <c r="C133" s="764">
        <f>'REVRUNS 12ME1219'!D225+'REVRUNS 12ME1219'!D238</f>
        <v>475843.11300000001</v>
      </c>
      <c r="D133" s="764">
        <f>'REVRUNS 12ME1219'!E225+'REVRUNS 12ME1219'!E238</f>
        <v>469665.33632999996</v>
      </c>
      <c r="E133" s="764">
        <f>'REVRUNS 12ME1219'!F225+'REVRUNS 12ME1219'!F238</f>
        <v>511613.42466999998</v>
      </c>
      <c r="F133" s="764">
        <f>'REVRUNS 12ME1219'!G225+'REVRUNS 12ME1219'!G238</f>
        <v>494263.28399999999</v>
      </c>
      <c r="G133" s="764">
        <f>'REVRUNS 12ME1219'!H225+'REVRUNS 12ME1219'!H238</f>
        <v>1062983.3330000001</v>
      </c>
      <c r="H133" s="764">
        <f>'REVRUNS 12ME1219'!I225+'REVRUNS 12ME1219'!I238</f>
        <v>1484354.34133</v>
      </c>
      <c r="I133" s="764">
        <f>'REVRUNS 12ME1219'!J225+'REVRUNS 12ME1219'!J238</f>
        <v>1735717.5549999999</v>
      </c>
      <c r="J133" s="764">
        <f>'REVRUNS 12ME1219'!K225+'REVRUNS 12ME1219'!K238</f>
        <v>1767781.1459999999</v>
      </c>
      <c r="K133" s="764">
        <f>'REVRUNS 12ME1219'!L225+'REVRUNS 12ME1219'!L238</f>
        <v>1599467.4870000002</v>
      </c>
      <c r="L133" s="764">
        <f>'REVRUNS 12ME1219'!M225+'REVRUNS 12ME1219'!M238</f>
        <v>780886.32366999995</v>
      </c>
      <c r="M133" s="764">
        <f>'REVRUNS 12ME1219'!N225+'REVRUNS 12ME1219'!N238</f>
        <v>421693.76432000002</v>
      </c>
      <c r="N133" s="764">
        <f>'REVRUNS 12ME1219'!O225+'REVRUNS 12ME1219'!O238</f>
        <v>469450.41933999996</v>
      </c>
      <c r="O133" s="765">
        <f>SUM(C133:N133)</f>
        <v>11273719.527659997</v>
      </c>
      <c r="P133" s="785"/>
      <c r="R133" s="43">
        <v>0</v>
      </c>
      <c r="S133" s="412" t="e">
        <f>R133/$R$135</f>
        <v>#DIV/0!</v>
      </c>
    </row>
    <row r="134" spans="1:19">
      <c r="A134" s="763"/>
      <c r="B134" s="568" t="s">
        <v>510</v>
      </c>
      <c r="C134" s="764">
        <f>'REVRUNS 12ME1219'!D226+'REVRUNS 12ME1219'!D239+'REVRUNS 12ME1219'!D212</f>
        <v>2333522.90032</v>
      </c>
      <c r="D134" s="764">
        <f>'REVRUNS 12ME1219'!E226+'REVRUNS 12ME1219'!E239+'REVRUNS 12ME1219'!E212</f>
        <v>2085330.9269999999</v>
      </c>
      <c r="E134" s="764">
        <f>'REVRUNS 12ME1219'!F226+'REVRUNS 12ME1219'!F239+'REVRUNS 12ME1219'!F212</f>
        <v>2231464.571</v>
      </c>
      <c r="F134" s="764">
        <f>'REVRUNS 12ME1219'!G226+'REVRUNS 12ME1219'!G239+'REVRUNS 12ME1219'!G212</f>
        <v>2305842.4046699996</v>
      </c>
      <c r="G134" s="764">
        <f>'REVRUNS 12ME1219'!H226+'REVRUNS 12ME1219'!H239+'REVRUNS 12ME1219'!H212</f>
        <v>7579181.0899999999</v>
      </c>
      <c r="H134" s="764">
        <f>'REVRUNS 12ME1219'!I226+'REVRUNS 12ME1219'!I239+'REVRUNS 12ME1219'!I212</f>
        <v>12758070.550000001</v>
      </c>
      <c r="I134" s="764">
        <f>'REVRUNS 12ME1219'!J226+'REVRUNS 12ME1219'!J239+'REVRUNS 12ME1219'!J212</f>
        <v>16855941.529999997</v>
      </c>
      <c r="J134" s="764">
        <f>'REVRUNS 12ME1219'!K226+'REVRUNS 12ME1219'!K239+'REVRUNS 12ME1219'!K212</f>
        <v>18315605.148170002</v>
      </c>
      <c r="K134" s="764">
        <f>'REVRUNS 12ME1219'!L226+'REVRUNS 12ME1219'!L239+'REVRUNS 12ME1219'!L212</f>
        <v>17926584.969659999</v>
      </c>
      <c r="L134" s="764">
        <f>'REVRUNS 12ME1219'!M226+'REVRUNS 12ME1219'!M239+'REVRUNS 12ME1219'!M212</f>
        <v>6156277.4933400005</v>
      </c>
      <c r="M134" s="764">
        <f>'REVRUNS 12ME1219'!N226+'REVRUNS 12ME1219'!N239+'REVRUNS 12ME1219'!N212</f>
        <v>2047937.3311699999</v>
      </c>
      <c r="N134" s="764">
        <f>'REVRUNS 12ME1219'!O226+'REVRUNS 12ME1219'!O239+'REVRUNS 12ME1219'!O212</f>
        <v>2173482.4165000003</v>
      </c>
      <c r="O134" s="765">
        <f>SUM(C134:N134)</f>
        <v>92769241.331829995</v>
      </c>
      <c r="P134" s="785"/>
      <c r="R134" s="411">
        <v>0</v>
      </c>
      <c r="S134" s="413" t="e">
        <f>R134/$R$135</f>
        <v>#DIV/0!</v>
      </c>
    </row>
    <row r="135" spans="1:19">
      <c r="A135" s="763" t="s">
        <v>500</v>
      </c>
      <c r="B135" s="713" t="s">
        <v>66</v>
      </c>
      <c r="C135" s="39">
        <f t="shared" ref="C135:O135" si="66">SUM(C132:C134)</f>
        <v>4367812.5839999998</v>
      </c>
      <c r="D135" s="39">
        <f t="shared" si="66"/>
        <v>4176908.1950000003</v>
      </c>
      <c r="E135" s="39">
        <f t="shared" si="66"/>
        <v>4399346.9869999997</v>
      </c>
      <c r="F135" s="39">
        <f t="shared" si="66"/>
        <v>4615683.58</v>
      </c>
      <c r="G135" s="39">
        <f t="shared" si="66"/>
        <v>11922026.261</v>
      </c>
      <c r="H135" s="39">
        <f t="shared" si="66"/>
        <v>18540612.466000002</v>
      </c>
      <c r="I135" s="39">
        <f t="shared" si="66"/>
        <v>23327966.861999996</v>
      </c>
      <c r="J135" s="39">
        <f t="shared" si="66"/>
        <v>25106392.523000002</v>
      </c>
      <c r="K135" s="39">
        <f t="shared" si="66"/>
        <v>24282322.968999997</v>
      </c>
      <c r="L135" s="39">
        <f t="shared" si="66"/>
        <v>10323876.083000001</v>
      </c>
      <c r="M135" s="39">
        <f t="shared" si="66"/>
        <v>4196695.1040000003</v>
      </c>
      <c r="N135" s="39">
        <f t="shared" si="66"/>
        <v>4300335.4280000003</v>
      </c>
      <c r="O135" s="39">
        <f t="shared" si="66"/>
        <v>139559979.042</v>
      </c>
      <c r="P135" s="785"/>
      <c r="R135" s="43">
        <f>SUM(R132:R134)</f>
        <v>0</v>
      </c>
      <c r="S135" s="84" t="e">
        <f>SUM(S132:S134)</f>
        <v>#DIV/0!</v>
      </c>
    </row>
    <row r="136" spans="1:19">
      <c r="A136" s="763"/>
      <c r="B136" s="568" t="s">
        <v>95</v>
      </c>
      <c r="C136" s="534">
        <f>'REVRUNS 12ME1219'!D340</f>
        <v>4367812.5839999998</v>
      </c>
      <c r="D136" s="534">
        <f>'REVRUNS 12ME1219'!E340</f>
        <v>4176908.1949999998</v>
      </c>
      <c r="E136" s="534">
        <f>'REVRUNS 12ME1219'!F340</f>
        <v>4399346.9869999997</v>
      </c>
      <c r="F136" s="534">
        <f>'REVRUNS 12ME1219'!G340</f>
        <v>4615683.58</v>
      </c>
      <c r="G136" s="534">
        <f>'REVRUNS 12ME1219'!H340</f>
        <v>11922026.261</v>
      </c>
      <c r="H136" s="534">
        <f>'REVRUNS 12ME1219'!I340</f>
        <v>18540612.465999998</v>
      </c>
      <c r="I136" s="534">
        <f>'REVRUNS 12ME1219'!J340</f>
        <v>23327966.862</v>
      </c>
      <c r="J136" s="534">
        <f>'REVRUNS 12ME1219'!K340</f>
        <v>25106392.523000002</v>
      </c>
      <c r="K136" s="534">
        <f>'REVRUNS 12ME1219'!L340</f>
        <v>24282322.969000001</v>
      </c>
      <c r="L136" s="534">
        <f>'REVRUNS 12ME1219'!M340</f>
        <v>10323876.083000001</v>
      </c>
      <c r="M136" s="534">
        <f>'REVRUNS 12ME1219'!N340</f>
        <v>4196695.1040000003</v>
      </c>
      <c r="N136" s="534">
        <f>'REVRUNS 12ME1219'!O340</f>
        <v>4300335.4280000003</v>
      </c>
      <c r="O136" s="765">
        <f>SUM(C136:N136)</f>
        <v>139559979.042</v>
      </c>
      <c r="P136" s="766"/>
    </row>
    <row r="137" spans="1:19">
      <c r="A137" s="763"/>
      <c r="B137" s="568"/>
      <c r="C137" s="46">
        <f t="shared" ref="C137:N137" si="67">C136-C135</f>
        <v>0</v>
      </c>
      <c r="D137" s="46">
        <f t="shared" si="67"/>
        <v>0</v>
      </c>
      <c r="E137" s="46">
        <f t="shared" si="67"/>
        <v>0</v>
      </c>
      <c r="F137" s="46">
        <f t="shared" si="67"/>
        <v>0</v>
      </c>
      <c r="G137" s="46">
        <f t="shared" si="67"/>
        <v>0</v>
      </c>
      <c r="H137" s="46">
        <f t="shared" si="67"/>
        <v>0</v>
      </c>
      <c r="I137" s="46">
        <f t="shared" si="67"/>
        <v>0</v>
      </c>
      <c r="J137" s="302">
        <f t="shared" si="67"/>
        <v>0</v>
      </c>
      <c r="K137" s="46">
        <f t="shared" si="67"/>
        <v>0</v>
      </c>
      <c r="L137" s="46">
        <f t="shared" si="67"/>
        <v>0</v>
      </c>
      <c r="M137" s="46">
        <f t="shared" si="67"/>
        <v>0</v>
      </c>
      <c r="N137" s="46">
        <f t="shared" si="67"/>
        <v>0</v>
      </c>
      <c r="O137" s="765">
        <f>SUM(C137:N137)</f>
        <v>0</v>
      </c>
      <c r="P137" s="769">
        <f>O137/O136</f>
        <v>0</v>
      </c>
    </row>
    <row r="138" spans="1:19">
      <c r="A138" s="763"/>
      <c r="B138" s="568"/>
      <c r="C138" s="46"/>
      <c r="D138" s="46"/>
      <c r="E138" s="46"/>
      <c r="F138" s="46"/>
      <c r="G138" s="46"/>
      <c r="H138" s="46"/>
      <c r="I138" s="46"/>
      <c r="J138" s="302"/>
      <c r="K138" s="46"/>
      <c r="L138" s="46"/>
      <c r="M138" s="46"/>
      <c r="N138" s="46"/>
      <c r="O138" s="765"/>
      <c r="P138" s="769"/>
    </row>
    <row r="139" spans="1:19">
      <c r="A139" s="763"/>
      <c r="B139" s="568" t="s">
        <v>498</v>
      </c>
      <c r="C139" s="410">
        <f>(C132/C$135)*C$137</f>
        <v>0</v>
      </c>
      <c r="D139" s="410">
        <f t="shared" ref="D139:N139" si="68">(D132/D$135)*D$137</f>
        <v>0</v>
      </c>
      <c r="E139" s="410">
        <f t="shared" si="68"/>
        <v>0</v>
      </c>
      <c r="F139" s="410">
        <f t="shared" si="68"/>
        <v>0</v>
      </c>
      <c r="G139" s="410">
        <f t="shared" si="68"/>
        <v>0</v>
      </c>
      <c r="H139" s="410">
        <f t="shared" si="68"/>
        <v>0</v>
      </c>
      <c r="I139" s="410">
        <f t="shared" si="68"/>
        <v>0</v>
      </c>
      <c r="J139" s="410">
        <f t="shared" si="68"/>
        <v>0</v>
      </c>
      <c r="K139" s="410">
        <f t="shared" si="68"/>
        <v>0</v>
      </c>
      <c r="L139" s="410">
        <f>(L132/L$135)*L$137</f>
        <v>0</v>
      </c>
      <c r="M139" s="410">
        <f t="shared" si="68"/>
        <v>0</v>
      </c>
      <c r="N139" s="410">
        <f t="shared" si="68"/>
        <v>0</v>
      </c>
      <c r="O139" s="410">
        <f>SUM(C139:N139)</f>
        <v>0</v>
      </c>
      <c r="P139" s="769"/>
    </row>
    <row r="140" spans="1:19">
      <c r="A140" s="763"/>
      <c r="B140" s="568" t="s">
        <v>499</v>
      </c>
      <c r="C140" s="410">
        <f t="shared" ref="C140:N141" si="69">(C133/C$135)*C$137</f>
        <v>0</v>
      </c>
      <c r="D140" s="410">
        <f t="shared" si="69"/>
        <v>0</v>
      </c>
      <c r="E140" s="410">
        <f t="shared" si="69"/>
        <v>0</v>
      </c>
      <c r="F140" s="410">
        <f t="shared" si="69"/>
        <v>0</v>
      </c>
      <c r="G140" s="410">
        <f t="shared" si="69"/>
        <v>0</v>
      </c>
      <c r="H140" s="410">
        <f t="shared" si="69"/>
        <v>0</v>
      </c>
      <c r="I140" s="410">
        <f t="shared" si="69"/>
        <v>0</v>
      </c>
      <c r="J140" s="410">
        <f t="shared" si="69"/>
        <v>0</v>
      </c>
      <c r="K140" s="410">
        <f t="shared" si="69"/>
        <v>0</v>
      </c>
      <c r="L140" s="410">
        <f t="shared" si="69"/>
        <v>0</v>
      </c>
      <c r="M140" s="410">
        <f t="shared" si="69"/>
        <v>0</v>
      </c>
      <c r="N140" s="410">
        <f t="shared" si="69"/>
        <v>0</v>
      </c>
      <c r="O140" s="410">
        <f>SUM(C140:N140)</f>
        <v>0</v>
      </c>
      <c r="P140" s="769"/>
    </row>
    <row r="141" spans="1:19">
      <c r="A141" s="763"/>
      <c r="B141" s="568" t="s">
        <v>510</v>
      </c>
      <c r="C141" s="409">
        <f t="shared" si="69"/>
        <v>0</v>
      </c>
      <c r="D141" s="409">
        <f t="shared" si="69"/>
        <v>0</v>
      </c>
      <c r="E141" s="409">
        <f t="shared" si="69"/>
        <v>0</v>
      </c>
      <c r="F141" s="409">
        <f t="shared" si="69"/>
        <v>0</v>
      </c>
      <c r="G141" s="409">
        <f t="shared" si="69"/>
        <v>0</v>
      </c>
      <c r="H141" s="409">
        <f t="shared" si="69"/>
        <v>0</v>
      </c>
      <c r="I141" s="409">
        <f t="shared" si="69"/>
        <v>0</v>
      </c>
      <c r="J141" s="409">
        <f t="shared" si="69"/>
        <v>0</v>
      </c>
      <c r="K141" s="409">
        <f t="shared" si="69"/>
        <v>0</v>
      </c>
      <c r="L141" s="409">
        <f t="shared" si="69"/>
        <v>0</v>
      </c>
      <c r="M141" s="409">
        <f t="shared" si="69"/>
        <v>0</v>
      </c>
      <c r="N141" s="409">
        <f t="shared" si="69"/>
        <v>0</v>
      </c>
      <c r="O141" s="409">
        <f>SUM(C141:N141)</f>
        <v>0</v>
      </c>
      <c r="P141" s="769"/>
    </row>
    <row r="142" spans="1:19">
      <c r="A142" s="763"/>
      <c r="B142" s="568"/>
      <c r="C142" s="410">
        <f t="shared" ref="C142:O142" si="70">SUM(C139:C141)</f>
        <v>0</v>
      </c>
      <c r="D142" s="410">
        <f t="shared" si="70"/>
        <v>0</v>
      </c>
      <c r="E142" s="410">
        <f t="shared" si="70"/>
        <v>0</v>
      </c>
      <c r="F142" s="410">
        <f t="shared" si="70"/>
        <v>0</v>
      </c>
      <c r="G142" s="410">
        <f t="shared" si="70"/>
        <v>0</v>
      </c>
      <c r="H142" s="410">
        <f t="shared" si="70"/>
        <v>0</v>
      </c>
      <c r="I142" s="410">
        <f t="shared" si="70"/>
        <v>0</v>
      </c>
      <c r="J142" s="410">
        <f t="shared" si="70"/>
        <v>0</v>
      </c>
      <c r="K142" s="410">
        <f t="shared" si="70"/>
        <v>0</v>
      </c>
      <c r="L142" s="410">
        <f t="shared" si="70"/>
        <v>0</v>
      </c>
      <c r="M142" s="410">
        <f t="shared" si="70"/>
        <v>0</v>
      </c>
      <c r="N142" s="410">
        <f t="shared" si="70"/>
        <v>0</v>
      </c>
      <c r="O142" s="410">
        <f t="shared" si="70"/>
        <v>0</v>
      </c>
      <c r="P142" s="769"/>
    </row>
    <row r="143" spans="1:19">
      <c r="A143" s="763"/>
      <c r="B143" s="568"/>
      <c r="C143" s="410"/>
      <c r="D143" s="410"/>
      <c r="E143" s="410"/>
      <c r="F143" s="410"/>
      <c r="G143" s="410"/>
      <c r="H143" s="410"/>
      <c r="I143" s="410"/>
      <c r="J143" s="410"/>
      <c r="K143" s="410"/>
      <c r="L143" s="410"/>
      <c r="M143" s="410"/>
      <c r="N143" s="410"/>
      <c r="O143" s="410"/>
      <c r="P143" s="769"/>
    </row>
    <row r="144" spans="1:19">
      <c r="A144" s="763"/>
      <c r="B144" s="568" t="s">
        <v>498</v>
      </c>
      <c r="C144" s="410">
        <f>C132+C139</f>
        <v>1558446.5706799999</v>
      </c>
      <c r="D144" s="410">
        <f t="shared" ref="D144:N144" si="71">D132+D139</f>
        <v>1621911.9316700001</v>
      </c>
      <c r="E144" s="410">
        <f t="shared" si="71"/>
        <v>1656268.9913299999</v>
      </c>
      <c r="F144" s="410">
        <f t="shared" si="71"/>
        <v>1815577.89133</v>
      </c>
      <c r="G144" s="410">
        <f t="shared" si="71"/>
        <v>3279861.838</v>
      </c>
      <c r="H144" s="410">
        <f t="shared" si="71"/>
        <v>4298187.57467</v>
      </c>
      <c r="I144" s="410">
        <f t="shared" si="71"/>
        <v>4736307.7769999998</v>
      </c>
      <c r="J144" s="410">
        <f t="shared" si="71"/>
        <v>5023006.2288300004</v>
      </c>
      <c r="K144" s="410">
        <f t="shared" si="71"/>
        <v>4756270.5123399999</v>
      </c>
      <c r="L144" s="410">
        <f>L132+L139</f>
        <v>3386712.2659900002</v>
      </c>
      <c r="M144" s="410">
        <f t="shared" si="71"/>
        <v>1727064.0085100001</v>
      </c>
      <c r="N144" s="410">
        <f t="shared" si="71"/>
        <v>1657402.59216</v>
      </c>
      <c r="O144" s="410">
        <f>SUM(C144:N144)</f>
        <v>35517018.182510003</v>
      </c>
      <c r="P144" s="769">
        <f>O144/$O$147</f>
        <v>0.25449285981779424</v>
      </c>
    </row>
    <row r="145" spans="1:18">
      <c r="A145" s="763"/>
      <c r="B145" s="568" t="s">
        <v>499</v>
      </c>
      <c r="C145" s="410">
        <f t="shared" ref="C145:N146" si="72">C133+C140</f>
        <v>475843.11300000001</v>
      </c>
      <c r="D145" s="410">
        <f t="shared" si="72"/>
        <v>469665.33632999996</v>
      </c>
      <c r="E145" s="410">
        <f t="shared" si="72"/>
        <v>511613.42466999998</v>
      </c>
      <c r="F145" s="410">
        <f t="shared" si="72"/>
        <v>494263.28399999999</v>
      </c>
      <c r="G145" s="410">
        <f t="shared" si="72"/>
        <v>1062983.3330000001</v>
      </c>
      <c r="H145" s="410">
        <f t="shared" si="72"/>
        <v>1484354.34133</v>
      </c>
      <c r="I145" s="410">
        <f t="shared" si="72"/>
        <v>1735717.5549999999</v>
      </c>
      <c r="J145" s="410">
        <f t="shared" si="72"/>
        <v>1767781.1459999999</v>
      </c>
      <c r="K145" s="410">
        <f t="shared" si="72"/>
        <v>1599467.4870000002</v>
      </c>
      <c r="L145" s="410">
        <f t="shared" si="72"/>
        <v>780886.32366999995</v>
      </c>
      <c r="M145" s="410">
        <f t="shared" si="72"/>
        <v>421693.76432000002</v>
      </c>
      <c r="N145" s="410">
        <f t="shared" si="72"/>
        <v>469450.41933999996</v>
      </c>
      <c r="O145" s="410">
        <f>SUM(C145:N145)</f>
        <v>11273719.527659997</v>
      </c>
      <c r="P145" s="769">
        <f>O145/$O$147</f>
        <v>8.0780461598286848E-2</v>
      </c>
    </row>
    <row r="146" spans="1:18">
      <c r="A146" s="763"/>
      <c r="B146" s="568" t="s">
        <v>510</v>
      </c>
      <c r="C146" s="409">
        <f t="shared" si="72"/>
        <v>2333522.90032</v>
      </c>
      <c r="D146" s="409">
        <f t="shared" si="72"/>
        <v>2085330.9269999999</v>
      </c>
      <c r="E146" s="409">
        <f t="shared" si="72"/>
        <v>2231464.571</v>
      </c>
      <c r="F146" s="409">
        <f t="shared" si="72"/>
        <v>2305842.4046699996</v>
      </c>
      <c r="G146" s="409">
        <f t="shared" si="72"/>
        <v>7579181.0899999999</v>
      </c>
      <c r="H146" s="409">
        <f t="shared" si="72"/>
        <v>12758070.550000001</v>
      </c>
      <c r="I146" s="409">
        <f t="shared" si="72"/>
        <v>16855941.529999997</v>
      </c>
      <c r="J146" s="409">
        <f t="shared" si="72"/>
        <v>18315605.148170002</v>
      </c>
      <c r="K146" s="409">
        <f t="shared" si="72"/>
        <v>17926584.969659999</v>
      </c>
      <c r="L146" s="409">
        <f t="shared" si="72"/>
        <v>6156277.4933400005</v>
      </c>
      <c r="M146" s="409">
        <f t="shared" si="72"/>
        <v>2047937.3311699999</v>
      </c>
      <c r="N146" s="409">
        <f t="shared" si="72"/>
        <v>2173482.4165000003</v>
      </c>
      <c r="O146" s="409">
        <f>SUM(C146:N146)</f>
        <v>92769241.331829995</v>
      </c>
      <c r="P146" s="769">
        <f>O146/$O$147</f>
        <v>0.66472667858391898</v>
      </c>
    </row>
    <row r="147" spans="1:18">
      <c r="A147" s="763"/>
      <c r="B147" s="568"/>
      <c r="C147" s="410">
        <f t="shared" ref="C147:O147" si="73">SUM(C144:C146)</f>
        <v>4367812.5839999998</v>
      </c>
      <c r="D147" s="410">
        <f t="shared" si="73"/>
        <v>4176908.1950000003</v>
      </c>
      <c r="E147" s="410">
        <f t="shared" si="73"/>
        <v>4399346.9869999997</v>
      </c>
      <c r="F147" s="410">
        <f t="shared" si="73"/>
        <v>4615683.58</v>
      </c>
      <c r="G147" s="410">
        <f t="shared" si="73"/>
        <v>11922026.261</v>
      </c>
      <c r="H147" s="410">
        <f t="shared" si="73"/>
        <v>18540612.466000002</v>
      </c>
      <c r="I147" s="410">
        <f t="shared" si="73"/>
        <v>23327966.861999996</v>
      </c>
      <c r="J147" s="410">
        <f t="shared" si="73"/>
        <v>25106392.523000002</v>
      </c>
      <c r="K147" s="410">
        <f t="shared" si="73"/>
        <v>24282322.968999997</v>
      </c>
      <c r="L147" s="410">
        <f t="shared" si="73"/>
        <v>10323876.083000001</v>
      </c>
      <c r="M147" s="410">
        <f t="shared" si="73"/>
        <v>4196695.1040000003</v>
      </c>
      <c r="N147" s="410">
        <f t="shared" si="73"/>
        <v>4300335.4280000003</v>
      </c>
      <c r="O147" s="410">
        <f t="shared" si="73"/>
        <v>139559979.042</v>
      </c>
      <c r="P147" s="769">
        <f>O147/$O$147</f>
        <v>1</v>
      </c>
    </row>
    <row r="148" spans="1:18">
      <c r="A148" s="763"/>
      <c r="B148" s="568"/>
      <c r="C148" s="765">
        <f t="shared" ref="C148:O148" si="74">C147-C136</f>
        <v>0</v>
      </c>
      <c r="D148" s="765">
        <f t="shared" si="74"/>
        <v>0</v>
      </c>
      <c r="E148" s="765">
        <f t="shared" si="74"/>
        <v>0</v>
      </c>
      <c r="F148" s="765">
        <f t="shared" si="74"/>
        <v>0</v>
      </c>
      <c r="G148" s="765">
        <f t="shared" si="74"/>
        <v>0</v>
      </c>
      <c r="H148" s="765">
        <f t="shared" si="74"/>
        <v>0</v>
      </c>
      <c r="I148" s="765">
        <f t="shared" si="74"/>
        <v>0</v>
      </c>
      <c r="J148" s="765">
        <f t="shared" si="74"/>
        <v>0</v>
      </c>
      <c r="K148" s="765">
        <f t="shared" si="74"/>
        <v>0</v>
      </c>
      <c r="L148" s="765">
        <f t="shared" si="74"/>
        <v>0</v>
      </c>
      <c r="M148" s="765">
        <f t="shared" si="74"/>
        <v>0</v>
      </c>
      <c r="N148" s="765">
        <f t="shared" si="74"/>
        <v>0</v>
      </c>
      <c r="O148" s="765">
        <f t="shared" si="74"/>
        <v>0</v>
      </c>
      <c r="P148" s="769"/>
    </row>
    <row r="149" spans="1:18">
      <c r="A149" s="763"/>
      <c r="B149" s="568"/>
      <c r="C149" s="46"/>
      <c r="D149" s="46"/>
      <c r="E149" s="46"/>
      <c r="F149" s="46"/>
      <c r="G149" s="46"/>
      <c r="H149" s="46"/>
      <c r="I149" s="46"/>
      <c r="J149" s="302"/>
      <c r="K149" s="46"/>
      <c r="L149" s="46"/>
      <c r="M149" s="46"/>
      <c r="N149" s="46"/>
      <c r="O149" s="765"/>
      <c r="P149" s="769"/>
    </row>
    <row r="150" spans="1:18">
      <c r="A150" s="776"/>
      <c r="B150" s="713" t="s">
        <v>509</v>
      </c>
      <c r="C150" s="568"/>
      <c r="D150" s="568"/>
      <c r="E150" s="568"/>
      <c r="F150" s="568"/>
      <c r="G150" s="568"/>
      <c r="H150" s="568"/>
      <c r="I150" s="568"/>
      <c r="J150" s="568"/>
      <c r="K150" s="568"/>
      <c r="L150" s="568"/>
      <c r="M150" s="568"/>
      <c r="N150" s="568"/>
      <c r="O150" s="568"/>
      <c r="P150" s="766"/>
    </row>
    <row r="151" spans="1:18">
      <c r="A151" s="763"/>
      <c r="B151" s="568" t="s">
        <v>505</v>
      </c>
      <c r="C151" s="768">
        <f>('REVRUNS 12ME1219'!D465+'REVRUNS 12ME1219'!D468+'REVRUNS 12ME1219'!D471)/0.5</f>
        <v>0</v>
      </c>
      <c r="D151" s="768">
        <f>('REVRUNS 12ME1219'!E465+'REVRUNS 12ME1219'!E468+'REVRUNS 12ME1219'!E471)/0.5</f>
        <v>0</v>
      </c>
      <c r="E151" s="768">
        <f>('REVRUNS 12ME1219'!F465+'REVRUNS 12ME1219'!F468+'REVRUNS 12ME1219'!F471)/0.5</f>
        <v>0</v>
      </c>
      <c r="F151" s="768">
        <f>('REVRUNS 12ME1219'!G465+'REVRUNS 12ME1219'!G468+'REVRUNS 12ME1219'!G471)/0.5</f>
        <v>0</v>
      </c>
      <c r="G151" s="768">
        <f>('REVRUNS 12ME1219'!H465+'REVRUNS 12ME1219'!H468+'REVRUNS 12ME1219'!H471)/0.5</f>
        <v>0</v>
      </c>
      <c r="H151" s="768">
        <f>('REVRUNS 12ME1219'!I465+'REVRUNS 12ME1219'!I468+'REVRUNS 12ME1219'!I471)/0.5</f>
        <v>0</v>
      </c>
      <c r="I151" s="768">
        <f>('REVRUNS 12ME1219'!J465+'REVRUNS 12ME1219'!J468+'REVRUNS 12ME1219'!J471)/0.5</f>
        <v>0</v>
      </c>
      <c r="J151" s="768">
        <f>('REVRUNS 12ME1219'!K465+'REVRUNS 12ME1219'!K468+'REVRUNS 12ME1219'!K471)/0.5</f>
        <v>0</v>
      </c>
      <c r="K151" s="768">
        <f>('REVRUNS 12ME1219'!L465+'REVRUNS 12ME1219'!L468+'REVRUNS 12ME1219'!L471)/0.5</f>
        <v>0</v>
      </c>
      <c r="L151" s="768">
        <f>('REVRUNS 12ME1219'!M465+'REVRUNS 12ME1219'!M468+'REVRUNS 12ME1219'!M471)/0.5</f>
        <v>0</v>
      </c>
      <c r="M151" s="768">
        <f>('REVRUNS 12ME1219'!N465+'REVRUNS 12ME1219'!N468+'REVRUNS 12ME1219'!N471)/0.5</f>
        <v>0</v>
      </c>
      <c r="N151" s="768">
        <f>('REVRUNS 12ME1219'!O465+'REVRUNS 12ME1219'!O468+'REVRUNS 12ME1219'!O471)/0.5</f>
        <v>0</v>
      </c>
      <c r="O151" s="765">
        <f>SUM(C151:N151)</f>
        <v>0</v>
      </c>
      <c r="P151" s="766"/>
      <c r="R151" s="43">
        <v>0</v>
      </c>
    </row>
    <row r="152" spans="1:18">
      <c r="A152" s="763"/>
      <c r="B152" s="568" t="s">
        <v>506</v>
      </c>
      <c r="C152" s="780">
        <v>0.5</v>
      </c>
      <c r="D152" s="780">
        <v>0.5</v>
      </c>
      <c r="E152" s="780">
        <v>0.5</v>
      </c>
      <c r="F152" s="780">
        <v>0.5</v>
      </c>
      <c r="G152" s="780">
        <v>0.5</v>
      </c>
      <c r="H152" s="780">
        <v>0.5</v>
      </c>
      <c r="I152" s="780">
        <v>0.5</v>
      </c>
      <c r="J152" s="780">
        <v>0.5</v>
      </c>
      <c r="K152" s="780">
        <v>0.5</v>
      </c>
      <c r="L152" s="780">
        <v>0.5</v>
      </c>
      <c r="M152" s="780">
        <v>0.5</v>
      </c>
      <c r="N152" s="780">
        <v>0.5</v>
      </c>
      <c r="O152" s="780">
        <v>0.5</v>
      </c>
      <c r="P152" s="766"/>
    </row>
    <row r="153" spans="1:18">
      <c r="A153" s="763"/>
      <c r="B153" s="568" t="s">
        <v>507</v>
      </c>
      <c r="C153" s="780">
        <f t="shared" ref="C153:H153" si="75">C151*C152</f>
        <v>0</v>
      </c>
      <c r="D153" s="780">
        <f t="shared" si="75"/>
        <v>0</v>
      </c>
      <c r="E153" s="780">
        <f t="shared" si="75"/>
        <v>0</v>
      </c>
      <c r="F153" s="780">
        <f t="shared" si="75"/>
        <v>0</v>
      </c>
      <c r="G153" s="780">
        <f t="shared" si="75"/>
        <v>0</v>
      </c>
      <c r="H153" s="780">
        <f t="shared" si="75"/>
        <v>0</v>
      </c>
      <c r="I153" s="780">
        <f>I151*I152</f>
        <v>0</v>
      </c>
      <c r="J153" s="780">
        <f t="shared" ref="J153:O153" si="76">J151*J152</f>
        <v>0</v>
      </c>
      <c r="K153" s="780">
        <f t="shared" si="76"/>
        <v>0</v>
      </c>
      <c r="L153" s="780">
        <f t="shared" si="76"/>
        <v>0</v>
      </c>
      <c r="M153" s="780">
        <f t="shared" si="76"/>
        <v>0</v>
      </c>
      <c r="N153" s="780">
        <f t="shared" si="76"/>
        <v>0</v>
      </c>
      <c r="O153" s="780">
        <f t="shared" si="76"/>
        <v>0</v>
      </c>
      <c r="P153" s="781">
        <f>O153-'REVRUNS 12ME1219'!P465-'REVRUNS 12ME1219'!P468-'REVRUNS 12ME1219'!P471</f>
        <v>0</v>
      </c>
    </row>
    <row r="154" spans="1:18" ht="13.5" thickBot="1">
      <c r="A154" s="770"/>
      <c r="B154" s="558"/>
      <c r="C154" s="558"/>
      <c r="D154" s="558"/>
      <c r="E154" s="558"/>
      <c r="F154" s="558"/>
      <c r="G154" s="558"/>
      <c r="H154" s="558"/>
      <c r="I154" s="558"/>
      <c r="J154" s="558"/>
      <c r="K154" s="558"/>
      <c r="L154" s="558"/>
      <c r="M154" s="558"/>
      <c r="N154" s="558"/>
      <c r="O154" s="558"/>
      <c r="P154" s="783"/>
    </row>
    <row r="157" spans="1:18">
      <c r="C157" s="158"/>
    </row>
    <row r="158" spans="1:18">
      <c r="C158" s="158"/>
    </row>
    <row r="159" spans="1:18">
      <c r="C159" s="410"/>
    </row>
    <row r="160" spans="1:18">
      <c r="C160" s="410"/>
    </row>
    <row r="161" spans="3:3">
      <c r="C161" s="410"/>
    </row>
    <row r="162" spans="3:3">
      <c r="C162" s="410"/>
    </row>
    <row r="163" spans="3:3">
      <c r="C163" s="410"/>
    </row>
    <row r="164" spans="3:3">
      <c r="C164" s="410"/>
    </row>
    <row r="165" spans="3:3">
      <c r="C165" s="410"/>
    </row>
    <row r="166" spans="3:3">
      <c r="C166" s="158"/>
    </row>
    <row r="167" spans="3:3">
      <c r="C167" s="158"/>
    </row>
  </sheetData>
  <pageMargins left="0.45" right="0.34" top="0.56999999999999995" bottom="2.31" header="0.51" footer="0.3"/>
  <pageSetup scale="6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3:Q472"/>
  <sheetViews>
    <sheetView topLeftCell="A438" workbookViewId="0">
      <selection activeCell="M469" sqref="M469"/>
    </sheetView>
  </sheetViews>
  <sheetFormatPr defaultRowHeight="12.75"/>
  <cols>
    <col min="1" max="1" width="13.28515625" customWidth="1"/>
    <col min="2" max="2" width="10.5703125" customWidth="1"/>
    <col min="3" max="3" width="11.28515625" bestFit="1" customWidth="1"/>
    <col min="4" max="14" width="12.7109375" bestFit="1" customWidth="1"/>
    <col min="15" max="15" width="16" bestFit="1" customWidth="1"/>
    <col min="16" max="16" width="14.5703125" bestFit="1" customWidth="1"/>
  </cols>
  <sheetData>
    <row r="3" spans="1:16">
      <c r="A3" s="422" t="s">
        <v>879</v>
      </c>
      <c r="B3" s="637"/>
      <c r="C3" s="637"/>
      <c r="D3" s="637"/>
      <c r="E3" s="637"/>
      <c r="F3" s="637"/>
      <c r="G3" s="637"/>
      <c r="H3" s="637"/>
      <c r="I3" s="637"/>
      <c r="J3" s="637"/>
      <c r="K3" s="637"/>
      <c r="L3" s="637"/>
      <c r="M3" s="637"/>
      <c r="N3" s="637"/>
      <c r="O3" s="637"/>
    </row>
    <row r="4" spans="1:16">
      <c r="A4" s="637"/>
      <c r="B4" s="637"/>
      <c r="C4" s="637"/>
      <c r="D4" s="637"/>
      <c r="E4" s="637"/>
      <c r="F4" s="637"/>
      <c r="G4" s="637"/>
      <c r="H4" s="637"/>
      <c r="I4" s="637"/>
      <c r="J4" s="637"/>
      <c r="K4" s="637"/>
      <c r="L4" s="637"/>
      <c r="M4" s="637"/>
      <c r="N4" s="637"/>
      <c r="O4" s="637"/>
    </row>
    <row r="5" spans="1:16">
      <c r="A5" s="637" t="s">
        <v>468</v>
      </c>
      <c r="B5" s="637"/>
      <c r="C5" s="637"/>
      <c r="D5" s="637"/>
      <c r="E5" s="637"/>
      <c r="F5" s="637"/>
      <c r="G5" s="637"/>
      <c r="H5" s="637"/>
      <c r="I5" s="637"/>
      <c r="J5" s="637"/>
      <c r="K5" s="637"/>
      <c r="L5" s="637"/>
      <c r="M5" s="637"/>
      <c r="N5" s="637"/>
      <c r="O5" s="637"/>
    </row>
    <row r="6" spans="1:16">
      <c r="A6" s="637"/>
      <c r="B6" s="637"/>
      <c r="C6" s="637"/>
      <c r="D6" s="637"/>
      <c r="E6" s="637"/>
      <c r="F6" s="637"/>
      <c r="G6" s="637"/>
      <c r="H6" s="637"/>
      <c r="I6" s="637"/>
      <c r="J6" s="637"/>
      <c r="K6" s="637"/>
      <c r="L6" s="637"/>
      <c r="M6" s="637"/>
      <c r="N6" s="637"/>
      <c r="O6" s="637"/>
    </row>
    <row r="7" spans="1:16">
      <c r="A7" s="637"/>
      <c r="B7" s="637"/>
      <c r="C7" s="637" t="s">
        <v>220</v>
      </c>
      <c r="D7" s="637"/>
      <c r="E7" s="637"/>
      <c r="F7" s="637"/>
      <c r="G7" s="637"/>
      <c r="H7" s="637"/>
      <c r="I7" s="637"/>
      <c r="J7" s="637"/>
      <c r="K7" s="637"/>
      <c r="L7" s="637"/>
      <c r="M7" s="637"/>
      <c r="N7" s="637"/>
      <c r="O7" s="637"/>
    </row>
    <row r="8" spans="1:16">
      <c r="A8" s="637"/>
      <c r="B8" s="637" t="s">
        <v>469</v>
      </c>
      <c r="C8" s="637">
        <v>201901</v>
      </c>
      <c r="D8" s="722">
        <v>201902</v>
      </c>
      <c r="E8" s="722">
        <v>201903</v>
      </c>
      <c r="F8" s="722">
        <v>201904</v>
      </c>
      <c r="G8" s="722">
        <v>201905</v>
      </c>
      <c r="H8" s="722">
        <v>201906</v>
      </c>
      <c r="I8" s="722">
        <v>201907</v>
      </c>
      <c r="J8" s="722">
        <v>201908</v>
      </c>
      <c r="K8" s="722">
        <v>201909</v>
      </c>
      <c r="L8" s="722">
        <v>201910</v>
      </c>
      <c r="M8" s="722">
        <v>201911</v>
      </c>
      <c r="N8" s="722">
        <v>201912</v>
      </c>
      <c r="O8" s="637" t="s">
        <v>470</v>
      </c>
      <c r="P8" t="s">
        <v>66</v>
      </c>
    </row>
    <row r="9" spans="1:16">
      <c r="A9" s="637" t="s">
        <v>391</v>
      </c>
      <c r="B9" s="637"/>
      <c r="C9" s="637"/>
      <c r="D9" s="637"/>
      <c r="E9" s="637"/>
      <c r="F9" s="637"/>
      <c r="G9" s="637"/>
      <c r="H9" s="637"/>
      <c r="I9" s="637"/>
      <c r="J9" s="637"/>
      <c r="K9" s="637"/>
      <c r="L9" s="637"/>
      <c r="M9" s="637"/>
      <c r="N9" s="637"/>
      <c r="O9" s="637"/>
    </row>
    <row r="10" spans="1:16">
      <c r="A10" s="637" t="s">
        <v>637</v>
      </c>
      <c r="B10" s="637"/>
      <c r="C10" s="408">
        <v>217684</v>
      </c>
      <c r="D10" s="408">
        <v>211540</v>
      </c>
      <c r="E10" s="408">
        <v>222366</v>
      </c>
      <c r="F10" s="408">
        <v>215628</v>
      </c>
      <c r="G10" s="408">
        <v>219714</v>
      </c>
      <c r="H10" s="408">
        <v>217018</v>
      </c>
      <c r="I10" s="408">
        <v>217513</v>
      </c>
      <c r="J10" s="408">
        <v>218216</v>
      </c>
      <c r="K10" s="408">
        <v>212112</v>
      </c>
      <c r="L10" s="408">
        <v>224928</v>
      </c>
      <c r="M10" s="408">
        <v>219143</v>
      </c>
      <c r="N10" s="408">
        <v>219477</v>
      </c>
      <c r="O10" s="408">
        <f>AVERAGE(C10:N10)</f>
        <v>217944.91666666666</v>
      </c>
      <c r="P10" s="528">
        <f>SUM(C10:N10)</f>
        <v>2615339</v>
      </c>
    </row>
    <row r="11" spans="1:16">
      <c r="A11" s="637" t="s">
        <v>638</v>
      </c>
      <c r="B11" s="637"/>
      <c r="C11" s="408">
        <v>388</v>
      </c>
      <c r="D11" s="408">
        <v>362</v>
      </c>
      <c r="E11" s="408">
        <v>381</v>
      </c>
      <c r="F11" s="408">
        <v>365</v>
      </c>
      <c r="G11" s="408">
        <v>373</v>
      </c>
      <c r="H11" s="408">
        <v>366</v>
      </c>
      <c r="I11" s="408">
        <v>359</v>
      </c>
      <c r="J11" s="408">
        <v>351</v>
      </c>
      <c r="K11" s="408">
        <v>343</v>
      </c>
      <c r="L11" s="408">
        <v>272</v>
      </c>
      <c r="M11" s="408">
        <v>290</v>
      </c>
      <c r="N11" s="408">
        <v>328</v>
      </c>
      <c r="O11" s="408">
        <f t="shared" ref="O11:O34" si="0">AVERAGE(C11:N11)</f>
        <v>348.16666666666669</v>
      </c>
      <c r="P11" s="528">
        <f t="shared" ref="P11:P27" si="1">SUM(C11:N11)</f>
        <v>4178</v>
      </c>
    </row>
    <row r="12" spans="1:16">
      <c r="A12" s="637" t="s">
        <v>639</v>
      </c>
      <c r="B12" s="637"/>
      <c r="C12" s="408">
        <v>22982</v>
      </c>
      <c r="D12" s="408">
        <v>22350</v>
      </c>
      <c r="E12" s="408">
        <v>23346</v>
      </c>
      <c r="F12" s="408">
        <v>22874</v>
      </c>
      <c r="G12" s="408">
        <v>23001</v>
      </c>
      <c r="H12" s="408">
        <v>22905</v>
      </c>
      <c r="I12" s="408">
        <v>22923</v>
      </c>
      <c r="J12" s="408">
        <v>22963</v>
      </c>
      <c r="K12" s="408">
        <v>22548</v>
      </c>
      <c r="L12" s="408">
        <v>23421</v>
      </c>
      <c r="M12" s="408">
        <v>22854</v>
      </c>
      <c r="N12" s="408">
        <v>22937</v>
      </c>
      <c r="O12" s="408">
        <f t="shared" si="0"/>
        <v>22925.333333333332</v>
      </c>
      <c r="P12" s="528">
        <f t="shared" si="1"/>
        <v>275104</v>
      </c>
    </row>
    <row r="13" spans="1:16">
      <c r="A13" s="637" t="s">
        <v>640</v>
      </c>
      <c r="B13" s="637"/>
      <c r="C13" s="408">
        <v>9681</v>
      </c>
      <c r="D13" s="408">
        <v>9412</v>
      </c>
      <c r="E13" s="408">
        <v>9903</v>
      </c>
      <c r="F13" s="408">
        <v>9672</v>
      </c>
      <c r="G13" s="408">
        <v>9767</v>
      </c>
      <c r="H13" s="408">
        <v>9693</v>
      </c>
      <c r="I13" s="408">
        <v>9737</v>
      </c>
      <c r="J13" s="408">
        <v>9768</v>
      </c>
      <c r="K13" s="408">
        <v>9550</v>
      </c>
      <c r="L13" s="408">
        <v>10012</v>
      </c>
      <c r="M13" s="408">
        <v>9706</v>
      </c>
      <c r="N13" s="408">
        <v>9796</v>
      </c>
      <c r="O13" s="408">
        <f t="shared" si="0"/>
        <v>9724.75</v>
      </c>
      <c r="P13" s="528">
        <f t="shared" si="1"/>
        <v>116697</v>
      </c>
    </row>
    <row r="14" spans="1:16" s="755" customFormat="1">
      <c r="A14" s="755">
        <v>13</v>
      </c>
      <c r="C14" s="408">
        <v>0</v>
      </c>
      <c r="D14" s="408">
        <v>0</v>
      </c>
      <c r="E14" s="408">
        <v>0</v>
      </c>
      <c r="F14" s="408">
        <v>0</v>
      </c>
      <c r="G14" s="408">
        <v>0</v>
      </c>
      <c r="H14" s="408">
        <v>0</v>
      </c>
      <c r="I14" s="408">
        <v>0</v>
      </c>
      <c r="J14" s="408">
        <v>0</v>
      </c>
      <c r="K14" s="408">
        <v>0</v>
      </c>
      <c r="L14" s="408">
        <v>0</v>
      </c>
      <c r="M14" s="408">
        <v>0</v>
      </c>
      <c r="N14" s="408">
        <v>0</v>
      </c>
      <c r="O14" s="408">
        <f t="shared" si="0"/>
        <v>0</v>
      </c>
      <c r="P14" s="528">
        <f t="shared" si="1"/>
        <v>0</v>
      </c>
    </row>
    <row r="15" spans="1:16">
      <c r="A15" s="637" t="s">
        <v>642</v>
      </c>
      <c r="B15" s="637"/>
      <c r="C15" s="408">
        <v>1860</v>
      </c>
      <c r="D15" s="408">
        <v>1809</v>
      </c>
      <c r="E15" s="408">
        <v>1910</v>
      </c>
      <c r="F15" s="408">
        <v>1865</v>
      </c>
      <c r="G15" s="408">
        <v>1846</v>
      </c>
      <c r="H15" s="408">
        <v>1877</v>
      </c>
      <c r="I15" s="408">
        <v>1876</v>
      </c>
      <c r="J15" s="408">
        <v>1868</v>
      </c>
      <c r="K15" s="408">
        <v>1811</v>
      </c>
      <c r="L15" s="408">
        <v>1920</v>
      </c>
      <c r="M15" s="408">
        <v>1846</v>
      </c>
      <c r="N15" s="408">
        <v>1879</v>
      </c>
      <c r="O15" s="408">
        <f t="shared" si="0"/>
        <v>1863.9166666666667</v>
      </c>
      <c r="P15" s="528">
        <f t="shared" si="1"/>
        <v>22367</v>
      </c>
    </row>
    <row r="16" spans="1:16">
      <c r="A16" s="637" t="s">
        <v>643</v>
      </c>
      <c r="B16" s="637"/>
      <c r="C16" s="408">
        <v>50</v>
      </c>
      <c r="D16" s="408">
        <v>44</v>
      </c>
      <c r="E16" s="408">
        <v>50</v>
      </c>
      <c r="F16" s="408">
        <v>47</v>
      </c>
      <c r="G16" s="408">
        <v>48</v>
      </c>
      <c r="H16" s="408">
        <v>48</v>
      </c>
      <c r="I16" s="408">
        <v>47</v>
      </c>
      <c r="J16" s="408">
        <v>49</v>
      </c>
      <c r="K16" s="408">
        <v>44</v>
      </c>
      <c r="L16" s="408">
        <v>52</v>
      </c>
      <c r="M16" s="408">
        <v>48</v>
      </c>
      <c r="N16" s="408">
        <v>47</v>
      </c>
      <c r="O16" s="408">
        <f t="shared" si="0"/>
        <v>47.833333333333336</v>
      </c>
      <c r="P16" s="528">
        <f t="shared" si="1"/>
        <v>574</v>
      </c>
    </row>
    <row r="17" spans="1:16" s="755" customFormat="1">
      <c r="A17" s="755">
        <v>23</v>
      </c>
      <c r="C17" s="408">
        <v>0</v>
      </c>
      <c r="D17" s="408">
        <v>0</v>
      </c>
      <c r="E17" s="408">
        <v>0</v>
      </c>
      <c r="F17" s="408">
        <v>0</v>
      </c>
      <c r="G17" s="408">
        <v>0</v>
      </c>
      <c r="H17" s="408">
        <v>0</v>
      </c>
      <c r="I17" s="408">
        <v>0</v>
      </c>
      <c r="J17" s="408">
        <v>0</v>
      </c>
      <c r="K17" s="408">
        <v>0</v>
      </c>
      <c r="L17" s="408">
        <v>0</v>
      </c>
      <c r="M17" s="408">
        <v>0</v>
      </c>
      <c r="N17" s="408">
        <v>0</v>
      </c>
      <c r="O17" s="408">
        <f t="shared" ref="O17" si="2">AVERAGE(C17:N17)</f>
        <v>0</v>
      </c>
      <c r="P17" s="528">
        <f t="shared" ref="P17" si="3">SUM(C17:N17)</f>
        <v>0</v>
      </c>
    </row>
    <row r="18" spans="1:16">
      <c r="A18" s="637" t="s">
        <v>644</v>
      </c>
      <c r="B18" s="637"/>
      <c r="C18" s="408">
        <v>23</v>
      </c>
      <c r="D18" s="408">
        <v>23</v>
      </c>
      <c r="E18" s="408">
        <v>23</v>
      </c>
      <c r="F18" s="408">
        <v>23</v>
      </c>
      <c r="G18" s="408">
        <v>23</v>
      </c>
      <c r="H18" s="408">
        <v>23</v>
      </c>
      <c r="I18" s="408">
        <v>23</v>
      </c>
      <c r="J18" s="408">
        <v>23</v>
      </c>
      <c r="K18" s="408">
        <v>23</v>
      </c>
      <c r="L18" s="408">
        <v>23</v>
      </c>
      <c r="M18" s="408">
        <v>23</v>
      </c>
      <c r="N18" s="408">
        <v>23</v>
      </c>
      <c r="O18" s="408">
        <f t="shared" si="0"/>
        <v>23</v>
      </c>
      <c r="P18" s="528">
        <f t="shared" si="1"/>
        <v>276</v>
      </c>
    </row>
    <row r="19" spans="1:16" s="755" customFormat="1">
      <c r="A19" s="755" t="s">
        <v>952</v>
      </c>
      <c r="C19" s="408">
        <v>0</v>
      </c>
      <c r="D19" s="408">
        <v>0</v>
      </c>
      <c r="E19" s="408">
        <v>0</v>
      </c>
      <c r="F19" s="408">
        <v>0</v>
      </c>
      <c r="G19" s="408">
        <v>0</v>
      </c>
      <c r="H19" s="408">
        <v>0</v>
      </c>
      <c r="I19" s="408">
        <v>0</v>
      </c>
      <c r="J19" s="408">
        <v>0</v>
      </c>
      <c r="K19" s="408">
        <v>0</v>
      </c>
      <c r="L19" s="408">
        <v>0</v>
      </c>
      <c r="M19" s="408">
        <v>0</v>
      </c>
      <c r="N19" s="408">
        <v>0</v>
      </c>
      <c r="O19" s="408">
        <f t="shared" ref="O19" si="4">AVERAGE(C19:N19)</f>
        <v>0</v>
      </c>
      <c r="P19" s="528">
        <f t="shared" ref="P19" si="5">SUM(C19:N19)</f>
        <v>0</v>
      </c>
    </row>
    <row r="20" spans="1:16">
      <c r="A20" s="637" t="s">
        <v>645</v>
      </c>
      <c r="B20" s="637"/>
      <c r="C20" s="408">
        <v>58</v>
      </c>
      <c r="D20" s="408">
        <v>53</v>
      </c>
      <c r="E20" s="408">
        <v>53</v>
      </c>
      <c r="F20" s="408">
        <v>52</v>
      </c>
      <c r="G20" s="408">
        <v>53</v>
      </c>
      <c r="H20" s="408">
        <v>52</v>
      </c>
      <c r="I20" s="408">
        <v>52</v>
      </c>
      <c r="J20" s="408">
        <v>51</v>
      </c>
      <c r="K20" s="408">
        <v>53</v>
      </c>
      <c r="L20" s="408">
        <v>52</v>
      </c>
      <c r="M20" s="408">
        <v>51</v>
      </c>
      <c r="N20" s="408">
        <v>51</v>
      </c>
      <c r="O20" s="408">
        <f t="shared" si="0"/>
        <v>52.583333333333336</v>
      </c>
      <c r="P20" s="528">
        <f t="shared" si="1"/>
        <v>631</v>
      </c>
    </row>
    <row r="21" spans="1:16">
      <c r="A21" s="637" t="s">
        <v>646</v>
      </c>
      <c r="B21" s="637"/>
      <c r="C21" s="408">
        <v>1216</v>
      </c>
      <c r="D21" s="408">
        <v>1170</v>
      </c>
      <c r="E21" s="408">
        <v>1203</v>
      </c>
      <c r="F21" s="408">
        <v>1200</v>
      </c>
      <c r="G21" s="408">
        <v>1209</v>
      </c>
      <c r="H21" s="408">
        <v>1201</v>
      </c>
      <c r="I21" s="408">
        <v>1212</v>
      </c>
      <c r="J21" s="408">
        <v>1198</v>
      </c>
      <c r="K21" s="408">
        <v>1197</v>
      </c>
      <c r="L21" s="408">
        <v>1228</v>
      </c>
      <c r="M21" s="408">
        <v>1180</v>
      </c>
      <c r="N21" s="408">
        <v>1197</v>
      </c>
      <c r="O21" s="408">
        <f t="shared" si="0"/>
        <v>1200.9166666666667</v>
      </c>
      <c r="P21" s="528">
        <f t="shared" si="1"/>
        <v>14411</v>
      </c>
    </row>
    <row r="22" spans="1:16">
      <c r="A22" s="637" t="s">
        <v>647</v>
      </c>
      <c r="B22" s="637"/>
      <c r="C22" s="408">
        <v>1211</v>
      </c>
      <c r="D22" s="408">
        <v>1164</v>
      </c>
      <c r="E22" s="408">
        <v>1218</v>
      </c>
      <c r="F22" s="408">
        <v>1227</v>
      </c>
      <c r="G22" s="408">
        <v>1210</v>
      </c>
      <c r="H22" s="408">
        <v>1204</v>
      </c>
      <c r="I22" s="408">
        <v>1183</v>
      </c>
      <c r="J22" s="408">
        <v>1211</v>
      </c>
      <c r="K22" s="408">
        <v>1200</v>
      </c>
      <c r="L22" s="408">
        <v>1232</v>
      </c>
      <c r="M22" s="408">
        <v>1194</v>
      </c>
      <c r="N22" s="408">
        <v>1196</v>
      </c>
      <c r="O22" s="408">
        <f t="shared" si="0"/>
        <v>1204.1666666666667</v>
      </c>
      <c r="P22" s="528">
        <f t="shared" si="1"/>
        <v>14450</v>
      </c>
    </row>
    <row r="23" spans="1:16">
      <c r="A23" s="637" t="s">
        <v>648</v>
      </c>
      <c r="B23" s="637"/>
      <c r="C23" s="408">
        <v>4</v>
      </c>
      <c r="D23" s="408">
        <v>6</v>
      </c>
      <c r="E23" s="408">
        <v>5</v>
      </c>
      <c r="F23" s="408">
        <v>3</v>
      </c>
      <c r="G23" s="408">
        <v>3</v>
      </c>
      <c r="H23" s="408">
        <v>5</v>
      </c>
      <c r="I23" s="408">
        <v>2</v>
      </c>
      <c r="J23" s="408">
        <v>3</v>
      </c>
      <c r="K23" s="408">
        <v>3</v>
      </c>
      <c r="L23" s="408">
        <v>3</v>
      </c>
      <c r="M23" s="408">
        <v>2</v>
      </c>
      <c r="N23" s="408">
        <v>3</v>
      </c>
      <c r="O23" s="408">
        <f t="shared" si="0"/>
        <v>3.5</v>
      </c>
      <c r="P23" s="528">
        <f t="shared" si="1"/>
        <v>42</v>
      </c>
    </row>
    <row r="24" spans="1:16">
      <c r="A24" s="637" t="s">
        <v>649</v>
      </c>
      <c r="B24" s="637"/>
      <c r="C24" s="408">
        <v>352</v>
      </c>
      <c r="D24" s="408">
        <v>358</v>
      </c>
      <c r="E24" s="408">
        <v>358</v>
      </c>
      <c r="F24" s="408">
        <v>356</v>
      </c>
      <c r="G24" s="408">
        <v>363</v>
      </c>
      <c r="H24" s="408">
        <v>363</v>
      </c>
      <c r="I24" s="408">
        <v>369</v>
      </c>
      <c r="J24" s="408">
        <v>370</v>
      </c>
      <c r="K24" s="408">
        <v>370</v>
      </c>
      <c r="L24" s="408">
        <v>373</v>
      </c>
      <c r="M24" s="408">
        <v>379</v>
      </c>
      <c r="N24" s="408">
        <v>390</v>
      </c>
      <c r="O24" s="408">
        <f t="shared" si="0"/>
        <v>366.75</v>
      </c>
      <c r="P24" s="528">
        <f t="shared" si="1"/>
        <v>4401</v>
      </c>
    </row>
    <row r="25" spans="1:16">
      <c r="A25" s="637" t="s">
        <v>650</v>
      </c>
      <c r="B25" s="637"/>
      <c r="C25" s="408">
        <v>12</v>
      </c>
      <c r="D25" s="408">
        <v>12</v>
      </c>
      <c r="E25" s="408">
        <v>12</v>
      </c>
      <c r="F25" s="408">
        <v>12</v>
      </c>
      <c r="G25" s="408">
        <v>12</v>
      </c>
      <c r="H25" s="408">
        <v>12</v>
      </c>
      <c r="I25" s="408">
        <v>12</v>
      </c>
      <c r="J25" s="408">
        <v>12</v>
      </c>
      <c r="K25" s="408">
        <v>12</v>
      </c>
      <c r="L25" s="408">
        <v>12</v>
      </c>
      <c r="M25" s="408">
        <v>12</v>
      </c>
      <c r="N25" s="408">
        <v>12</v>
      </c>
      <c r="O25" s="408">
        <f t="shared" si="0"/>
        <v>12</v>
      </c>
      <c r="P25" s="528">
        <f t="shared" si="1"/>
        <v>144</v>
      </c>
    </row>
    <row r="26" spans="1:16">
      <c r="A26" s="637" t="s">
        <v>651</v>
      </c>
      <c r="B26" s="637"/>
      <c r="C26" s="408">
        <v>9</v>
      </c>
      <c r="D26" s="408">
        <v>9</v>
      </c>
      <c r="E26" s="408">
        <v>9</v>
      </c>
      <c r="F26" s="408">
        <v>9</v>
      </c>
      <c r="G26" s="408">
        <v>9</v>
      </c>
      <c r="H26" s="408">
        <v>9</v>
      </c>
      <c r="I26" s="408">
        <v>9</v>
      </c>
      <c r="J26" s="408">
        <v>9</v>
      </c>
      <c r="K26" s="408">
        <v>9</v>
      </c>
      <c r="L26" s="408">
        <v>9</v>
      </c>
      <c r="M26" s="408">
        <v>9</v>
      </c>
      <c r="N26" s="408">
        <v>9</v>
      </c>
      <c r="O26" s="408">
        <f t="shared" si="0"/>
        <v>9</v>
      </c>
      <c r="P26" s="528">
        <f t="shared" si="1"/>
        <v>108</v>
      </c>
    </row>
    <row r="27" spans="1:16">
      <c r="A27" s="637" t="s">
        <v>652</v>
      </c>
      <c r="B27" s="637"/>
      <c r="C27" s="408">
        <v>49</v>
      </c>
      <c r="D27" s="408">
        <v>49</v>
      </c>
      <c r="E27" s="408">
        <v>48</v>
      </c>
      <c r="F27" s="408">
        <v>50</v>
      </c>
      <c r="G27" s="408">
        <v>49</v>
      </c>
      <c r="H27" s="408">
        <v>49</v>
      </c>
      <c r="I27" s="408">
        <v>49</v>
      </c>
      <c r="J27" s="408">
        <v>49</v>
      </c>
      <c r="K27" s="408">
        <v>49</v>
      </c>
      <c r="L27" s="408">
        <v>49</v>
      </c>
      <c r="M27" s="408">
        <v>49</v>
      </c>
      <c r="N27" s="408">
        <v>49</v>
      </c>
      <c r="O27" s="408">
        <f t="shared" si="0"/>
        <v>49</v>
      </c>
      <c r="P27" s="528">
        <f t="shared" si="1"/>
        <v>588</v>
      </c>
    </row>
    <row r="28" spans="1:16">
      <c r="A28" s="637" t="s">
        <v>653</v>
      </c>
      <c r="B28" s="637"/>
      <c r="C28" s="408">
        <v>0</v>
      </c>
      <c r="D28" s="408">
        <v>0</v>
      </c>
      <c r="E28" s="408">
        <v>0</v>
      </c>
      <c r="F28" s="408">
        <v>0</v>
      </c>
      <c r="G28" s="408">
        <v>0</v>
      </c>
      <c r="H28" s="408">
        <v>0</v>
      </c>
      <c r="I28" s="408">
        <v>0</v>
      </c>
      <c r="J28" s="408">
        <v>0</v>
      </c>
      <c r="K28" s="408">
        <v>0</v>
      </c>
      <c r="L28" s="408">
        <v>0</v>
      </c>
      <c r="M28" s="408">
        <v>0</v>
      </c>
      <c r="N28" s="408">
        <v>0</v>
      </c>
      <c r="O28" s="408">
        <f t="shared" si="0"/>
        <v>0</v>
      </c>
    </row>
    <row r="29" spans="1:16">
      <c r="A29" s="637" t="s">
        <v>654</v>
      </c>
      <c r="B29" s="637"/>
      <c r="C29" s="408">
        <v>0</v>
      </c>
      <c r="D29" s="408">
        <v>0</v>
      </c>
      <c r="E29" s="408">
        <v>0</v>
      </c>
      <c r="F29" s="408">
        <v>0</v>
      </c>
      <c r="G29" s="408">
        <v>0</v>
      </c>
      <c r="H29" s="408">
        <v>0</v>
      </c>
      <c r="I29" s="408">
        <v>0</v>
      </c>
      <c r="J29" s="408">
        <v>0</v>
      </c>
      <c r="K29" s="408">
        <v>0</v>
      </c>
      <c r="L29" s="408">
        <v>0</v>
      </c>
      <c r="M29" s="408">
        <v>0</v>
      </c>
      <c r="N29" s="408">
        <v>0</v>
      </c>
      <c r="O29" s="408">
        <f t="shared" si="0"/>
        <v>0</v>
      </c>
    </row>
    <row r="30" spans="1:16">
      <c r="A30" s="637" t="s">
        <v>655</v>
      </c>
      <c r="B30" s="637"/>
      <c r="C30" s="408">
        <v>0</v>
      </c>
      <c r="D30" s="408">
        <v>0</v>
      </c>
      <c r="E30" s="408">
        <v>0</v>
      </c>
      <c r="F30" s="408">
        <v>0</v>
      </c>
      <c r="G30" s="408">
        <v>0</v>
      </c>
      <c r="H30" s="408">
        <v>0</v>
      </c>
      <c r="I30" s="408">
        <v>0</v>
      </c>
      <c r="J30" s="408">
        <v>0</v>
      </c>
      <c r="K30" s="408">
        <v>0</v>
      </c>
      <c r="L30" s="408">
        <v>0</v>
      </c>
      <c r="M30" s="408">
        <v>0</v>
      </c>
      <c r="N30" s="408">
        <v>0</v>
      </c>
      <c r="O30" s="408">
        <f t="shared" si="0"/>
        <v>0</v>
      </c>
    </row>
    <row r="31" spans="1:16">
      <c r="A31" s="637" t="s">
        <v>656</v>
      </c>
      <c r="B31" s="637"/>
      <c r="C31" s="408">
        <v>0</v>
      </c>
      <c r="D31" s="408">
        <v>0</v>
      </c>
      <c r="E31" s="408">
        <v>0</v>
      </c>
      <c r="F31" s="408">
        <v>0</v>
      </c>
      <c r="G31" s="408">
        <v>0</v>
      </c>
      <c r="H31" s="408">
        <v>0</v>
      </c>
      <c r="I31" s="408">
        <v>0</v>
      </c>
      <c r="J31" s="408">
        <v>0</v>
      </c>
      <c r="K31" s="408">
        <v>0</v>
      </c>
      <c r="L31" s="408">
        <v>0</v>
      </c>
      <c r="M31" s="408">
        <v>0</v>
      </c>
      <c r="N31" s="408">
        <v>0</v>
      </c>
      <c r="O31" s="408">
        <f t="shared" si="0"/>
        <v>0</v>
      </c>
    </row>
    <row r="32" spans="1:16">
      <c r="A32" s="637" t="s">
        <v>657</v>
      </c>
      <c r="B32" s="637"/>
      <c r="C32" s="408">
        <v>0</v>
      </c>
      <c r="D32" s="408">
        <v>0</v>
      </c>
      <c r="E32" s="408">
        <v>0</v>
      </c>
      <c r="F32" s="408">
        <v>0</v>
      </c>
      <c r="G32" s="408">
        <v>0</v>
      </c>
      <c r="H32" s="408">
        <v>0</v>
      </c>
      <c r="I32" s="408">
        <v>0</v>
      </c>
      <c r="J32" s="408">
        <v>0</v>
      </c>
      <c r="K32" s="408">
        <v>0</v>
      </c>
      <c r="L32" s="408">
        <v>0</v>
      </c>
      <c r="M32" s="408">
        <v>0</v>
      </c>
      <c r="N32" s="408">
        <v>0</v>
      </c>
      <c r="O32" s="408">
        <f t="shared" si="0"/>
        <v>0</v>
      </c>
    </row>
    <row r="33" spans="1:16">
      <c r="A33" s="637" t="s">
        <v>658</v>
      </c>
      <c r="B33" s="637"/>
      <c r="C33" s="408">
        <v>0</v>
      </c>
      <c r="D33" s="408">
        <v>0</v>
      </c>
      <c r="E33" s="408">
        <v>0</v>
      </c>
      <c r="F33" s="408">
        <v>0</v>
      </c>
      <c r="G33" s="408">
        <v>0</v>
      </c>
      <c r="H33" s="408">
        <v>0</v>
      </c>
      <c r="I33" s="408">
        <v>0</v>
      </c>
      <c r="J33" s="408">
        <v>0</v>
      </c>
      <c r="K33" s="408">
        <v>0</v>
      </c>
      <c r="L33" s="408">
        <v>0</v>
      </c>
      <c r="M33" s="408">
        <v>0</v>
      </c>
      <c r="N33" s="408">
        <v>0</v>
      </c>
      <c r="O33" s="408">
        <f t="shared" si="0"/>
        <v>0</v>
      </c>
    </row>
    <row r="34" spans="1:16">
      <c r="A34" s="637" t="s">
        <v>659</v>
      </c>
      <c r="B34" s="637"/>
      <c r="C34" s="408">
        <v>0</v>
      </c>
      <c r="D34" s="408">
        <v>0</v>
      </c>
      <c r="E34" s="408">
        <v>0</v>
      </c>
      <c r="F34" s="408">
        <v>0</v>
      </c>
      <c r="G34" s="408">
        <v>0</v>
      </c>
      <c r="H34" s="408">
        <v>0</v>
      </c>
      <c r="I34" s="408">
        <v>0</v>
      </c>
      <c r="J34" s="408">
        <v>0</v>
      </c>
      <c r="K34" s="408">
        <v>0</v>
      </c>
      <c r="L34" s="408">
        <v>0</v>
      </c>
      <c r="M34" s="408">
        <v>0</v>
      </c>
      <c r="N34" s="408">
        <v>0</v>
      </c>
      <c r="O34" s="408">
        <f t="shared" si="0"/>
        <v>0</v>
      </c>
    </row>
    <row r="35" spans="1:16">
      <c r="A35" s="637" t="s">
        <v>471</v>
      </c>
      <c r="B35" s="637"/>
      <c r="C35" s="408">
        <f>SUM(C10:C34)</f>
        <v>255579</v>
      </c>
      <c r="D35" s="408">
        <f t="shared" ref="D35:P35" si="6">SUM(D10:D34)</f>
        <v>248361</v>
      </c>
      <c r="E35" s="408">
        <f t="shared" si="6"/>
        <v>260885</v>
      </c>
      <c r="F35" s="408">
        <f t="shared" si="6"/>
        <v>253383</v>
      </c>
      <c r="G35" s="408">
        <f t="shared" si="6"/>
        <v>257680</v>
      </c>
      <c r="H35" s="408">
        <f t="shared" si="6"/>
        <v>254825</v>
      </c>
      <c r="I35" s="408">
        <f t="shared" si="6"/>
        <v>255366</v>
      </c>
      <c r="J35" s="408">
        <f t="shared" si="6"/>
        <v>256141</v>
      </c>
      <c r="K35" s="408">
        <f t="shared" si="6"/>
        <v>249324</v>
      </c>
      <c r="L35" s="408">
        <f t="shared" si="6"/>
        <v>263586</v>
      </c>
      <c r="M35" s="408">
        <f t="shared" si="6"/>
        <v>256786</v>
      </c>
      <c r="N35" s="408">
        <f t="shared" si="6"/>
        <v>257394</v>
      </c>
      <c r="O35" s="408"/>
      <c r="P35" s="408">
        <f t="shared" si="6"/>
        <v>3069310</v>
      </c>
    </row>
    <row r="38" spans="1:16">
      <c r="A38" s="637" t="s">
        <v>688</v>
      </c>
      <c r="B38" s="86"/>
      <c r="C38" s="152"/>
      <c r="D38" s="628"/>
      <c r="E38" s="628"/>
      <c r="F38" s="596"/>
      <c r="G38" s="628"/>
      <c r="H38" s="628"/>
      <c r="I38" s="628"/>
      <c r="J38" s="628"/>
      <c r="K38" s="628"/>
      <c r="L38" s="628"/>
      <c r="M38" s="408"/>
      <c r="N38" s="408"/>
      <c r="O38" s="629" t="s">
        <v>661</v>
      </c>
      <c r="P38" s="628" t="s">
        <v>66</v>
      </c>
    </row>
    <row r="39" spans="1:16" s="637" customFormat="1">
      <c r="B39" s="404" t="s">
        <v>660</v>
      </c>
      <c r="C39" s="406">
        <f>C10+C11</f>
        <v>218072</v>
      </c>
      <c r="D39" s="406">
        <f t="shared" ref="D39:N39" si="7">D10+D11</f>
        <v>211902</v>
      </c>
      <c r="E39" s="406">
        <f t="shared" si="7"/>
        <v>222747</v>
      </c>
      <c r="F39" s="406">
        <f t="shared" si="7"/>
        <v>215993</v>
      </c>
      <c r="G39" s="406">
        <f t="shared" si="7"/>
        <v>220087</v>
      </c>
      <c r="H39" s="406">
        <f t="shared" si="7"/>
        <v>217384</v>
      </c>
      <c r="I39" s="406">
        <f t="shared" si="7"/>
        <v>217872</v>
      </c>
      <c r="J39" s="406">
        <f t="shared" si="7"/>
        <v>218567</v>
      </c>
      <c r="K39" s="406">
        <f t="shared" si="7"/>
        <v>212455</v>
      </c>
      <c r="L39" s="406">
        <f t="shared" si="7"/>
        <v>225200</v>
      </c>
      <c r="M39" s="406">
        <f t="shared" si="7"/>
        <v>219433</v>
      </c>
      <c r="N39" s="406">
        <f t="shared" si="7"/>
        <v>219805</v>
      </c>
      <c r="O39" s="628">
        <f t="shared" ref="O39:O47" si="8">AVERAGE(C39:N39)</f>
        <v>218293.08333333334</v>
      </c>
      <c r="P39" s="408">
        <f t="shared" ref="P39:P48" si="9">SUM(C39:N39)</f>
        <v>2619517</v>
      </c>
    </row>
    <row r="40" spans="1:16" s="637" customFormat="1">
      <c r="B40" s="404" t="s">
        <v>477</v>
      </c>
      <c r="C40" s="406">
        <f>C12+C13</f>
        <v>32663</v>
      </c>
      <c r="D40" s="406">
        <f t="shared" ref="D40:N40" si="10">D12+D13</f>
        <v>31762</v>
      </c>
      <c r="E40" s="406">
        <f t="shared" si="10"/>
        <v>33249</v>
      </c>
      <c r="F40" s="406">
        <f t="shared" si="10"/>
        <v>32546</v>
      </c>
      <c r="G40" s="406">
        <f t="shared" si="10"/>
        <v>32768</v>
      </c>
      <c r="H40" s="406">
        <f t="shared" si="10"/>
        <v>32598</v>
      </c>
      <c r="I40" s="406">
        <f t="shared" si="10"/>
        <v>32660</v>
      </c>
      <c r="J40" s="406">
        <f t="shared" si="10"/>
        <v>32731</v>
      </c>
      <c r="K40" s="406">
        <f t="shared" si="10"/>
        <v>32098</v>
      </c>
      <c r="L40" s="406">
        <f t="shared" si="10"/>
        <v>33433</v>
      </c>
      <c r="M40" s="406">
        <f t="shared" si="10"/>
        <v>32560</v>
      </c>
      <c r="N40" s="406">
        <f t="shared" si="10"/>
        <v>32733</v>
      </c>
      <c r="O40" s="628">
        <f t="shared" si="8"/>
        <v>32650.083333333332</v>
      </c>
      <c r="P40" s="408">
        <f t="shared" si="9"/>
        <v>391801</v>
      </c>
    </row>
    <row r="41" spans="1:16" s="755" customFormat="1">
      <c r="B41" s="404">
        <v>13</v>
      </c>
      <c r="C41" s="406">
        <f>C14</f>
        <v>0</v>
      </c>
      <c r="D41" s="406">
        <f t="shared" ref="D41:N41" si="11">D14</f>
        <v>0</v>
      </c>
      <c r="E41" s="406">
        <f t="shared" si="11"/>
        <v>0</v>
      </c>
      <c r="F41" s="406">
        <f t="shared" si="11"/>
        <v>0</v>
      </c>
      <c r="G41" s="406">
        <f t="shared" si="11"/>
        <v>0</v>
      </c>
      <c r="H41" s="406">
        <f t="shared" si="11"/>
        <v>0</v>
      </c>
      <c r="I41" s="406">
        <f t="shared" si="11"/>
        <v>0</v>
      </c>
      <c r="J41" s="406">
        <f t="shared" si="11"/>
        <v>0</v>
      </c>
      <c r="K41" s="406">
        <f t="shared" si="11"/>
        <v>0</v>
      </c>
      <c r="L41" s="406">
        <f t="shared" si="11"/>
        <v>0</v>
      </c>
      <c r="M41" s="406">
        <f t="shared" si="11"/>
        <v>0</v>
      </c>
      <c r="N41" s="406">
        <f t="shared" si="11"/>
        <v>0</v>
      </c>
      <c r="O41" s="628">
        <f t="shared" si="8"/>
        <v>0</v>
      </c>
      <c r="P41" s="408">
        <f t="shared" si="9"/>
        <v>0</v>
      </c>
    </row>
    <row r="42" spans="1:16" s="637" customFormat="1">
      <c r="B42" s="404" t="s">
        <v>478</v>
      </c>
      <c r="C42" s="406">
        <f>C15+C16</f>
        <v>1910</v>
      </c>
      <c r="D42" s="406">
        <f t="shared" ref="D42:N42" si="12">D15+D16</f>
        <v>1853</v>
      </c>
      <c r="E42" s="406">
        <f t="shared" si="12"/>
        <v>1960</v>
      </c>
      <c r="F42" s="406">
        <f t="shared" si="12"/>
        <v>1912</v>
      </c>
      <c r="G42" s="406">
        <f t="shared" si="12"/>
        <v>1894</v>
      </c>
      <c r="H42" s="406">
        <f t="shared" si="12"/>
        <v>1925</v>
      </c>
      <c r="I42" s="406">
        <f t="shared" si="12"/>
        <v>1923</v>
      </c>
      <c r="J42" s="406">
        <f t="shared" si="12"/>
        <v>1917</v>
      </c>
      <c r="K42" s="406">
        <f t="shared" si="12"/>
        <v>1855</v>
      </c>
      <c r="L42" s="406">
        <f t="shared" si="12"/>
        <v>1972</v>
      </c>
      <c r="M42" s="406">
        <f t="shared" si="12"/>
        <v>1894</v>
      </c>
      <c r="N42" s="406">
        <f t="shared" si="12"/>
        <v>1926</v>
      </c>
      <c r="O42" s="628">
        <f t="shared" si="8"/>
        <v>1911.75</v>
      </c>
      <c r="P42" s="408">
        <f t="shared" si="9"/>
        <v>22941</v>
      </c>
    </row>
    <row r="43" spans="1:16" s="755" customFormat="1">
      <c r="B43" s="404">
        <v>23</v>
      </c>
      <c r="C43" s="406">
        <f>C17</f>
        <v>0</v>
      </c>
      <c r="D43" s="406">
        <f t="shared" ref="D43:N43" si="13">D17</f>
        <v>0</v>
      </c>
      <c r="E43" s="406">
        <f t="shared" si="13"/>
        <v>0</v>
      </c>
      <c r="F43" s="406">
        <f t="shared" si="13"/>
        <v>0</v>
      </c>
      <c r="G43" s="406">
        <f t="shared" si="13"/>
        <v>0</v>
      </c>
      <c r="H43" s="406">
        <f t="shared" si="13"/>
        <v>0</v>
      </c>
      <c r="I43" s="406">
        <f t="shared" si="13"/>
        <v>0</v>
      </c>
      <c r="J43" s="406">
        <f t="shared" si="13"/>
        <v>0</v>
      </c>
      <c r="K43" s="406">
        <f t="shared" si="13"/>
        <v>0</v>
      </c>
      <c r="L43" s="406">
        <f t="shared" si="13"/>
        <v>0</v>
      </c>
      <c r="M43" s="406">
        <f t="shared" si="13"/>
        <v>0</v>
      </c>
      <c r="N43" s="406">
        <f t="shared" si="13"/>
        <v>0</v>
      </c>
      <c r="O43" s="628">
        <f t="shared" si="8"/>
        <v>0</v>
      </c>
      <c r="P43" s="408">
        <f t="shared" si="9"/>
        <v>0</v>
      </c>
    </row>
    <row r="44" spans="1:16" s="637" customFormat="1">
      <c r="B44" s="404" t="s">
        <v>397</v>
      </c>
      <c r="C44" s="406">
        <f>C18</f>
        <v>23</v>
      </c>
      <c r="D44" s="406">
        <f t="shared" ref="D44:N44" si="14">D18</f>
        <v>23</v>
      </c>
      <c r="E44" s="406">
        <f t="shared" si="14"/>
        <v>23</v>
      </c>
      <c r="F44" s="406">
        <f t="shared" si="14"/>
        <v>23</v>
      </c>
      <c r="G44" s="406">
        <f t="shared" si="14"/>
        <v>23</v>
      </c>
      <c r="H44" s="406">
        <f t="shared" si="14"/>
        <v>23</v>
      </c>
      <c r="I44" s="406">
        <f t="shared" si="14"/>
        <v>23</v>
      </c>
      <c r="J44" s="406">
        <f t="shared" si="14"/>
        <v>23</v>
      </c>
      <c r="K44" s="406">
        <f t="shared" si="14"/>
        <v>23</v>
      </c>
      <c r="L44" s="406">
        <f t="shared" si="14"/>
        <v>23</v>
      </c>
      <c r="M44" s="406">
        <f t="shared" si="14"/>
        <v>23</v>
      </c>
      <c r="N44" s="406">
        <f t="shared" si="14"/>
        <v>23</v>
      </c>
      <c r="O44" s="628">
        <f t="shared" si="8"/>
        <v>23</v>
      </c>
      <c r="P44" s="408">
        <f t="shared" si="9"/>
        <v>276</v>
      </c>
    </row>
    <row r="45" spans="1:16" s="755" customFormat="1">
      <c r="B45" s="404" t="s">
        <v>952</v>
      </c>
      <c r="C45" s="406">
        <f>C19</f>
        <v>0</v>
      </c>
      <c r="D45" s="406">
        <f t="shared" ref="D45:N45" si="15">D19</f>
        <v>0</v>
      </c>
      <c r="E45" s="406">
        <f t="shared" si="15"/>
        <v>0</v>
      </c>
      <c r="F45" s="406">
        <f t="shared" si="15"/>
        <v>0</v>
      </c>
      <c r="G45" s="406">
        <f t="shared" si="15"/>
        <v>0</v>
      </c>
      <c r="H45" s="406">
        <f t="shared" si="15"/>
        <v>0</v>
      </c>
      <c r="I45" s="406">
        <f t="shared" si="15"/>
        <v>0</v>
      </c>
      <c r="J45" s="406">
        <f t="shared" si="15"/>
        <v>0</v>
      </c>
      <c r="K45" s="406">
        <f t="shared" si="15"/>
        <v>0</v>
      </c>
      <c r="L45" s="406">
        <f t="shared" si="15"/>
        <v>0</v>
      </c>
      <c r="M45" s="406">
        <f t="shared" si="15"/>
        <v>0</v>
      </c>
      <c r="N45" s="406">
        <f t="shared" si="15"/>
        <v>0</v>
      </c>
      <c r="O45" s="628">
        <f t="shared" si="8"/>
        <v>0</v>
      </c>
      <c r="P45" s="408">
        <f t="shared" si="9"/>
        <v>0</v>
      </c>
    </row>
    <row r="46" spans="1:16" s="637" customFormat="1">
      <c r="B46" s="404" t="s">
        <v>479</v>
      </c>
      <c r="C46" s="406">
        <f>C20+C21+C22</f>
        <v>2485</v>
      </c>
      <c r="D46" s="406">
        <f t="shared" ref="D46:N46" si="16">D20+D21+D22</f>
        <v>2387</v>
      </c>
      <c r="E46" s="406">
        <f t="shared" si="16"/>
        <v>2474</v>
      </c>
      <c r="F46" s="406">
        <f t="shared" si="16"/>
        <v>2479</v>
      </c>
      <c r="G46" s="406">
        <f t="shared" si="16"/>
        <v>2472</v>
      </c>
      <c r="H46" s="406">
        <f t="shared" si="16"/>
        <v>2457</v>
      </c>
      <c r="I46" s="406">
        <f t="shared" si="16"/>
        <v>2447</v>
      </c>
      <c r="J46" s="406">
        <f t="shared" si="16"/>
        <v>2460</v>
      </c>
      <c r="K46" s="406">
        <f t="shared" si="16"/>
        <v>2450</v>
      </c>
      <c r="L46" s="406">
        <f t="shared" si="16"/>
        <v>2512</v>
      </c>
      <c r="M46" s="406">
        <f t="shared" si="16"/>
        <v>2425</v>
      </c>
      <c r="N46" s="406">
        <f t="shared" si="16"/>
        <v>2444</v>
      </c>
      <c r="O46" s="628">
        <f t="shared" si="8"/>
        <v>2457.6666666666665</v>
      </c>
      <c r="P46" s="408">
        <f t="shared" si="9"/>
        <v>29492</v>
      </c>
    </row>
    <row r="47" spans="1:16">
      <c r="A47" s="637"/>
      <c r="B47" s="404" t="s">
        <v>480</v>
      </c>
      <c r="C47" s="406">
        <f>SUM(C23:C29)</f>
        <v>426</v>
      </c>
      <c r="D47" s="406">
        <f t="shared" ref="D47:N47" si="17">SUM(D23:D29)</f>
        <v>434</v>
      </c>
      <c r="E47" s="406">
        <f t="shared" si="17"/>
        <v>432</v>
      </c>
      <c r="F47" s="406">
        <f t="shared" si="17"/>
        <v>430</v>
      </c>
      <c r="G47" s="406">
        <f t="shared" si="17"/>
        <v>436</v>
      </c>
      <c r="H47" s="406">
        <f t="shared" si="17"/>
        <v>438</v>
      </c>
      <c r="I47" s="406">
        <f t="shared" si="17"/>
        <v>441</v>
      </c>
      <c r="J47" s="406">
        <f t="shared" si="17"/>
        <v>443</v>
      </c>
      <c r="K47" s="406">
        <f t="shared" si="17"/>
        <v>443</v>
      </c>
      <c r="L47" s="406">
        <f t="shared" si="17"/>
        <v>446</v>
      </c>
      <c r="M47" s="406">
        <f t="shared" si="17"/>
        <v>451</v>
      </c>
      <c r="N47" s="406">
        <f t="shared" si="17"/>
        <v>463</v>
      </c>
      <c r="O47" s="628">
        <f t="shared" si="8"/>
        <v>440.25</v>
      </c>
      <c r="P47" s="408">
        <f t="shared" si="9"/>
        <v>5283</v>
      </c>
    </row>
    <row r="48" spans="1:16">
      <c r="A48" s="637"/>
      <c r="B48" s="405" t="s">
        <v>66</v>
      </c>
      <c r="C48" s="406">
        <f>SUM(C39:C47)</f>
        <v>255579</v>
      </c>
      <c r="D48" s="628">
        <f t="shared" ref="D48:O48" si="18">SUM(D39:D47)</f>
        <v>248361</v>
      </c>
      <c r="E48" s="628">
        <f t="shared" si="18"/>
        <v>260885</v>
      </c>
      <c r="F48" s="628">
        <f t="shared" si="18"/>
        <v>253383</v>
      </c>
      <c r="G48" s="628">
        <f t="shared" si="18"/>
        <v>257680</v>
      </c>
      <c r="H48" s="628">
        <f t="shared" si="18"/>
        <v>254825</v>
      </c>
      <c r="I48" s="628">
        <f t="shared" si="18"/>
        <v>255366</v>
      </c>
      <c r="J48" s="628">
        <f t="shared" si="18"/>
        <v>256141</v>
      </c>
      <c r="K48" s="628">
        <f t="shared" si="18"/>
        <v>249324</v>
      </c>
      <c r="L48" s="628">
        <f t="shared" si="18"/>
        <v>263586</v>
      </c>
      <c r="M48" s="628">
        <f t="shared" si="18"/>
        <v>256786</v>
      </c>
      <c r="N48" s="628">
        <f t="shared" si="18"/>
        <v>257394</v>
      </c>
      <c r="O48" s="628">
        <f t="shared" si="18"/>
        <v>255775.83333333334</v>
      </c>
      <c r="P48" s="408">
        <f t="shared" si="9"/>
        <v>3069310</v>
      </c>
    </row>
    <row r="53" spans="1:16">
      <c r="A53" s="422" t="s">
        <v>880</v>
      </c>
      <c r="B53" s="637"/>
      <c r="C53" s="637"/>
      <c r="D53" s="637"/>
      <c r="E53" s="637"/>
      <c r="F53" s="637"/>
      <c r="G53" s="637"/>
      <c r="H53" s="637"/>
      <c r="I53" s="637"/>
      <c r="J53" s="637"/>
      <c r="K53" s="637"/>
      <c r="L53" s="637"/>
      <c r="M53" s="637"/>
      <c r="N53" s="637"/>
      <c r="O53" s="637"/>
      <c r="P53" s="637"/>
    </row>
    <row r="54" spans="1:16">
      <c r="A54" s="637"/>
      <c r="B54" s="637"/>
      <c r="C54" s="637"/>
      <c r="D54" s="637"/>
      <c r="E54" s="637"/>
      <c r="F54" s="637"/>
      <c r="G54" s="637"/>
      <c r="H54" s="637"/>
      <c r="I54" s="637"/>
      <c r="J54" s="637"/>
      <c r="K54" s="637"/>
      <c r="L54" s="637"/>
      <c r="M54" s="637"/>
      <c r="N54" s="637"/>
      <c r="O54" s="637"/>
      <c r="P54" s="637"/>
    </row>
    <row r="55" spans="1:16">
      <c r="A55" s="637" t="s">
        <v>468</v>
      </c>
      <c r="B55" s="637"/>
      <c r="C55" s="637"/>
      <c r="D55" s="637"/>
      <c r="E55" s="637"/>
      <c r="F55" s="637"/>
      <c r="G55" s="637"/>
      <c r="H55" s="637"/>
      <c r="I55" s="637"/>
      <c r="J55" s="637"/>
      <c r="K55" s="637"/>
      <c r="L55" s="637"/>
      <c r="M55" s="637"/>
      <c r="N55" s="637"/>
      <c r="O55" s="637"/>
      <c r="P55" s="637"/>
    </row>
    <row r="56" spans="1:16">
      <c r="A56" s="637"/>
      <c r="B56" s="637"/>
      <c r="C56" s="637"/>
      <c r="D56" s="637"/>
      <c r="E56" s="637"/>
      <c r="F56" s="637"/>
      <c r="G56" s="637"/>
      <c r="H56" s="637"/>
      <c r="I56" s="637"/>
      <c r="J56" s="637"/>
      <c r="K56" s="637"/>
      <c r="L56" s="637"/>
      <c r="M56" s="637"/>
      <c r="N56" s="637"/>
      <c r="O56" s="637"/>
      <c r="P56" s="637"/>
    </row>
    <row r="57" spans="1:16">
      <c r="A57" s="637"/>
      <c r="B57" s="637"/>
      <c r="C57" s="637"/>
      <c r="D57" s="637" t="s">
        <v>221</v>
      </c>
      <c r="E57" s="637"/>
      <c r="F57" s="637"/>
      <c r="G57" s="637"/>
      <c r="H57" s="637"/>
      <c r="I57" s="637"/>
      <c r="J57" s="637"/>
      <c r="K57" s="637"/>
      <c r="L57" s="637"/>
      <c r="M57" s="637"/>
      <c r="N57" s="637"/>
      <c r="O57" s="637"/>
      <c r="P57" s="637"/>
    </row>
    <row r="58" spans="1:16">
      <c r="A58" s="637"/>
      <c r="B58" s="637"/>
      <c r="C58" s="637" t="s">
        <v>469</v>
      </c>
      <c r="D58" s="663">
        <v>201901</v>
      </c>
      <c r="E58" s="722">
        <v>201902</v>
      </c>
      <c r="F58" s="722">
        <v>201903</v>
      </c>
      <c r="G58" s="722">
        <v>201904</v>
      </c>
      <c r="H58" s="722">
        <v>201905</v>
      </c>
      <c r="I58" s="722">
        <v>201906</v>
      </c>
      <c r="J58" s="722">
        <v>201907</v>
      </c>
      <c r="K58" s="722">
        <v>201908</v>
      </c>
      <c r="L58" s="722">
        <v>201909</v>
      </c>
      <c r="M58" s="722">
        <v>201910</v>
      </c>
      <c r="N58" s="722">
        <v>201911</v>
      </c>
      <c r="O58" s="722">
        <v>201912</v>
      </c>
      <c r="P58" s="637" t="s">
        <v>472</v>
      </c>
    </row>
    <row r="59" spans="1:16">
      <c r="A59" s="637" t="s">
        <v>391</v>
      </c>
      <c r="B59" s="637" t="s">
        <v>662</v>
      </c>
      <c r="C59" s="637"/>
      <c r="D59" s="637"/>
      <c r="E59" s="637"/>
      <c r="F59" s="637"/>
      <c r="G59" s="637"/>
      <c r="H59" s="637"/>
      <c r="I59" s="637"/>
      <c r="J59" s="637"/>
      <c r="K59" s="637"/>
      <c r="L59" s="637"/>
      <c r="M59" s="637"/>
      <c r="N59" s="637"/>
      <c r="O59" s="637"/>
      <c r="P59" s="637"/>
    </row>
    <row r="60" spans="1:16">
      <c r="A60" s="637" t="s">
        <v>637</v>
      </c>
      <c r="B60" s="637" t="s">
        <v>664</v>
      </c>
      <c r="C60" s="637"/>
      <c r="D60" s="408">
        <v>0</v>
      </c>
      <c r="E60" s="408">
        <v>0</v>
      </c>
      <c r="F60" s="408">
        <v>0</v>
      </c>
      <c r="G60" s="408">
        <v>0</v>
      </c>
      <c r="H60" s="408">
        <v>0</v>
      </c>
      <c r="I60" s="408">
        <v>0</v>
      </c>
      <c r="J60" s="408">
        <v>0</v>
      </c>
      <c r="K60" s="408">
        <v>0</v>
      </c>
      <c r="L60" s="408">
        <v>0</v>
      </c>
      <c r="M60" s="408">
        <v>0</v>
      </c>
      <c r="N60" s="408">
        <v>0</v>
      </c>
      <c r="O60" s="408">
        <v>0</v>
      </c>
      <c r="P60" s="408">
        <v>0</v>
      </c>
    </row>
    <row r="61" spans="1:16">
      <c r="A61" s="637"/>
      <c r="B61" s="637" t="s">
        <v>665</v>
      </c>
      <c r="C61" s="637"/>
      <c r="D61" s="408">
        <v>150239177.94231001</v>
      </c>
      <c r="E61" s="408">
        <v>142561773.77900001</v>
      </c>
      <c r="F61" s="408">
        <v>150093866.55487999</v>
      </c>
      <c r="G61" s="408">
        <v>133252013.37171</v>
      </c>
      <c r="H61" s="408">
        <v>126172516.54627</v>
      </c>
      <c r="I61" s="408">
        <v>121411746.72475</v>
      </c>
      <c r="J61" s="408">
        <v>126872002.51831999</v>
      </c>
      <c r="K61" s="408">
        <v>132095079.98095</v>
      </c>
      <c r="L61" s="408">
        <v>128495578.01073</v>
      </c>
      <c r="M61" s="408">
        <v>131345588.99197</v>
      </c>
      <c r="N61" s="408">
        <v>137241380.78281</v>
      </c>
      <c r="O61" s="408">
        <v>150099576.73242</v>
      </c>
      <c r="P61" s="408">
        <f>SUM(D61:O61)</f>
        <v>1629880301.93612</v>
      </c>
    </row>
    <row r="62" spans="1:16">
      <c r="A62" s="637"/>
      <c r="B62" s="637" t="s">
        <v>666</v>
      </c>
      <c r="C62" s="637"/>
      <c r="D62" s="408">
        <v>65236329.574689999</v>
      </c>
      <c r="E62" s="408">
        <v>58044117.763999999</v>
      </c>
      <c r="F62" s="408">
        <v>63132076.018119998</v>
      </c>
      <c r="G62" s="408">
        <v>37700655.150289997</v>
      </c>
      <c r="H62" s="408">
        <v>25182795.010729998</v>
      </c>
      <c r="I62" s="408">
        <v>22795358.73525</v>
      </c>
      <c r="J62" s="408">
        <v>30319636.882679999</v>
      </c>
      <c r="K62" s="408">
        <v>37589224.08805</v>
      </c>
      <c r="L62" s="408">
        <v>34676234.096270002</v>
      </c>
      <c r="M62" s="408">
        <v>27093579.961029999</v>
      </c>
      <c r="N62" s="408">
        <v>40013737.719190001</v>
      </c>
      <c r="O62" s="408">
        <v>61788895.581579998</v>
      </c>
      <c r="P62" s="408">
        <f t="shared" ref="P62:P72" si="19">SUM(D62:O62)</f>
        <v>503572640.58188003</v>
      </c>
    </row>
    <row r="63" spans="1:16">
      <c r="A63" s="637"/>
      <c r="B63" s="637" t="s">
        <v>667</v>
      </c>
      <c r="C63" s="637"/>
      <c r="D63" s="408">
        <v>52369496.807999998</v>
      </c>
      <c r="E63" s="408">
        <v>47316443.417000003</v>
      </c>
      <c r="F63" s="408">
        <v>58276421.445</v>
      </c>
      <c r="G63" s="408">
        <v>17913898.327</v>
      </c>
      <c r="H63" s="408">
        <v>7477405.9060000004</v>
      </c>
      <c r="I63" s="408">
        <v>6183682.6770000001</v>
      </c>
      <c r="J63" s="408">
        <v>9560011.3320000004</v>
      </c>
      <c r="K63" s="408">
        <v>12889130.639</v>
      </c>
      <c r="L63" s="408">
        <v>12073352.842</v>
      </c>
      <c r="M63" s="408">
        <v>8321659.5</v>
      </c>
      <c r="N63" s="408">
        <v>19554065.236000001</v>
      </c>
      <c r="O63" s="408">
        <v>46378535.166000001</v>
      </c>
      <c r="P63" s="408">
        <f t="shared" si="19"/>
        <v>298314103.29499996</v>
      </c>
    </row>
    <row r="64" spans="1:16">
      <c r="A64" s="637"/>
      <c r="B64" s="637" t="s">
        <v>663</v>
      </c>
      <c r="C64" s="637"/>
      <c r="D64" s="408">
        <v>-1235</v>
      </c>
      <c r="E64" s="408">
        <v>0</v>
      </c>
      <c r="F64" s="408">
        <v>0</v>
      </c>
      <c r="G64" s="408">
        <v>0</v>
      </c>
      <c r="H64" s="408">
        <v>0</v>
      </c>
      <c r="I64" s="408">
        <v>0</v>
      </c>
      <c r="J64" s="408">
        <v>0</v>
      </c>
      <c r="K64" s="408">
        <v>0</v>
      </c>
      <c r="L64" s="408">
        <v>0</v>
      </c>
      <c r="M64" s="408">
        <v>0</v>
      </c>
      <c r="N64" s="408">
        <v>0</v>
      </c>
      <c r="O64" s="408">
        <v>0</v>
      </c>
      <c r="P64" s="408">
        <f>SUM(D64:O64)</f>
        <v>-1235</v>
      </c>
    </row>
    <row r="65" spans="1:16">
      <c r="A65" s="637"/>
      <c r="B65" s="637" t="s">
        <v>668</v>
      </c>
      <c r="C65" s="637"/>
      <c r="D65" s="408">
        <v>-1235</v>
      </c>
      <c r="E65" s="408">
        <v>0</v>
      </c>
      <c r="F65" s="408">
        <v>0</v>
      </c>
      <c r="G65" s="408">
        <v>0</v>
      </c>
      <c r="H65" s="408">
        <v>0</v>
      </c>
      <c r="I65" s="408">
        <v>0</v>
      </c>
      <c r="J65" s="408">
        <v>0</v>
      </c>
      <c r="K65" s="408">
        <v>0</v>
      </c>
      <c r="L65" s="408">
        <v>0</v>
      </c>
      <c r="M65" s="408">
        <v>0</v>
      </c>
      <c r="N65" s="408">
        <v>0</v>
      </c>
      <c r="O65" s="408">
        <v>0</v>
      </c>
      <c r="P65" s="408">
        <f>SUM(D65:O65)</f>
        <v>-1235</v>
      </c>
    </row>
    <row r="66" spans="1:16">
      <c r="A66" s="637"/>
      <c r="B66" s="637" t="s">
        <v>769</v>
      </c>
      <c r="C66" s="637"/>
      <c r="D66" s="408">
        <v>-1235</v>
      </c>
      <c r="E66" s="408">
        <v>0</v>
      </c>
      <c r="F66" s="408">
        <v>0</v>
      </c>
      <c r="G66" s="408">
        <v>0</v>
      </c>
      <c r="H66" s="408">
        <v>0</v>
      </c>
      <c r="I66" s="408">
        <v>0</v>
      </c>
      <c r="J66" s="408">
        <v>0</v>
      </c>
      <c r="K66" s="408">
        <v>0</v>
      </c>
      <c r="L66" s="408">
        <v>0</v>
      </c>
      <c r="M66" s="408">
        <v>0</v>
      </c>
      <c r="N66" s="408">
        <v>0</v>
      </c>
      <c r="O66" s="408">
        <v>0</v>
      </c>
      <c r="P66" s="408">
        <f>SUM(D66:O66)</f>
        <v>-1235</v>
      </c>
    </row>
    <row r="67" spans="1:16">
      <c r="A67" s="637"/>
      <c r="B67" s="637" t="s">
        <v>715</v>
      </c>
      <c r="C67" s="637"/>
      <c r="D67" s="408">
        <v>0</v>
      </c>
      <c r="E67" s="408">
        <v>0</v>
      </c>
      <c r="F67" s="408">
        <v>0</v>
      </c>
      <c r="G67" s="408">
        <v>0</v>
      </c>
      <c r="H67" s="408">
        <v>0</v>
      </c>
      <c r="I67" s="408">
        <v>0</v>
      </c>
      <c r="J67" s="408">
        <v>0</v>
      </c>
      <c r="K67" s="408">
        <v>0</v>
      </c>
      <c r="L67" s="408">
        <v>0</v>
      </c>
      <c r="M67" s="408">
        <v>0</v>
      </c>
      <c r="N67" s="408">
        <v>0</v>
      </c>
      <c r="O67" s="408">
        <v>0</v>
      </c>
      <c r="P67" s="408">
        <f t="shared" si="19"/>
        <v>0</v>
      </c>
    </row>
    <row r="68" spans="1:16">
      <c r="A68" s="637"/>
      <c r="B68" s="637" t="s">
        <v>669</v>
      </c>
      <c r="C68" s="637"/>
      <c r="D68" s="408">
        <v>0</v>
      </c>
      <c r="E68" s="408">
        <v>0</v>
      </c>
      <c r="F68" s="408">
        <v>0</v>
      </c>
      <c r="G68" s="408">
        <v>0</v>
      </c>
      <c r="H68" s="408">
        <v>-280</v>
      </c>
      <c r="I68" s="408">
        <v>0</v>
      </c>
      <c r="J68" s="408">
        <v>0</v>
      </c>
      <c r="K68" s="408">
        <v>0</v>
      </c>
      <c r="L68" s="408">
        <v>0</v>
      </c>
      <c r="M68" s="408">
        <v>0</v>
      </c>
      <c r="N68" s="408">
        <v>0</v>
      </c>
      <c r="O68" s="408">
        <v>0</v>
      </c>
      <c r="P68" s="408">
        <f t="shared" si="19"/>
        <v>-280</v>
      </c>
    </row>
    <row r="69" spans="1:16">
      <c r="A69" s="637"/>
      <c r="B69" s="637" t="s">
        <v>670</v>
      </c>
      <c r="C69" s="637"/>
      <c r="D69" s="408">
        <v>0</v>
      </c>
      <c r="E69" s="408">
        <v>0</v>
      </c>
      <c r="F69" s="408">
        <v>0</v>
      </c>
      <c r="G69" s="408">
        <v>0</v>
      </c>
      <c r="H69" s="408">
        <v>0</v>
      </c>
      <c r="I69" s="408">
        <v>0</v>
      </c>
      <c r="J69" s="408">
        <v>0</v>
      </c>
      <c r="K69" s="408">
        <v>0</v>
      </c>
      <c r="L69" s="408">
        <v>0</v>
      </c>
      <c r="M69" s="408">
        <v>0</v>
      </c>
      <c r="N69" s="408">
        <v>0</v>
      </c>
      <c r="O69" s="408">
        <v>0</v>
      </c>
      <c r="P69" s="408">
        <f t="shared" si="19"/>
        <v>0</v>
      </c>
    </row>
    <row r="70" spans="1:16">
      <c r="A70" s="637"/>
      <c r="B70" s="637" t="s">
        <v>671</v>
      </c>
      <c r="C70" s="637"/>
      <c r="D70" s="408">
        <v>0</v>
      </c>
      <c r="E70" s="408">
        <v>0</v>
      </c>
      <c r="F70" s="408">
        <v>0</v>
      </c>
      <c r="G70" s="408">
        <v>0</v>
      </c>
      <c r="H70" s="408">
        <v>0</v>
      </c>
      <c r="I70" s="408">
        <v>0</v>
      </c>
      <c r="J70" s="408">
        <v>0</v>
      </c>
      <c r="K70" s="408">
        <v>0</v>
      </c>
      <c r="L70" s="408">
        <v>0</v>
      </c>
      <c r="M70" s="408">
        <v>0</v>
      </c>
      <c r="N70" s="408">
        <v>0</v>
      </c>
      <c r="O70" s="408">
        <v>0</v>
      </c>
      <c r="P70" s="408">
        <f t="shared" si="19"/>
        <v>0</v>
      </c>
    </row>
    <row r="71" spans="1:16">
      <c r="A71" s="637"/>
      <c r="B71" s="637" t="s">
        <v>672</v>
      </c>
      <c r="C71" s="637"/>
      <c r="D71" s="408">
        <v>0</v>
      </c>
      <c r="E71" s="408">
        <v>0</v>
      </c>
      <c r="F71" s="408">
        <v>0</v>
      </c>
      <c r="G71" s="408">
        <v>0</v>
      </c>
      <c r="H71" s="408">
        <v>0</v>
      </c>
      <c r="I71" s="408">
        <v>0</v>
      </c>
      <c r="J71" s="408">
        <v>0</v>
      </c>
      <c r="K71" s="408">
        <v>0</v>
      </c>
      <c r="L71" s="408">
        <v>0</v>
      </c>
      <c r="M71" s="408">
        <v>0</v>
      </c>
      <c r="N71" s="408">
        <v>0</v>
      </c>
      <c r="O71" s="408">
        <v>0</v>
      </c>
      <c r="P71" s="408">
        <f t="shared" si="19"/>
        <v>0</v>
      </c>
    </row>
    <row r="72" spans="1:16">
      <c r="A72" s="637"/>
      <c r="B72" s="637" t="s">
        <v>673</v>
      </c>
      <c r="C72" s="637"/>
      <c r="D72" s="408"/>
      <c r="E72" s="408"/>
      <c r="F72" s="408"/>
      <c r="G72" s="408"/>
      <c r="H72" s="408">
        <v>0</v>
      </c>
      <c r="I72" s="408">
        <v>0</v>
      </c>
      <c r="J72" s="408">
        <v>0</v>
      </c>
      <c r="K72" s="408">
        <v>0</v>
      </c>
      <c r="L72" s="408">
        <v>0</v>
      </c>
      <c r="M72" s="408">
        <v>0</v>
      </c>
      <c r="N72" s="408">
        <v>0</v>
      </c>
      <c r="O72" s="408">
        <v>0</v>
      </c>
      <c r="P72" s="408">
        <f t="shared" si="19"/>
        <v>0</v>
      </c>
    </row>
    <row r="73" spans="1:16">
      <c r="A73" s="637"/>
      <c r="B73" s="637" t="s">
        <v>770</v>
      </c>
      <c r="C73" s="637"/>
      <c r="D73" s="408"/>
      <c r="E73" s="408"/>
      <c r="F73" s="408"/>
      <c r="G73" s="408"/>
      <c r="H73" s="408"/>
      <c r="I73" s="408"/>
      <c r="J73" s="408"/>
      <c r="K73" s="408"/>
      <c r="L73" s="408"/>
      <c r="M73" s="408"/>
      <c r="N73" s="408">
        <v>0</v>
      </c>
      <c r="O73" s="408">
        <v>0</v>
      </c>
      <c r="P73" s="408">
        <v>0</v>
      </c>
    </row>
    <row r="74" spans="1:16">
      <c r="A74" s="637"/>
      <c r="B74" s="637" t="s">
        <v>66</v>
      </c>
      <c r="C74" s="637"/>
      <c r="D74" s="408">
        <f>SUM(D60:D73)</f>
        <v>267841299.32500002</v>
      </c>
      <c r="E74" s="408">
        <f t="shared" ref="E74:P74" si="20">SUM(E60:E73)</f>
        <v>247922334.96000001</v>
      </c>
      <c r="F74" s="408">
        <f t="shared" si="20"/>
        <v>271502364.01800001</v>
      </c>
      <c r="G74" s="408">
        <f t="shared" si="20"/>
        <v>188866566.84900001</v>
      </c>
      <c r="H74" s="408">
        <f t="shared" si="20"/>
        <v>158832437.46299997</v>
      </c>
      <c r="I74" s="408">
        <f t="shared" si="20"/>
        <v>150390788.13699999</v>
      </c>
      <c r="J74" s="408">
        <f t="shared" si="20"/>
        <v>166751650.73299998</v>
      </c>
      <c r="K74" s="408">
        <f t="shared" si="20"/>
        <v>182573434.708</v>
      </c>
      <c r="L74" s="408">
        <f t="shared" si="20"/>
        <v>175245164.949</v>
      </c>
      <c r="M74" s="408">
        <f t="shared" si="20"/>
        <v>166760828.45300001</v>
      </c>
      <c r="N74" s="408">
        <f t="shared" si="20"/>
        <v>196809183.73800001</v>
      </c>
      <c r="O74" s="408">
        <f t="shared" si="20"/>
        <v>258267007.48000002</v>
      </c>
      <c r="P74" s="408">
        <f t="shared" si="20"/>
        <v>2431763060.8130002</v>
      </c>
    </row>
    <row r="75" spans="1:16">
      <c r="A75" s="637" t="s">
        <v>638</v>
      </c>
      <c r="B75" s="637" t="s">
        <v>664</v>
      </c>
      <c r="C75" s="637"/>
      <c r="D75" s="408">
        <v>0</v>
      </c>
      <c r="E75" s="408">
        <v>0</v>
      </c>
      <c r="F75" s="408">
        <v>0</v>
      </c>
      <c r="G75" s="408">
        <v>0</v>
      </c>
      <c r="H75" s="408">
        <v>0</v>
      </c>
      <c r="I75" s="408">
        <v>0</v>
      </c>
      <c r="J75" s="408">
        <v>0</v>
      </c>
      <c r="K75" s="408">
        <v>0</v>
      </c>
      <c r="L75" s="408">
        <v>0</v>
      </c>
      <c r="M75" s="408">
        <v>0</v>
      </c>
      <c r="N75" s="408">
        <v>0</v>
      </c>
      <c r="O75" s="408">
        <v>0</v>
      </c>
      <c r="P75" s="408">
        <v>0</v>
      </c>
    </row>
    <row r="76" spans="1:16">
      <c r="A76" s="637"/>
      <c r="B76" s="637" t="s">
        <v>665</v>
      </c>
      <c r="C76" s="637"/>
      <c r="D76" s="408">
        <v>282319.79067000002</v>
      </c>
      <c r="E76" s="408">
        <v>266171.89</v>
      </c>
      <c r="F76" s="408">
        <v>277627.16700000002</v>
      </c>
      <c r="G76" s="408">
        <v>250779.12633</v>
      </c>
      <c r="H76" s="408">
        <v>230909.42767</v>
      </c>
      <c r="I76" s="408">
        <v>208540.872</v>
      </c>
      <c r="J76" s="408">
        <v>209651.41699999999</v>
      </c>
      <c r="K76" s="408">
        <v>211165.97766999999</v>
      </c>
      <c r="L76" s="408">
        <v>207168.15700000001</v>
      </c>
      <c r="M76" s="408">
        <v>171445.26733999999</v>
      </c>
      <c r="N76" s="408">
        <v>202375.959</v>
      </c>
      <c r="O76" s="408">
        <v>243617.51332999999</v>
      </c>
      <c r="P76" s="408">
        <f>SUM(D76:O76)</f>
        <v>2761772.5650099996</v>
      </c>
    </row>
    <row r="77" spans="1:16">
      <c r="A77" s="637"/>
      <c r="B77" s="637" t="s">
        <v>666</v>
      </c>
      <c r="C77" s="637"/>
      <c r="D77" s="408">
        <v>147692.45032999999</v>
      </c>
      <c r="E77" s="408">
        <v>140490.12</v>
      </c>
      <c r="F77" s="408">
        <v>148660.50700000001</v>
      </c>
      <c r="G77" s="408">
        <v>92606.062669999999</v>
      </c>
      <c r="H77" s="408">
        <v>55399.351329999998</v>
      </c>
      <c r="I77" s="408">
        <v>30819</v>
      </c>
      <c r="J77" s="408">
        <v>36480.781999999999</v>
      </c>
      <c r="K77" s="408">
        <v>40266.959329999998</v>
      </c>
      <c r="L77" s="408">
        <v>36596.476000000002</v>
      </c>
      <c r="M77" s="408">
        <v>42266.253660000002</v>
      </c>
      <c r="N77" s="408">
        <v>83118.074999999997</v>
      </c>
      <c r="O77" s="408">
        <v>126578.25367000001</v>
      </c>
      <c r="P77" s="408">
        <f t="shared" ref="P77:P88" si="21">SUM(D77:O77)</f>
        <v>980974.29099000001</v>
      </c>
    </row>
    <row r="78" spans="1:16">
      <c r="A78" s="637"/>
      <c r="B78" s="637" t="s">
        <v>667</v>
      </c>
      <c r="C78" s="637"/>
      <c r="D78" s="408">
        <v>150041.435</v>
      </c>
      <c r="E78" s="408">
        <v>134645.32500000001</v>
      </c>
      <c r="F78" s="408">
        <v>166052.68799999999</v>
      </c>
      <c r="G78" s="408">
        <v>47437.201000000001</v>
      </c>
      <c r="H78" s="408">
        <v>18268</v>
      </c>
      <c r="I78" s="408">
        <v>10743.348</v>
      </c>
      <c r="J78" s="408">
        <v>13668.396000000001</v>
      </c>
      <c r="K78" s="408">
        <v>16729.956999999999</v>
      </c>
      <c r="L78" s="408">
        <v>15100.16</v>
      </c>
      <c r="M78" s="408">
        <v>15830.723</v>
      </c>
      <c r="N78" s="408">
        <v>46891.188999999998</v>
      </c>
      <c r="O78" s="408">
        <v>123808.74</v>
      </c>
      <c r="P78" s="408">
        <f t="shared" si="21"/>
        <v>759217.16200000001</v>
      </c>
    </row>
    <row r="79" spans="1:16">
      <c r="A79" s="637"/>
      <c r="B79" s="637" t="s">
        <v>663</v>
      </c>
      <c r="C79" s="637"/>
      <c r="D79" s="408">
        <v>0</v>
      </c>
      <c r="E79" s="408">
        <v>0</v>
      </c>
      <c r="F79" s="408">
        <v>0</v>
      </c>
      <c r="G79" s="408">
        <v>0</v>
      </c>
      <c r="H79" s="408">
        <v>0</v>
      </c>
      <c r="I79" s="408">
        <v>0</v>
      </c>
      <c r="J79" s="408">
        <v>0</v>
      </c>
      <c r="K79" s="408">
        <v>0</v>
      </c>
      <c r="L79" s="408">
        <v>0</v>
      </c>
      <c r="M79" s="408">
        <v>0</v>
      </c>
      <c r="N79" s="408">
        <v>0</v>
      </c>
      <c r="O79" s="408">
        <v>0</v>
      </c>
      <c r="P79" s="408">
        <f t="shared" si="21"/>
        <v>0</v>
      </c>
    </row>
    <row r="80" spans="1:16">
      <c r="A80" s="637"/>
      <c r="B80" s="637" t="s">
        <v>668</v>
      </c>
      <c r="C80" s="637"/>
      <c r="D80" s="408">
        <v>0</v>
      </c>
      <c r="E80" s="408">
        <v>0</v>
      </c>
      <c r="F80" s="408">
        <v>0</v>
      </c>
      <c r="G80" s="408">
        <v>0</v>
      </c>
      <c r="H80" s="408">
        <v>0</v>
      </c>
      <c r="I80" s="408">
        <v>0</v>
      </c>
      <c r="J80" s="408">
        <v>0</v>
      </c>
      <c r="K80" s="408">
        <v>0</v>
      </c>
      <c r="L80" s="408">
        <v>0</v>
      </c>
      <c r="M80" s="408">
        <v>0</v>
      </c>
      <c r="N80" s="408">
        <v>0</v>
      </c>
      <c r="O80" s="408">
        <v>0</v>
      </c>
      <c r="P80" s="408">
        <f t="shared" si="21"/>
        <v>0</v>
      </c>
    </row>
    <row r="81" spans="1:16">
      <c r="A81" s="637"/>
      <c r="B81" s="637" t="s">
        <v>715</v>
      </c>
      <c r="C81" s="637"/>
      <c r="D81" s="408">
        <v>0</v>
      </c>
      <c r="E81" s="408">
        <v>0</v>
      </c>
      <c r="F81" s="408">
        <v>0</v>
      </c>
      <c r="G81" s="408">
        <v>0</v>
      </c>
      <c r="H81" s="408">
        <v>0</v>
      </c>
      <c r="I81" s="408">
        <v>0</v>
      </c>
      <c r="J81" s="408">
        <v>0</v>
      </c>
      <c r="K81" s="408">
        <v>0</v>
      </c>
      <c r="L81" s="408">
        <v>0</v>
      </c>
      <c r="M81" s="408">
        <v>0</v>
      </c>
      <c r="N81" s="408">
        <v>0</v>
      </c>
      <c r="O81" s="408">
        <v>0</v>
      </c>
      <c r="P81" s="408">
        <f t="shared" si="21"/>
        <v>0</v>
      </c>
    </row>
    <row r="82" spans="1:16">
      <c r="A82" s="637"/>
      <c r="B82" s="637" t="s">
        <v>674</v>
      </c>
      <c r="C82" s="637"/>
      <c r="D82" s="408">
        <v>0</v>
      </c>
      <c r="E82" s="408">
        <v>0</v>
      </c>
      <c r="F82" s="408">
        <v>0</v>
      </c>
      <c r="G82" s="408">
        <v>0</v>
      </c>
      <c r="H82" s="408">
        <v>0</v>
      </c>
      <c r="I82" s="408">
        <v>0</v>
      </c>
      <c r="J82" s="408">
        <v>0</v>
      </c>
      <c r="K82" s="408">
        <v>0</v>
      </c>
      <c r="L82" s="408">
        <v>0</v>
      </c>
      <c r="M82" s="408">
        <v>0</v>
      </c>
      <c r="N82" s="408">
        <v>0</v>
      </c>
      <c r="O82" s="408">
        <v>0</v>
      </c>
      <c r="P82" s="408">
        <f t="shared" si="21"/>
        <v>0</v>
      </c>
    </row>
    <row r="83" spans="1:16">
      <c r="A83" s="637"/>
      <c r="B83" s="637" t="s">
        <v>669</v>
      </c>
      <c r="C83" s="637"/>
      <c r="D83" s="408">
        <v>0</v>
      </c>
      <c r="E83" s="408">
        <v>0</v>
      </c>
      <c r="F83" s="408">
        <v>0</v>
      </c>
      <c r="G83" s="408">
        <v>0</v>
      </c>
      <c r="H83" s="408">
        <v>0</v>
      </c>
      <c r="I83" s="408">
        <v>0</v>
      </c>
      <c r="J83" s="408">
        <v>0</v>
      </c>
      <c r="K83" s="408">
        <v>0</v>
      </c>
      <c r="L83" s="408">
        <v>0</v>
      </c>
      <c r="M83" s="408">
        <v>0</v>
      </c>
      <c r="N83" s="408">
        <v>0</v>
      </c>
      <c r="O83" s="408">
        <v>0</v>
      </c>
      <c r="P83" s="408">
        <f t="shared" si="21"/>
        <v>0</v>
      </c>
    </row>
    <row r="84" spans="1:16">
      <c r="A84" s="637"/>
      <c r="B84" s="637" t="s">
        <v>670</v>
      </c>
      <c r="C84" s="637"/>
      <c r="D84" s="408">
        <v>0</v>
      </c>
      <c r="E84" s="408">
        <v>0</v>
      </c>
      <c r="F84" s="408">
        <v>0</v>
      </c>
      <c r="G84" s="408">
        <v>0</v>
      </c>
      <c r="H84" s="408">
        <v>0</v>
      </c>
      <c r="I84" s="408">
        <v>0</v>
      </c>
      <c r="J84" s="408">
        <v>0</v>
      </c>
      <c r="K84" s="408">
        <v>0</v>
      </c>
      <c r="L84" s="408">
        <v>0</v>
      </c>
      <c r="M84" s="408">
        <v>0</v>
      </c>
      <c r="N84" s="408">
        <v>0</v>
      </c>
      <c r="O84" s="408">
        <v>0</v>
      </c>
      <c r="P84" s="408">
        <f t="shared" si="21"/>
        <v>0</v>
      </c>
    </row>
    <row r="85" spans="1:16">
      <c r="A85" s="637"/>
      <c r="B85" s="637" t="s">
        <v>671</v>
      </c>
      <c r="C85" s="637"/>
      <c r="D85" s="408">
        <v>0</v>
      </c>
      <c r="E85" s="408">
        <v>0</v>
      </c>
      <c r="F85" s="408">
        <v>0</v>
      </c>
      <c r="G85" s="408">
        <v>0</v>
      </c>
      <c r="H85" s="408">
        <v>0</v>
      </c>
      <c r="I85" s="408">
        <v>0</v>
      </c>
      <c r="J85" s="408">
        <v>0</v>
      </c>
      <c r="K85" s="408">
        <v>0</v>
      </c>
      <c r="L85" s="408">
        <v>0</v>
      </c>
      <c r="M85" s="408">
        <v>0</v>
      </c>
      <c r="N85" s="408">
        <v>0</v>
      </c>
      <c r="O85" s="408">
        <v>0</v>
      </c>
      <c r="P85" s="408">
        <f t="shared" si="21"/>
        <v>0</v>
      </c>
    </row>
    <row r="86" spans="1:16">
      <c r="A86" s="637"/>
      <c r="B86" s="637" t="s">
        <v>672</v>
      </c>
      <c r="C86" s="637"/>
      <c r="D86" s="408">
        <v>0</v>
      </c>
      <c r="E86" s="408">
        <v>0</v>
      </c>
      <c r="F86" s="408">
        <v>0</v>
      </c>
      <c r="G86" s="408">
        <v>0</v>
      </c>
      <c r="H86" s="408">
        <v>0</v>
      </c>
      <c r="I86" s="408">
        <v>0</v>
      </c>
      <c r="J86" s="408">
        <v>0</v>
      </c>
      <c r="K86" s="408">
        <v>0</v>
      </c>
      <c r="L86" s="408">
        <v>0</v>
      </c>
      <c r="M86" s="408">
        <v>0</v>
      </c>
      <c r="N86" s="408">
        <v>0</v>
      </c>
      <c r="O86" s="408">
        <v>0</v>
      </c>
      <c r="P86" s="408">
        <f t="shared" si="21"/>
        <v>0</v>
      </c>
    </row>
    <row r="87" spans="1:16">
      <c r="A87" s="637"/>
      <c r="B87" s="637" t="s">
        <v>673</v>
      </c>
      <c r="C87" s="637"/>
      <c r="D87" s="408">
        <v>0</v>
      </c>
      <c r="E87" s="408">
        <v>0</v>
      </c>
      <c r="F87" s="408">
        <v>0</v>
      </c>
      <c r="G87" s="408">
        <v>0</v>
      </c>
      <c r="H87" s="408">
        <v>0</v>
      </c>
      <c r="I87" s="408">
        <v>0</v>
      </c>
      <c r="J87" s="408">
        <v>0</v>
      </c>
      <c r="K87" s="408">
        <v>0</v>
      </c>
      <c r="L87" s="408">
        <v>0</v>
      </c>
      <c r="M87" s="408">
        <v>0</v>
      </c>
      <c r="N87" s="408">
        <v>0</v>
      </c>
      <c r="O87" s="408">
        <v>0</v>
      </c>
      <c r="P87" s="408">
        <f t="shared" si="21"/>
        <v>0</v>
      </c>
    </row>
    <row r="88" spans="1:16">
      <c r="A88" s="637"/>
      <c r="B88" s="637" t="s">
        <v>769</v>
      </c>
      <c r="C88" s="637"/>
      <c r="D88" s="408"/>
      <c r="E88" s="408"/>
      <c r="F88" s="408"/>
      <c r="G88" s="408"/>
      <c r="H88" s="408">
        <v>0</v>
      </c>
      <c r="I88" s="408">
        <v>0</v>
      </c>
      <c r="J88" s="408">
        <v>0</v>
      </c>
      <c r="K88" s="408">
        <v>0</v>
      </c>
      <c r="L88" s="408">
        <v>0</v>
      </c>
      <c r="M88" s="408">
        <v>0</v>
      </c>
      <c r="N88" s="408">
        <v>0</v>
      </c>
      <c r="O88" s="408">
        <v>0</v>
      </c>
      <c r="P88" s="408">
        <f t="shared" si="21"/>
        <v>0</v>
      </c>
    </row>
    <row r="89" spans="1:16">
      <c r="A89" s="637"/>
      <c r="B89" s="637" t="s">
        <v>66</v>
      </c>
      <c r="C89" s="637"/>
      <c r="D89" s="408">
        <f>SUM(D75:D88)</f>
        <v>580053.67599999998</v>
      </c>
      <c r="E89" s="408">
        <f t="shared" ref="E89:P89" si="22">SUM(E75:E88)</f>
        <v>541307.33499999996</v>
      </c>
      <c r="F89" s="408">
        <f t="shared" si="22"/>
        <v>592340.36199999996</v>
      </c>
      <c r="G89" s="408">
        <f t="shared" si="22"/>
        <v>390822.39</v>
      </c>
      <c r="H89" s="408">
        <f t="shared" si="22"/>
        <v>304576.77899999998</v>
      </c>
      <c r="I89" s="408">
        <f t="shared" si="22"/>
        <v>250103.22</v>
      </c>
      <c r="J89" s="408">
        <f t="shared" si="22"/>
        <v>259800.595</v>
      </c>
      <c r="K89" s="408">
        <f t="shared" si="22"/>
        <v>268162.89399999997</v>
      </c>
      <c r="L89" s="408">
        <f t="shared" si="22"/>
        <v>258864.79300000001</v>
      </c>
      <c r="M89" s="408">
        <f t="shared" si="22"/>
        <v>229542.24400000001</v>
      </c>
      <c r="N89" s="408">
        <f t="shared" si="22"/>
        <v>332385.223</v>
      </c>
      <c r="O89" s="408">
        <f t="shared" si="22"/>
        <v>494004.50699999998</v>
      </c>
      <c r="P89" s="408">
        <f t="shared" si="22"/>
        <v>4501964.0179999992</v>
      </c>
    </row>
    <row r="90" spans="1:16">
      <c r="A90" s="637" t="s">
        <v>639</v>
      </c>
      <c r="B90" s="637" t="s">
        <v>675</v>
      </c>
      <c r="C90" s="637"/>
      <c r="D90" s="408">
        <v>0</v>
      </c>
      <c r="E90" s="408">
        <v>0</v>
      </c>
      <c r="F90" s="408">
        <v>0</v>
      </c>
      <c r="G90" s="408">
        <v>0</v>
      </c>
      <c r="H90" s="408">
        <v>0</v>
      </c>
      <c r="I90" s="408">
        <v>0</v>
      </c>
      <c r="J90" s="408">
        <v>0</v>
      </c>
      <c r="K90" s="408">
        <v>0</v>
      </c>
      <c r="L90" s="408">
        <v>0</v>
      </c>
      <c r="M90" s="408">
        <v>0</v>
      </c>
      <c r="N90" s="408">
        <v>0</v>
      </c>
      <c r="O90" s="408">
        <v>0</v>
      </c>
      <c r="P90" s="408">
        <f t="shared" ref="P90:P93" si="23">SUM(D90:O90)</f>
        <v>0</v>
      </c>
    </row>
    <row r="91" spans="1:16">
      <c r="A91" s="637"/>
      <c r="B91" s="637" t="s">
        <v>664</v>
      </c>
      <c r="C91" s="637"/>
      <c r="D91" s="408">
        <v>0</v>
      </c>
      <c r="E91" s="408">
        <v>0</v>
      </c>
      <c r="F91" s="408">
        <v>0</v>
      </c>
      <c r="G91" s="408">
        <v>0</v>
      </c>
      <c r="H91" s="408">
        <v>0</v>
      </c>
      <c r="I91" s="408">
        <v>0</v>
      </c>
      <c r="J91" s="408">
        <v>0</v>
      </c>
      <c r="K91" s="408">
        <v>0</v>
      </c>
      <c r="L91" s="408">
        <v>0</v>
      </c>
      <c r="M91" s="408">
        <v>0</v>
      </c>
      <c r="N91" s="408">
        <v>0</v>
      </c>
      <c r="O91" s="408">
        <v>0</v>
      </c>
      <c r="P91" s="408">
        <f t="shared" si="23"/>
        <v>0</v>
      </c>
    </row>
    <row r="92" spans="1:16">
      <c r="A92" s="637"/>
      <c r="B92" s="637" t="s">
        <v>676</v>
      </c>
      <c r="C92" s="637"/>
      <c r="D92" s="408">
        <v>0</v>
      </c>
      <c r="E92" s="408">
        <v>0</v>
      </c>
      <c r="F92" s="408">
        <v>0</v>
      </c>
      <c r="G92" s="408">
        <v>0</v>
      </c>
      <c r="H92" s="408">
        <v>0</v>
      </c>
      <c r="I92" s="408">
        <v>0</v>
      </c>
      <c r="J92" s="408">
        <v>0</v>
      </c>
      <c r="K92" s="408">
        <v>0</v>
      </c>
      <c r="L92" s="408">
        <v>0</v>
      </c>
      <c r="M92" s="408">
        <v>0</v>
      </c>
      <c r="N92" s="408">
        <v>0</v>
      </c>
      <c r="O92" s="408">
        <v>0</v>
      </c>
      <c r="P92" s="408">
        <f t="shared" si="23"/>
        <v>0</v>
      </c>
    </row>
    <row r="93" spans="1:16">
      <c r="A93" s="637"/>
      <c r="B93" s="637" t="s">
        <v>677</v>
      </c>
      <c r="C93" s="637"/>
      <c r="D93" s="408">
        <v>0</v>
      </c>
      <c r="E93" s="408">
        <v>0</v>
      </c>
      <c r="F93" s="408">
        <v>0</v>
      </c>
      <c r="G93" s="408">
        <v>0</v>
      </c>
      <c r="H93" s="408">
        <v>0</v>
      </c>
      <c r="I93" s="408">
        <v>0</v>
      </c>
      <c r="J93" s="408">
        <v>0</v>
      </c>
      <c r="K93" s="408">
        <v>0</v>
      </c>
      <c r="L93" s="408">
        <v>0</v>
      </c>
      <c r="M93" s="408">
        <v>0</v>
      </c>
      <c r="N93" s="408">
        <v>0</v>
      </c>
      <c r="O93" s="408">
        <v>0</v>
      </c>
      <c r="P93" s="408">
        <f t="shared" si="23"/>
        <v>0</v>
      </c>
    </row>
    <row r="94" spans="1:16" ht="13.5" thickBot="1">
      <c r="A94" s="637"/>
      <c r="B94" s="637" t="s">
        <v>665</v>
      </c>
      <c r="C94" s="637"/>
      <c r="D94" s="724">
        <v>35144446.58969</v>
      </c>
      <c r="E94" s="724">
        <v>34125485.379660003</v>
      </c>
      <c r="F94" s="724">
        <v>35841250.569629997</v>
      </c>
      <c r="G94" s="724">
        <v>31539769.65834</v>
      </c>
      <c r="H94" s="724">
        <v>29421546.761670001</v>
      </c>
      <c r="I94" s="724">
        <v>28955105.110350002</v>
      </c>
      <c r="J94" s="724">
        <v>29764550.107670002</v>
      </c>
      <c r="K94" s="724">
        <v>30840013.048689999</v>
      </c>
      <c r="L94" s="724">
        <v>30660685.317990001</v>
      </c>
      <c r="M94" s="724">
        <v>30031154.874529999</v>
      </c>
      <c r="N94" s="724">
        <v>31333256.804639999</v>
      </c>
      <c r="O94" s="724">
        <v>34970385.770999998</v>
      </c>
      <c r="P94" s="408">
        <f>SUM(D94:O94)</f>
        <v>382627649.99386001</v>
      </c>
    </row>
    <row r="95" spans="1:16" ht="13.5" thickBot="1">
      <c r="A95" s="637"/>
      <c r="B95" s="637" t="s">
        <v>666</v>
      </c>
      <c r="C95" s="637"/>
      <c r="D95" s="724">
        <v>17938585.731309999</v>
      </c>
      <c r="E95" s="724">
        <v>17121296.635340001</v>
      </c>
      <c r="F95" s="724">
        <v>18516249.172370002</v>
      </c>
      <c r="G95" s="724">
        <v>13297757.44166</v>
      </c>
      <c r="H95" s="724">
        <v>12040477.100330001</v>
      </c>
      <c r="I95" s="724">
        <v>12701977.10365</v>
      </c>
      <c r="J95" s="724">
        <v>14907579.341329999</v>
      </c>
      <c r="K95" s="724">
        <v>16453298.313309999</v>
      </c>
      <c r="L95" s="724">
        <v>16419901.527009999</v>
      </c>
      <c r="M95" s="724">
        <v>12259528.03947</v>
      </c>
      <c r="N95" s="724">
        <v>13290056.32636</v>
      </c>
      <c r="O95" s="724">
        <v>18503812.552999999</v>
      </c>
      <c r="P95" s="408">
        <f t="shared" ref="P95:P103" si="24">SUM(D95:O95)</f>
        <v>183450519.28513998</v>
      </c>
    </row>
    <row r="96" spans="1:16">
      <c r="A96" s="637"/>
      <c r="B96" s="637" t="s">
        <v>663</v>
      </c>
      <c r="C96" s="637"/>
      <c r="D96" s="408">
        <v>0</v>
      </c>
      <c r="E96" s="408">
        <v>0</v>
      </c>
      <c r="F96" s="408">
        <v>0</v>
      </c>
      <c r="G96" s="408">
        <v>0</v>
      </c>
      <c r="H96" s="408">
        <v>0</v>
      </c>
      <c r="I96" s="408">
        <v>0</v>
      </c>
      <c r="J96" s="408">
        <v>0</v>
      </c>
      <c r="K96" s="408">
        <v>0</v>
      </c>
      <c r="L96" s="408">
        <v>0</v>
      </c>
      <c r="M96" s="408">
        <v>0</v>
      </c>
      <c r="N96" s="408">
        <v>0</v>
      </c>
      <c r="O96" s="408">
        <v>0</v>
      </c>
      <c r="P96" s="408">
        <f t="shared" si="24"/>
        <v>0</v>
      </c>
    </row>
    <row r="97" spans="1:16">
      <c r="A97" s="637"/>
      <c r="B97" s="637" t="s">
        <v>715</v>
      </c>
      <c r="C97" s="637"/>
      <c r="D97" s="408">
        <v>0</v>
      </c>
      <c r="E97" s="408">
        <v>0</v>
      </c>
      <c r="F97" s="408">
        <v>0</v>
      </c>
      <c r="G97" s="408">
        <v>0</v>
      </c>
      <c r="H97" s="408">
        <v>0</v>
      </c>
      <c r="I97" s="408">
        <v>0</v>
      </c>
      <c r="J97" s="408">
        <v>0</v>
      </c>
      <c r="K97" s="408">
        <v>0</v>
      </c>
      <c r="L97" s="408">
        <v>0</v>
      </c>
      <c r="M97" s="408">
        <v>0</v>
      </c>
      <c r="N97" s="408">
        <v>0</v>
      </c>
      <c r="O97" s="408">
        <v>0</v>
      </c>
      <c r="P97" s="408">
        <f t="shared" si="24"/>
        <v>0</v>
      </c>
    </row>
    <row r="98" spans="1:16">
      <c r="A98" s="637"/>
      <c r="B98" s="637" t="s">
        <v>669</v>
      </c>
      <c r="C98" s="637"/>
      <c r="D98" s="408">
        <v>0</v>
      </c>
      <c r="E98" s="408">
        <v>0</v>
      </c>
      <c r="F98" s="408">
        <v>0</v>
      </c>
      <c r="G98" s="408">
        <v>0</v>
      </c>
      <c r="H98" s="408">
        <v>0</v>
      </c>
      <c r="I98" s="408">
        <v>0</v>
      </c>
      <c r="J98" s="408">
        <v>0</v>
      </c>
      <c r="K98" s="408">
        <v>0</v>
      </c>
      <c r="L98" s="408">
        <v>0</v>
      </c>
      <c r="M98" s="408">
        <v>0</v>
      </c>
      <c r="N98" s="408">
        <v>0</v>
      </c>
      <c r="O98" s="408">
        <v>0</v>
      </c>
      <c r="P98" s="408">
        <f t="shared" si="24"/>
        <v>0</v>
      </c>
    </row>
    <row r="99" spans="1:16">
      <c r="A99" s="637"/>
      <c r="B99" s="637" t="s">
        <v>670</v>
      </c>
      <c r="C99" s="637"/>
      <c r="D99" s="408">
        <v>0</v>
      </c>
      <c r="E99" s="408">
        <v>0</v>
      </c>
      <c r="F99" s="408">
        <v>0</v>
      </c>
      <c r="G99" s="408">
        <v>0</v>
      </c>
      <c r="H99" s="408">
        <v>0</v>
      </c>
      <c r="I99" s="408">
        <v>0</v>
      </c>
      <c r="J99" s="408">
        <v>0</v>
      </c>
      <c r="K99" s="408">
        <v>0</v>
      </c>
      <c r="L99" s="408">
        <v>0</v>
      </c>
      <c r="M99" s="408">
        <v>0</v>
      </c>
      <c r="N99" s="408">
        <v>0</v>
      </c>
      <c r="O99" s="408">
        <v>0</v>
      </c>
      <c r="P99" s="408">
        <f t="shared" si="24"/>
        <v>0</v>
      </c>
    </row>
    <row r="100" spans="1:16">
      <c r="A100" s="637"/>
      <c r="B100" s="637" t="s">
        <v>671</v>
      </c>
      <c r="C100" s="637"/>
      <c r="D100" s="408">
        <v>0</v>
      </c>
      <c r="E100" s="408">
        <v>0</v>
      </c>
      <c r="F100" s="408">
        <v>0</v>
      </c>
      <c r="G100" s="408">
        <v>0</v>
      </c>
      <c r="H100" s="408">
        <v>0</v>
      </c>
      <c r="I100" s="408">
        <v>0</v>
      </c>
      <c r="J100" s="408">
        <v>0</v>
      </c>
      <c r="K100" s="408">
        <v>0</v>
      </c>
      <c r="L100" s="408">
        <v>0</v>
      </c>
      <c r="M100" s="408">
        <v>0</v>
      </c>
      <c r="N100" s="408">
        <v>0</v>
      </c>
      <c r="O100" s="408">
        <v>0</v>
      </c>
      <c r="P100" s="408">
        <f t="shared" si="24"/>
        <v>0</v>
      </c>
    </row>
    <row r="101" spans="1:16">
      <c r="A101" s="637"/>
      <c r="B101" s="637" t="s">
        <v>672</v>
      </c>
      <c r="C101" s="637"/>
      <c r="D101" s="408">
        <v>0</v>
      </c>
      <c r="E101" s="408">
        <v>0</v>
      </c>
      <c r="F101" s="408">
        <v>0</v>
      </c>
      <c r="G101" s="408">
        <v>0</v>
      </c>
      <c r="H101" s="408">
        <v>0</v>
      </c>
      <c r="I101" s="408">
        <v>0</v>
      </c>
      <c r="J101" s="408">
        <v>0</v>
      </c>
      <c r="K101" s="408">
        <v>0</v>
      </c>
      <c r="L101" s="408">
        <v>0</v>
      </c>
      <c r="M101" s="408">
        <v>0</v>
      </c>
      <c r="N101" s="408">
        <v>0</v>
      </c>
      <c r="O101" s="408">
        <v>0</v>
      </c>
      <c r="P101" s="408">
        <f t="shared" si="24"/>
        <v>0</v>
      </c>
    </row>
    <row r="102" spans="1:16">
      <c r="A102" s="637"/>
      <c r="B102" s="637" t="s">
        <v>673</v>
      </c>
      <c r="C102" s="637"/>
      <c r="D102" s="408">
        <v>0</v>
      </c>
      <c r="E102" s="408">
        <v>0</v>
      </c>
      <c r="F102" s="408">
        <v>0</v>
      </c>
      <c r="G102" s="408">
        <v>0</v>
      </c>
      <c r="H102" s="408">
        <v>0</v>
      </c>
      <c r="I102" s="408">
        <v>0</v>
      </c>
      <c r="J102" s="408">
        <v>0</v>
      </c>
      <c r="K102" s="408">
        <v>0</v>
      </c>
      <c r="L102" s="408">
        <v>0</v>
      </c>
      <c r="M102" s="408">
        <v>0</v>
      </c>
      <c r="N102" s="408">
        <v>0</v>
      </c>
      <c r="O102" s="408">
        <v>0</v>
      </c>
      <c r="P102" s="408">
        <f t="shared" si="24"/>
        <v>0</v>
      </c>
    </row>
    <row r="103" spans="1:16">
      <c r="A103" s="637"/>
      <c r="B103" s="637" t="s">
        <v>769</v>
      </c>
      <c r="C103" s="637"/>
      <c r="D103" s="408"/>
      <c r="E103" s="408"/>
      <c r="F103" s="408"/>
      <c r="G103" s="408"/>
      <c r="H103" s="408">
        <v>0</v>
      </c>
      <c r="I103" s="408">
        <v>0</v>
      </c>
      <c r="J103" s="408">
        <v>0</v>
      </c>
      <c r="K103" s="408">
        <v>0</v>
      </c>
      <c r="L103" s="408">
        <v>0</v>
      </c>
      <c r="M103" s="408">
        <v>0</v>
      </c>
      <c r="N103" s="408">
        <v>0</v>
      </c>
      <c r="O103" s="408">
        <v>0</v>
      </c>
      <c r="P103" s="408">
        <f t="shared" si="24"/>
        <v>0</v>
      </c>
    </row>
    <row r="104" spans="1:16">
      <c r="A104" s="637"/>
      <c r="B104" s="637" t="s">
        <v>66</v>
      </c>
      <c r="C104" s="637"/>
      <c r="D104" s="408">
        <f>SUM(D90:D103)</f>
        <v>53083032.320999995</v>
      </c>
      <c r="E104" s="408">
        <f t="shared" ref="E104:O104" si="25">SUM(E90:E103)</f>
        <v>51246782.015000001</v>
      </c>
      <c r="F104" s="408">
        <f t="shared" si="25"/>
        <v>54357499.741999999</v>
      </c>
      <c r="G104" s="408">
        <f t="shared" si="25"/>
        <v>44837527.100000001</v>
      </c>
      <c r="H104" s="408">
        <f t="shared" si="25"/>
        <v>41462023.862000003</v>
      </c>
      <c r="I104" s="408">
        <f t="shared" si="25"/>
        <v>41657082.214000002</v>
      </c>
      <c r="J104" s="408">
        <f t="shared" si="25"/>
        <v>44672129.449000001</v>
      </c>
      <c r="K104" s="408">
        <f t="shared" si="25"/>
        <v>47293311.361999996</v>
      </c>
      <c r="L104" s="408">
        <f t="shared" si="25"/>
        <v>47080586.844999999</v>
      </c>
      <c r="M104" s="408">
        <f t="shared" si="25"/>
        <v>42290682.913999997</v>
      </c>
      <c r="N104" s="408">
        <f t="shared" si="25"/>
        <v>44623313.130999997</v>
      </c>
      <c r="O104" s="408">
        <f t="shared" si="25"/>
        <v>53474198.324000001</v>
      </c>
      <c r="P104" s="408">
        <f>SUM(P90:P103)</f>
        <v>566078169.27900004</v>
      </c>
    </row>
    <row r="105" spans="1:16">
      <c r="A105" s="637" t="s">
        <v>640</v>
      </c>
      <c r="B105" s="637" t="s">
        <v>675</v>
      </c>
      <c r="C105" s="637"/>
      <c r="D105" s="408">
        <v>0</v>
      </c>
      <c r="E105" s="408">
        <v>0</v>
      </c>
      <c r="F105" s="408">
        <v>0</v>
      </c>
      <c r="G105" s="408">
        <v>0</v>
      </c>
      <c r="H105" s="408">
        <v>0</v>
      </c>
      <c r="I105" s="408">
        <v>0</v>
      </c>
      <c r="J105" s="408">
        <v>0</v>
      </c>
      <c r="K105" s="408">
        <v>0</v>
      </c>
      <c r="L105" s="408">
        <v>0</v>
      </c>
      <c r="M105" s="408">
        <v>0</v>
      </c>
      <c r="N105" s="408">
        <v>0</v>
      </c>
      <c r="O105" s="408">
        <v>0</v>
      </c>
      <c r="P105" s="408">
        <f t="shared" ref="P105:P107" si="26">SUM(D105:O105)</f>
        <v>0</v>
      </c>
    </row>
    <row r="106" spans="1:16">
      <c r="A106" s="637"/>
      <c r="B106" s="637" t="s">
        <v>664</v>
      </c>
      <c r="C106" s="637"/>
      <c r="D106" s="408">
        <v>0</v>
      </c>
      <c r="E106" s="408">
        <v>0</v>
      </c>
      <c r="F106" s="408">
        <v>0</v>
      </c>
      <c r="G106" s="408">
        <v>0</v>
      </c>
      <c r="H106" s="408">
        <v>0</v>
      </c>
      <c r="I106" s="408">
        <v>0</v>
      </c>
      <c r="J106" s="408">
        <v>0</v>
      </c>
      <c r="K106" s="408">
        <v>0</v>
      </c>
      <c r="L106" s="408">
        <v>0</v>
      </c>
      <c r="M106" s="408">
        <v>0</v>
      </c>
      <c r="N106" s="408">
        <v>0</v>
      </c>
      <c r="O106" s="408">
        <v>0</v>
      </c>
      <c r="P106" s="408">
        <f t="shared" si="26"/>
        <v>0</v>
      </c>
    </row>
    <row r="107" spans="1:16">
      <c r="A107" s="637"/>
      <c r="B107" s="637" t="s">
        <v>677</v>
      </c>
      <c r="C107" s="637"/>
      <c r="D107" s="408">
        <v>0</v>
      </c>
      <c r="E107" s="408">
        <v>0</v>
      </c>
      <c r="F107" s="408">
        <v>0</v>
      </c>
      <c r="G107" s="408">
        <v>0</v>
      </c>
      <c r="H107" s="408">
        <v>0</v>
      </c>
      <c r="I107" s="408">
        <v>0</v>
      </c>
      <c r="J107" s="408">
        <v>0</v>
      </c>
      <c r="K107" s="408">
        <v>0</v>
      </c>
      <c r="L107" s="408">
        <v>0</v>
      </c>
      <c r="M107" s="408">
        <v>0</v>
      </c>
      <c r="N107" s="408">
        <v>0</v>
      </c>
      <c r="O107" s="408">
        <v>0</v>
      </c>
      <c r="P107" s="408">
        <f t="shared" si="26"/>
        <v>0</v>
      </c>
    </row>
    <row r="108" spans="1:16">
      <c r="A108" s="637"/>
      <c r="B108" s="637" t="s">
        <v>665</v>
      </c>
      <c r="C108" s="637"/>
      <c r="D108" s="408">
        <v>5911989.3943400001</v>
      </c>
      <c r="E108" s="408">
        <v>5638132.33366</v>
      </c>
      <c r="F108" s="408">
        <v>6214207.77733</v>
      </c>
      <c r="G108" s="408">
        <v>4536457.5350000001</v>
      </c>
      <c r="H108" s="408">
        <v>3673456.5973299998</v>
      </c>
      <c r="I108" s="408">
        <v>3241941.6809999999</v>
      </c>
      <c r="J108" s="408">
        <v>3342032.5869999998</v>
      </c>
      <c r="K108" s="408">
        <v>3420877.0789999999</v>
      </c>
      <c r="L108" s="408">
        <v>3443081.196</v>
      </c>
      <c r="M108" s="408">
        <v>3720230.6863299999</v>
      </c>
      <c r="N108" s="408">
        <v>4420583.3606599998</v>
      </c>
      <c r="O108" s="408">
        <v>5788652.7963300003</v>
      </c>
      <c r="P108" s="408">
        <f>SUM(D108:O108)</f>
        <v>53351643.023979999</v>
      </c>
    </row>
    <row r="109" spans="1:16">
      <c r="A109" s="637"/>
      <c r="B109" s="637" t="s">
        <v>666</v>
      </c>
      <c r="C109" s="637"/>
      <c r="D109" s="408">
        <v>925305.40766000003</v>
      </c>
      <c r="E109" s="408">
        <v>954574.13833999995</v>
      </c>
      <c r="F109" s="408">
        <v>1005252.90467</v>
      </c>
      <c r="G109" s="408">
        <v>595784.21299999999</v>
      </c>
      <c r="H109" s="408">
        <v>348637.28567000001</v>
      </c>
      <c r="I109" s="408">
        <v>354568.56599999999</v>
      </c>
      <c r="J109" s="408">
        <v>388873.03100000002</v>
      </c>
      <c r="K109" s="408">
        <v>550407.96699999995</v>
      </c>
      <c r="L109" s="408">
        <v>577513.99800000002</v>
      </c>
      <c r="M109" s="408">
        <v>513935.82066999999</v>
      </c>
      <c r="N109" s="408">
        <v>564813.51133999997</v>
      </c>
      <c r="O109" s="408">
        <v>886263.38966999995</v>
      </c>
      <c r="P109" s="408">
        <f t="shared" ref="P109:P118" si="27">SUM(D109:O109)</f>
        <v>7665930.2330200002</v>
      </c>
    </row>
    <row r="110" spans="1:16">
      <c r="A110" s="637"/>
      <c r="B110" s="637" t="s">
        <v>663</v>
      </c>
      <c r="C110" s="637"/>
      <c r="D110" s="408">
        <v>0</v>
      </c>
      <c r="E110" s="408">
        <v>0</v>
      </c>
      <c r="F110" s="408">
        <v>0</v>
      </c>
      <c r="G110" s="408">
        <v>0</v>
      </c>
      <c r="H110" s="408">
        <v>0</v>
      </c>
      <c r="I110" s="408">
        <v>0</v>
      </c>
      <c r="J110" s="408">
        <v>0</v>
      </c>
      <c r="K110" s="408">
        <v>0</v>
      </c>
      <c r="L110" s="408">
        <v>0</v>
      </c>
      <c r="M110" s="408">
        <v>0</v>
      </c>
      <c r="N110" s="408">
        <v>0</v>
      </c>
      <c r="O110" s="408">
        <v>0</v>
      </c>
      <c r="P110" s="408">
        <f t="shared" si="27"/>
        <v>0</v>
      </c>
    </row>
    <row r="111" spans="1:16">
      <c r="A111" s="637"/>
      <c r="B111" s="637" t="s">
        <v>668</v>
      </c>
      <c r="C111" s="637"/>
      <c r="D111" s="408">
        <v>0</v>
      </c>
      <c r="E111" s="408">
        <v>0</v>
      </c>
      <c r="F111" s="408">
        <v>0</v>
      </c>
      <c r="G111" s="408">
        <v>0</v>
      </c>
      <c r="H111" s="408">
        <v>0</v>
      </c>
      <c r="I111" s="408">
        <v>0</v>
      </c>
      <c r="J111" s="408">
        <v>0</v>
      </c>
      <c r="K111" s="408">
        <v>0</v>
      </c>
      <c r="L111" s="408">
        <v>0</v>
      </c>
      <c r="M111" s="408">
        <v>0</v>
      </c>
      <c r="N111" s="408">
        <v>0</v>
      </c>
      <c r="O111" s="408">
        <v>0</v>
      </c>
      <c r="P111" s="408">
        <f t="shared" si="27"/>
        <v>0</v>
      </c>
    </row>
    <row r="112" spans="1:16">
      <c r="A112" s="637"/>
      <c r="B112" s="637" t="s">
        <v>715</v>
      </c>
      <c r="C112" s="637"/>
      <c r="D112" s="408">
        <v>0</v>
      </c>
      <c r="E112" s="408">
        <v>0</v>
      </c>
      <c r="F112" s="408">
        <v>0</v>
      </c>
      <c r="G112" s="408">
        <v>0</v>
      </c>
      <c r="H112" s="408">
        <v>0</v>
      </c>
      <c r="I112" s="408">
        <v>0</v>
      </c>
      <c r="J112" s="408">
        <v>0</v>
      </c>
      <c r="K112" s="408">
        <v>0</v>
      </c>
      <c r="L112" s="408">
        <v>0</v>
      </c>
      <c r="M112" s="408">
        <v>0</v>
      </c>
      <c r="N112" s="408">
        <v>0</v>
      </c>
      <c r="O112" s="408">
        <v>0</v>
      </c>
      <c r="P112" s="408">
        <f t="shared" si="27"/>
        <v>0</v>
      </c>
    </row>
    <row r="113" spans="1:16">
      <c r="A113" s="637"/>
      <c r="B113" s="637" t="s">
        <v>669</v>
      </c>
      <c r="C113" s="637"/>
      <c r="D113" s="408">
        <v>0</v>
      </c>
      <c r="E113" s="408">
        <v>0</v>
      </c>
      <c r="F113" s="408">
        <v>0</v>
      </c>
      <c r="G113" s="408">
        <v>0</v>
      </c>
      <c r="H113" s="408">
        <v>-240</v>
      </c>
      <c r="I113" s="408">
        <v>0</v>
      </c>
      <c r="J113" s="408">
        <v>0</v>
      </c>
      <c r="K113" s="408">
        <v>0</v>
      </c>
      <c r="L113" s="408">
        <v>0</v>
      </c>
      <c r="M113" s="408">
        <v>0</v>
      </c>
      <c r="N113" s="408">
        <v>0</v>
      </c>
      <c r="O113" s="408">
        <v>0</v>
      </c>
      <c r="P113" s="408">
        <f t="shared" si="27"/>
        <v>-240</v>
      </c>
    </row>
    <row r="114" spans="1:16">
      <c r="A114" s="637"/>
      <c r="B114" s="637" t="s">
        <v>670</v>
      </c>
      <c r="C114" s="637"/>
      <c r="D114" s="408">
        <v>0</v>
      </c>
      <c r="E114" s="408">
        <v>0</v>
      </c>
      <c r="F114" s="408">
        <v>0</v>
      </c>
      <c r="G114" s="408">
        <v>0</v>
      </c>
      <c r="H114" s="408">
        <v>0</v>
      </c>
      <c r="I114" s="408">
        <v>0</v>
      </c>
      <c r="J114" s="408">
        <v>0</v>
      </c>
      <c r="K114" s="408">
        <v>0</v>
      </c>
      <c r="L114" s="408">
        <v>0</v>
      </c>
      <c r="M114" s="408">
        <v>0</v>
      </c>
      <c r="N114" s="408">
        <v>0</v>
      </c>
      <c r="O114" s="408">
        <v>0</v>
      </c>
      <c r="P114" s="408">
        <f t="shared" si="27"/>
        <v>0</v>
      </c>
    </row>
    <row r="115" spans="1:16">
      <c r="A115" s="637"/>
      <c r="B115" s="637" t="s">
        <v>671</v>
      </c>
      <c r="C115" s="637"/>
      <c r="D115" s="408">
        <v>0</v>
      </c>
      <c r="E115" s="408">
        <v>0</v>
      </c>
      <c r="F115" s="408">
        <v>0</v>
      </c>
      <c r="G115" s="408">
        <v>0</v>
      </c>
      <c r="H115" s="408">
        <v>0</v>
      </c>
      <c r="I115" s="408">
        <v>0</v>
      </c>
      <c r="J115" s="408">
        <v>0</v>
      </c>
      <c r="K115" s="408">
        <v>0</v>
      </c>
      <c r="L115" s="408">
        <v>0</v>
      </c>
      <c r="M115" s="408">
        <v>0</v>
      </c>
      <c r="N115" s="408">
        <v>0</v>
      </c>
      <c r="O115" s="408">
        <v>0</v>
      </c>
      <c r="P115" s="408">
        <f t="shared" si="27"/>
        <v>0</v>
      </c>
    </row>
    <row r="116" spans="1:16">
      <c r="A116" s="637"/>
      <c r="B116" s="637" t="s">
        <v>672</v>
      </c>
      <c r="C116" s="637"/>
      <c r="D116" s="408">
        <v>0</v>
      </c>
      <c r="E116" s="408">
        <v>0</v>
      </c>
      <c r="F116" s="408">
        <v>0</v>
      </c>
      <c r="G116" s="408">
        <v>0</v>
      </c>
      <c r="H116" s="408">
        <v>0</v>
      </c>
      <c r="I116" s="408">
        <v>0</v>
      </c>
      <c r="J116" s="408">
        <v>0</v>
      </c>
      <c r="K116" s="408">
        <v>0</v>
      </c>
      <c r="L116" s="408">
        <v>0</v>
      </c>
      <c r="M116" s="408">
        <v>0</v>
      </c>
      <c r="N116" s="408">
        <v>0</v>
      </c>
      <c r="O116" s="408">
        <v>0</v>
      </c>
      <c r="P116" s="408">
        <f t="shared" si="27"/>
        <v>0</v>
      </c>
    </row>
    <row r="117" spans="1:16">
      <c r="A117" s="637"/>
      <c r="B117" s="637" t="s">
        <v>673</v>
      </c>
      <c r="C117" s="637"/>
      <c r="D117" s="408">
        <v>0</v>
      </c>
      <c r="E117" s="408">
        <v>0</v>
      </c>
      <c r="F117" s="408">
        <v>0</v>
      </c>
      <c r="G117" s="408">
        <v>0</v>
      </c>
      <c r="H117" s="408">
        <v>0</v>
      </c>
      <c r="I117" s="408">
        <v>0</v>
      </c>
      <c r="J117" s="408">
        <v>0</v>
      </c>
      <c r="K117" s="408">
        <v>0</v>
      </c>
      <c r="L117" s="408">
        <v>0</v>
      </c>
      <c r="M117" s="408">
        <v>0</v>
      </c>
      <c r="N117" s="408">
        <v>0</v>
      </c>
      <c r="O117" s="408">
        <v>0</v>
      </c>
      <c r="P117" s="408">
        <f t="shared" si="27"/>
        <v>0</v>
      </c>
    </row>
    <row r="118" spans="1:16">
      <c r="A118" s="637"/>
      <c r="B118" s="637" t="s">
        <v>769</v>
      </c>
      <c r="C118" s="637"/>
      <c r="D118" s="408"/>
      <c r="E118" s="408"/>
      <c r="F118" s="408"/>
      <c r="G118" s="408"/>
      <c r="H118" s="408">
        <v>0</v>
      </c>
      <c r="I118" s="408">
        <v>0</v>
      </c>
      <c r="J118" s="408">
        <v>0</v>
      </c>
      <c r="K118" s="408">
        <v>0</v>
      </c>
      <c r="L118" s="408">
        <v>0</v>
      </c>
      <c r="M118" s="408">
        <v>0</v>
      </c>
      <c r="N118" s="408">
        <v>0</v>
      </c>
      <c r="O118" s="408">
        <v>0</v>
      </c>
      <c r="P118" s="408">
        <f t="shared" si="27"/>
        <v>0</v>
      </c>
    </row>
    <row r="119" spans="1:16">
      <c r="A119" s="637"/>
      <c r="B119" s="637" t="s">
        <v>66</v>
      </c>
      <c r="C119" s="637"/>
      <c r="D119" s="408">
        <f>SUM(D105:D118)</f>
        <v>6837294.8020000001</v>
      </c>
      <c r="E119" s="408">
        <f t="shared" ref="E119:O119" si="28">SUM(E105:E118)</f>
        <v>6592706.4720000001</v>
      </c>
      <c r="F119" s="408">
        <f t="shared" si="28"/>
        <v>7219460.682</v>
      </c>
      <c r="G119" s="408">
        <f t="shared" si="28"/>
        <v>5132241.7479999997</v>
      </c>
      <c r="H119" s="408">
        <f t="shared" si="28"/>
        <v>4021853.8829999999</v>
      </c>
      <c r="I119" s="408">
        <f t="shared" si="28"/>
        <v>3596510.247</v>
      </c>
      <c r="J119" s="408">
        <f t="shared" si="28"/>
        <v>3730905.6179999998</v>
      </c>
      <c r="K119" s="408">
        <f t="shared" si="28"/>
        <v>3971285.0460000001</v>
      </c>
      <c r="L119" s="408">
        <f t="shared" si="28"/>
        <v>4020595.1940000001</v>
      </c>
      <c r="M119" s="408">
        <f t="shared" si="28"/>
        <v>4234166.5070000002</v>
      </c>
      <c r="N119" s="408">
        <f t="shared" si="28"/>
        <v>4985396.8719999995</v>
      </c>
      <c r="O119" s="408">
        <f t="shared" si="28"/>
        <v>6674916.1860000007</v>
      </c>
      <c r="P119" s="408">
        <f>SUM(P105:P118)</f>
        <v>61017333.256999999</v>
      </c>
    </row>
    <row r="120" spans="1:16" s="755" customFormat="1">
      <c r="A120" s="755">
        <v>13</v>
      </c>
      <c r="B120" s="755" t="s">
        <v>675</v>
      </c>
      <c r="D120" s="408">
        <v>0</v>
      </c>
      <c r="E120" s="408">
        <v>0</v>
      </c>
      <c r="F120" s="408">
        <v>0</v>
      </c>
      <c r="G120" s="408">
        <v>0</v>
      </c>
      <c r="H120" s="408">
        <v>0</v>
      </c>
      <c r="I120" s="408">
        <v>0</v>
      </c>
      <c r="J120" s="408">
        <v>0</v>
      </c>
      <c r="K120" s="408">
        <v>0</v>
      </c>
      <c r="L120" s="408">
        <v>0</v>
      </c>
      <c r="M120" s="408">
        <v>0</v>
      </c>
      <c r="N120" s="408">
        <v>0</v>
      </c>
      <c r="O120" s="408">
        <v>0</v>
      </c>
      <c r="P120" s="408">
        <f t="shared" ref="P120:P122" si="29">SUM(D120:O120)</f>
        <v>0</v>
      </c>
    </row>
    <row r="121" spans="1:16" s="755" customFormat="1">
      <c r="B121" s="755" t="s">
        <v>664</v>
      </c>
      <c r="D121" s="408">
        <v>0</v>
      </c>
      <c r="E121" s="408">
        <v>0</v>
      </c>
      <c r="F121" s="408">
        <v>0</v>
      </c>
      <c r="G121" s="408">
        <v>0</v>
      </c>
      <c r="H121" s="408">
        <v>0</v>
      </c>
      <c r="I121" s="408">
        <v>0</v>
      </c>
      <c r="J121" s="408">
        <v>0</v>
      </c>
      <c r="K121" s="408">
        <v>0</v>
      </c>
      <c r="L121" s="408">
        <v>0</v>
      </c>
      <c r="M121" s="408">
        <v>0</v>
      </c>
      <c r="N121" s="408">
        <v>0</v>
      </c>
      <c r="O121" s="408">
        <v>0</v>
      </c>
      <c r="P121" s="408">
        <f t="shared" si="29"/>
        <v>0</v>
      </c>
    </row>
    <row r="122" spans="1:16" s="755" customFormat="1">
      <c r="B122" s="755" t="s">
        <v>677</v>
      </c>
      <c r="D122" s="408">
        <v>0</v>
      </c>
      <c r="E122" s="408">
        <v>0</v>
      </c>
      <c r="F122" s="408">
        <v>0</v>
      </c>
      <c r="G122" s="408">
        <v>0</v>
      </c>
      <c r="H122" s="408">
        <v>0</v>
      </c>
      <c r="I122" s="408">
        <v>0</v>
      </c>
      <c r="J122" s="408">
        <v>0</v>
      </c>
      <c r="K122" s="408">
        <v>0</v>
      </c>
      <c r="L122" s="408">
        <v>0</v>
      </c>
      <c r="M122" s="408">
        <v>0</v>
      </c>
      <c r="N122" s="408">
        <v>0</v>
      </c>
      <c r="O122" s="408">
        <v>0</v>
      </c>
      <c r="P122" s="408">
        <f t="shared" si="29"/>
        <v>0</v>
      </c>
    </row>
    <row r="123" spans="1:16" s="755" customFormat="1">
      <c r="B123" s="755" t="s">
        <v>665</v>
      </c>
      <c r="D123" s="408">
        <v>0</v>
      </c>
      <c r="E123" s="408">
        <v>0</v>
      </c>
      <c r="F123" s="408">
        <v>0</v>
      </c>
      <c r="G123" s="408">
        <v>0</v>
      </c>
      <c r="H123" s="408">
        <v>0</v>
      </c>
      <c r="I123" s="408">
        <v>0</v>
      </c>
      <c r="J123" s="408">
        <v>0</v>
      </c>
      <c r="K123" s="408">
        <v>0</v>
      </c>
      <c r="L123" s="408">
        <v>0</v>
      </c>
      <c r="M123" s="408">
        <v>0</v>
      </c>
      <c r="N123" s="408">
        <v>0</v>
      </c>
      <c r="O123" s="408">
        <v>0</v>
      </c>
      <c r="P123" s="408">
        <f>SUM(D123:O123)</f>
        <v>0</v>
      </c>
    </row>
    <row r="124" spans="1:16" s="755" customFormat="1">
      <c r="B124" s="755" t="s">
        <v>666</v>
      </c>
      <c r="D124" s="408">
        <v>0</v>
      </c>
      <c r="E124" s="408">
        <v>0</v>
      </c>
      <c r="F124" s="408">
        <v>0</v>
      </c>
      <c r="G124" s="408">
        <v>0</v>
      </c>
      <c r="H124" s="408">
        <v>0</v>
      </c>
      <c r="I124" s="408">
        <v>0</v>
      </c>
      <c r="J124" s="408">
        <v>0</v>
      </c>
      <c r="K124" s="408">
        <v>0</v>
      </c>
      <c r="L124" s="408">
        <v>0</v>
      </c>
      <c r="M124" s="408">
        <v>0</v>
      </c>
      <c r="N124" s="408">
        <v>0</v>
      </c>
      <c r="O124" s="408">
        <v>0</v>
      </c>
      <c r="P124" s="408">
        <f t="shared" ref="P124:P133" si="30">SUM(D124:O124)</f>
        <v>0</v>
      </c>
    </row>
    <row r="125" spans="1:16" s="755" customFormat="1">
      <c r="B125" s="755" t="s">
        <v>663</v>
      </c>
      <c r="D125" s="408">
        <v>0</v>
      </c>
      <c r="E125" s="408">
        <v>0</v>
      </c>
      <c r="F125" s="408">
        <v>0</v>
      </c>
      <c r="G125" s="408">
        <v>0</v>
      </c>
      <c r="H125" s="408">
        <v>0</v>
      </c>
      <c r="I125" s="408">
        <v>0</v>
      </c>
      <c r="J125" s="408">
        <v>0</v>
      </c>
      <c r="K125" s="408">
        <v>0</v>
      </c>
      <c r="L125" s="408">
        <v>0</v>
      </c>
      <c r="M125" s="408">
        <v>0</v>
      </c>
      <c r="N125" s="408">
        <v>0</v>
      </c>
      <c r="O125" s="408">
        <v>0</v>
      </c>
      <c r="P125" s="408">
        <f t="shared" si="30"/>
        <v>0</v>
      </c>
    </row>
    <row r="126" spans="1:16" s="755" customFormat="1">
      <c r="B126" s="755" t="s">
        <v>668</v>
      </c>
      <c r="D126" s="408">
        <v>0</v>
      </c>
      <c r="E126" s="408">
        <v>0</v>
      </c>
      <c r="F126" s="408">
        <v>0</v>
      </c>
      <c r="G126" s="408">
        <v>0</v>
      </c>
      <c r="H126" s="408">
        <v>0</v>
      </c>
      <c r="I126" s="408">
        <v>0</v>
      </c>
      <c r="J126" s="408">
        <v>0</v>
      </c>
      <c r="K126" s="408">
        <v>0</v>
      </c>
      <c r="L126" s="408">
        <v>0</v>
      </c>
      <c r="M126" s="408">
        <v>0</v>
      </c>
      <c r="N126" s="408">
        <v>0</v>
      </c>
      <c r="O126" s="408">
        <v>0</v>
      </c>
      <c r="P126" s="408">
        <f t="shared" si="30"/>
        <v>0</v>
      </c>
    </row>
    <row r="127" spans="1:16" s="755" customFormat="1">
      <c r="B127" s="755" t="s">
        <v>715</v>
      </c>
      <c r="D127" s="408">
        <v>0</v>
      </c>
      <c r="E127" s="408">
        <v>0</v>
      </c>
      <c r="F127" s="408">
        <v>0</v>
      </c>
      <c r="G127" s="408">
        <v>0</v>
      </c>
      <c r="H127" s="408">
        <v>0</v>
      </c>
      <c r="I127" s="408">
        <v>0</v>
      </c>
      <c r="J127" s="408">
        <v>0</v>
      </c>
      <c r="K127" s="408">
        <v>0</v>
      </c>
      <c r="L127" s="408">
        <v>0</v>
      </c>
      <c r="M127" s="408">
        <v>0</v>
      </c>
      <c r="N127" s="408">
        <v>0</v>
      </c>
      <c r="O127" s="408">
        <v>0</v>
      </c>
      <c r="P127" s="408">
        <f t="shared" si="30"/>
        <v>0</v>
      </c>
    </row>
    <row r="128" spans="1:16" s="755" customFormat="1">
      <c r="B128" s="755" t="s">
        <v>669</v>
      </c>
      <c r="D128" s="408">
        <v>0</v>
      </c>
      <c r="E128" s="408">
        <v>0</v>
      </c>
      <c r="F128" s="408">
        <v>0</v>
      </c>
      <c r="G128" s="408">
        <v>0</v>
      </c>
      <c r="H128" s="408">
        <v>0</v>
      </c>
      <c r="I128" s="408">
        <v>0</v>
      </c>
      <c r="J128" s="408">
        <v>0</v>
      </c>
      <c r="K128" s="408">
        <v>0</v>
      </c>
      <c r="L128" s="408">
        <v>0</v>
      </c>
      <c r="M128" s="408">
        <v>0</v>
      </c>
      <c r="N128" s="408">
        <v>0</v>
      </c>
      <c r="O128" s="408">
        <v>0</v>
      </c>
      <c r="P128" s="408">
        <f t="shared" si="30"/>
        <v>0</v>
      </c>
    </row>
    <row r="129" spans="1:16" s="755" customFormat="1">
      <c r="B129" s="755" t="s">
        <v>670</v>
      </c>
      <c r="D129" s="408">
        <v>0</v>
      </c>
      <c r="E129" s="408">
        <v>0</v>
      </c>
      <c r="F129" s="408">
        <v>0</v>
      </c>
      <c r="G129" s="408">
        <v>0</v>
      </c>
      <c r="H129" s="408">
        <v>0</v>
      </c>
      <c r="I129" s="408">
        <v>0</v>
      </c>
      <c r="J129" s="408">
        <v>0</v>
      </c>
      <c r="K129" s="408">
        <v>0</v>
      </c>
      <c r="L129" s="408">
        <v>0</v>
      </c>
      <c r="M129" s="408">
        <v>0</v>
      </c>
      <c r="N129" s="408">
        <v>0</v>
      </c>
      <c r="O129" s="408">
        <v>0</v>
      </c>
      <c r="P129" s="408">
        <f t="shared" si="30"/>
        <v>0</v>
      </c>
    </row>
    <row r="130" spans="1:16" s="755" customFormat="1">
      <c r="B130" s="755" t="s">
        <v>671</v>
      </c>
      <c r="D130" s="408">
        <v>0</v>
      </c>
      <c r="E130" s="408">
        <v>0</v>
      </c>
      <c r="F130" s="408">
        <v>0</v>
      </c>
      <c r="G130" s="408">
        <v>0</v>
      </c>
      <c r="H130" s="408">
        <v>0</v>
      </c>
      <c r="I130" s="408">
        <v>0</v>
      </c>
      <c r="J130" s="408">
        <v>0</v>
      </c>
      <c r="K130" s="408">
        <v>0</v>
      </c>
      <c r="L130" s="408">
        <v>0</v>
      </c>
      <c r="M130" s="408">
        <v>0</v>
      </c>
      <c r="N130" s="408">
        <v>0</v>
      </c>
      <c r="O130" s="408">
        <v>0</v>
      </c>
      <c r="P130" s="408">
        <f t="shared" si="30"/>
        <v>0</v>
      </c>
    </row>
    <row r="131" spans="1:16" s="755" customFormat="1">
      <c r="B131" s="755" t="s">
        <v>672</v>
      </c>
      <c r="D131" s="408">
        <v>0</v>
      </c>
      <c r="E131" s="408">
        <v>0</v>
      </c>
      <c r="F131" s="408">
        <v>0</v>
      </c>
      <c r="G131" s="408">
        <v>0</v>
      </c>
      <c r="H131" s="408">
        <v>0</v>
      </c>
      <c r="I131" s="408">
        <v>0</v>
      </c>
      <c r="J131" s="408">
        <v>0</v>
      </c>
      <c r="K131" s="408">
        <v>0</v>
      </c>
      <c r="L131" s="408">
        <v>0</v>
      </c>
      <c r="M131" s="408">
        <v>0</v>
      </c>
      <c r="N131" s="408">
        <v>0</v>
      </c>
      <c r="O131" s="408">
        <v>0</v>
      </c>
      <c r="P131" s="408">
        <f t="shared" si="30"/>
        <v>0</v>
      </c>
    </row>
    <row r="132" spans="1:16" s="755" customFormat="1">
      <c r="B132" s="755" t="s">
        <v>673</v>
      </c>
      <c r="D132" s="408">
        <v>0</v>
      </c>
      <c r="E132" s="408">
        <v>0</v>
      </c>
      <c r="F132" s="408">
        <v>0</v>
      </c>
      <c r="G132" s="408">
        <v>0</v>
      </c>
      <c r="H132" s="408">
        <v>0</v>
      </c>
      <c r="I132" s="408">
        <v>0</v>
      </c>
      <c r="J132" s="408">
        <v>0</v>
      </c>
      <c r="K132" s="408">
        <v>0</v>
      </c>
      <c r="L132" s="408">
        <v>0</v>
      </c>
      <c r="M132" s="408">
        <v>0</v>
      </c>
      <c r="N132" s="408">
        <v>0</v>
      </c>
      <c r="O132" s="408">
        <v>0</v>
      </c>
      <c r="P132" s="408">
        <f t="shared" si="30"/>
        <v>0</v>
      </c>
    </row>
    <row r="133" spans="1:16" s="755" customFormat="1">
      <c r="B133" s="755" t="s">
        <v>769</v>
      </c>
      <c r="D133" s="408"/>
      <c r="E133" s="408"/>
      <c r="F133" s="408"/>
      <c r="G133" s="408"/>
      <c r="H133" s="408">
        <v>0</v>
      </c>
      <c r="I133" s="408">
        <v>0</v>
      </c>
      <c r="J133" s="408">
        <v>0</v>
      </c>
      <c r="K133" s="408">
        <v>0</v>
      </c>
      <c r="L133" s="408">
        <v>0</v>
      </c>
      <c r="M133" s="408">
        <v>0</v>
      </c>
      <c r="N133" s="408">
        <v>0</v>
      </c>
      <c r="O133" s="408">
        <v>0</v>
      </c>
      <c r="P133" s="408">
        <f t="shared" si="30"/>
        <v>0</v>
      </c>
    </row>
    <row r="134" spans="1:16" s="755" customFormat="1">
      <c r="B134" s="755" t="s">
        <v>66</v>
      </c>
      <c r="D134" s="408">
        <f>SUM(D120:D133)</f>
        <v>0</v>
      </c>
      <c r="E134" s="408">
        <f t="shared" ref="E134:O134" si="31">SUM(E120:E133)</f>
        <v>0</v>
      </c>
      <c r="F134" s="408">
        <f t="shared" si="31"/>
        <v>0</v>
      </c>
      <c r="G134" s="408">
        <f t="shared" si="31"/>
        <v>0</v>
      </c>
      <c r="H134" s="408">
        <f t="shared" si="31"/>
        <v>0</v>
      </c>
      <c r="I134" s="408">
        <f t="shared" si="31"/>
        <v>0</v>
      </c>
      <c r="J134" s="408">
        <f t="shared" si="31"/>
        <v>0</v>
      </c>
      <c r="K134" s="408">
        <f t="shared" si="31"/>
        <v>0</v>
      </c>
      <c r="L134" s="408">
        <f t="shared" si="31"/>
        <v>0</v>
      </c>
      <c r="M134" s="408">
        <f t="shared" si="31"/>
        <v>0</v>
      </c>
      <c r="N134" s="408">
        <f t="shared" si="31"/>
        <v>0</v>
      </c>
      <c r="O134" s="408">
        <f t="shared" si="31"/>
        <v>0</v>
      </c>
      <c r="P134" s="408">
        <f>SUM(P120:P133)</f>
        <v>0</v>
      </c>
    </row>
    <row r="135" spans="1:16">
      <c r="A135" s="637" t="s">
        <v>642</v>
      </c>
      <c r="B135" s="637" t="s">
        <v>664</v>
      </c>
      <c r="C135" s="637"/>
      <c r="D135" s="408">
        <v>0</v>
      </c>
      <c r="E135" s="408">
        <v>0</v>
      </c>
      <c r="F135" s="408">
        <v>0</v>
      </c>
      <c r="G135" s="408">
        <v>0</v>
      </c>
      <c r="H135" s="408">
        <v>0</v>
      </c>
      <c r="I135" s="408">
        <v>0</v>
      </c>
      <c r="J135" s="408">
        <v>0</v>
      </c>
      <c r="K135" s="408">
        <v>0</v>
      </c>
      <c r="L135" s="408">
        <v>0</v>
      </c>
      <c r="M135" s="408">
        <v>0</v>
      </c>
      <c r="N135" s="408">
        <v>0</v>
      </c>
      <c r="O135" s="408">
        <v>0</v>
      </c>
      <c r="P135" s="408">
        <f t="shared" ref="P135:P137" si="32">SUM(D135:O135)</f>
        <v>0</v>
      </c>
    </row>
    <row r="136" spans="1:16">
      <c r="A136" s="637"/>
      <c r="B136" s="637" t="s">
        <v>676</v>
      </c>
      <c r="C136" s="637"/>
      <c r="D136" s="408">
        <v>0</v>
      </c>
      <c r="E136" s="408">
        <v>0</v>
      </c>
      <c r="F136" s="408">
        <v>0</v>
      </c>
      <c r="G136" s="408">
        <v>0</v>
      </c>
      <c r="H136" s="408">
        <v>0</v>
      </c>
      <c r="I136" s="408">
        <v>0</v>
      </c>
      <c r="J136" s="408">
        <v>0</v>
      </c>
      <c r="K136" s="408">
        <v>0</v>
      </c>
      <c r="L136" s="408">
        <v>0</v>
      </c>
      <c r="M136" s="408">
        <v>0</v>
      </c>
      <c r="N136" s="408">
        <v>0</v>
      </c>
      <c r="O136" s="408">
        <v>0</v>
      </c>
      <c r="P136" s="408">
        <f t="shared" si="32"/>
        <v>0</v>
      </c>
    </row>
    <row r="137" spans="1:16">
      <c r="A137" s="637"/>
      <c r="B137" s="637" t="s">
        <v>677</v>
      </c>
      <c r="C137" s="637"/>
      <c r="D137" s="408">
        <v>0</v>
      </c>
      <c r="E137" s="408">
        <v>0</v>
      </c>
      <c r="F137" s="408">
        <v>0</v>
      </c>
      <c r="G137" s="408">
        <v>0</v>
      </c>
      <c r="H137" s="408">
        <v>0</v>
      </c>
      <c r="I137" s="408">
        <v>0</v>
      </c>
      <c r="J137" s="408">
        <v>0</v>
      </c>
      <c r="K137" s="408">
        <v>0</v>
      </c>
      <c r="L137" s="408">
        <v>0</v>
      </c>
      <c r="M137" s="408">
        <v>0</v>
      </c>
      <c r="N137" s="408">
        <v>0</v>
      </c>
      <c r="O137" s="408">
        <v>0</v>
      </c>
      <c r="P137" s="408">
        <f t="shared" si="32"/>
        <v>0</v>
      </c>
    </row>
    <row r="138" spans="1:16">
      <c r="A138" s="637"/>
      <c r="B138" s="637" t="s">
        <v>665</v>
      </c>
      <c r="C138" s="637"/>
      <c r="D138" s="408">
        <v>104819824.11833</v>
      </c>
      <c r="E138" s="408">
        <v>99058751.030000001</v>
      </c>
      <c r="F138" s="408">
        <v>104385145.29467</v>
      </c>
      <c r="G138" s="408">
        <v>95819636.994000003</v>
      </c>
      <c r="H138" s="408">
        <v>93950445.961999997</v>
      </c>
      <c r="I138" s="408">
        <v>96611639.213</v>
      </c>
      <c r="J138" s="408">
        <v>100931281.47</v>
      </c>
      <c r="K138" s="408">
        <v>101449414.502</v>
      </c>
      <c r="L138" s="408">
        <v>99711817.104000002</v>
      </c>
      <c r="M138" s="408">
        <v>99110245.459670007</v>
      </c>
      <c r="N138" s="408">
        <v>94665849.422000006</v>
      </c>
      <c r="O138" s="408">
        <v>106308240.714</v>
      </c>
      <c r="P138" s="408">
        <f>SUM(D138:O138)</f>
        <v>1196822291.2836699</v>
      </c>
    </row>
    <row r="139" spans="1:16">
      <c r="A139" s="637"/>
      <c r="B139" s="637" t="s">
        <v>666</v>
      </c>
      <c r="C139" s="637"/>
      <c r="D139" s="408">
        <v>12203335.066670001</v>
      </c>
      <c r="E139" s="408">
        <v>10935110.199999999</v>
      </c>
      <c r="F139" s="408">
        <v>11819762.693329999</v>
      </c>
      <c r="G139" s="408">
        <v>10193798.960000001</v>
      </c>
      <c r="H139" s="408">
        <v>11158280.640000001</v>
      </c>
      <c r="I139" s="408">
        <v>11736635.699999999</v>
      </c>
      <c r="J139" s="408">
        <v>13256235.26</v>
      </c>
      <c r="K139" s="408">
        <v>14144176.560000001</v>
      </c>
      <c r="L139" s="408">
        <v>15279978.18</v>
      </c>
      <c r="M139" s="408">
        <v>11559763.25333</v>
      </c>
      <c r="N139" s="408">
        <v>10691308.640000001</v>
      </c>
      <c r="O139" s="408">
        <v>13086599.300000001</v>
      </c>
      <c r="P139" s="408">
        <f t="shared" ref="P139:P148" si="33">SUM(D139:O139)</f>
        <v>146064984.45333001</v>
      </c>
    </row>
    <row r="140" spans="1:16">
      <c r="A140" s="637"/>
      <c r="B140" s="637" t="s">
        <v>663</v>
      </c>
      <c r="C140" s="637"/>
      <c r="D140" s="408">
        <v>0</v>
      </c>
      <c r="E140" s="408">
        <v>0</v>
      </c>
      <c r="F140" s="408">
        <v>0</v>
      </c>
      <c r="G140" s="408">
        <v>0</v>
      </c>
      <c r="H140" s="408">
        <v>0</v>
      </c>
      <c r="I140" s="408">
        <v>0</v>
      </c>
      <c r="J140" s="408">
        <v>0</v>
      </c>
      <c r="K140" s="408">
        <v>0</v>
      </c>
      <c r="L140" s="408">
        <v>0</v>
      </c>
      <c r="M140" s="408">
        <v>0</v>
      </c>
      <c r="N140" s="408">
        <v>0</v>
      </c>
      <c r="O140" s="408">
        <v>0</v>
      </c>
      <c r="P140" s="408">
        <f t="shared" si="33"/>
        <v>0</v>
      </c>
    </row>
    <row r="141" spans="1:16">
      <c r="A141" s="637"/>
      <c r="B141" s="637" t="s">
        <v>678</v>
      </c>
      <c r="C141" s="637"/>
      <c r="D141" s="408">
        <v>0</v>
      </c>
      <c r="E141" s="408">
        <v>0</v>
      </c>
      <c r="F141" s="408">
        <v>0</v>
      </c>
      <c r="G141" s="408">
        <v>0</v>
      </c>
      <c r="H141" s="408">
        <v>0</v>
      </c>
      <c r="I141" s="408">
        <v>0</v>
      </c>
      <c r="J141" s="408">
        <v>0</v>
      </c>
      <c r="K141" s="408">
        <v>0</v>
      </c>
      <c r="L141" s="408">
        <v>0</v>
      </c>
      <c r="M141" s="408">
        <v>0</v>
      </c>
      <c r="N141" s="408">
        <v>0</v>
      </c>
      <c r="O141" s="408">
        <v>0</v>
      </c>
      <c r="P141" s="408">
        <f t="shared" si="33"/>
        <v>0</v>
      </c>
    </row>
    <row r="142" spans="1:16">
      <c r="A142" s="637"/>
      <c r="B142" s="637" t="s">
        <v>715</v>
      </c>
      <c r="C142" s="637"/>
      <c r="D142" s="408">
        <v>0</v>
      </c>
      <c r="E142" s="408">
        <v>0</v>
      </c>
      <c r="F142" s="408">
        <v>0</v>
      </c>
      <c r="G142" s="408">
        <v>0</v>
      </c>
      <c r="H142" s="408">
        <v>0</v>
      </c>
      <c r="I142" s="408">
        <v>0</v>
      </c>
      <c r="J142" s="408">
        <v>0</v>
      </c>
      <c r="K142" s="408">
        <v>0</v>
      </c>
      <c r="L142" s="408">
        <v>0</v>
      </c>
      <c r="M142" s="408">
        <v>0</v>
      </c>
      <c r="N142" s="408">
        <v>0</v>
      </c>
      <c r="O142" s="408">
        <v>0</v>
      </c>
      <c r="P142" s="408">
        <f t="shared" si="33"/>
        <v>0</v>
      </c>
    </row>
    <row r="143" spans="1:16">
      <c r="A143" s="637"/>
      <c r="B143" s="637" t="s">
        <v>669</v>
      </c>
      <c r="C143" s="637"/>
      <c r="D143" s="408">
        <v>0</v>
      </c>
      <c r="E143" s="408">
        <v>0</v>
      </c>
      <c r="F143" s="408">
        <v>0</v>
      </c>
      <c r="G143" s="408">
        <v>0</v>
      </c>
      <c r="H143" s="408">
        <v>0</v>
      </c>
      <c r="I143" s="408">
        <v>0</v>
      </c>
      <c r="J143" s="408">
        <v>0</v>
      </c>
      <c r="K143" s="408">
        <v>0</v>
      </c>
      <c r="L143" s="408">
        <v>0</v>
      </c>
      <c r="M143" s="408">
        <v>0</v>
      </c>
      <c r="N143" s="408">
        <v>0</v>
      </c>
      <c r="O143" s="408">
        <v>0</v>
      </c>
      <c r="P143" s="408">
        <f t="shared" si="33"/>
        <v>0</v>
      </c>
    </row>
    <row r="144" spans="1:16">
      <c r="A144" s="637"/>
      <c r="B144" s="637" t="s">
        <v>670</v>
      </c>
      <c r="C144" s="637"/>
      <c r="D144" s="408">
        <v>0</v>
      </c>
      <c r="E144" s="408">
        <v>0</v>
      </c>
      <c r="F144" s="408">
        <v>0</v>
      </c>
      <c r="G144" s="408">
        <v>0</v>
      </c>
      <c r="H144" s="408">
        <v>0</v>
      </c>
      <c r="I144" s="408">
        <v>0</v>
      </c>
      <c r="J144" s="408">
        <v>0</v>
      </c>
      <c r="K144" s="408">
        <v>0</v>
      </c>
      <c r="L144" s="408">
        <v>0</v>
      </c>
      <c r="M144" s="408">
        <v>0</v>
      </c>
      <c r="N144" s="408">
        <v>0</v>
      </c>
      <c r="O144" s="408">
        <v>0</v>
      </c>
      <c r="P144" s="408">
        <f t="shared" si="33"/>
        <v>0</v>
      </c>
    </row>
    <row r="145" spans="1:16">
      <c r="A145" s="637"/>
      <c r="B145" s="637" t="s">
        <v>671</v>
      </c>
      <c r="C145" s="637"/>
      <c r="D145" s="408">
        <v>0</v>
      </c>
      <c r="E145" s="408">
        <v>0</v>
      </c>
      <c r="F145" s="408">
        <v>0</v>
      </c>
      <c r="G145" s="408">
        <v>0</v>
      </c>
      <c r="H145" s="408">
        <v>0</v>
      </c>
      <c r="I145" s="408">
        <v>0</v>
      </c>
      <c r="J145" s="408">
        <v>0</v>
      </c>
      <c r="K145" s="408">
        <v>0</v>
      </c>
      <c r="L145" s="408">
        <v>0</v>
      </c>
      <c r="M145" s="408">
        <v>0</v>
      </c>
      <c r="N145" s="408">
        <v>0</v>
      </c>
      <c r="O145" s="408">
        <v>0</v>
      </c>
      <c r="P145" s="408">
        <f t="shared" si="33"/>
        <v>0</v>
      </c>
    </row>
    <row r="146" spans="1:16">
      <c r="A146" s="637"/>
      <c r="B146" s="637" t="s">
        <v>672</v>
      </c>
      <c r="C146" s="637"/>
      <c r="D146" s="408">
        <v>0</v>
      </c>
      <c r="E146" s="408">
        <v>0</v>
      </c>
      <c r="F146" s="408">
        <v>0</v>
      </c>
      <c r="G146" s="408">
        <v>0</v>
      </c>
      <c r="H146" s="408">
        <v>0</v>
      </c>
      <c r="I146" s="408">
        <v>0</v>
      </c>
      <c r="J146" s="408">
        <v>0</v>
      </c>
      <c r="K146" s="408">
        <v>0</v>
      </c>
      <c r="L146" s="408">
        <v>0</v>
      </c>
      <c r="M146" s="408">
        <v>0</v>
      </c>
      <c r="N146" s="408">
        <v>0</v>
      </c>
      <c r="O146" s="408">
        <v>0</v>
      </c>
      <c r="P146" s="408">
        <f t="shared" si="33"/>
        <v>0</v>
      </c>
    </row>
    <row r="147" spans="1:16">
      <c r="A147" s="637"/>
      <c r="B147" s="637" t="s">
        <v>673</v>
      </c>
      <c r="C147" s="637"/>
      <c r="D147" s="408">
        <v>0</v>
      </c>
      <c r="E147" s="408">
        <v>0</v>
      </c>
      <c r="F147" s="408">
        <v>0</v>
      </c>
      <c r="G147" s="408">
        <v>0</v>
      </c>
      <c r="H147" s="408">
        <v>0</v>
      </c>
      <c r="I147" s="408">
        <v>0</v>
      </c>
      <c r="J147" s="408">
        <v>0</v>
      </c>
      <c r="K147" s="408">
        <v>0</v>
      </c>
      <c r="L147" s="408">
        <v>0</v>
      </c>
      <c r="M147" s="408">
        <v>0</v>
      </c>
      <c r="N147" s="408">
        <v>0</v>
      </c>
      <c r="O147" s="408">
        <v>0</v>
      </c>
      <c r="P147" s="408">
        <f t="shared" si="33"/>
        <v>0</v>
      </c>
    </row>
    <row r="148" spans="1:16">
      <c r="A148" s="637"/>
      <c r="B148" s="637" t="s">
        <v>769</v>
      </c>
      <c r="C148" s="637"/>
      <c r="D148" s="408"/>
      <c r="E148" s="408"/>
      <c r="F148" s="408"/>
      <c r="G148" s="408"/>
      <c r="H148" s="408">
        <v>0</v>
      </c>
      <c r="I148" s="408">
        <v>0</v>
      </c>
      <c r="J148" s="408">
        <v>0</v>
      </c>
      <c r="K148" s="408">
        <v>0</v>
      </c>
      <c r="L148" s="408">
        <v>0</v>
      </c>
      <c r="M148" s="408">
        <v>0</v>
      </c>
      <c r="N148" s="408">
        <v>0</v>
      </c>
      <c r="O148" s="408">
        <v>0</v>
      </c>
      <c r="P148" s="408">
        <f t="shared" si="33"/>
        <v>0</v>
      </c>
    </row>
    <row r="149" spans="1:16">
      <c r="A149" s="637"/>
      <c r="B149" s="637" t="s">
        <v>66</v>
      </c>
      <c r="C149" s="637"/>
      <c r="D149" s="408">
        <f>SUM(D135:D148)</f>
        <v>117023159.185</v>
      </c>
      <c r="E149" s="408">
        <f t="shared" ref="E149:P149" si="34">SUM(E135:E148)</f>
        <v>109993861.23</v>
      </c>
      <c r="F149" s="408">
        <f t="shared" si="34"/>
        <v>116204907.98800001</v>
      </c>
      <c r="G149" s="408">
        <f t="shared" si="34"/>
        <v>106013435.954</v>
      </c>
      <c r="H149" s="408">
        <f t="shared" si="34"/>
        <v>105108726.602</v>
      </c>
      <c r="I149" s="408">
        <f t="shared" si="34"/>
        <v>108348274.913</v>
      </c>
      <c r="J149" s="408">
        <f t="shared" si="34"/>
        <v>114187516.73</v>
      </c>
      <c r="K149" s="408">
        <f t="shared" si="34"/>
        <v>115593591.06200001</v>
      </c>
      <c r="L149" s="408">
        <f t="shared" si="34"/>
        <v>114991795.28400001</v>
      </c>
      <c r="M149" s="408">
        <f t="shared" si="34"/>
        <v>110670008.713</v>
      </c>
      <c r="N149" s="408">
        <f t="shared" si="34"/>
        <v>105357158.06200001</v>
      </c>
      <c r="O149" s="408">
        <f t="shared" si="34"/>
        <v>119394840.014</v>
      </c>
      <c r="P149" s="408">
        <f t="shared" si="34"/>
        <v>1342887275.737</v>
      </c>
    </row>
    <row r="150" spans="1:16">
      <c r="A150" s="637" t="s">
        <v>643</v>
      </c>
      <c r="B150" s="637" t="s">
        <v>664</v>
      </c>
      <c r="C150" s="637"/>
      <c r="D150" s="408">
        <v>0</v>
      </c>
      <c r="E150" s="408">
        <v>0</v>
      </c>
      <c r="F150" s="408">
        <v>0</v>
      </c>
      <c r="G150" s="408">
        <v>0</v>
      </c>
      <c r="H150" s="408">
        <v>0</v>
      </c>
      <c r="I150" s="408">
        <v>0</v>
      </c>
      <c r="J150" s="408">
        <v>0</v>
      </c>
      <c r="K150" s="408">
        <v>0</v>
      </c>
      <c r="L150" s="408">
        <v>0</v>
      </c>
      <c r="M150" s="408">
        <v>0</v>
      </c>
      <c r="N150" s="408">
        <v>0</v>
      </c>
      <c r="O150" s="408">
        <v>0</v>
      </c>
      <c r="P150" s="408">
        <v>0</v>
      </c>
    </row>
    <row r="151" spans="1:16">
      <c r="A151" s="637"/>
      <c r="B151" s="637" t="s">
        <v>677</v>
      </c>
      <c r="C151" s="637"/>
      <c r="D151" s="408">
        <v>0</v>
      </c>
      <c r="E151" s="408">
        <v>0</v>
      </c>
      <c r="F151" s="408">
        <v>0</v>
      </c>
      <c r="G151" s="408">
        <v>0</v>
      </c>
      <c r="H151" s="408">
        <v>0</v>
      </c>
      <c r="I151" s="408">
        <v>0</v>
      </c>
      <c r="J151" s="408">
        <v>0</v>
      </c>
      <c r="K151" s="408">
        <v>0</v>
      </c>
      <c r="L151" s="408">
        <v>0</v>
      </c>
      <c r="M151" s="408">
        <v>0</v>
      </c>
      <c r="N151" s="408">
        <v>0</v>
      </c>
      <c r="O151" s="408">
        <v>0</v>
      </c>
      <c r="P151" s="408">
        <v>0</v>
      </c>
    </row>
    <row r="152" spans="1:16">
      <c r="A152" s="637"/>
      <c r="B152" s="637" t="s">
        <v>665</v>
      </c>
      <c r="C152" s="637"/>
      <c r="D152" s="408">
        <v>3538497.44</v>
      </c>
      <c r="E152" s="408">
        <v>3217213.92</v>
      </c>
      <c r="F152" s="408">
        <v>3608455.84</v>
      </c>
      <c r="G152" s="408">
        <v>2604046.7200000002</v>
      </c>
      <c r="H152" s="408">
        <v>2247395.2000000002</v>
      </c>
      <c r="I152" s="408">
        <v>2170828.6</v>
      </c>
      <c r="J152" s="408">
        <v>2293234.84</v>
      </c>
      <c r="K152" s="408">
        <v>2518587.52</v>
      </c>
      <c r="L152" s="408">
        <v>2314246.96</v>
      </c>
      <c r="M152" s="408">
        <v>2542421.88</v>
      </c>
      <c r="N152" s="408">
        <v>2624069.36</v>
      </c>
      <c r="O152" s="408">
        <v>3289862.24</v>
      </c>
      <c r="P152" s="408">
        <f>SUM(D152:O152)</f>
        <v>32968860.520000003</v>
      </c>
    </row>
    <row r="153" spans="1:16">
      <c r="A153" s="637"/>
      <c r="B153" s="637" t="s">
        <v>666</v>
      </c>
      <c r="C153" s="637"/>
      <c r="D153" s="408">
        <v>19760</v>
      </c>
      <c r="E153" s="408">
        <v>44720</v>
      </c>
      <c r="F153" s="408">
        <v>44000</v>
      </c>
      <c r="G153" s="408">
        <v>54560</v>
      </c>
      <c r="H153" s="408">
        <v>0</v>
      </c>
      <c r="I153" s="408">
        <v>0</v>
      </c>
      <c r="J153" s="408">
        <v>0</v>
      </c>
      <c r="K153" s="408">
        <v>9800</v>
      </c>
      <c r="L153" s="408">
        <v>0</v>
      </c>
      <c r="M153" s="408">
        <v>0</v>
      </c>
      <c r="N153" s="408">
        <v>0</v>
      </c>
      <c r="O153" s="408">
        <v>0</v>
      </c>
      <c r="P153" s="408">
        <f>SUM(D153:O153)</f>
        <v>172840</v>
      </c>
    </row>
    <row r="154" spans="1:16">
      <c r="A154" s="637"/>
      <c r="B154" s="637" t="s">
        <v>663</v>
      </c>
      <c r="C154" s="637"/>
      <c r="D154" s="408">
        <v>0</v>
      </c>
      <c r="E154" s="408">
        <v>0</v>
      </c>
      <c r="F154" s="408">
        <v>0</v>
      </c>
      <c r="G154" s="408">
        <v>0</v>
      </c>
      <c r="H154" s="408">
        <v>0</v>
      </c>
      <c r="I154" s="408">
        <v>0</v>
      </c>
      <c r="J154" s="408">
        <v>0</v>
      </c>
      <c r="K154" s="408">
        <v>0</v>
      </c>
      <c r="L154" s="408">
        <v>0</v>
      </c>
      <c r="M154" s="408">
        <v>0</v>
      </c>
      <c r="N154" s="408">
        <v>0</v>
      </c>
      <c r="O154" s="408">
        <v>0</v>
      </c>
      <c r="P154" s="408">
        <v>0</v>
      </c>
    </row>
    <row r="155" spans="1:16">
      <c r="A155" s="637"/>
      <c r="B155" s="637" t="s">
        <v>668</v>
      </c>
      <c r="C155" s="637"/>
      <c r="D155" s="408">
        <v>0</v>
      </c>
      <c r="E155" s="408">
        <v>0</v>
      </c>
      <c r="F155" s="408">
        <v>0</v>
      </c>
      <c r="G155" s="408">
        <v>0</v>
      </c>
      <c r="H155" s="408">
        <v>0</v>
      </c>
      <c r="I155" s="408">
        <v>0</v>
      </c>
      <c r="J155" s="408">
        <v>0</v>
      </c>
      <c r="K155" s="408">
        <v>0</v>
      </c>
      <c r="L155" s="408">
        <v>0</v>
      </c>
      <c r="M155" s="408">
        <v>0</v>
      </c>
      <c r="N155" s="408">
        <v>0</v>
      </c>
      <c r="O155" s="408">
        <v>0</v>
      </c>
      <c r="P155" s="408">
        <v>0</v>
      </c>
    </row>
    <row r="156" spans="1:16">
      <c r="A156" s="637"/>
      <c r="B156" s="637" t="s">
        <v>715</v>
      </c>
      <c r="C156" s="637"/>
      <c r="D156" s="408">
        <v>0</v>
      </c>
      <c r="E156" s="408">
        <v>0</v>
      </c>
      <c r="F156" s="408">
        <v>0</v>
      </c>
      <c r="G156" s="408">
        <v>0</v>
      </c>
      <c r="H156" s="408">
        <v>0</v>
      </c>
      <c r="I156" s="408">
        <v>0</v>
      </c>
      <c r="J156" s="408">
        <v>0</v>
      </c>
      <c r="K156" s="408">
        <v>0</v>
      </c>
      <c r="L156" s="408">
        <v>0</v>
      </c>
      <c r="M156" s="408">
        <v>0</v>
      </c>
      <c r="N156" s="408">
        <v>0</v>
      </c>
      <c r="O156" s="408">
        <v>0</v>
      </c>
      <c r="P156" s="408">
        <v>0</v>
      </c>
    </row>
    <row r="157" spans="1:16">
      <c r="A157" s="637"/>
      <c r="B157" s="637" t="s">
        <v>669</v>
      </c>
      <c r="C157" s="637"/>
      <c r="D157" s="408">
        <v>0</v>
      </c>
      <c r="E157" s="408">
        <v>0</v>
      </c>
      <c r="F157" s="408">
        <v>0</v>
      </c>
      <c r="G157" s="408">
        <v>0</v>
      </c>
      <c r="H157" s="408">
        <v>0</v>
      </c>
      <c r="I157" s="408">
        <v>0</v>
      </c>
      <c r="J157" s="408">
        <v>0</v>
      </c>
      <c r="K157" s="408">
        <v>0</v>
      </c>
      <c r="L157" s="408">
        <v>0</v>
      </c>
      <c r="M157" s="408">
        <v>0</v>
      </c>
      <c r="N157" s="408">
        <v>0</v>
      </c>
      <c r="O157" s="408">
        <v>0</v>
      </c>
      <c r="P157" s="408">
        <v>0</v>
      </c>
    </row>
    <row r="158" spans="1:16">
      <c r="A158" s="637"/>
      <c r="B158" s="637" t="s">
        <v>670</v>
      </c>
      <c r="C158" s="637"/>
      <c r="D158" s="408">
        <v>0</v>
      </c>
      <c r="E158" s="408">
        <v>0</v>
      </c>
      <c r="F158" s="408">
        <v>0</v>
      </c>
      <c r="G158" s="408">
        <v>0</v>
      </c>
      <c r="H158" s="408">
        <v>0</v>
      </c>
      <c r="I158" s="408">
        <v>0</v>
      </c>
      <c r="J158" s="408">
        <v>0</v>
      </c>
      <c r="K158" s="408">
        <v>0</v>
      </c>
      <c r="L158" s="408">
        <v>0</v>
      </c>
      <c r="M158" s="408">
        <v>0</v>
      </c>
      <c r="N158" s="408">
        <v>0</v>
      </c>
      <c r="O158" s="408">
        <v>0</v>
      </c>
      <c r="P158" s="408">
        <v>0</v>
      </c>
    </row>
    <row r="159" spans="1:16">
      <c r="A159" s="637"/>
      <c r="B159" s="637" t="s">
        <v>671</v>
      </c>
      <c r="C159" s="637"/>
      <c r="D159" s="408">
        <v>0</v>
      </c>
      <c r="E159" s="408">
        <v>0</v>
      </c>
      <c r="F159" s="408">
        <v>0</v>
      </c>
      <c r="G159" s="408">
        <v>0</v>
      </c>
      <c r="H159" s="408">
        <v>0</v>
      </c>
      <c r="I159" s="408">
        <v>0</v>
      </c>
      <c r="J159" s="408">
        <v>0</v>
      </c>
      <c r="K159" s="408">
        <v>0</v>
      </c>
      <c r="L159" s="408">
        <v>0</v>
      </c>
      <c r="M159" s="408">
        <v>0</v>
      </c>
      <c r="N159" s="408">
        <v>0</v>
      </c>
      <c r="O159" s="408">
        <v>0</v>
      </c>
      <c r="P159" s="408">
        <v>0</v>
      </c>
    </row>
    <row r="160" spans="1:16">
      <c r="A160" s="637"/>
      <c r="B160" s="637" t="s">
        <v>672</v>
      </c>
      <c r="C160" s="637"/>
      <c r="D160" s="408">
        <v>0</v>
      </c>
      <c r="E160" s="408">
        <v>0</v>
      </c>
      <c r="F160" s="408">
        <v>0</v>
      </c>
      <c r="G160" s="408">
        <v>0</v>
      </c>
      <c r="H160" s="408">
        <v>0</v>
      </c>
      <c r="I160" s="408">
        <v>0</v>
      </c>
      <c r="J160" s="408">
        <v>0</v>
      </c>
      <c r="K160" s="408">
        <v>0</v>
      </c>
      <c r="L160" s="408">
        <v>0</v>
      </c>
      <c r="M160" s="408">
        <v>0</v>
      </c>
      <c r="N160" s="408">
        <v>0</v>
      </c>
      <c r="O160" s="408">
        <v>0</v>
      </c>
      <c r="P160" s="408">
        <v>0</v>
      </c>
    </row>
    <row r="161" spans="1:16">
      <c r="A161" s="637"/>
      <c r="B161" s="637" t="s">
        <v>673</v>
      </c>
      <c r="C161" s="637"/>
      <c r="D161" s="408">
        <v>0</v>
      </c>
      <c r="E161" s="408">
        <v>0</v>
      </c>
      <c r="F161" s="408">
        <v>0</v>
      </c>
      <c r="G161" s="408">
        <v>0</v>
      </c>
      <c r="H161" s="408">
        <v>0</v>
      </c>
      <c r="I161" s="408">
        <v>0</v>
      </c>
      <c r="J161" s="408">
        <v>0</v>
      </c>
      <c r="K161" s="408">
        <v>0</v>
      </c>
      <c r="L161" s="408">
        <v>0</v>
      </c>
      <c r="M161" s="408">
        <v>0</v>
      </c>
      <c r="N161" s="408">
        <v>0</v>
      </c>
      <c r="O161" s="408">
        <v>0</v>
      </c>
      <c r="P161" s="408">
        <v>0</v>
      </c>
    </row>
    <row r="162" spans="1:16">
      <c r="A162" s="637"/>
      <c r="B162" s="637" t="s">
        <v>676</v>
      </c>
      <c r="C162" s="637"/>
      <c r="D162" s="408"/>
      <c r="E162" s="408"/>
      <c r="F162" s="408"/>
      <c r="G162" s="408"/>
      <c r="H162" s="408">
        <v>0</v>
      </c>
      <c r="I162" s="408">
        <v>0</v>
      </c>
      <c r="J162" s="408">
        <v>0</v>
      </c>
      <c r="K162" s="408">
        <v>0</v>
      </c>
      <c r="L162" s="408">
        <v>0</v>
      </c>
      <c r="M162" s="408">
        <v>0</v>
      </c>
      <c r="N162" s="408">
        <v>0</v>
      </c>
      <c r="O162" s="408">
        <v>0</v>
      </c>
      <c r="P162" s="408">
        <v>0</v>
      </c>
    </row>
    <row r="163" spans="1:16">
      <c r="A163" s="637"/>
      <c r="B163" s="637" t="s">
        <v>769</v>
      </c>
      <c r="C163" s="637"/>
      <c r="D163" s="408"/>
      <c r="E163" s="408"/>
      <c r="F163" s="408"/>
      <c r="G163" s="408"/>
      <c r="H163" s="408">
        <v>0</v>
      </c>
      <c r="I163" s="408">
        <v>0</v>
      </c>
      <c r="J163" s="408">
        <v>0</v>
      </c>
      <c r="K163" s="408">
        <v>0</v>
      </c>
      <c r="L163" s="408">
        <v>0</v>
      </c>
      <c r="M163" s="408">
        <v>0</v>
      </c>
      <c r="N163" s="408">
        <v>0</v>
      </c>
      <c r="O163" s="408">
        <v>0</v>
      </c>
      <c r="P163" s="408">
        <v>0</v>
      </c>
    </row>
    <row r="164" spans="1:16">
      <c r="A164" s="637"/>
      <c r="B164" s="637" t="s">
        <v>66</v>
      </c>
      <c r="C164" s="637"/>
      <c r="D164" s="408">
        <f>SUM(D150:D163)</f>
        <v>3558257.44</v>
      </c>
      <c r="E164" s="408">
        <f t="shared" ref="E164:P164" si="35">SUM(E150:E163)</f>
        <v>3261933.92</v>
      </c>
      <c r="F164" s="408">
        <f t="shared" si="35"/>
        <v>3652455.84</v>
      </c>
      <c r="G164" s="408">
        <f t="shared" si="35"/>
        <v>2658606.7200000002</v>
      </c>
      <c r="H164" s="408">
        <f t="shared" si="35"/>
        <v>2247395.2000000002</v>
      </c>
      <c r="I164" s="408">
        <f t="shared" si="35"/>
        <v>2170828.6</v>
      </c>
      <c r="J164" s="408">
        <f t="shared" si="35"/>
        <v>2293234.84</v>
      </c>
      <c r="K164" s="408">
        <f t="shared" si="35"/>
        <v>2528387.52</v>
      </c>
      <c r="L164" s="408">
        <f t="shared" si="35"/>
        <v>2314246.96</v>
      </c>
      <c r="M164" s="408">
        <f t="shared" si="35"/>
        <v>2542421.88</v>
      </c>
      <c r="N164" s="408">
        <f t="shared" si="35"/>
        <v>2624069.36</v>
      </c>
      <c r="O164" s="408">
        <f t="shared" si="35"/>
        <v>3289862.24</v>
      </c>
      <c r="P164" s="408">
        <f t="shared" si="35"/>
        <v>33141700.520000003</v>
      </c>
    </row>
    <row r="165" spans="1:16" s="755" customFormat="1">
      <c r="A165" s="755">
        <v>23</v>
      </c>
      <c r="B165" s="755" t="s">
        <v>664</v>
      </c>
      <c r="D165" s="408">
        <v>0</v>
      </c>
      <c r="E165" s="408">
        <v>0</v>
      </c>
      <c r="F165" s="408">
        <v>0</v>
      </c>
      <c r="G165" s="408">
        <v>0</v>
      </c>
      <c r="H165" s="408">
        <v>0</v>
      </c>
      <c r="I165" s="408">
        <v>0</v>
      </c>
      <c r="J165" s="408">
        <v>0</v>
      </c>
      <c r="K165" s="408">
        <v>0</v>
      </c>
      <c r="L165" s="408">
        <v>0</v>
      </c>
      <c r="M165" s="408">
        <v>0</v>
      </c>
      <c r="N165" s="408">
        <v>0</v>
      </c>
      <c r="O165" s="408">
        <v>0</v>
      </c>
      <c r="P165" s="408">
        <v>0</v>
      </c>
    </row>
    <row r="166" spans="1:16" s="755" customFormat="1">
      <c r="B166" s="755" t="s">
        <v>677</v>
      </c>
      <c r="D166" s="408">
        <v>0</v>
      </c>
      <c r="E166" s="408">
        <v>0</v>
      </c>
      <c r="F166" s="408">
        <v>0</v>
      </c>
      <c r="G166" s="408">
        <v>0</v>
      </c>
      <c r="H166" s="408">
        <v>0</v>
      </c>
      <c r="I166" s="408">
        <v>0</v>
      </c>
      <c r="J166" s="408">
        <v>0</v>
      </c>
      <c r="K166" s="408">
        <v>0</v>
      </c>
      <c r="L166" s="408">
        <v>0</v>
      </c>
      <c r="M166" s="408">
        <v>0</v>
      </c>
      <c r="N166" s="408">
        <v>0</v>
      </c>
      <c r="O166" s="408">
        <v>0</v>
      </c>
      <c r="P166" s="408">
        <v>0</v>
      </c>
    </row>
    <row r="167" spans="1:16" s="755" customFormat="1">
      <c r="B167" s="755" t="s">
        <v>665</v>
      </c>
      <c r="D167" s="408">
        <v>0</v>
      </c>
      <c r="E167" s="408">
        <v>0</v>
      </c>
      <c r="F167" s="408">
        <v>0</v>
      </c>
      <c r="G167" s="408">
        <v>0</v>
      </c>
      <c r="H167" s="408">
        <v>0</v>
      </c>
      <c r="I167" s="408">
        <v>0</v>
      </c>
      <c r="J167" s="408">
        <v>0</v>
      </c>
      <c r="K167" s="408">
        <v>0</v>
      </c>
      <c r="L167" s="408">
        <v>0</v>
      </c>
      <c r="M167" s="408">
        <v>0</v>
      </c>
      <c r="N167" s="408">
        <v>0</v>
      </c>
      <c r="O167" s="408">
        <v>0</v>
      </c>
      <c r="P167" s="408">
        <f>SUM(D167:O167)</f>
        <v>0</v>
      </c>
    </row>
    <row r="168" spans="1:16" s="755" customFormat="1">
      <c r="B168" s="755" t="s">
        <v>666</v>
      </c>
      <c r="D168" s="408">
        <v>0</v>
      </c>
      <c r="E168" s="408">
        <v>0</v>
      </c>
      <c r="F168" s="408">
        <v>0</v>
      </c>
      <c r="G168" s="408">
        <v>0</v>
      </c>
      <c r="H168" s="408">
        <v>0</v>
      </c>
      <c r="I168" s="408">
        <v>0</v>
      </c>
      <c r="J168" s="408">
        <v>0</v>
      </c>
      <c r="K168" s="408">
        <v>0</v>
      </c>
      <c r="L168" s="408">
        <v>0</v>
      </c>
      <c r="M168" s="408">
        <v>0</v>
      </c>
      <c r="N168" s="408">
        <v>0</v>
      </c>
      <c r="O168" s="408">
        <v>0</v>
      </c>
      <c r="P168" s="408">
        <f>SUM(D168:O168)</f>
        <v>0</v>
      </c>
    </row>
    <row r="169" spans="1:16" s="755" customFormat="1">
      <c r="B169" s="755" t="s">
        <v>663</v>
      </c>
      <c r="D169" s="408">
        <v>0</v>
      </c>
      <c r="E169" s="408">
        <v>0</v>
      </c>
      <c r="F169" s="408">
        <v>0</v>
      </c>
      <c r="G169" s="408">
        <v>0</v>
      </c>
      <c r="H169" s="408">
        <v>0</v>
      </c>
      <c r="I169" s="408">
        <v>0</v>
      </c>
      <c r="J169" s="408">
        <v>0</v>
      </c>
      <c r="K169" s="408">
        <v>0</v>
      </c>
      <c r="L169" s="408">
        <v>0</v>
      </c>
      <c r="M169" s="408">
        <v>0</v>
      </c>
      <c r="N169" s="408">
        <v>0</v>
      </c>
      <c r="O169" s="408">
        <v>0</v>
      </c>
      <c r="P169" s="408">
        <v>0</v>
      </c>
    </row>
    <row r="170" spans="1:16" s="755" customFormat="1">
      <c r="B170" s="755" t="s">
        <v>668</v>
      </c>
      <c r="D170" s="408">
        <v>0</v>
      </c>
      <c r="E170" s="408">
        <v>0</v>
      </c>
      <c r="F170" s="408">
        <v>0</v>
      </c>
      <c r="G170" s="408">
        <v>0</v>
      </c>
      <c r="H170" s="408">
        <v>0</v>
      </c>
      <c r="I170" s="408">
        <v>0</v>
      </c>
      <c r="J170" s="408">
        <v>0</v>
      </c>
      <c r="K170" s="408">
        <v>0</v>
      </c>
      <c r="L170" s="408">
        <v>0</v>
      </c>
      <c r="M170" s="408">
        <v>0</v>
      </c>
      <c r="N170" s="408">
        <v>0</v>
      </c>
      <c r="O170" s="408">
        <v>0</v>
      </c>
      <c r="P170" s="408">
        <v>0</v>
      </c>
    </row>
    <row r="171" spans="1:16" s="755" customFormat="1">
      <c r="B171" s="755" t="s">
        <v>715</v>
      </c>
      <c r="D171" s="408">
        <v>0</v>
      </c>
      <c r="E171" s="408">
        <v>0</v>
      </c>
      <c r="F171" s="408">
        <v>0</v>
      </c>
      <c r="G171" s="408">
        <v>0</v>
      </c>
      <c r="H171" s="408">
        <v>0</v>
      </c>
      <c r="I171" s="408">
        <v>0</v>
      </c>
      <c r="J171" s="408">
        <v>0</v>
      </c>
      <c r="K171" s="408">
        <v>0</v>
      </c>
      <c r="L171" s="408">
        <v>0</v>
      </c>
      <c r="M171" s="408">
        <v>0</v>
      </c>
      <c r="N171" s="408">
        <v>0</v>
      </c>
      <c r="O171" s="408">
        <v>0</v>
      </c>
      <c r="P171" s="408">
        <v>0</v>
      </c>
    </row>
    <row r="172" spans="1:16" s="755" customFormat="1">
      <c r="B172" s="755" t="s">
        <v>669</v>
      </c>
      <c r="D172" s="408">
        <v>0</v>
      </c>
      <c r="E172" s="408">
        <v>0</v>
      </c>
      <c r="F172" s="408">
        <v>0</v>
      </c>
      <c r="G172" s="408">
        <v>0</v>
      </c>
      <c r="H172" s="408">
        <v>0</v>
      </c>
      <c r="I172" s="408">
        <v>0</v>
      </c>
      <c r="J172" s="408">
        <v>0</v>
      </c>
      <c r="K172" s="408">
        <v>0</v>
      </c>
      <c r="L172" s="408">
        <v>0</v>
      </c>
      <c r="M172" s="408">
        <v>0</v>
      </c>
      <c r="N172" s="408">
        <v>0</v>
      </c>
      <c r="O172" s="408">
        <v>0</v>
      </c>
      <c r="P172" s="408">
        <v>0</v>
      </c>
    </row>
    <row r="173" spans="1:16" s="755" customFormat="1">
      <c r="B173" s="755" t="s">
        <v>670</v>
      </c>
      <c r="D173" s="408">
        <v>0</v>
      </c>
      <c r="E173" s="408">
        <v>0</v>
      </c>
      <c r="F173" s="408">
        <v>0</v>
      </c>
      <c r="G173" s="408">
        <v>0</v>
      </c>
      <c r="H173" s="408">
        <v>0</v>
      </c>
      <c r="I173" s="408">
        <v>0</v>
      </c>
      <c r="J173" s="408">
        <v>0</v>
      </c>
      <c r="K173" s="408">
        <v>0</v>
      </c>
      <c r="L173" s="408">
        <v>0</v>
      </c>
      <c r="M173" s="408">
        <v>0</v>
      </c>
      <c r="N173" s="408">
        <v>0</v>
      </c>
      <c r="O173" s="408">
        <v>0</v>
      </c>
      <c r="P173" s="408">
        <v>0</v>
      </c>
    </row>
    <row r="174" spans="1:16" s="755" customFormat="1">
      <c r="B174" s="755" t="s">
        <v>671</v>
      </c>
      <c r="D174" s="408">
        <v>0</v>
      </c>
      <c r="E174" s="408">
        <v>0</v>
      </c>
      <c r="F174" s="408">
        <v>0</v>
      </c>
      <c r="G174" s="408">
        <v>0</v>
      </c>
      <c r="H174" s="408">
        <v>0</v>
      </c>
      <c r="I174" s="408">
        <v>0</v>
      </c>
      <c r="J174" s="408">
        <v>0</v>
      </c>
      <c r="K174" s="408">
        <v>0</v>
      </c>
      <c r="L174" s="408">
        <v>0</v>
      </c>
      <c r="M174" s="408">
        <v>0</v>
      </c>
      <c r="N174" s="408">
        <v>0</v>
      </c>
      <c r="O174" s="408">
        <v>0</v>
      </c>
      <c r="P174" s="408">
        <v>0</v>
      </c>
    </row>
    <row r="175" spans="1:16" s="755" customFormat="1">
      <c r="B175" s="755" t="s">
        <v>672</v>
      </c>
      <c r="D175" s="408">
        <v>0</v>
      </c>
      <c r="E175" s="408">
        <v>0</v>
      </c>
      <c r="F175" s="408">
        <v>0</v>
      </c>
      <c r="G175" s="408">
        <v>0</v>
      </c>
      <c r="H175" s="408">
        <v>0</v>
      </c>
      <c r="I175" s="408">
        <v>0</v>
      </c>
      <c r="J175" s="408">
        <v>0</v>
      </c>
      <c r="K175" s="408">
        <v>0</v>
      </c>
      <c r="L175" s="408">
        <v>0</v>
      </c>
      <c r="M175" s="408">
        <v>0</v>
      </c>
      <c r="N175" s="408">
        <v>0</v>
      </c>
      <c r="O175" s="408">
        <v>0</v>
      </c>
      <c r="P175" s="408">
        <v>0</v>
      </c>
    </row>
    <row r="176" spans="1:16" s="755" customFormat="1">
      <c r="B176" s="755" t="s">
        <v>673</v>
      </c>
      <c r="D176" s="408">
        <v>0</v>
      </c>
      <c r="E176" s="408">
        <v>0</v>
      </c>
      <c r="F176" s="408">
        <v>0</v>
      </c>
      <c r="G176" s="408">
        <v>0</v>
      </c>
      <c r="H176" s="408">
        <v>0</v>
      </c>
      <c r="I176" s="408">
        <v>0</v>
      </c>
      <c r="J176" s="408">
        <v>0</v>
      </c>
      <c r="K176" s="408">
        <v>0</v>
      </c>
      <c r="L176" s="408">
        <v>0</v>
      </c>
      <c r="M176" s="408">
        <v>0</v>
      </c>
      <c r="N176" s="408">
        <v>0</v>
      </c>
      <c r="O176" s="408">
        <v>0</v>
      </c>
      <c r="P176" s="408">
        <v>0</v>
      </c>
    </row>
    <row r="177" spans="1:16" s="755" customFormat="1">
      <c r="B177" s="755" t="s">
        <v>676</v>
      </c>
      <c r="D177" s="408"/>
      <c r="E177" s="408"/>
      <c r="F177" s="408"/>
      <c r="G177" s="408"/>
      <c r="H177" s="408">
        <v>0</v>
      </c>
      <c r="I177" s="408">
        <v>0</v>
      </c>
      <c r="J177" s="408">
        <v>0</v>
      </c>
      <c r="K177" s="408">
        <v>0</v>
      </c>
      <c r="L177" s="408">
        <v>0</v>
      </c>
      <c r="M177" s="408">
        <v>0</v>
      </c>
      <c r="N177" s="408">
        <v>0</v>
      </c>
      <c r="O177" s="408">
        <v>0</v>
      </c>
      <c r="P177" s="408">
        <v>0</v>
      </c>
    </row>
    <row r="178" spans="1:16" s="755" customFormat="1">
      <c r="B178" s="755" t="s">
        <v>769</v>
      </c>
      <c r="D178" s="408"/>
      <c r="E178" s="408"/>
      <c r="F178" s="408"/>
      <c r="G178" s="408"/>
      <c r="H178" s="408">
        <v>0</v>
      </c>
      <c r="I178" s="408">
        <v>0</v>
      </c>
      <c r="J178" s="408">
        <v>0</v>
      </c>
      <c r="K178" s="408">
        <v>0</v>
      </c>
      <c r="L178" s="408">
        <v>0</v>
      </c>
      <c r="M178" s="408">
        <v>0</v>
      </c>
      <c r="N178" s="408">
        <v>0</v>
      </c>
      <c r="O178" s="408">
        <v>0</v>
      </c>
      <c r="P178" s="408">
        <v>0</v>
      </c>
    </row>
    <row r="179" spans="1:16" s="755" customFormat="1">
      <c r="B179" s="755" t="s">
        <v>66</v>
      </c>
      <c r="D179" s="408">
        <f>SUM(D165:D178)</f>
        <v>0</v>
      </c>
      <c r="E179" s="408">
        <f t="shared" ref="E179:P179" si="36">SUM(E165:E178)</f>
        <v>0</v>
      </c>
      <c r="F179" s="408">
        <f t="shared" si="36"/>
        <v>0</v>
      </c>
      <c r="G179" s="408">
        <f t="shared" si="36"/>
        <v>0</v>
      </c>
      <c r="H179" s="408">
        <f t="shared" si="36"/>
        <v>0</v>
      </c>
      <c r="I179" s="408">
        <f t="shared" si="36"/>
        <v>0</v>
      </c>
      <c r="J179" s="408">
        <f t="shared" si="36"/>
        <v>0</v>
      </c>
      <c r="K179" s="408">
        <f t="shared" si="36"/>
        <v>0</v>
      </c>
      <c r="L179" s="408">
        <f t="shared" si="36"/>
        <v>0</v>
      </c>
      <c r="M179" s="408">
        <f t="shared" si="36"/>
        <v>0</v>
      </c>
      <c r="N179" s="408">
        <f t="shared" si="36"/>
        <v>0</v>
      </c>
      <c r="O179" s="408">
        <f t="shared" si="36"/>
        <v>0</v>
      </c>
      <c r="P179" s="408">
        <f t="shared" si="36"/>
        <v>0</v>
      </c>
    </row>
    <row r="180" spans="1:16">
      <c r="A180" s="637" t="s">
        <v>644</v>
      </c>
      <c r="B180" s="637" t="s">
        <v>664</v>
      </c>
      <c r="C180" s="637"/>
      <c r="D180" s="408">
        <v>0</v>
      </c>
      <c r="E180" s="408">
        <v>0</v>
      </c>
      <c r="F180" s="408">
        <v>0</v>
      </c>
      <c r="G180" s="408">
        <v>0</v>
      </c>
      <c r="H180" s="408">
        <v>0</v>
      </c>
      <c r="I180" s="408">
        <v>0</v>
      </c>
      <c r="J180" s="408">
        <v>0</v>
      </c>
      <c r="K180" s="408">
        <v>0</v>
      </c>
      <c r="L180" s="408">
        <v>0</v>
      </c>
      <c r="M180" s="408">
        <v>0</v>
      </c>
      <c r="N180" s="408">
        <v>0</v>
      </c>
      <c r="O180" s="408">
        <v>0</v>
      </c>
      <c r="P180" s="408">
        <f t="shared" ref="P180:P181" si="37">SUM(D180:O180)</f>
        <v>0</v>
      </c>
    </row>
    <row r="181" spans="1:16">
      <c r="A181" s="637"/>
      <c r="B181" s="637" t="s">
        <v>677</v>
      </c>
      <c r="C181" s="637"/>
      <c r="D181" s="408">
        <v>0</v>
      </c>
      <c r="E181" s="408">
        <v>0</v>
      </c>
      <c r="F181" s="408">
        <v>0</v>
      </c>
      <c r="G181" s="408">
        <v>0</v>
      </c>
      <c r="H181" s="408">
        <v>0</v>
      </c>
      <c r="I181" s="408">
        <v>0</v>
      </c>
      <c r="J181" s="408">
        <v>0</v>
      </c>
      <c r="K181" s="408">
        <v>0</v>
      </c>
      <c r="L181" s="408">
        <v>0</v>
      </c>
      <c r="M181" s="408">
        <v>0</v>
      </c>
      <c r="N181" s="408">
        <v>0</v>
      </c>
      <c r="O181" s="408">
        <v>0</v>
      </c>
      <c r="P181" s="408">
        <f t="shared" si="37"/>
        <v>0</v>
      </c>
    </row>
    <row r="182" spans="1:16">
      <c r="A182" s="637"/>
      <c r="B182" s="637" t="s">
        <v>665</v>
      </c>
      <c r="C182" s="637"/>
      <c r="D182" s="408">
        <f>11500000-D197</f>
        <v>11000000</v>
      </c>
      <c r="E182" s="408">
        <f t="shared" ref="E182:N182" si="38">11500000-E197</f>
        <v>11000000</v>
      </c>
      <c r="F182" s="408">
        <f t="shared" si="38"/>
        <v>11000000</v>
      </c>
      <c r="G182" s="408">
        <f t="shared" si="38"/>
        <v>11000000</v>
      </c>
      <c r="H182" s="408">
        <f t="shared" si="38"/>
        <v>11000000</v>
      </c>
      <c r="I182" s="408">
        <f t="shared" si="38"/>
        <v>11000000</v>
      </c>
      <c r="J182" s="408">
        <f t="shared" si="38"/>
        <v>11000000</v>
      </c>
      <c r="K182" s="408">
        <f t="shared" si="38"/>
        <v>11000000</v>
      </c>
      <c r="L182" s="408">
        <f t="shared" si="38"/>
        <v>11000000</v>
      </c>
      <c r="M182" s="408">
        <f t="shared" si="38"/>
        <v>11000000</v>
      </c>
      <c r="N182" s="408">
        <f t="shared" si="38"/>
        <v>11000000</v>
      </c>
      <c r="O182" s="408">
        <f t="shared" ref="O182" si="39">11500000-O197</f>
        <v>11000000</v>
      </c>
      <c r="P182" s="408">
        <f>SUM(D182:O182)</f>
        <v>132000000</v>
      </c>
    </row>
    <row r="183" spans="1:16">
      <c r="A183" s="637"/>
      <c r="B183" s="637" t="s">
        <v>666</v>
      </c>
      <c r="C183" s="637"/>
      <c r="D183" s="408">
        <f>45592060.937-D198</f>
        <v>40092060.936999999</v>
      </c>
      <c r="E183" s="408">
        <f t="shared" ref="E183:N183" si="40">45592060.937-E198</f>
        <v>40092060.936999999</v>
      </c>
      <c r="F183" s="408">
        <f t="shared" si="40"/>
        <v>40092060.936999999</v>
      </c>
      <c r="G183" s="408">
        <f t="shared" si="40"/>
        <v>40092060.936999999</v>
      </c>
      <c r="H183" s="408">
        <f t="shared" si="40"/>
        <v>40092060.936999999</v>
      </c>
      <c r="I183" s="408">
        <f t="shared" si="40"/>
        <v>40092060.936999999</v>
      </c>
      <c r="J183" s="408">
        <f t="shared" si="40"/>
        <v>40092060.936999999</v>
      </c>
      <c r="K183" s="408">
        <f t="shared" si="40"/>
        <v>40092060.936999999</v>
      </c>
      <c r="L183" s="408">
        <f t="shared" si="40"/>
        <v>40092060.936999999</v>
      </c>
      <c r="M183" s="408">
        <f t="shared" si="40"/>
        <v>40092060.936999999</v>
      </c>
      <c r="N183" s="408">
        <f t="shared" si="40"/>
        <v>40092060.936999999</v>
      </c>
      <c r="O183" s="408">
        <f t="shared" ref="O183" si="41">45592060.937-O198</f>
        <v>40092060.936999999</v>
      </c>
      <c r="P183" s="408">
        <f t="shared" ref="P183:P193" si="42">SUM(D183:O183)</f>
        <v>481104731.2439999</v>
      </c>
    </row>
    <row r="184" spans="1:16">
      <c r="A184" s="637"/>
      <c r="B184" s="637" t="s">
        <v>667</v>
      </c>
      <c r="C184" s="637"/>
      <c r="D184" s="408">
        <f>35383480-D199</f>
        <v>5221588</v>
      </c>
      <c r="E184" s="408">
        <f t="shared" ref="E184:N184" si="43">35383480-E199</f>
        <v>6327676</v>
      </c>
      <c r="F184" s="408">
        <f t="shared" si="43"/>
        <v>6107374</v>
      </c>
      <c r="G184" s="408">
        <f t="shared" si="43"/>
        <v>7101112</v>
      </c>
      <c r="H184" s="408">
        <f t="shared" si="43"/>
        <v>2698842</v>
      </c>
      <c r="I184" s="408">
        <f t="shared" si="43"/>
        <v>3838888</v>
      </c>
      <c r="J184" s="408">
        <f t="shared" si="43"/>
        <v>1069112</v>
      </c>
      <c r="K184" s="408">
        <f t="shared" si="43"/>
        <v>1048202</v>
      </c>
      <c r="L184" s="408">
        <f t="shared" si="43"/>
        <v>2768614</v>
      </c>
      <c r="M184" s="408">
        <f t="shared" si="43"/>
        <v>744424</v>
      </c>
      <c r="N184" s="408">
        <f t="shared" si="43"/>
        <v>7979226</v>
      </c>
      <c r="O184" s="408">
        <f t="shared" ref="O184" si="44">35383480-O199</f>
        <v>597254</v>
      </c>
      <c r="P184" s="408">
        <f t="shared" si="42"/>
        <v>45502312</v>
      </c>
    </row>
    <row r="185" spans="1:16">
      <c r="A185" s="637"/>
      <c r="B185" s="637" t="s">
        <v>663</v>
      </c>
      <c r="C185" s="637"/>
      <c r="D185" s="408">
        <v>0</v>
      </c>
      <c r="E185" s="408">
        <v>0</v>
      </c>
      <c r="F185" s="408">
        <v>0</v>
      </c>
      <c r="G185" s="408">
        <v>0</v>
      </c>
      <c r="H185" s="408">
        <v>0</v>
      </c>
      <c r="I185" s="408">
        <v>0</v>
      </c>
      <c r="J185" s="408">
        <v>0</v>
      </c>
      <c r="K185" s="408">
        <v>0</v>
      </c>
      <c r="L185" s="408">
        <v>0</v>
      </c>
      <c r="M185" s="408">
        <v>0</v>
      </c>
      <c r="N185" s="408">
        <v>0</v>
      </c>
      <c r="O185" s="408">
        <v>0</v>
      </c>
      <c r="P185" s="408">
        <f t="shared" si="42"/>
        <v>0</v>
      </c>
    </row>
    <row r="186" spans="1:16">
      <c r="A186" s="637"/>
      <c r="B186" s="637" t="s">
        <v>678</v>
      </c>
      <c r="C186" s="637"/>
      <c r="D186" s="408">
        <v>0</v>
      </c>
      <c r="E186" s="408">
        <v>0</v>
      </c>
      <c r="F186" s="408">
        <v>0</v>
      </c>
      <c r="G186" s="408">
        <v>0</v>
      </c>
      <c r="H186" s="408">
        <v>0</v>
      </c>
      <c r="I186" s="408">
        <v>0</v>
      </c>
      <c r="J186" s="408">
        <v>0</v>
      </c>
      <c r="K186" s="408">
        <v>0</v>
      </c>
      <c r="L186" s="408">
        <v>0</v>
      </c>
      <c r="M186" s="408">
        <v>0</v>
      </c>
      <c r="N186" s="408">
        <v>0</v>
      </c>
      <c r="O186" s="408">
        <v>0</v>
      </c>
      <c r="P186" s="408">
        <f t="shared" si="42"/>
        <v>0</v>
      </c>
    </row>
    <row r="187" spans="1:16">
      <c r="A187" s="637"/>
      <c r="B187" s="637" t="s">
        <v>715</v>
      </c>
      <c r="C187" s="637"/>
      <c r="D187" s="408">
        <v>0</v>
      </c>
      <c r="E187" s="408">
        <v>0</v>
      </c>
      <c r="F187" s="408">
        <v>0</v>
      </c>
      <c r="G187" s="408">
        <v>0</v>
      </c>
      <c r="H187" s="408">
        <v>0</v>
      </c>
      <c r="I187" s="408">
        <v>0</v>
      </c>
      <c r="J187" s="408">
        <v>0</v>
      </c>
      <c r="K187" s="408">
        <v>0</v>
      </c>
      <c r="L187" s="408">
        <v>0</v>
      </c>
      <c r="M187" s="408">
        <v>0</v>
      </c>
      <c r="N187" s="408">
        <v>0</v>
      </c>
      <c r="O187" s="408">
        <v>0</v>
      </c>
      <c r="P187" s="408">
        <f t="shared" si="42"/>
        <v>0</v>
      </c>
    </row>
    <row r="188" spans="1:16">
      <c r="A188" s="637"/>
      <c r="B188" s="637" t="s">
        <v>669</v>
      </c>
      <c r="C188" s="637"/>
      <c r="D188" s="408">
        <v>0</v>
      </c>
      <c r="E188" s="408">
        <v>0</v>
      </c>
      <c r="F188" s="408">
        <v>0</v>
      </c>
      <c r="G188" s="408">
        <v>0</v>
      </c>
      <c r="H188" s="408">
        <v>0</v>
      </c>
      <c r="I188" s="408">
        <v>0</v>
      </c>
      <c r="J188" s="408">
        <v>0</v>
      </c>
      <c r="K188" s="408">
        <v>0</v>
      </c>
      <c r="L188" s="408">
        <v>0</v>
      </c>
      <c r="M188" s="408">
        <v>0</v>
      </c>
      <c r="N188" s="408">
        <v>0</v>
      </c>
      <c r="O188" s="408">
        <v>0</v>
      </c>
      <c r="P188" s="408">
        <f t="shared" si="42"/>
        <v>0</v>
      </c>
    </row>
    <row r="189" spans="1:16">
      <c r="A189" s="637"/>
      <c r="B189" s="637" t="s">
        <v>670</v>
      </c>
      <c r="C189" s="637"/>
      <c r="D189" s="408">
        <v>0</v>
      </c>
      <c r="E189" s="408">
        <v>0</v>
      </c>
      <c r="F189" s="408">
        <v>0</v>
      </c>
      <c r="G189" s="408">
        <v>0</v>
      </c>
      <c r="H189" s="408">
        <v>0</v>
      </c>
      <c r="I189" s="408">
        <v>0</v>
      </c>
      <c r="J189" s="408">
        <v>0</v>
      </c>
      <c r="K189" s="408">
        <v>0</v>
      </c>
      <c r="L189" s="408">
        <v>0</v>
      </c>
      <c r="M189" s="408">
        <v>0</v>
      </c>
      <c r="N189" s="408">
        <v>0</v>
      </c>
      <c r="O189" s="408">
        <v>0</v>
      </c>
      <c r="P189" s="408">
        <f t="shared" si="42"/>
        <v>0</v>
      </c>
    </row>
    <row r="190" spans="1:16">
      <c r="A190" s="637"/>
      <c r="B190" s="637" t="s">
        <v>671</v>
      </c>
      <c r="C190" s="637"/>
      <c r="D190" s="408">
        <v>0</v>
      </c>
      <c r="E190" s="408">
        <v>0</v>
      </c>
      <c r="F190" s="408">
        <v>0</v>
      </c>
      <c r="G190" s="408">
        <v>0</v>
      </c>
      <c r="H190" s="408">
        <v>0</v>
      </c>
      <c r="I190" s="408">
        <v>0</v>
      </c>
      <c r="J190" s="408">
        <v>0</v>
      </c>
      <c r="K190" s="408">
        <v>0</v>
      </c>
      <c r="L190" s="408">
        <v>0</v>
      </c>
      <c r="M190" s="408">
        <v>0</v>
      </c>
      <c r="N190" s="408">
        <v>0</v>
      </c>
      <c r="O190" s="408">
        <v>0</v>
      </c>
      <c r="P190" s="408">
        <f t="shared" si="42"/>
        <v>0</v>
      </c>
    </row>
    <row r="191" spans="1:16">
      <c r="A191" s="637"/>
      <c r="B191" s="637" t="s">
        <v>672</v>
      </c>
      <c r="C191" s="637"/>
      <c r="D191" s="408">
        <v>0</v>
      </c>
      <c r="E191" s="408">
        <v>0</v>
      </c>
      <c r="F191" s="408">
        <v>0</v>
      </c>
      <c r="G191" s="408">
        <v>0</v>
      </c>
      <c r="H191" s="408">
        <v>0</v>
      </c>
      <c r="I191" s="408">
        <v>0</v>
      </c>
      <c r="J191" s="408">
        <v>0</v>
      </c>
      <c r="K191" s="408">
        <v>0</v>
      </c>
      <c r="L191" s="408">
        <v>0</v>
      </c>
      <c r="M191" s="408">
        <v>0</v>
      </c>
      <c r="N191" s="408">
        <v>0</v>
      </c>
      <c r="O191" s="408">
        <v>0</v>
      </c>
      <c r="P191" s="408">
        <f t="shared" si="42"/>
        <v>0</v>
      </c>
    </row>
    <row r="192" spans="1:16">
      <c r="A192" s="637"/>
      <c r="B192" s="637" t="s">
        <v>673</v>
      </c>
      <c r="C192" s="637"/>
      <c r="D192" s="408">
        <v>0</v>
      </c>
      <c r="E192" s="408">
        <v>0</v>
      </c>
      <c r="F192" s="408">
        <v>0</v>
      </c>
      <c r="G192" s="408">
        <v>0</v>
      </c>
      <c r="H192" s="408">
        <v>0</v>
      </c>
      <c r="I192" s="408">
        <v>0</v>
      </c>
      <c r="J192" s="408">
        <v>0</v>
      </c>
      <c r="K192" s="408">
        <v>0</v>
      </c>
      <c r="L192" s="408">
        <v>0</v>
      </c>
      <c r="M192" s="408">
        <v>0</v>
      </c>
      <c r="N192" s="408">
        <v>0</v>
      </c>
      <c r="O192" s="408">
        <v>0</v>
      </c>
      <c r="P192" s="408">
        <f t="shared" si="42"/>
        <v>0</v>
      </c>
    </row>
    <row r="193" spans="1:16">
      <c r="A193" s="637"/>
      <c r="B193" s="637" t="s">
        <v>769</v>
      </c>
      <c r="C193" s="637"/>
      <c r="D193" s="408"/>
      <c r="E193" s="408"/>
      <c r="F193" s="408"/>
      <c r="G193" s="408"/>
      <c r="H193" s="408"/>
      <c r="I193" s="408">
        <v>0</v>
      </c>
      <c r="J193" s="408">
        <v>0</v>
      </c>
      <c r="K193" s="408">
        <v>0</v>
      </c>
      <c r="L193" s="408">
        <v>0</v>
      </c>
      <c r="M193" s="408">
        <v>0</v>
      </c>
      <c r="N193" s="408">
        <v>0</v>
      </c>
      <c r="O193" s="408">
        <v>0</v>
      </c>
      <c r="P193" s="408">
        <f t="shared" si="42"/>
        <v>0</v>
      </c>
    </row>
    <row r="194" spans="1:16">
      <c r="A194" s="637"/>
      <c r="B194" s="637" t="s">
        <v>66</v>
      </c>
      <c r="C194" s="637"/>
      <c r="D194" s="408">
        <f>SUM(D180:D193)</f>
        <v>56313648.936999999</v>
      </c>
      <c r="E194" s="408">
        <f t="shared" ref="E194:P194" si="45">SUM(E180:E193)</f>
        <v>57419736.936999999</v>
      </c>
      <c r="F194" s="408">
        <f t="shared" si="45"/>
        <v>57199434.936999999</v>
      </c>
      <c r="G194" s="408">
        <f t="shared" si="45"/>
        <v>58193172.936999999</v>
      </c>
      <c r="H194" s="408">
        <f t="shared" si="45"/>
        <v>53790902.936999999</v>
      </c>
      <c r="I194" s="408">
        <f t="shared" si="45"/>
        <v>54930948.936999999</v>
      </c>
      <c r="J194" s="408">
        <f t="shared" si="45"/>
        <v>52161172.936999999</v>
      </c>
      <c r="K194" s="408">
        <f t="shared" si="45"/>
        <v>52140262.936999999</v>
      </c>
      <c r="L194" s="408">
        <f t="shared" si="45"/>
        <v>53860674.936999999</v>
      </c>
      <c r="M194" s="408">
        <f t="shared" si="45"/>
        <v>51836484.936999999</v>
      </c>
      <c r="N194" s="408">
        <f t="shared" si="45"/>
        <v>59071286.936999999</v>
      </c>
      <c r="O194" s="408">
        <f t="shared" si="45"/>
        <v>51689314.936999999</v>
      </c>
      <c r="P194" s="408">
        <f t="shared" si="45"/>
        <v>658607043.24399996</v>
      </c>
    </row>
    <row r="195" spans="1:16" s="755" customFormat="1">
      <c r="A195" s="755" t="s">
        <v>958</v>
      </c>
      <c r="B195" s="755" t="s">
        <v>664</v>
      </c>
      <c r="D195" s="408">
        <v>0</v>
      </c>
      <c r="E195" s="408">
        <v>0</v>
      </c>
      <c r="F195" s="408">
        <v>0</v>
      </c>
      <c r="G195" s="408">
        <v>0</v>
      </c>
      <c r="H195" s="408">
        <v>0</v>
      </c>
      <c r="I195" s="408">
        <v>0</v>
      </c>
      <c r="J195" s="408">
        <v>0</v>
      </c>
      <c r="K195" s="408">
        <v>0</v>
      </c>
      <c r="L195" s="408">
        <v>0</v>
      </c>
      <c r="M195" s="408">
        <v>0</v>
      </c>
      <c r="N195" s="408">
        <v>0</v>
      </c>
      <c r="O195" s="408">
        <v>0</v>
      </c>
      <c r="P195" s="408">
        <f t="shared" ref="P195:P196" si="46">SUM(D195:O195)</f>
        <v>0</v>
      </c>
    </row>
    <row r="196" spans="1:16" s="755" customFormat="1">
      <c r="B196" s="755" t="s">
        <v>677</v>
      </c>
      <c r="D196" s="408">
        <v>0</v>
      </c>
      <c r="E196" s="408">
        <v>0</v>
      </c>
      <c r="F196" s="408">
        <v>0</v>
      </c>
      <c r="G196" s="408">
        <v>0</v>
      </c>
      <c r="H196" s="408">
        <v>0</v>
      </c>
      <c r="I196" s="408">
        <v>0</v>
      </c>
      <c r="J196" s="408">
        <v>0</v>
      </c>
      <c r="K196" s="408">
        <v>0</v>
      </c>
      <c r="L196" s="408">
        <v>0</v>
      </c>
      <c r="M196" s="408">
        <v>0</v>
      </c>
      <c r="N196" s="408">
        <v>0</v>
      </c>
      <c r="O196" s="408">
        <v>0</v>
      </c>
      <c r="P196" s="408">
        <f t="shared" si="46"/>
        <v>0</v>
      </c>
    </row>
    <row r="197" spans="1:16" s="755" customFormat="1">
      <c r="B197" s="755" t="s">
        <v>665</v>
      </c>
      <c r="D197" s="408">
        <v>500000</v>
      </c>
      <c r="E197" s="408">
        <v>500000</v>
      </c>
      <c r="F197" s="408">
        <v>500000</v>
      </c>
      <c r="G197" s="408">
        <v>500000</v>
      </c>
      <c r="H197" s="408">
        <v>500000</v>
      </c>
      <c r="I197" s="408">
        <v>500000</v>
      </c>
      <c r="J197" s="408">
        <v>500000</v>
      </c>
      <c r="K197" s="408">
        <v>500000</v>
      </c>
      <c r="L197" s="408">
        <v>500000</v>
      </c>
      <c r="M197" s="408">
        <v>500000</v>
      </c>
      <c r="N197" s="408">
        <v>500000</v>
      </c>
      <c r="O197" s="408">
        <v>500000</v>
      </c>
      <c r="P197" s="408">
        <f>SUM(D197:O197)</f>
        <v>6000000</v>
      </c>
    </row>
    <row r="198" spans="1:16" s="755" customFormat="1">
      <c r="B198" s="755" t="s">
        <v>666</v>
      </c>
      <c r="D198" s="408">
        <v>5500000</v>
      </c>
      <c r="E198" s="408">
        <v>5500000</v>
      </c>
      <c r="F198" s="408">
        <v>5500000</v>
      </c>
      <c r="G198" s="408">
        <v>5500000</v>
      </c>
      <c r="H198" s="408">
        <v>5500000</v>
      </c>
      <c r="I198" s="408">
        <v>5500000</v>
      </c>
      <c r="J198" s="408">
        <v>5500000</v>
      </c>
      <c r="K198" s="408">
        <v>5500000</v>
      </c>
      <c r="L198" s="408">
        <v>5500000</v>
      </c>
      <c r="M198" s="408">
        <v>5500000</v>
      </c>
      <c r="N198" s="408">
        <v>5500000</v>
      </c>
      <c r="O198" s="408">
        <v>5500000</v>
      </c>
      <c r="P198" s="408">
        <f t="shared" ref="P198:P208" si="47">SUM(D198:O198)</f>
        <v>66000000</v>
      </c>
    </row>
    <row r="199" spans="1:16" s="755" customFormat="1">
      <c r="B199" s="755" t="s">
        <v>667</v>
      </c>
      <c r="D199" s="408">
        <v>30161892</v>
      </c>
      <c r="E199" s="408">
        <v>29055804</v>
      </c>
      <c r="F199" s="408">
        <v>29276106</v>
      </c>
      <c r="G199" s="408">
        <v>28282368</v>
      </c>
      <c r="H199" s="408">
        <v>32684638</v>
      </c>
      <c r="I199" s="408">
        <v>31544592</v>
      </c>
      <c r="J199" s="408">
        <v>34314368</v>
      </c>
      <c r="K199" s="408">
        <v>34335278</v>
      </c>
      <c r="L199" s="408">
        <v>32614866</v>
      </c>
      <c r="M199" s="408">
        <v>34639056</v>
      </c>
      <c r="N199" s="408">
        <v>27404254</v>
      </c>
      <c r="O199" s="408">
        <v>34786226</v>
      </c>
      <c r="P199" s="408">
        <f t="shared" si="47"/>
        <v>379099448</v>
      </c>
    </row>
    <row r="200" spans="1:16" s="755" customFormat="1">
      <c r="B200" s="755" t="s">
        <v>663</v>
      </c>
      <c r="D200" s="408">
        <v>0</v>
      </c>
      <c r="E200" s="408">
        <v>0</v>
      </c>
      <c r="F200" s="408">
        <v>0</v>
      </c>
      <c r="G200" s="408">
        <v>0</v>
      </c>
      <c r="H200" s="408">
        <v>0</v>
      </c>
      <c r="I200" s="408">
        <v>0</v>
      </c>
      <c r="J200" s="408">
        <v>0</v>
      </c>
      <c r="K200" s="408">
        <v>0</v>
      </c>
      <c r="L200" s="408">
        <v>0</v>
      </c>
      <c r="M200" s="408">
        <v>0</v>
      </c>
      <c r="N200" s="408">
        <v>0</v>
      </c>
      <c r="O200" s="408">
        <v>0</v>
      </c>
      <c r="P200" s="408">
        <f t="shared" si="47"/>
        <v>0</v>
      </c>
    </row>
    <row r="201" spans="1:16" s="755" customFormat="1">
      <c r="B201" s="755" t="s">
        <v>678</v>
      </c>
      <c r="D201" s="408">
        <v>0</v>
      </c>
      <c r="E201" s="408">
        <v>0</v>
      </c>
      <c r="F201" s="408">
        <v>0</v>
      </c>
      <c r="G201" s="408">
        <v>0</v>
      </c>
      <c r="H201" s="408">
        <v>0</v>
      </c>
      <c r="I201" s="408">
        <v>0</v>
      </c>
      <c r="J201" s="408">
        <v>0</v>
      </c>
      <c r="K201" s="408">
        <v>0</v>
      </c>
      <c r="L201" s="408">
        <v>0</v>
      </c>
      <c r="M201" s="408">
        <v>0</v>
      </c>
      <c r="N201" s="408">
        <v>0</v>
      </c>
      <c r="O201" s="408">
        <v>0</v>
      </c>
      <c r="P201" s="408">
        <f t="shared" si="47"/>
        <v>0</v>
      </c>
    </row>
    <row r="202" spans="1:16" s="755" customFormat="1">
      <c r="B202" s="755" t="s">
        <v>715</v>
      </c>
      <c r="D202" s="408">
        <v>0</v>
      </c>
      <c r="E202" s="408">
        <v>0</v>
      </c>
      <c r="F202" s="408">
        <v>0</v>
      </c>
      <c r="G202" s="408">
        <v>0</v>
      </c>
      <c r="H202" s="408">
        <v>0</v>
      </c>
      <c r="I202" s="408">
        <v>0</v>
      </c>
      <c r="J202" s="408">
        <v>0</v>
      </c>
      <c r="K202" s="408">
        <v>0</v>
      </c>
      <c r="L202" s="408">
        <v>0</v>
      </c>
      <c r="M202" s="408">
        <v>0</v>
      </c>
      <c r="N202" s="408">
        <v>0</v>
      </c>
      <c r="O202" s="408">
        <v>0</v>
      </c>
      <c r="P202" s="408">
        <f t="shared" si="47"/>
        <v>0</v>
      </c>
    </row>
    <row r="203" spans="1:16" s="755" customFormat="1">
      <c r="B203" s="755" t="s">
        <v>669</v>
      </c>
      <c r="D203" s="408">
        <v>0</v>
      </c>
      <c r="E203" s="408">
        <v>0</v>
      </c>
      <c r="F203" s="408">
        <v>0</v>
      </c>
      <c r="G203" s="408">
        <v>0</v>
      </c>
      <c r="H203" s="408">
        <v>0</v>
      </c>
      <c r="I203" s="408">
        <v>0</v>
      </c>
      <c r="J203" s="408">
        <v>0</v>
      </c>
      <c r="K203" s="408">
        <v>0</v>
      </c>
      <c r="L203" s="408">
        <v>0</v>
      </c>
      <c r="M203" s="408">
        <v>0</v>
      </c>
      <c r="N203" s="408">
        <v>0</v>
      </c>
      <c r="O203" s="408">
        <v>0</v>
      </c>
      <c r="P203" s="408">
        <f t="shared" si="47"/>
        <v>0</v>
      </c>
    </row>
    <row r="204" spans="1:16" s="755" customFormat="1">
      <c r="B204" s="755" t="s">
        <v>670</v>
      </c>
      <c r="D204" s="408">
        <v>0</v>
      </c>
      <c r="E204" s="408">
        <v>0</v>
      </c>
      <c r="F204" s="408">
        <v>0</v>
      </c>
      <c r="G204" s="408">
        <v>0</v>
      </c>
      <c r="H204" s="408">
        <v>0</v>
      </c>
      <c r="I204" s="408">
        <v>0</v>
      </c>
      <c r="J204" s="408">
        <v>0</v>
      </c>
      <c r="K204" s="408">
        <v>0</v>
      </c>
      <c r="L204" s="408">
        <v>0</v>
      </c>
      <c r="M204" s="408">
        <v>0</v>
      </c>
      <c r="N204" s="408">
        <v>0</v>
      </c>
      <c r="O204" s="408">
        <v>0</v>
      </c>
      <c r="P204" s="408">
        <f t="shared" si="47"/>
        <v>0</v>
      </c>
    </row>
    <row r="205" spans="1:16" s="755" customFormat="1">
      <c r="B205" s="755" t="s">
        <v>671</v>
      </c>
      <c r="D205" s="408">
        <v>0</v>
      </c>
      <c r="E205" s="408">
        <v>0</v>
      </c>
      <c r="F205" s="408">
        <v>0</v>
      </c>
      <c r="G205" s="408">
        <v>0</v>
      </c>
      <c r="H205" s="408">
        <v>0</v>
      </c>
      <c r="I205" s="408">
        <v>0</v>
      </c>
      <c r="J205" s="408">
        <v>0</v>
      </c>
      <c r="K205" s="408">
        <v>0</v>
      </c>
      <c r="L205" s="408">
        <v>0</v>
      </c>
      <c r="M205" s="408">
        <v>0</v>
      </c>
      <c r="N205" s="408">
        <v>0</v>
      </c>
      <c r="O205" s="408">
        <v>0</v>
      </c>
      <c r="P205" s="408">
        <f t="shared" si="47"/>
        <v>0</v>
      </c>
    </row>
    <row r="206" spans="1:16" s="755" customFormat="1">
      <c r="B206" s="755" t="s">
        <v>672</v>
      </c>
      <c r="D206" s="408">
        <v>0</v>
      </c>
      <c r="E206" s="408">
        <v>0</v>
      </c>
      <c r="F206" s="408">
        <v>0</v>
      </c>
      <c r="G206" s="408">
        <v>0</v>
      </c>
      <c r="H206" s="408">
        <v>0</v>
      </c>
      <c r="I206" s="408">
        <v>0</v>
      </c>
      <c r="J206" s="408">
        <v>0</v>
      </c>
      <c r="K206" s="408">
        <v>0</v>
      </c>
      <c r="L206" s="408">
        <v>0</v>
      </c>
      <c r="M206" s="408">
        <v>0</v>
      </c>
      <c r="N206" s="408">
        <v>0</v>
      </c>
      <c r="O206" s="408">
        <v>0</v>
      </c>
      <c r="P206" s="408">
        <f t="shared" si="47"/>
        <v>0</v>
      </c>
    </row>
    <row r="207" spans="1:16" s="755" customFormat="1">
      <c r="B207" s="755" t="s">
        <v>673</v>
      </c>
      <c r="D207" s="408">
        <v>0</v>
      </c>
      <c r="E207" s="408">
        <v>0</v>
      </c>
      <c r="F207" s="408">
        <v>0</v>
      </c>
      <c r="G207" s="408">
        <v>0</v>
      </c>
      <c r="H207" s="408">
        <v>0</v>
      </c>
      <c r="I207" s="408">
        <v>0</v>
      </c>
      <c r="J207" s="408">
        <v>0</v>
      </c>
      <c r="K207" s="408">
        <v>0</v>
      </c>
      <c r="L207" s="408">
        <v>0</v>
      </c>
      <c r="M207" s="408">
        <v>0</v>
      </c>
      <c r="N207" s="408">
        <v>0</v>
      </c>
      <c r="O207" s="408">
        <v>0</v>
      </c>
      <c r="P207" s="408">
        <f t="shared" si="47"/>
        <v>0</v>
      </c>
    </row>
    <row r="208" spans="1:16" s="755" customFormat="1">
      <c r="B208" s="755" t="s">
        <v>769</v>
      </c>
      <c r="D208" s="408"/>
      <c r="E208" s="408"/>
      <c r="F208" s="408"/>
      <c r="G208" s="408"/>
      <c r="H208" s="408"/>
      <c r="I208" s="408">
        <v>0</v>
      </c>
      <c r="J208" s="408">
        <v>0</v>
      </c>
      <c r="K208" s="408">
        <v>0</v>
      </c>
      <c r="L208" s="408">
        <v>0</v>
      </c>
      <c r="M208" s="408">
        <v>0</v>
      </c>
      <c r="N208" s="408">
        <v>0</v>
      </c>
      <c r="O208" s="408">
        <v>0</v>
      </c>
      <c r="P208" s="408">
        <f t="shared" si="47"/>
        <v>0</v>
      </c>
    </row>
    <row r="209" spans="1:16" s="755" customFormat="1">
      <c r="B209" s="755" t="s">
        <v>66</v>
      </c>
      <c r="D209" s="408">
        <f>SUM(D195:D208)</f>
        <v>36161892</v>
      </c>
      <c r="E209" s="408">
        <f t="shared" ref="E209:P209" si="48">SUM(E195:E208)</f>
        <v>35055804</v>
      </c>
      <c r="F209" s="408">
        <f t="shared" si="48"/>
        <v>35276106</v>
      </c>
      <c r="G209" s="408">
        <f t="shared" si="48"/>
        <v>34282368</v>
      </c>
      <c r="H209" s="408">
        <f t="shared" si="48"/>
        <v>38684638</v>
      </c>
      <c r="I209" s="408">
        <f t="shared" si="48"/>
        <v>37544592</v>
      </c>
      <c r="J209" s="408">
        <f t="shared" si="48"/>
        <v>40314368</v>
      </c>
      <c r="K209" s="408">
        <f t="shared" si="48"/>
        <v>40335278</v>
      </c>
      <c r="L209" s="408">
        <f t="shared" si="48"/>
        <v>38614866</v>
      </c>
      <c r="M209" s="408">
        <f t="shared" si="48"/>
        <v>40639056</v>
      </c>
      <c r="N209" s="408">
        <f t="shared" si="48"/>
        <v>33404254</v>
      </c>
      <c r="O209" s="408">
        <f t="shared" si="48"/>
        <v>40786226</v>
      </c>
      <c r="P209" s="408">
        <f t="shared" si="48"/>
        <v>451099448</v>
      </c>
    </row>
    <row r="210" spans="1:16">
      <c r="A210" s="637" t="s">
        <v>645</v>
      </c>
      <c r="B210" s="637" t="s">
        <v>664</v>
      </c>
      <c r="C210" s="637"/>
      <c r="D210" s="408">
        <v>0</v>
      </c>
      <c r="E210" s="408">
        <v>0</v>
      </c>
      <c r="F210" s="408">
        <v>0</v>
      </c>
      <c r="G210" s="408">
        <v>0</v>
      </c>
      <c r="H210" s="408">
        <v>0</v>
      </c>
      <c r="I210" s="408">
        <v>0</v>
      </c>
      <c r="J210" s="408">
        <v>0</v>
      </c>
      <c r="K210" s="408">
        <v>0</v>
      </c>
      <c r="L210" s="408">
        <v>0</v>
      </c>
      <c r="M210" s="408">
        <v>0</v>
      </c>
      <c r="N210" s="408">
        <v>0</v>
      </c>
      <c r="O210" s="408">
        <v>0</v>
      </c>
      <c r="P210" s="408">
        <f t="shared" ref="P210:P211" si="49">SUM(D210:O210)</f>
        <v>0</v>
      </c>
    </row>
    <row r="211" spans="1:16">
      <c r="A211" s="637"/>
      <c r="B211" s="637" t="s">
        <v>676</v>
      </c>
      <c r="C211" s="637"/>
      <c r="D211" s="408">
        <v>0</v>
      </c>
      <c r="E211" s="408">
        <v>0</v>
      </c>
      <c r="F211" s="408">
        <v>0</v>
      </c>
      <c r="G211" s="408">
        <v>0</v>
      </c>
      <c r="H211" s="408">
        <v>0</v>
      </c>
      <c r="I211" s="408">
        <v>0</v>
      </c>
      <c r="J211" s="408">
        <v>0</v>
      </c>
      <c r="K211" s="408">
        <v>0</v>
      </c>
      <c r="L211" s="408">
        <v>0</v>
      </c>
      <c r="M211" s="408">
        <v>0</v>
      </c>
      <c r="N211" s="408">
        <v>0</v>
      </c>
      <c r="O211" s="408">
        <v>0</v>
      </c>
      <c r="P211" s="408">
        <f t="shared" si="49"/>
        <v>0</v>
      </c>
    </row>
    <row r="212" spans="1:16">
      <c r="A212" s="637"/>
      <c r="B212" s="637" t="s">
        <v>665</v>
      </c>
      <c r="C212" s="637"/>
      <c r="D212" s="408">
        <v>6893.9830000000002</v>
      </c>
      <c r="E212" s="408">
        <v>6616.5619999999999</v>
      </c>
      <c r="F212" s="408">
        <v>8013.9210000000003</v>
      </c>
      <c r="G212" s="408">
        <v>155068.42199999999</v>
      </c>
      <c r="H212" s="408">
        <v>3631764.45</v>
      </c>
      <c r="I212" s="408">
        <v>5611284.4299999997</v>
      </c>
      <c r="J212" s="408">
        <v>6277474.7079999996</v>
      </c>
      <c r="K212" s="408">
        <v>5034975.2829999998</v>
      </c>
      <c r="L212" s="408">
        <v>6450053.3789999997</v>
      </c>
      <c r="M212" s="408">
        <v>2328934.0950000002</v>
      </c>
      <c r="N212" s="408">
        <v>146425.31899999999</v>
      </c>
      <c r="O212" s="408">
        <v>-6149.6809999999996</v>
      </c>
      <c r="P212" s="408">
        <f>SUM(D212:O212)</f>
        <v>29651354.870999996</v>
      </c>
    </row>
    <row r="213" spans="1:16">
      <c r="A213" s="637"/>
      <c r="B213" s="637" t="s">
        <v>663</v>
      </c>
      <c r="C213" s="637"/>
      <c r="D213" s="408">
        <v>0</v>
      </c>
      <c r="E213" s="408">
        <v>0</v>
      </c>
      <c r="F213" s="408">
        <v>0</v>
      </c>
      <c r="G213" s="408">
        <v>0</v>
      </c>
      <c r="H213" s="408">
        <v>0</v>
      </c>
      <c r="I213" s="408">
        <v>0</v>
      </c>
      <c r="J213" s="408">
        <v>0</v>
      </c>
      <c r="K213" s="408">
        <v>0</v>
      </c>
      <c r="L213" s="408">
        <v>0</v>
      </c>
      <c r="M213" s="408">
        <v>0</v>
      </c>
      <c r="N213" s="408">
        <v>0</v>
      </c>
      <c r="O213" s="408">
        <v>0</v>
      </c>
      <c r="P213" s="408">
        <f t="shared" ref="P213:P220" si="50">SUM(D213:O213)</f>
        <v>0</v>
      </c>
    </row>
    <row r="214" spans="1:16">
      <c r="A214" s="637"/>
      <c r="B214" s="637" t="s">
        <v>715</v>
      </c>
      <c r="C214" s="637"/>
      <c r="D214" s="408">
        <v>0</v>
      </c>
      <c r="E214" s="408">
        <v>0</v>
      </c>
      <c r="F214" s="408">
        <v>0</v>
      </c>
      <c r="G214" s="408">
        <v>0</v>
      </c>
      <c r="H214" s="408">
        <v>0</v>
      </c>
      <c r="I214" s="408">
        <v>0</v>
      </c>
      <c r="J214" s="408">
        <v>0</v>
      </c>
      <c r="K214" s="408">
        <v>0</v>
      </c>
      <c r="L214" s="408">
        <v>0</v>
      </c>
      <c r="M214" s="408">
        <v>0</v>
      </c>
      <c r="N214" s="408">
        <v>0</v>
      </c>
      <c r="O214" s="408">
        <v>0</v>
      </c>
      <c r="P214" s="408">
        <f t="shared" si="50"/>
        <v>0</v>
      </c>
    </row>
    <row r="215" spans="1:16">
      <c r="A215" s="637"/>
      <c r="B215" s="637" t="s">
        <v>669</v>
      </c>
      <c r="C215" s="637"/>
      <c r="D215" s="408">
        <v>0</v>
      </c>
      <c r="E215" s="408">
        <v>0</v>
      </c>
      <c r="F215" s="408">
        <v>0</v>
      </c>
      <c r="G215" s="408">
        <v>0</v>
      </c>
      <c r="H215" s="408">
        <v>0</v>
      </c>
      <c r="I215" s="408">
        <v>0</v>
      </c>
      <c r="J215" s="408">
        <v>0</v>
      </c>
      <c r="K215" s="408">
        <v>0</v>
      </c>
      <c r="L215" s="408">
        <v>0</v>
      </c>
      <c r="M215" s="408">
        <v>0</v>
      </c>
      <c r="N215" s="408">
        <v>0</v>
      </c>
      <c r="O215" s="408">
        <v>0</v>
      </c>
      <c r="P215" s="408">
        <f t="shared" si="50"/>
        <v>0</v>
      </c>
    </row>
    <row r="216" spans="1:16">
      <c r="A216" s="637"/>
      <c r="B216" s="637" t="s">
        <v>670</v>
      </c>
      <c r="C216" s="637"/>
      <c r="D216" s="408">
        <v>0</v>
      </c>
      <c r="E216" s="408">
        <v>0</v>
      </c>
      <c r="F216" s="408">
        <v>0</v>
      </c>
      <c r="G216" s="408">
        <v>0</v>
      </c>
      <c r="H216" s="408">
        <v>0</v>
      </c>
      <c r="I216" s="408">
        <v>0</v>
      </c>
      <c r="J216" s="408">
        <v>0</v>
      </c>
      <c r="K216" s="408">
        <v>0</v>
      </c>
      <c r="L216" s="408">
        <v>0</v>
      </c>
      <c r="M216" s="408">
        <v>0</v>
      </c>
      <c r="N216" s="408">
        <v>0</v>
      </c>
      <c r="O216" s="408">
        <v>0</v>
      </c>
      <c r="P216" s="408">
        <f t="shared" si="50"/>
        <v>0</v>
      </c>
    </row>
    <row r="217" spans="1:16">
      <c r="A217" s="637"/>
      <c r="B217" s="637" t="s">
        <v>671</v>
      </c>
      <c r="C217" s="637"/>
      <c r="D217" s="408">
        <v>0</v>
      </c>
      <c r="E217" s="408">
        <v>0</v>
      </c>
      <c r="F217" s="408">
        <v>0</v>
      </c>
      <c r="G217" s="408">
        <v>0</v>
      </c>
      <c r="H217" s="408">
        <v>0</v>
      </c>
      <c r="I217" s="408">
        <v>0</v>
      </c>
      <c r="J217" s="408">
        <v>0</v>
      </c>
      <c r="K217" s="408">
        <v>0</v>
      </c>
      <c r="L217" s="408">
        <v>0</v>
      </c>
      <c r="M217" s="408">
        <v>0</v>
      </c>
      <c r="N217" s="408">
        <v>0</v>
      </c>
      <c r="O217" s="408">
        <v>0</v>
      </c>
      <c r="P217" s="408">
        <f t="shared" si="50"/>
        <v>0</v>
      </c>
    </row>
    <row r="218" spans="1:16">
      <c r="A218" s="637"/>
      <c r="B218" s="637" t="s">
        <v>672</v>
      </c>
      <c r="C218" s="637"/>
      <c r="D218" s="408">
        <v>0</v>
      </c>
      <c r="E218" s="408">
        <v>0</v>
      </c>
      <c r="F218" s="408">
        <v>0</v>
      </c>
      <c r="G218" s="408">
        <v>0</v>
      </c>
      <c r="H218" s="408">
        <v>0</v>
      </c>
      <c r="I218" s="408">
        <v>0</v>
      </c>
      <c r="J218" s="408">
        <v>0</v>
      </c>
      <c r="K218" s="408">
        <v>0</v>
      </c>
      <c r="L218" s="408">
        <v>0</v>
      </c>
      <c r="M218" s="408">
        <v>0</v>
      </c>
      <c r="N218" s="408">
        <v>0</v>
      </c>
      <c r="O218" s="408">
        <v>0</v>
      </c>
      <c r="P218" s="408">
        <f t="shared" si="50"/>
        <v>0</v>
      </c>
    </row>
    <row r="219" spans="1:16">
      <c r="A219" s="637"/>
      <c r="B219" s="637" t="s">
        <v>673</v>
      </c>
      <c r="C219" s="637"/>
      <c r="D219" s="408">
        <v>0</v>
      </c>
      <c r="E219" s="408">
        <v>0</v>
      </c>
      <c r="F219" s="408">
        <v>0</v>
      </c>
      <c r="G219" s="408">
        <v>0</v>
      </c>
      <c r="H219" s="408">
        <v>0</v>
      </c>
      <c r="I219" s="408">
        <v>0</v>
      </c>
      <c r="J219" s="408">
        <v>0</v>
      </c>
      <c r="K219" s="408">
        <v>0</v>
      </c>
      <c r="L219" s="408">
        <v>0</v>
      </c>
      <c r="M219" s="408">
        <v>0</v>
      </c>
      <c r="N219" s="408">
        <v>0</v>
      </c>
      <c r="O219" s="408">
        <v>0</v>
      </c>
      <c r="P219" s="408">
        <f t="shared" si="50"/>
        <v>0</v>
      </c>
    </row>
    <row r="220" spans="1:16">
      <c r="A220" s="637"/>
      <c r="B220" s="637" t="s">
        <v>769</v>
      </c>
      <c r="C220" s="637"/>
      <c r="D220" s="408"/>
      <c r="E220" s="408"/>
      <c r="F220" s="408"/>
      <c r="G220" s="408"/>
      <c r="H220" s="408">
        <v>0</v>
      </c>
      <c r="I220" s="408">
        <v>0</v>
      </c>
      <c r="J220" s="408">
        <v>0</v>
      </c>
      <c r="K220" s="408">
        <v>0</v>
      </c>
      <c r="L220" s="408">
        <v>0</v>
      </c>
      <c r="M220" s="408">
        <v>0</v>
      </c>
      <c r="N220" s="408">
        <v>0</v>
      </c>
      <c r="O220" s="408">
        <v>0</v>
      </c>
      <c r="P220" s="408">
        <f t="shared" si="50"/>
        <v>0</v>
      </c>
    </row>
    <row r="221" spans="1:16">
      <c r="A221" s="637"/>
      <c r="B221" s="637" t="s">
        <v>66</v>
      </c>
      <c r="C221" s="637"/>
      <c r="D221" s="408">
        <f>SUM(D210:D220)</f>
        <v>6893.9830000000002</v>
      </c>
      <c r="E221" s="408">
        <f t="shared" ref="E221:P221" si="51">SUM(E210:E220)</f>
        <v>6616.5619999999999</v>
      </c>
      <c r="F221" s="408">
        <f t="shared" si="51"/>
        <v>8013.9210000000003</v>
      </c>
      <c r="G221" s="408">
        <f t="shared" si="51"/>
        <v>155068.42199999999</v>
      </c>
      <c r="H221" s="408">
        <f t="shared" si="51"/>
        <v>3631764.45</v>
      </c>
      <c r="I221" s="408">
        <f t="shared" si="51"/>
        <v>5611284.4299999997</v>
      </c>
      <c r="J221" s="408">
        <f t="shared" si="51"/>
        <v>6277474.7079999996</v>
      </c>
      <c r="K221" s="408">
        <f t="shared" si="51"/>
        <v>5034975.2829999998</v>
      </c>
      <c r="L221" s="408">
        <f t="shared" si="51"/>
        <v>6450053.3789999997</v>
      </c>
      <c r="M221" s="408">
        <f t="shared" si="51"/>
        <v>2328934.0950000002</v>
      </c>
      <c r="N221" s="408">
        <f t="shared" si="51"/>
        <v>146425.31899999999</v>
      </c>
      <c r="O221" s="408">
        <f t="shared" si="51"/>
        <v>-6149.6809999999996</v>
      </c>
      <c r="P221" s="408">
        <f t="shared" si="51"/>
        <v>29651354.870999996</v>
      </c>
    </row>
    <row r="222" spans="1:16">
      <c r="A222" s="637" t="s">
        <v>646</v>
      </c>
      <c r="B222" s="637" t="s">
        <v>664</v>
      </c>
      <c r="C222" s="637"/>
      <c r="D222" s="408">
        <v>0</v>
      </c>
      <c r="E222" s="408">
        <v>0</v>
      </c>
      <c r="F222" s="408">
        <v>0</v>
      </c>
      <c r="G222" s="408">
        <v>0</v>
      </c>
      <c r="H222" s="408">
        <v>0</v>
      </c>
      <c r="I222" s="408">
        <v>0</v>
      </c>
      <c r="J222" s="408">
        <v>0</v>
      </c>
      <c r="K222" s="408">
        <v>0</v>
      </c>
      <c r="L222" s="408">
        <v>0</v>
      </c>
      <c r="M222" s="408">
        <v>0</v>
      </c>
      <c r="N222" s="408">
        <v>0</v>
      </c>
      <c r="O222" s="408">
        <v>0</v>
      </c>
      <c r="P222" s="408">
        <f t="shared" ref="P222:P223" si="52">SUM(D222:O222)</f>
        <v>0</v>
      </c>
    </row>
    <row r="223" spans="1:16">
      <c r="A223" s="637"/>
      <c r="B223" s="637" t="s">
        <v>676</v>
      </c>
      <c r="C223" s="637"/>
      <c r="D223" s="408">
        <v>0</v>
      </c>
      <c r="E223" s="408">
        <v>0</v>
      </c>
      <c r="F223" s="408">
        <v>0</v>
      </c>
      <c r="G223" s="408">
        <v>0</v>
      </c>
      <c r="H223" s="408">
        <v>0</v>
      </c>
      <c r="I223" s="408">
        <v>0</v>
      </c>
      <c r="J223" s="408">
        <v>0</v>
      </c>
      <c r="K223" s="408">
        <v>0</v>
      </c>
      <c r="L223" s="408">
        <v>0</v>
      </c>
      <c r="M223" s="408">
        <v>0</v>
      </c>
      <c r="N223" s="408">
        <v>0</v>
      </c>
      <c r="O223" s="408">
        <v>0</v>
      </c>
      <c r="P223" s="408">
        <f t="shared" si="52"/>
        <v>0</v>
      </c>
    </row>
    <row r="224" spans="1:16">
      <c r="A224" s="637"/>
      <c r="B224" s="637" t="s">
        <v>665</v>
      </c>
      <c r="C224" s="637"/>
      <c r="D224" s="408">
        <v>1435210.8746799999</v>
      </c>
      <c r="E224" s="408">
        <v>1503739.273</v>
      </c>
      <c r="F224" s="408">
        <v>1523709.7546699999</v>
      </c>
      <c r="G224" s="408">
        <v>1665652.0679899999</v>
      </c>
      <c r="H224" s="408">
        <v>3003869.0416700002</v>
      </c>
      <c r="I224" s="408">
        <v>3927772.8139999998</v>
      </c>
      <c r="J224" s="408">
        <v>4255547.1739999996</v>
      </c>
      <c r="K224" s="408">
        <v>4519070.0588199999</v>
      </c>
      <c r="L224" s="408">
        <v>4311855.0430100001</v>
      </c>
      <c r="M224" s="408">
        <v>3150820.23899</v>
      </c>
      <c r="N224" s="408">
        <v>1598417.04317</v>
      </c>
      <c r="O224" s="408">
        <v>1537210.8538299999</v>
      </c>
      <c r="P224" s="408">
        <f>SUM(D224:O224)</f>
        <v>32432874.237830002</v>
      </c>
    </row>
    <row r="225" spans="1:16">
      <c r="A225" s="637"/>
      <c r="B225" s="637" t="s">
        <v>666</v>
      </c>
      <c r="C225" s="637"/>
      <c r="D225" s="408">
        <v>412666.02</v>
      </c>
      <c r="E225" s="408">
        <v>406370.92499999999</v>
      </c>
      <c r="F225" s="408">
        <v>442605.27733000001</v>
      </c>
      <c r="G225" s="408">
        <v>424487.97434000002</v>
      </c>
      <c r="H225" s="408">
        <v>926384.78133000003</v>
      </c>
      <c r="I225" s="408">
        <v>1280712.5279999999</v>
      </c>
      <c r="J225" s="408">
        <v>1417870.8319999999</v>
      </c>
      <c r="K225" s="408">
        <v>1438310.4180099999</v>
      </c>
      <c r="L225" s="408">
        <v>1325965.6033300001</v>
      </c>
      <c r="M225" s="408">
        <v>690173.21366999997</v>
      </c>
      <c r="N225" s="408">
        <v>367700.73066</v>
      </c>
      <c r="O225" s="408">
        <v>410897.53266999999</v>
      </c>
      <c r="P225" s="408">
        <f t="shared" ref="P225:P234" si="53">SUM(D225:O225)</f>
        <v>9544145.8363400009</v>
      </c>
    </row>
    <row r="226" spans="1:16">
      <c r="A226" s="637"/>
      <c r="B226" s="637" t="s">
        <v>667</v>
      </c>
      <c r="C226" s="637"/>
      <c r="D226" s="408">
        <v>2200634.7093199999</v>
      </c>
      <c r="E226" s="408">
        <v>1960626.794</v>
      </c>
      <c r="F226" s="408">
        <v>2088688.014</v>
      </c>
      <c r="G226" s="408">
        <v>2049603.10867</v>
      </c>
      <c r="H226" s="408">
        <v>3674504.159</v>
      </c>
      <c r="I226" s="408">
        <v>6745724.3739999998</v>
      </c>
      <c r="J226" s="408">
        <v>9685573.9049999993</v>
      </c>
      <c r="K226" s="408">
        <v>12476606.641170001</v>
      </c>
      <c r="L226" s="408">
        <v>10887708.60066</v>
      </c>
      <c r="M226" s="408">
        <v>3687442.1383400001</v>
      </c>
      <c r="N226" s="408">
        <v>1810188.65117</v>
      </c>
      <c r="O226" s="408">
        <v>2051928.8295</v>
      </c>
      <c r="P226" s="408">
        <f t="shared" si="53"/>
        <v>59319229.924829997</v>
      </c>
    </row>
    <row r="227" spans="1:16">
      <c r="A227" s="637"/>
      <c r="B227" s="637" t="s">
        <v>663</v>
      </c>
      <c r="C227" s="637"/>
      <c r="D227" s="408">
        <v>0</v>
      </c>
      <c r="E227" s="408">
        <v>0</v>
      </c>
      <c r="F227" s="408">
        <v>0</v>
      </c>
      <c r="G227" s="408">
        <v>0</v>
      </c>
      <c r="H227" s="408">
        <v>0</v>
      </c>
      <c r="I227" s="408">
        <v>0</v>
      </c>
      <c r="J227" s="408">
        <v>0</v>
      </c>
      <c r="K227" s="408">
        <v>0</v>
      </c>
      <c r="L227" s="408">
        <v>0</v>
      </c>
      <c r="M227" s="408">
        <v>0</v>
      </c>
      <c r="N227" s="408">
        <v>0</v>
      </c>
      <c r="O227" s="408">
        <v>0</v>
      </c>
      <c r="P227" s="408">
        <f t="shared" si="53"/>
        <v>0</v>
      </c>
    </row>
    <row r="228" spans="1:16">
      <c r="A228" s="637"/>
      <c r="B228" s="637" t="s">
        <v>715</v>
      </c>
      <c r="C228" s="637"/>
      <c r="D228" s="408">
        <v>0</v>
      </c>
      <c r="E228" s="408">
        <v>0</v>
      </c>
      <c r="F228" s="408">
        <v>0</v>
      </c>
      <c r="G228" s="408">
        <v>0</v>
      </c>
      <c r="H228" s="408">
        <v>0</v>
      </c>
      <c r="I228" s="408">
        <v>0</v>
      </c>
      <c r="J228" s="408">
        <v>0</v>
      </c>
      <c r="K228" s="408">
        <v>0</v>
      </c>
      <c r="L228" s="408">
        <v>0</v>
      </c>
      <c r="M228" s="408">
        <v>0</v>
      </c>
      <c r="N228" s="408">
        <v>0</v>
      </c>
      <c r="O228" s="408">
        <v>0</v>
      </c>
      <c r="P228" s="408">
        <f t="shared" si="53"/>
        <v>0</v>
      </c>
    </row>
    <row r="229" spans="1:16">
      <c r="A229" s="637"/>
      <c r="B229" s="637" t="s">
        <v>669</v>
      </c>
      <c r="C229" s="637"/>
      <c r="D229" s="408">
        <v>0</v>
      </c>
      <c r="E229" s="408">
        <v>0</v>
      </c>
      <c r="F229" s="408">
        <v>0</v>
      </c>
      <c r="G229" s="408">
        <v>0</v>
      </c>
      <c r="H229" s="408">
        <v>0</v>
      </c>
      <c r="I229" s="408">
        <v>0</v>
      </c>
      <c r="J229" s="408">
        <v>0</v>
      </c>
      <c r="K229" s="408">
        <v>0</v>
      </c>
      <c r="L229" s="408">
        <v>0</v>
      </c>
      <c r="M229" s="408">
        <v>0</v>
      </c>
      <c r="N229" s="408">
        <v>0</v>
      </c>
      <c r="O229" s="408">
        <v>0</v>
      </c>
      <c r="P229" s="408">
        <f t="shared" si="53"/>
        <v>0</v>
      </c>
    </row>
    <row r="230" spans="1:16">
      <c r="A230" s="637"/>
      <c r="B230" s="637" t="s">
        <v>670</v>
      </c>
      <c r="C230" s="637"/>
      <c r="D230" s="408">
        <v>0</v>
      </c>
      <c r="E230" s="408">
        <v>0</v>
      </c>
      <c r="F230" s="408">
        <v>0</v>
      </c>
      <c r="G230" s="408">
        <v>0</v>
      </c>
      <c r="H230" s="408">
        <v>0</v>
      </c>
      <c r="I230" s="408">
        <v>0</v>
      </c>
      <c r="J230" s="408">
        <v>0</v>
      </c>
      <c r="K230" s="408">
        <v>0</v>
      </c>
      <c r="L230" s="408">
        <v>0</v>
      </c>
      <c r="M230" s="408">
        <v>0</v>
      </c>
      <c r="N230" s="408">
        <v>0</v>
      </c>
      <c r="O230" s="408">
        <v>0</v>
      </c>
      <c r="P230" s="408">
        <f t="shared" si="53"/>
        <v>0</v>
      </c>
    </row>
    <row r="231" spans="1:16">
      <c r="A231" s="637"/>
      <c r="B231" s="637" t="s">
        <v>671</v>
      </c>
      <c r="C231" s="637"/>
      <c r="D231" s="408">
        <v>0</v>
      </c>
      <c r="E231" s="408">
        <v>0</v>
      </c>
      <c r="F231" s="408">
        <v>0</v>
      </c>
      <c r="G231" s="408">
        <v>0</v>
      </c>
      <c r="H231" s="408">
        <v>0</v>
      </c>
      <c r="I231" s="408">
        <v>0</v>
      </c>
      <c r="J231" s="408">
        <v>0</v>
      </c>
      <c r="K231" s="408">
        <v>0</v>
      </c>
      <c r="L231" s="408">
        <v>0</v>
      </c>
      <c r="M231" s="408">
        <v>0</v>
      </c>
      <c r="N231" s="408">
        <v>0</v>
      </c>
      <c r="O231" s="408">
        <v>0</v>
      </c>
      <c r="P231" s="408">
        <f t="shared" si="53"/>
        <v>0</v>
      </c>
    </row>
    <row r="232" spans="1:16">
      <c r="A232" s="637"/>
      <c r="B232" s="637" t="s">
        <v>672</v>
      </c>
      <c r="C232" s="637"/>
      <c r="D232" s="408">
        <v>0</v>
      </c>
      <c r="E232" s="408">
        <v>0</v>
      </c>
      <c r="F232" s="408">
        <v>0</v>
      </c>
      <c r="G232" s="408">
        <v>0</v>
      </c>
      <c r="H232" s="408">
        <v>0</v>
      </c>
      <c r="I232" s="408">
        <v>0</v>
      </c>
      <c r="J232" s="408">
        <v>0</v>
      </c>
      <c r="K232" s="408">
        <v>0</v>
      </c>
      <c r="L232" s="408">
        <v>0</v>
      </c>
      <c r="M232" s="408">
        <v>0</v>
      </c>
      <c r="N232" s="408">
        <v>0</v>
      </c>
      <c r="O232" s="408">
        <v>0</v>
      </c>
      <c r="P232" s="408">
        <f t="shared" si="53"/>
        <v>0</v>
      </c>
    </row>
    <row r="233" spans="1:16">
      <c r="A233" s="637"/>
      <c r="B233" s="637" t="s">
        <v>673</v>
      </c>
      <c r="C233" s="637"/>
      <c r="D233" s="408">
        <v>0</v>
      </c>
      <c r="E233" s="408">
        <v>0</v>
      </c>
      <c r="F233" s="408">
        <v>0</v>
      </c>
      <c r="G233" s="408">
        <v>0</v>
      </c>
      <c r="H233" s="408">
        <v>0</v>
      </c>
      <c r="I233" s="408">
        <v>0</v>
      </c>
      <c r="J233" s="408">
        <v>0</v>
      </c>
      <c r="K233" s="408">
        <v>0</v>
      </c>
      <c r="L233" s="408">
        <v>0</v>
      </c>
      <c r="M233" s="408">
        <v>0</v>
      </c>
      <c r="N233" s="408">
        <v>0</v>
      </c>
      <c r="O233" s="408">
        <v>0</v>
      </c>
      <c r="P233" s="408">
        <f t="shared" si="53"/>
        <v>0</v>
      </c>
    </row>
    <row r="234" spans="1:16">
      <c r="A234" s="637"/>
      <c r="B234" s="637" t="s">
        <v>769</v>
      </c>
      <c r="C234" s="637"/>
      <c r="D234" s="408"/>
      <c r="E234" s="408"/>
      <c r="F234" s="408"/>
      <c r="G234" s="408"/>
      <c r="H234" s="408">
        <v>0</v>
      </c>
      <c r="I234" s="408">
        <v>0</v>
      </c>
      <c r="J234" s="408">
        <v>0</v>
      </c>
      <c r="K234" s="408">
        <v>0</v>
      </c>
      <c r="L234" s="408">
        <v>0</v>
      </c>
      <c r="M234" s="408">
        <v>0</v>
      </c>
      <c r="N234" s="408">
        <v>0</v>
      </c>
      <c r="O234" s="408">
        <v>0</v>
      </c>
      <c r="P234" s="408">
        <f t="shared" si="53"/>
        <v>0</v>
      </c>
    </row>
    <row r="235" spans="1:16">
      <c r="A235" s="637"/>
      <c r="B235" s="637" t="s">
        <v>66</v>
      </c>
      <c r="C235" s="637"/>
      <c r="D235" s="408">
        <f>SUM(D222:D234)</f>
        <v>4048511.6039999998</v>
      </c>
      <c r="E235" s="408">
        <f t="shared" ref="E235:P235" si="54">SUM(E222:E234)</f>
        <v>3870736.9920000001</v>
      </c>
      <c r="F235" s="408">
        <f t="shared" si="54"/>
        <v>4055003.0460000001</v>
      </c>
      <c r="G235" s="408">
        <f t="shared" si="54"/>
        <v>4139743.1509999996</v>
      </c>
      <c r="H235" s="408">
        <f t="shared" si="54"/>
        <v>7604757.9820000008</v>
      </c>
      <c r="I235" s="408">
        <f t="shared" si="54"/>
        <v>11954209.716</v>
      </c>
      <c r="J235" s="408">
        <f t="shared" si="54"/>
        <v>15358991.910999998</v>
      </c>
      <c r="K235" s="408">
        <f t="shared" si="54"/>
        <v>18433987.118000001</v>
      </c>
      <c r="L235" s="408">
        <f t="shared" si="54"/>
        <v>16525529.247000001</v>
      </c>
      <c r="M235" s="408">
        <f t="shared" si="54"/>
        <v>7528435.591</v>
      </c>
      <c r="N235" s="408">
        <f t="shared" si="54"/>
        <v>3776306.4249999998</v>
      </c>
      <c r="O235" s="408">
        <f t="shared" si="54"/>
        <v>4000037.216</v>
      </c>
      <c r="P235" s="408">
        <f t="shared" si="54"/>
        <v>101296249.999</v>
      </c>
    </row>
    <row r="236" spans="1:16">
      <c r="A236" s="637" t="s">
        <v>647</v>
      </c>
      <c r="B236" s="637" t="s">
        <v>664</v>
      </c>
      <c r="C236" s="637"/>
      <c r="D236" s="408">
        <v>0</v>
      </c>
      <c r="E236" s="408">
        <v>0</v>
      </c>
      <c r="F236" s="408">
        <v>0</v>
      </c>
      <c r="G236" s="408">
        <v>0</v>
      </c>
      <c r="H236" s="408">
        <v>0</v>
      </c>
      <c r="I236" s="408">
        <v>0</v>
      </c>
      <c r="J236" s="408">
        <v>0</v>
      </c>
      <c r="K236" s="408">
        <v>0</v>
      </c>
      <c r="L236" s="408">
        <v>0</v>
      </c>
      <c r="M236" s="408">
        <v>0</v>
      </c>
      <c r="N236" s="408">
        <v>0</v>
      </c>
      <c r="O236" s="408">
        <v>0</v>
      </c>
      <c r="P236" s="408">
        <f>SUM(D236:O236)</f>
        <v>0</v>
      </c>
    </row>
    <row r="237" spans="1:16">
      <c r="A237" s="637"/>
      <c r="B237" s="637" t="s">
        <v>665</v>
      </c>
      <c r="C237" s="637"/>
      <c r="D237" s="408">
        <v>123235.696</v>
      </c>
      <c r="E237" s="408">
        <v>118172.65867</v>
      </c>
      <c r="F237" s="408">
        <v>132559.23666</v>
      </c>
      <c r="G237" s="408">
        <v>149925.82334</v>
      </c>
      <c r="H237" s="408">
        <v>275992.79632999998</v>
      </c>
      <c r="I237" s="408">
        <v>370414.76066999999</v>
      </c>
      <c r="J237" s="408">
        <v>480760.603</v>
      </c>
      <c r="K237" s="408">
        <v>503936.17001</v>
      </c>
      <c r="L237" s="408">
        <v>444415.46932999999</v>
      </c>
      <c r="M237" s="408">
        <v>235892.027</v>
      </c>
      <c r="N237" s="408">
        <v>128646.96534</v>
      </c>
      <c r="O237" s="408">
        <v>120191.73832999999</v>
      </c>
      <c r="P237" s="408">
        <f>SUM(D237:O237)</f>
        <v>3084143.9446800002</v>
      </c>
    </row>
    <row r="238" spans="1:16">
      <c r="A238" s="637"/>
      <c r="B238" s="637" t="s">
        <v>666</v>
      </c>
      <c r="C238" s="637"/>
      <c r="D238" s="408">
        <v>63177.093000000001</v>
      </c>
      <c r="E238" s="408">
        <v>63294.411330000003</v>
      </c>
      <c r="F238" s="408">
        <v>69008.147339999996</v>
      </c>
      <c r="G238" s="408">
        <v>69775.309659999999</v>
      </c>
      <c r="H238" s="408">
        <v>136598.55166999999</v>
      </c>
      <c r="I238" s="408">
        <v>203641.81333</v>
      </c>
      <c r="J238" s="408">
        <v>317846.723</v>
      </c>
      <c r="K238" s="408">
        <v>329470.72798999998</v>
      </c>
      <c r="L238" s="408">
        <v>273501.88367000001</v>
      </c>
      <c r="M238" s="408">
        <v>90713.11</v>
      </c>
      <c r="N238" s="408">
        <v>53993.033660000001</v>
      </c>
      <c r="O238" s="408">
        <v>58552.88667</v>
      </c>
      <c r="P238" s="408">
        <f t="shared" ref="P238:P248" si="55">SUM(D238:O238)</f>
        <v>1729573.6913199998</v>
      </c>
    </row>
    <row r="239" spans="1:16">
      <c r="A239" s="637"/>
      <c r="B239" s="637" t="s">
        <v>667</v>
      </c>
      <c r="C239" s="637"/>
      <c r="D239" s="408">
        <v>125994.208</v>
      </c>
      <c r="E239" s="408">
        <v>118087.571</v>
      </c>
      <c r="F239" s="408">
        <v>134762.636</v>
      </c>
      <c r="G239" s="408">
        <v>101170.874</v>
      </c>
      <c r="H239" s="408">
        <v>272912.48100000003</v>
      </c>
      <c r="I239" s="408">
        <v>401061.74599999998</v>
      </c>
      <c r="J239" s="408">
        <v>892892.91700000002</v>
      </c>
      <c r="K239" s="408">
        <v>804023.22400000005</v>
      </c>
      <c r="L239" s="408">
        <v>588822.99</v>
      </c>
      <c r="M239" s="408">
        <v>139901.26</v>
      </c>
      <c r="N239" s="408">
        <v>91323.361000000004</v>
      </c>
      <c r="O239" s="408">
        <v>127703.268</v>
      </c>
      <c r="P239" s="408">
        <f t="shared" si="55"/>
        <v>3798656.5359999998</v>
      </c>
    </row>
    <row r="240" spans="1:16">
      <c r="A240" s="637"/>
      <c r="B240" s="637" t="s">
        <v>663</v>
      </c>
      <c r="C240" s="637"/>
      <c r="D240" s="408">
        <v>0</v>
      </c>
      <c r="E240" s="408">
        <v>0</v>
      </c>
      <c r="F240" s="408">
        <v>0</v>
      </c>
      <c r="G240" s="408">
        <v>0</v>
      </c>
      <c r="H240" s="408">
        <v>0</v>
      </c>
      <c r="I240" s="408">
        <v>0</v>
      </c>
      <c r="J240" s="408">
        <v>0</v>
      </c>
      <c r="K240" s="408">
        <v>0</v>
      </c>
      <c r="L240" s="408">
        <v>0</v>
      </c>
      <c r="M240" s="408">
        <v>0</v>
      </c>
      <c r="N240" s="408">
        <v>0</v>
      </c>
      <c r="O240" s="408">
        <v>0</v>
      </c>
      <c r="P240" s="408">
        <f t="shared" si="55"/>
        <v>0</v>
      </c>
    </row>
    <row r="241" spans="1:16">
      <c r="A241" s="637"/>
      <c r="B241" s="637" t="s">
        <v>668</v>
      </c>
      <c r="C241" s="637"/>
      <c r="D241" s="408">
        <v>0</v>
      </c>
      <c r="E241" s="408">
        <v>0</v>
      </c>
      <c r="F241" s="408">
        <v>0</v>
      </c>
      <c r="G241" s="408">
        <v>0</v>
      </c>
      <c r="H241" s="408">
        <v>0</v>
      </c>
      <c r="I241" s="408">
        <v>0</v>
      </c>
      <c r="J241" s="408">
        <v>0</v>
      </c>
      <c r="K241" s="408">
        <v>0</v>
      </c>
      <c r="L241" s="408">
        <v>0</v>
      </c>
      <c r="M241" s="408">
        <v>0</v>
      </c>
      <c r="N241" s="408">
        <v>0</v>
      </c>
      <c r="O241" s="408">
        <v>0</v>
      </c>
      <c r="P241" s="408">
        <f t="shared" si="55"/>
        <v>0</v>
      </c>
    </row>
    <row r="242" spans="1:16">
      <c r="A242" s="637"/>
      <c r="B242" s="637" t="s">
        <v>715</v>
      </c>
      <c r="C242" s="637"/>
      <c r="D242" s="408">
        <v>0</v>
      </c>
      <c r="E242" s="408">
        <v>0</v>
      </c>
      <c r="F242" s="408">
        <v>0</v>
      </c>
      <c r="G242" s="408">
        <v>0</v>
      </c>
      <c r="H242" s="408">
        <v>0</v>
      </c>
      <c r="I242" s="408">
        <v>0</v>
      </c>
      <c r="J242" s="408">
        <v>0</v>
      </c>
      <c r="K242" s="408">
        <v>0</v>
      </c>
      <c r="L242" s="408">
        <v>0</v>
      </c>
      <c r="M242" s="408">
        <v>0</v>
      </c>
      <c r="N242" s="408">
        <v>0</v>
      </c>
      <c r="O242" s="408">
        <v>0</v>
      </c>
      <c r="P242" s="408">
        <f t="shared" si="55"/>
        <v>0</v>
      </c>
    </row>
    <row r="243" spans="1:16">
      <c r="A243" s="637"/>
      <c r="B243" s="637" t="s">
        <v>669</v>
      </c>
      <c r="C243" s="637"/>
      <c r="D243" s="408">
        <v>0</v>
      </c>
      <c r="E243" s="408">
        <v>0</v>
      </c>
      <c r="F243" s="408">
        <v>0</v>
      </c>
      <c r="G243" s="408">
        <v>0</v>
      </c>
      <c r="H243" s="408">
        <v>0</v>
      </c>
      <c r="I243" s="408">
        <v>0</v>
      </c>
      <c r="J243" s="408">
        <v>0</v>
      </c>
      <c r="K243" s="408">
        <v>0</v>
      </c>
      <c r="L243" s="408">
        <v>0</v>
      </c>
      <c r="M243" s="408">
        <v>0</v>
      </c>
      <c r="N243" s="408">
        <v>0</v>
      </c>
      <c r="O243" s="408">
        <v>0</v>
      </c>
      <c r="P243" s="408">
        <f t="shared" si="55"/>
        <v>0</v>
      </c>
    </row>
    <row r="244" spans="1:16">
      <c r="A244" s="637"/>
      <c r="B244" s="637" t="s">
        <v>670</v>
      </c>
      <c r="C244" s="637"/>
      <c r="D244" s="408">
        <v>0</v>
      </c>
      <c r="E244" s="408">
        <v>0</v>
      </c>
      <c r="F244" s="408">
        <v>0</v>
      </c>
      <c r="G244" s="408">
        <v>0</v>
      </c>
      <c r="H244" s="408">
        <v>0</v>
      </c>
      <c r="I244" s="408">
        <v>0</v>
      </c>
      <c r="J244" s="408">
        <v>0</v>
      </c>
      <c r="K244" s="408">
        <v>0</v>
      </c>
      <c r="L244" s="408">
        <v>0</v>
      </c>
      <c r="M244" s="408">
        <v>0</v>
      </c>
      <c r="N244" s="408">
        <v>0</v>
      </c>
      <c r="O244" s="408">
        <v>0</v>
      </c>
      <c r="P244" s="408">
        <f t="shared" si="55"/>
        <v>0</v>
      </c>
    </row>
    <row r="245" spans="1:16">
      <c r="A245" s="637"/>
      <c r="B245" s="637" t="s">
        <v>671</v>
      </c>
      <c r="C245" s="637"/>
      <c r="D245" s="408">
        <v>0</v>
      </c>
      <c r="E245" s="408">
        <v>0</v>
      </c>
      <c r="F245" s="408">
        <v>0</v>
      </c>
      <c r="G245" s="408">
        <v>0</v>
      </c>
      <c r="H245" s="408">
        <v>0</v>
      </c>
      <c r="I245" s="408">
        <v>0</v>
      </c>
      <c r="J245" s="408">
        <v>0</v>
      </c>
      <c r="K245" s="408">
        <v>0</v>
      </c>
      <c r="L245" s="408">
        <v>0</v>
      </c>
      <c r="M245" s="408">
        <v>0</v>
      </c>
      <c r="N245" s="408">
        <v>0</v>
      </c>
      <c r="O245" s="408">
        <v>0</v>
      </c>
      <c r="P245" s="408">
        <f t="shared" si="55"/>
        <v>0</v>
      </c>
    </row>
    <row r="246" spans="1:16">
      <c r="A246" s="637"/>
      <c r="B246" s="637" t="s">
        <v>672</v>
      </c>
      <c r="C246" s="637"/>
      <c r="D246" s="408">
        <v>0</v>
      </c>
      <c r="E246" s="408">
        <v>0</v>
      </c>
      <c r="F246" s="408">
        <v>0</v>
      </c>
      <c r="G246" s="408">
        <v>0</v>
      </c>
      <c r="H246" s="408">
        <v>0</v>
      </c>
      <c r="I246" s="408">
        <v>0</v>
      </c>
      <c r="J246" s="408">
        <v>0</v>
      </c>
      <c r="K246" s="408">
        <v>0</v>
      </c>
      <c r="L246" s="408">
        <v>0</v>
      </c>
      <c r="M246" s="408">
        <v>0</v>
      </c>
      <c r="N246" s="408">
        <v>0</v>
      </c>
      <c r="O246" s="408">
        <v>0</v>
      </c>
      <c r="P246" s="408">
        <f t="shared" si="55"/>
        <v>0</v>
      </c>
    </row>
    <row r="247" spans="1:16">
      <c r="A247" s="637"/>
      <c r="B247" s="637" t="s">
        <v>673</v>
      </c>
      <c r="C247" s="637"/>
      <c r="D247" s="408">
        <v>0</v>
      </c>
      <c r="E247" s="408">
        <v>0</v>
      </c>
      <c r="F247" s="408">
        <v>0</v>
      </c>
      <c r="G247" s="408">
        <v>0</v>
      </c>
      <c r="H247" s="408">
        <v>0</v>
      </c>
      <c r="I247" s="408">
        <v>0</v>
      </c>
      <c r="J247" s="408">
        <v>0</v>
      </c>
      <c r="K247" s="408">
        <v>0</v>
      </c>
      <c r="L247" s="408">
        <v>0</v>
      </c>
      <c r="M247" s="408">
        <v>0</v>
      </c>
      <c r="N247" s="408">
        <v>0</v>
      </c>
      <c r="O247" s="408">
        <v>0</v>
      </c>
      <c r="P247" s="408">
        <f t="shared" si="55"/>
        <v>0</v>
      </c>
    </row>
    <row r="248" spans="1:16">
      <c r="A248" s="637"/>
      <c r="B248" s="637" t="s">
        <v>769</v>
      </c>
      <c r="C248" s="637"/>
      <c r="D248" s="408"/>
      <c r="E248" s="408"/>
      <c r="F248" s="408"/>
      <c r="G248" s="408"/>
      <c r="H248" s="408">
        <v>0</v>
      </c>
      <c r="I248" s="408">
        <v>0</v>
      </c>
      <c r="J248" s="408">
        <v>0</v>
      </c>
      <c r="K248" s="408">
        <v>0</v>
      </c>
      <c r="L248" s="408">
        <v>0</v>
      </c>
      <c r="M248" s="408">
        <v>0</v>
      </c>
      <c r="N248" s="408">
        <v>0</v>
      </c>
      <c r="O248" s="408">
        <v>0</v>
      </c>
      <c r="P248" s="408">
        <f t="shared" si="55"/>
        <v>0</v>
      </c>
    </row>
    <row r="249" spans="1:16">
      <c r="A249" s="637"/>
      <c r="B249" s="637" t="s">
        <v>66</v>
      </c>
      <c r="C249" s="637"/>
      <c r="D249" s="408">
        <f>SUM(D236:D248)</f>
        <v>312406.99699999997</v>
      </c>
      <c r="E249" s="408">
        <f>SUM(E236:E248)</f>
        <v>299554.641</v>
      </c>
      <c r="F249" s="408">
        <f t="shared" ref="F249:P249" si="56">SUM(F236:F248)</f>
        <v>336330.02</v>
      </c>
      <c r="G249" s="408">
        <f t="shared" si="56"/>
        <v>320872.00699999998</v>
      </c>
      <c r="H249" s="408">
        <f t="shared" si="56"/>
        <v>685503.82900000003</v>
      </c>
      <c r="I249" s="408">
        <f t="shared" si="56"/>
        <v>975118.32000000007</v>
      </c>
      <c r="J249" s="408">
        <f t="shared" si="56"/>
        <v>1691500.243</v>
      </c>
      <c r="K249" s="408">
        <f t="shared" si="56"/>
        <v>1637430.122</v>
      </c>
      <c r="L249" s="408">
        <f t="shared" si="56"/>
        <v>1306740.3429999999</v>
      </c>
      <c r="M249" s="408">
        <f t="shared" si="56"/>
        <v>466506.397</v>
      </c>
      <c r="N249" s="408">
        <f t="shared" si="56"/>
        <v>273963.36</v>
      </c>
      <c r="O249" s="408">
        <f t="shared" si="56"/>
        <v>306447.89299999998</v>
      </c>
      <c r="P249" s="408">
        <f t="shared" si="56"/>
        <v>8612374.1720000003</v>
      </c>
    </row>
    <row r="250" spans="1:16">
      <c r="A250" s="637" t="s">
        <v>648</v>
      </c>
      <c r="B250" s="637" t="s">
        <v>679</v>
      </c>
      <c r="C250" s="637"/>
      <c r="D250" s="408">
        <v>0</v>
      </c>
      <c r="E250" s="408">
        <v>0</v>
      </c>
      <c r="F250" s="408">
        <v>0</v>
      </c>
      <c r="G250" s="408">
        <v>0</v>
      </c>
      <c r="H250" s="408">
        <v>0</v>
      </c>
      <c r="I250" s="408">
        <v>0</v>
      </c>
      <c r="J250" s="408">
        <v>0</v>
      </c>
      <c r="K250" s="408">
        <v>0</v>
      </c>
      <c r="L250" s="408">
        <v>0</v>
      </c>
      <c r="M250" s="408">
        <v>0</v>
      </c>
      <c r="N250" s="408">
        <v>0</v>
      </c>
      <c r="O250" s="408">
        <v>0</v>
      </c>
      <c r="P250" s="408">
        <f>SUM(D250:O250)</f>
        <v>0</v>
      </c>
    </row>
    <row r="251" spans="1:16">
      <c r="A251" s="637"/>
      <c r="B251" s="637" t="s">
        <v>663</v>
      </c>
      <c r="C251" s="637"/>
      <c r="D251" s="408">
        <v>1331.001</v>
      </c>
      <c r="E251" s="408">
        <v>5799.8010000000004</v>
      </c>
      <c r="F251" s="408">
        <v>3442.5439999999999</v>
      </c>
      <c r="G251" s="408">
        <v>3687.57</v>
      </c>
      <c r="H251" s="408">
        <v>1172</v>
      </c>
      <c r="I251" s="408">
        <v>5539.7330000000002</v>
      </c>
      <c r="J251" s="408">
        <v>1223.933</v>
      </c>
      <c r="K251" s="408">
        <v>1172</v>
      </c>
      <c r="L251" s="408">
        <v>1198.2</v>
      </c>
      <c r="M251" s="408">
        <v>1193.5989999999999</v>
      </c>
      <c r="N251" s="408">
        <v>1134.1969999999999</v>
      </c>
      <c r="O251" s="408">
        <v>1319.8969999999999</v>
      </c>
      <c r="P251" s="408">
        <f>SUM(D251:O251)</f>
        <v>28214.475000000002</v>
      </c>
    </row>
    <row r="252" spans="1:16">
      <c r="A252" s="637"/>
      <c r="B252" s="637" t="s">
        <v>669</v>
      </c>
      <c r="C252" s="637"/>
      <c r="D252" s="408">
        <v>0</v>
      </c>
      <c r="E252" s="408">
        <v>0</v>
      </c>
      <c r="F252" s="408">
        <v>0</v>
      </c>
      <c r="G252" s="408">
        <v>0</v>
      </c>
      <c r="H252" s="408">
        <v>0</v>
      </c>
      <c r="I252" s="408">
        <v>0</v>
      </c>
      <c r="J252" s="408">
        <v>0</v>
      </c>
      <c r="K252" s="408">
        <v>0</v>
      </c>
      <c r="L252" s="408">
        <v>0</v>
      </c>
      <c r="M252" s="408">
        <v>0</v>
      </c>
      <c r="N252" s="408">
        <v>0</v>
      </c>
      <c r="O252" s="408">
        <v>0</v>
      </c>
      <c r="P252" s="408">
        <f t="shared" ref="P252:P257" si="57">SUM(D252:O252)</f>
        <v>0</v>
      </c>
    </row>
    <row r="253" spans="1:16">
      <c r="A253" s="637"/>
      <c r="B253" s="637" t="s">
        <v>670</v>
      </c>
      <c r="C253" s="637"/>
      <c r="D253" s="408">
        <v>0</v>
      </c>
      <c r="E253" s="408">
        <v>0</v>
      </c>
      <c r="F253" s="408">
        <v>0</v>
      </c>
      <c r="G253" s="408">
        <v>0</v>
      </c>
      <c r="H253" s="408">
        <v>0</v>
      </c>
      <c r="I253" s="408">
        <v>0</v>
      </c>
      <c r="J253" s="408">
        <v>0</v>
      </c>
      <c r="K253" s="408">
        <v>0</v>
      </c>
      <c r="L253" s="408">
        <v>0</v>
      </c>
      <c r="M253" s="408">
        <v>0</v>
      </c>
      <c r="N253" s="408">
        <v>0</v>
      </c>
      <c r="O253" s="408">
        <v>0</v>
      </c>
      <c r="P253" s="408">
        <f t="shared" si="57"/>
        <v>0</v>
      </c>
    </row>
    <row r="254" spans="1:16">
      <c r="A254" s="637"/>
      <c r="B254" s="637" t="s">
        <v>671</v>
      </c>
      <c r="C254" s="637"/>
      <c r="D254" s="408">
        <v>0</v>
      </c>
      <c r="E254" s="408">
        <v>0</v>
      </c>
      <c r="F254" s="408">
        <v>0</v>
      </c>
      <c r="G254" s="408">
        <v>0</v>
      </c>
      <c r="H254" s="408">
        <v>0</v>
      </c>
      <c r="I254" s="408">
        <v>0</v>
      </c>
      <c r="J254" s="408">
        <v>0</v>
      </c>
      <c r="K254" s="408">
        <v>0</v>
      </c>
      <c r="L254" s="408">
        <v>0</v>
      </c>
      <c r="M254" s="408">
        <v>0</v>
      </c>
      <c r="N254" s="408">
        <v>0</v>
      </c>
      <c r="O254" s="408">
        <v>0</v>
      </c>
      <c r="P254" s="408">
        <f t="shared" si="57"/>
        <v>0</v>
      </c>
    </row>
    <row r="255" spans="1:16">
      <c r="A255" s="637"/>
      <c r="B255" s="637" t="s">
        <v>672</v>
      </c>
      <c r="C255" s="637"/>
      <c r="D255" s="408">
        <v>0</v>
      </c>
      <c r="E255" s="408">
        <v>0</v>
      </c>
      <c r="F255" s="408">
        <v>0</v>
      </c>
      <c r="G255" s="408">
        <v>0</v>
      </c>
      <c r="H255" s="408">
        <v>0</v>
      </c>
      <c r="I255" s="408">
        <v>0</v>
      </c>
      <c r="J255" s="408">
        <v>0</v>
      </c>
      <c r="K255" s="408">
        <v>0</v>
      </c>
      <c r="L255" s="408">
        <v>0</v>
      </c>
      <c r="M255" s="408">
        <v>0</v>
      </c>
      <c r="N255" s="408">
        <v>0</v>
      </c>
      <c r="O255" s="408">
        <v>0</v>
      </c>
      <c r="P255" s="408">
        <f t="shared" si="57"/>
        <v>0</v>
      </c>
    </row>
    <row r="256" spans="1:16">
      <c r="A256" s="637"/>
      <c r="B256" s="637" t="s">
        <v>673</v>
      </c>
      <c r="C256" s="637"/>
      <c r="D256" s="408">
        <v>0</v>
      </c>
      <c r="E256" s="408">
        <v>0</v>
      </c>
      <c r="F256" s="408">
        <v>0</v>
      </c>
      <c r="G256" s="408">
        <v>0</v>
      </c>
      <c r="H256" s="408">
        <v>0</v>
      </c>
      <c r="I256" s="408">
        <v>0</v>
      </c>
      <c r="J256" s="408">
        <v>0</v>
      </c>
      <c r="K256" s="408">
        <v>0</v>
      </c>
      <c r="L256" s="408">
        <v>0</v>
      </c>
      <c r="M256" s="408">
        <v>0</v>
      </c>
      <c r="N256" s="408">
        <v>0</v>
      </c>
      <c r="O256" s="408">
        <v>0</v>
      </c>
      <c r="P256" s="408">
        <f t="shared" si="57"/>
        <v>0</v>
      </c>
    </row>
    <row r="257" spans="1:16">
      <c r="A257" s="637"/>
      <c r="B257" s="637" t="s">
        <v>769</v>
      </c>
      <c r="C257" s="637"/>
      <c r="D257" s="408"/>
      <c r="E257" s="408"/>
      <c r="F257" s="408"/>
      <c r="G257" s="408"/>
      <c r="H257" s="408">
        <v>0</v>
      </c>
      <c r="I257" s="408">
        <v>0</v>
      </c>
      <c r="J257" s="408">
        <v>0</v>
      </c>
      <c r="K257" s="408">
        <v>0</v>
      </c>
      <c r="L257" s="408">
        <v>0</v>
      </c>
      <c r="M257" s="408">
        <v>0</v>
      </c>
      <c r="N257" s="408">
        <v>0</v>
      </c>
      <c r="O257" s="408">
        <v>0</v>
      </c>
      <c r="P257" s="408">
        <f t="shared" si="57"/>
        <v>0</v>
      </c>
    </row>
    <row r="258" spans="1:16">
      <c r="A258" s="637"/>
      <c r="B258" s="637" t="s">
        <v>66</v>
      </c>
      <c r="C258" s="637"/>
      <c r="D258" s="408">
        <f>SUM(D250:D257)</f>
        <v>1331.001</v>
      </c>
      <c r="E258" s="408">
        <f t="shared" ref="E258:P258" si="58">SUM(E250:E257)</f>
        <v>5799.8010000000004</v>
      </c>
      <c r="F258" s="408">
        <f t="shared" si="58"/>
        <v>3442.5439999999999</v>
      </c>
      <c r="G258" s="408">
        <f t="shared" si="58"/>
        <v>3687.57</v>
      </c>
      <c r="H258" s="408">
        <f t="shared" si="58"/>
        <v>1172</v>
      </c>
      <c r="I258" s="408">
        <f t="shared" si="58"/>
        <v>5539.7330000000002</v>
      </c>
      <c r="J258" s="408">
        <f t="shared" si="58"/>
        <v>1223.933</v>
      </c>
      <c r="K258" s="408">
        <f t="shared" si="58"/>
        <v>1172</v>
      </c>
      <c r="L258" s="408">
        <f t="shared" si="58"/>
        <v>1198.2</v>
      </c>
      <c r="M258" s="408">
        <f t="shared" si="58"/>
        <v>1193.5989999999999</v>
      </c>
      <c r="N258" s="408">
        <f t="shared" si="58"/>
        <v>1134.1969999999999</v>
      </c>
      <c r="O258" s="408">
        <f t="shared" si="58"/>
        <v>1319.8969999999999</v>
      </c>
      <c r="P258" s="408">
        <f t="shared" si="58"/>
        <v>28214.475000000002</v>
      </c>
    </row>
    <row r="259" spans="1:16">
      <c r="A259" s="637" t="s">
        <v>649</v>
      </c>
      <c r="B259" s="637" t="s">
        <v>679</v>
      </c>
      <c r="C259" s="637"/>
      <c r="D259" s="408">
        <v>0</v>
      </c>
      <c r="E259" s="408">
        <v>0</v>
      </c>
      <c r="F259" s="408">
        <v>0</v>
      </c>
      <c r="G259" s="408">
        <v>0</v>
      </c>
      <c r="H259" s="408">
        <v>0</v>
      </c>
      <c r="I259" s="408">
        <v>0</v>
      </c>
      <c r="J259" s="408">
        <v>0</v>
      </c>
      <c r="K259" s="408">
        <v>0</v>
      </c>
      <c r="L259" s="408">
        <v>0</v>
      </c>
      <c r="M259" s="408">
        <v>0</v>
      </c>
      <c r="N259" s="408">
        <v>0</v>
      </c>
      <c r="O259" s="408">
        <v>0</v>
      </c>
      <c r="P259" s="408">
        <f>SUM(D259:O259)</f>
        <v>0</v>
      </c>
    </row>
    <row r="260" spans="1:16">
      <c r="A260" s="637"/>
      <c r="B260" s="637" t="s">
        <v>663</v>
      </c>
      <c r="C260" s="637"/>
      <c r="D260" s="408">
        <v>794948.48834000004</v>
      </c>
      <c r="E260" s="408">
        <v>731550.37</v>
      </c>
      <c r="F260" s="408">
        <v>730225.50800000003</v>
      </c>
      <c r="G260" s="408">
        <v>768961.7</v>
      </c>
      <c r="H260" s="408">
        <v>761924.46299999999</v>
      </c>
      <c r="I260" s="408">
        <v>751079.321</v>
      </c>
      <c r="J260" s="408">
        <v>773990.36800000002</v>
      </c>
      <c r="K260" s="408">
        <v>750514.12899999996</v>
      </c>
      <c r="L260" s="408">
        <v>767841.35600000003</v>
      </c>
      <c r="M260" s="408">
        <v>768639.147</v>
      </c>
      <c r="N260" s="408">
        <v>719670.973</v>
      </c>
      <c r="O260" s="408">
        <v>792313.73033000005</v>
      </c>
      <c r="P260" s="408">
        <f t="shared" ref="P260:P266" si="59">SUM(D260:O260)</f>
        <v>9111659.5536700003</v>
      </c>
    </row>
    <row r="261" spans="1:16">
      <c r="A261" s="637"/>
      <c r="B261" s="637" t="s">
        <v>669</v>
      </c>
      <c r="C261" s="637"/>
      <c r="D261" s="408">
        <v>0</v>
      </c>
      <c r="E261" s="408">
        <v>0</v>
      </c>
      <c r="F261" s="408">
        <v>0</v>
      </c>
      <c r="G261" s="408">
        <v>0</v>
      </c>
      <c r="H261" s="408">
        <v>0</v>
      </c>
      <c r="I261" s="408">
        <v>0</v>
      </c>
      <c r="J261" s="408">
        <v>0</v>
      </c>
      <c r="K261" s="408">
        <v>0</v>
      </c>
      <c r="L261" s="408">
        <v>0</v>
      </c>
      <c r="M261" s="408">
        <v>0</v>
      </c>
      <c r="N261" s="408">
        <v>0</v>
      </c>
      <c r="O261" s="408">
        <v>0</v>
      </c>
      <c r="P261" s="408">
        <f t="shared" si="59"/>
        <v>0</v>
      </c>
    </row>
    <row r="262" spans="1:16">
      <c r="A262" s="637"/>
      <c r="B262" s="637" t="s">
        <v>670</v>
      </c>
      <c r="C262" s="637"/>
      <c r="D262" s="408">
        <v>0</v>
      </c>
      <c r="E262" s="408">
        <v>0</v>
      </c>
      <c r="F262" s="408">
        <v>0</v>
      </c>
      <c r="G262" s="408">
        <v>0</v>
      </c>
      <c r="H262" s="408">
        <v>0</v>
      </c>
      <c r="I262" s="408">
        <v>0</v>
      </c>
      <c r="J262" s="408">
        <v>0</v>
      </c>
      <c r="K262" s="408">
        <v>0</v>
      </c>
      <c r="L262" s="408">
        <v>0</v>
      </c>
      <c r="M262" s="408">
        <v>0</v>
      </c>
      <c r="N262" s="408">
        <v>0</v>
      </c>
      <c r="O262" s="408">
        <v>0</v>
      </c>
      <c r="P262" s="408">
        <f t="shared" si="59"/>
        <v>0</v>
      </c>
    </row>
    <row r="263" spans="1:16">
      <c r="A263" s="637"/>
      <c r="B263" s="637" t="s">
        <v>671</v>
      </c>
      <c r="C263" s="637"/>
      <c r="D263" s="408">
        <v>0</v>
      </c>
      <c r="E263" s="408">
        <v>0</v>
      </c>
      <c r="F263" s="408">
        <v>0</v>
      </c>
      <c r="G263" s="408">
        <v>0</v>
      </c>
      <c r="H263" s="408">
        <v>0</v>
      </c>
      <c r="I263" s="408">
        <v>0</v>
      </c>
      <c r="J263" s="408">
        <v>0</v>
      </c>
      <c r="K263" s="408">
        <v>0</v>
      </c>
      <c r="L263" s="408">
        <v>0</v>
      </c>
      <c r="M263" s="408">
        <v>0</v>
      </c>
      <c r="N263" s="408">
        <v>0</v>
      </c>
      <c r="O263" s="408">
        <v>0</v>
      </c>
      <c r="P263" s="408">
        <f t="shared" si="59"/>
        <v>0</v>
      </c>
    </row>
    <row r="264" spans="1:16">
      <c r="A264" s="637"/>
      <c r="B264" s="637" t="s">
        <v>672</v>
      </c>
      <c r="C264" s="637"/>
      <c r="D264" s="408">
        <v>0</v>
      </c>
      <c r="E264" s="408">
        <v>0</v>
      </c>
      <c r="F264" s="408">
        <v>0</v>
      </c>
      <c r="G264" s="408">
        <v>0</v>
      </c>
      <c r="H264" s="408">
        <v>0</v>
      </c>
      <c r="I264" s="408">
        <v>0</v>
      </c>
      <c r="J264" s="408">
        <v>0</v>
      </c>
      <c r="K264" s="408">
        <v>0</v>
      </c>
      <c r="L264" s="408">
        <v>0</v>
      </c>
      <c r="M264" s="408">
        <v>0</v>
      </c>
      <c r="N264" s="408">
        <v>0</v>
      </c>
      <c r="O264" s="408">
        <v>0</v>
      </c>
      <c r="P264" s="408">
        <f t="shared" si="59"/>
        <v>0</v>
      </c>
    </row>
    <row r="265" spans="1:16">
      <c r="A265" s="637"/>
      <c r="B265" s="637" t="s">
        <v>673</v>
      </c>
      <c r="C265" s="637"/>
      <c r="D265" s="408">
        <v>0</v>
      </c>
      <c r="E265" s="408">
        <v>0</v>
      </c>
      <c r="F265" s="408">
        <v>0</v>
      </c>
      <c r="G265" s="408">
        <v>0</v>
      </c>
      <c r="H265" s="408">
        <v>0</v>
      </c>
      <c r="I265" s="408">
        <v>0</v>
      </c>
      <c r="J265" s="408">
        <v>0</v>
      </c>
      <c r="K265" s="408">
        <v>0</v>
      </c>
      <c r="L265" s="408">
        <v>0</v>
      </c>
      <c r="M265" s="408">
        <v>0</v>
      </c>
      <c r="N265" s="408">
        <v>0</v>
      </c>
      <c r="O265" s="408">
        <v>0</v>
      </c>
      <c r="P265" s="408">
        <f t="shared" si="59"/>
        <v>0</v>
      </c>
    </row>
    <row r="266" spans="1:16">
      <c r="A266" s="637"/>
      <c r="B266" s="637" t="s">
        <v>769</v>
      </c>
      <c r="C266" s="637"/>
      <c r="D266" s="408"/>
      <c r="E266" s="408"/>
      <c r="F266" s="408"/>
      <c r="G266" s="408"/>
      <c r="H266" s="408">
        <v>0</v>
      </c>
      <c r="I266" s="408">
        <v>0</v>
      </c>
      <c r="J266" s="408">
        <v>0</v>
      </c>
      <c r="K266" s="408">
        <v>0</v>
      </c>
      <c r="L266" s="408">
        <v>0</v>
      </c>
      <c r="M266" s="408">
        <v>0</v>
      </c>
      <c r="N266" s="408">
        <v>0</v>
      </c>
      <c r="O266" s="408">
        <v>0</v>
      </c>
      <c r="P266" s="408">
        <f t="shared" si="59"/>
        <v>0</v>
      </c>
    </row>
    <row r="267" spans="1:16">
      <c r="A267" s="637"/>
      <c r="B267" s="637" t="s">
        <v>66</v>
      </c>
      <c r="C267" s="637"/>
      <c r="D267" s="408">
        <f>SUM(D259:D266)</f>
        <v>794948.48834000004</v>
      </c>
      <c r="E267" s="408">
        <f t="shared" ref="E267:P267" si="60">SUM(E259:E266)</f>
        <v>731550.37</v>
      </c>
      <c r="F267" s="408">
        <f t="shared" si="60"/>
        <v>730225.50800000003</v>
      </c>
      <c r="G267" s="408">
        <f t="shared" si="60"/>
        <v>768961.7</v>
      </c>
      <c r="H267" s="408">
        <f t="shared" si="60"/>
        <v>761924.46299999999</v>
      </c>
      <c r="I267" s="408">
        <f t="shared" si="60"/>
        <v>751079.321</v>
      </c>
      <c r="J267" s="408">
        <f t="shared" si="60"/>
        <v>773990.36800000002</v>
      </c>
      <c r="K267" s="408">
        <f t="shared" si="60"/>
        <v>750514.12899999996</v>
      </c>
      <c r="L267" s="408">
        <f t="shared" si="60"/>
        <v>767841.35600000003</v>
      </c>
      <c r="M267" s="408">
        <f t="shared" si="60"/>
        <v>768639.147</v>
      </c>
      <c r="N267" s="408">
        <f t="shared" si="60"/>
        <v>719670.973</v>
      </c>
      <c r="O267" s="408">
        <f t="shared" si="60"/>
        <v>792313.73033000005</v>
      </c>
      <c r="P267" s="408">
        <f t="shared" si="60"/>
        <v>9111659.5536700003</v>
      </c>
    </row>
    <row r="268" spans="1:16">
      <c r="A268" s="637" t="s">
        <v>650</v>
      </c>
      <c r="B268" s="637" t="s">
        <v>679</v>
      </c>
      <c r="C268" s="637"/>
      <c r="D268" s="408">
        <v>0</v>
      </c>
      <c r="E268" s="408">
        <v>0</v>
      </c>
      <c r="F268" s="408">
        <v>0</v>
      </c>
      <c r="G268" s="408">
        <v>0</v>
      </c>
      <c r="H268" s="408">
        <v>0</v>
      </c>
      <c r="I268" s="408">
        <v>0</v>
      </c>
      <c r="J268" s="408">
        <v>0</v>
      </c>
      <c r="K268" s="408">
        <v>0</v>
      </c>
      <c r="L268" s="408">
        <v>0</v>
      </c>
      <c r="M268" s="408">
        <v>0</v>
      </c>
      <c r="N268" s="408">
        <v>0</v>
      </c>
      <c r="O268" s="408">
        <v>0</v>
      </c>
      <c r="P268" s="408">
        <f>SUM(D268:O268)</f>
        <v>0</v>
      </c>
    </row>
    <row r="269" spans="1:16">
      <c r="A269" s="637"/>
      <c r="B269" s="637" t="s">
        <v>663</v>
      </c>
      <c r="C269" s="637"/>
      <c r="D269" s="408">
        <v>16437.332999999999</v>
      </c>
      <c r="E269" s="408">
        <v>16274.564</v>
      </c>
      <c r="F269" s="408">
        <v>16254.268</v>
      </c>
      <c r="G269" s="408">
        <v>16474.791000000001</v>
      </c>
      <c r="H269" s="408">
        <v>16211.932000000001</v>
      </c>
      <c r="I269" s="408">
        <v>17031.564999999999</v>
      </c>
      <c r="J269" s="408">
        <v>16479.297999999999</v>
      </c>
      <c r="K269" s="408">
        <v>16393.999</v>
      </c>
      <c r="L269" s="408">
        <v>17425.798999999999</v>
      </c>
      <c r="M269" s="408">
        <v>16144.83</v>
      </c>
      <c r="N269" s="408">
        <v>15360.35</v>
      </c>
      <c r="O269" s="408">
        <v>-57376.377119999997</v>
      </c>
      <c r="P269" s="408">
        <f>SUM(D269:O269)</f>
        <v>123112.35188</v>
      </c>
    </row>
    <row r="270" spans="1:16">
      <c r="A270" s="637"/>
      <c r="B270" s="637" t="s">
        <v>669</v>
      </c>
      <c r="C270" s="637"/>
      <c r="D270" s="408">
        <v>0</v>
      </c>
      <c r="E270" s="408">
        <v>0</v>
      </c>
      <c r="F270" s="408">
        <v>0</v>
      </c>
      <c r="G270" s="408">
        <v>0</v>
      </c>
      <c r="H270" s="408">
        <v>0</v>
      </c>
      <c r="I270" s="408">
        <v>0</v>
      </c>
      <c r="J270" s="408">
        <v>0</v>
      </c>
      <c r="K270" s="408">
        <v>0</v>
      </c>
      <c r="L270" s="408">
        <v>0</v>
      </c>
      <c r="M270" s="408">
        <v>0</v>
      </c>
      <c r="N270" s="408">
        <v>0</v>
      </c>
      <c r="O270" s="408">
        <v>0</v>
      </c>
      <c r="P270" s="408">
        <f t="shared" ref="P270:P275" si="61">SUM(D270:O270)</f>
        <v>0</v>
      </c>
    </row>
    <row r="271" spans="1:16">
      <c r="A271" s="637"/>
      <c r="B271" s="637" t="s">
        <v>670</v>
      </c>
      <c r="C271" s="637"/>
      <c r="D271" s="408">
        <v>0</v>
      </c>
      <c r="E271" s="408">
        <v>0</v>
      </c>
      <c r="F271" s="408">
        <v>0</v>
      </c>
      <c r="G271" s="408">
        <v>0</v>
      </c>
      <c r="H271" s="408">
        <v>0</v>
      </c>
      <c r="I271" s="408">
        <v>0</v>
      </c>
      <c r="J271" s="408">
        <v>0</v>
      </c>
      <c r="K271" s="408">
        <v>0</v>
      </c>
      <c r="L271" s="408">
        <v>0</v>
      </c>
      <c r="M271" s="408">
        <v>0</v>
      </c>
      <c r="N271" s="408">
        <v>0</v>
      </c>
      <c r="O271" s="408">
        <v>0</v>
      </c>
      <c r="P271" s="408">
        <f t="shared" si="61"/>
        <v>0</v>
      </c>
    </row>
    <row r="272" spans="1:16">
      <c r="A272" s="637"/>
      <c r="B272" s="637" t="s">
        <v>671</v>
      </c>
      <c r="C272" s="637"/>
      <c r="D272" s="408">
        <v>0</v>
      </c>
      <c r="E272" s="408">
        <v>0</v>
      </c>
      <c r="F272" s="408">
        <v>0</v>
      </c>
      <c r="G272" s="408">
        <v>0</v>
      </c>
      <c r="H272" s="408">
        <v>0</v>
      </c>
      <c r="I272" s="408">
        <v>0</v>
      </c>
      <c r="J272" s="408">
        <v>0</v>
      </c>
      <c r="K272" s="408">
        <v>0</v>
      </c>
      <c r="L272" s="408">
        <v>0</v>
      </c>
      <c r="M272" s="408">
        <v>0</v>
      </c>
      <c r="N272" s="408">
        <v>0</v>
      </c>
      <c r="O272" s="408">
        <v>0</v>
      </c>
      <c r="P272" s="408">
        <f t="shared" si="61"/>
        <v>0</v>
      </c>
    </row>
    <row r="273" spans="1:16">
      <c r="A273" s="637"/>
      <c r="B273" s="637" t="s">
        <v>672</v>
      </c>
      <c r="C273" s="637"/>
      <c r="D273" s="408">
        <v>0</v>
      </c>
      <c r="E273" s="408">
        <v>0</v>
      </c>
      <c r="F273" s="408">
        <v>0</v>
      </c>
      <c r="G273" s="408">
        <v>0</v>
      </c>
      <c r="H273" s="408">
        <v>0</v>
      </c>
      <c r="I273" s="408">
        <v>0</v>
      </c>
      <c r="J273" s="408">
        <v>0</v>
      </c>
      <c r="K273" s="408">
        <v>0</v>
      </c>
      <c r="L273" s="408">
        <v>0</v>
      </c>
      <c r="M273" s="408">
        <v>0</v>
      </c>
      <c r="N273" s="408">
        <v>0</v>
      </c>
      <c r="O273" s="408">
        <v>0</v>
      </c>
      <c r="P273" s="408">
        <f t="shared" si="61"/>
        <v>0</v>
      </c>
    </row>
    <row r="274" spans="1:16">
      <c r="A274" s="637"/>
      <c r="B274" s="637" t="s">
        <v>673</v>
      </c>
      <c r="C274" s="637"/>
      <c r="D274" s="408">
        <v>0</v>
      </c>
      <c r="E274" s="408">
        <v>0</v>
      </c>
      <c r="F274" s="408">
        <v>0</v>
      </c>
      <c r="G274" s="408">
        <v>0</v>
      </c>
      <c r="H274" s="408">
        <v>0</v>
      </c>
      <c r="I274" s="408">
        <v>0</v>
      </c>
      <c r="J274" s="408">
        <v>0</v>
      </c>
      <c r="K274" s="408">
        <v>0</v>
      </c>
      <c r="L274" s="408">
        <v>0</v>
      </c>
      <c r="M274" s="408">
        <v>0</v>
      </c>
      <c r="N274" s="408">
        <v>0</v>
      </c>
      <c r="O274" s="408">
        <v>0</v>
      </c>
      <c r="P274" s="408">
        <f t="shared" si="61"/>
        <v>0</v>
      </c>
    </row>
    <row r="275" spans="1:16">
      <c r="A275" s="637"/>
      <c r="B275" s="637" t="s">
        <v>769</v>
      </c>
      <c r="C275" s="637"/>
      <c r="D275" s="408"/>
      <c r="E275" s="408"/>
      <c r="F275" s="408"/>
      <c r="G275" s="408"/>
      <c r="H275" s="408">
        <v>0</v>
      </c>
      <c r="I275" s="408">
        <v>0</v>
      </c>
      <c r="J275" s="408">
        <v>0</v>
      </c>
      <c r="K275" s="408">
        <v>0</v>
      </c>
      <c r="L275" s="408">
        <v>0</v>
      </c>
      <c r="M275" s="408">
        <v>0</v>
      </c>
      <c r="N275" s="408">
        <v>0</v>
      </c>
      <c r="O275" s="408">
        <v>0</v>
      </c>
      <c r="P275" s="408">
        <f t="shared" si="61"/>
        <v>0</v>
      </c>
    </row>
    <row r="276" spans="1:16">
      <c r="A276" s="637"/>
      <c r="B276" s="637" t="s">
        <v>66</v>
      </c>
      <c r="C276" s="637"/>
      <c r="D276" s="408">
        <f>SUM(D268:D275)</f>
        <v>16437.332999999999</v>
      </c>
      <c r="E276" s="408">
        <f t="shared" ref="E276:P276" si="62">SUM(E268:E275)</f>
        <v>16274.564</v>
      </c>
      <c r="F276" s="408">
        <f t="shared" si="62"/>
        <v>16254.268</v>
      </c>
      <c r="G276" s="408">
        <f t="shared" si="62"/>
        <v>16474.791000000001</v>
      </c>
      <c r="H276" s="408">
        <f t="shared" si="62"/>
        <v>16211.932000000001</v>
      </c>
      <c r="I276" s="408">
        <f t="shared" si="62"/>
        <v>17031.564999999999</v>
      </c>
      <c r="J276" s="408">
        <f t="shared" si="62"/>
        <v>16479.297999999999</v>
      </c>
      <c r="K276" s="408">
        <f t="shared" si="62"/>
        <v>16393.999</v>
      </c>
      <c r="L276" s="408">
        <f t="shared" si="62"/>
        <v>17425.798999999999</v>
      </c>
      <c r="M276" s="408">
        <f t="shared" si="62"/>
        <v>16144.83</v>
      </c>
      <c r="N276" s="408">
        <f t="shared" si="62"/>
        <v>15360.35</v>
      </c>
      <c r="O276" s="408">
        <f t="shared" si="62"/>
        <v>-57376.377119999997</v>
      </c>
      <c r="P276" s="408">
        <f t="shared" si="62"/>
        <v>123112.35188</v>
      </c>
    </row>
    <row r="277" spans="1:16">
      <c r="A277" s="637" t="s">
        <v>651</v>
      </c>
      <c r="B277" s="637" t="s">
        <v>679</v>
      </c>
      <c r="C277" s="637"/>
      <c r="D277" s="408">
        <v>0</v>
      </c>
      <c r="E277" s="408">
        <v>0</v>
      </c>
      <c r="F277" s="408">
        <v>0</v>
      </c>
      <c r="G277" s="408">
        <v>0</v>
      </c>
      <c r="H277" s="408">
        <v>0</v>
      </c>
      <c r="I277" s="408">
        <v>0</v>
      </c>
      <c r="J277" s="408">
        <v>0</v>
      </c>
      <c r="K277" s="408">
        <v>0</v>
      </c>
      <c r="L277" s="408">
        <v>0</v>
      </c>
      <c r="M277" s="408">
        <v>0</v>
      </c>
      <c r="N277" s="408">
        <v>0</v>
      </c>
      <c r="O277" s="408">
        <v>0</v>
      </c>
      <c r="P277" s="408">
        <f>SUM(D277:O277)</f>
        <v>0</v>
      </c>
    </row>
    <row r="278" spans="1:16">
      <c r="A278" s="637"/>
      <c r="B278" s="637" t="s">
        <v>663</v>
      </c>
      <c r="C278" s="637"/>
      <c r="D278" s="408">
        <v>36190.500999999997</v>
      </c>
      <c r="E278" s="408">
        <v>35813.033000000003</v>
      </c>
      <c r="F278" s="408">
        <v>33924.413</v>
      </c>
      <c r="G278" s="408">
        <v>33857.317000000003</v>
      </c>
      <c r="H278" s="408">
        <v>34884.633000000002</v>
      </c>
      <c r="I278" s="408">
        <v>37147.800999999999</v>
      </c>
      <c r="J278" s="408">
        <v>33986.000999999997</v>
      </c>
      <c r="K278" s="408">
        <v>34799.300000000003</v>
      </c>
      <c r="L278" s="408">
        <v>38298.567000000003</v>
      </c>
      <c r="M278" s="408">
        <v>33875.633999999998</v>
      </c>
      <c r="N278" s="408">
        <v>33764.055</v>
      </c>
      <c r="O278" s="408">
        <v>38381.917000000001</v>
      </c>
      <c r="P278" s="408">
        <f>SUM(D278:O278)</f>
        <v>424923.17200000002</v>
      </c>
    </row>
    <row r="279" spans="1:16">
      <c r="A279" s="637"/>
      <c r="B279" s="637" t="s">
        <v>669</v>
      </c>
      <c r="C279" s="637"/>
      <c r="D279" s="408">
        <v>0</v>
      </c>
      <c r="E279" s="408">
        <v>0</v>
      </c>
      <c r="F279" s="408">
        <v>0</v>
      </c>
      <c r="G279" s="408">
        <v>0</v>
      </c>
      <c r="H279" s="408">
        <v>0</v>
      </c>
      <c r="I279" s="408">
        <v>0</v>
      </c>
      <c r="J279" s="408">
        <v>0</v>
      </c>
      <c r="K279" s="408">
        <v>0</v>
      </c>
      <c r="L279" s="408">
        <v>0</v>
      </c>
      <c r="M279" s="408">
        <v>0</v>
      </c>
      <c r="N279" s="408">
        <v>0</v>
      </c>
      <c r="O279" s="408">
        <v>0</v>
      </c>
      <c r="P279" s="408">
        <f t="shared" ref="P279:P284" si="63">SUM(D279:O279)</f>
        <v>0</v>
      </c>
    </row>
    <row r="280" spans="1:16">
      <c r="A280" s="637"/>
      <c r="B280" s="637" t="s">
        <v>670</v>
      </c>
      <c r="C280" s="637"/>
      <c r="D280" s="408">
        <v>0</v>
      </c>
      <c r="E280" s="408">
        <v>0</v>
      </c>
      <c r="F280" s="408">
        <v>0</v>
      </c>
      <c r="G280" s="408">
        <v>0</v>
      </c>
      <c r="H280" s="408">
        <v>0</v>
      </c>
      <c r="I280" s="408">
        <v>0</v>
      </c>
      <c r="J280" s="408">
        <v>0</v>
      </c>
      <c r="K280" s="408">
        <v>0</v>
      </c>
      <c r="L280" s="408">
        <v>0</v>
      </c>
      <c r="M280" s="408">
        <v>0</v>
      </c>
      <c r="N280" s="408">
        <v>0</v>
      </c>
      <c r="O280" s="408">
        <v>0</v>
      </c>
      <c r="P280" s="408">
        <f t="shared" si="63"/>
        <v>0</v>
      </c>
    </row>
    <row r="281" spans="1:16">
      <c r="A281" s="637"/>
      <c r="B281" s="637" t="s">
        <v>671</v>
      </c>
      <c r="C281" s="637"/>
      <c r="D281" s="408">
        <v>0</v>
      </c>
      <c r="E281" s="408">
        <v>0</v>
      </c>
      <c r="F281" s="408">
        <v>0</v>
      </c>
      <c r="G281" s="408">
        <v>0</v>
      </c>
      <c r="H281" s="408">
        <v>0</v>
      </c>
      <c r="I281" s="408">
        <v>0</v>
      </c>
      <c r="J281" s="408">
        <v>0</v>
      </c>
      <c r="K281" s="408">
        <v>0</v>
      </c>
      <c r="L281" s="408">
        <v>0</v>
      </c>
      <c r="M281" s="408">
        <v>0</v>
      </c>
      <c r="N281" s="408">
        <v>0</v>
      </c>
      <c r="O281" s="408">
        <v>0</v>
      </c>
      <c r="P281" s="408">
        <f t="shared" si="63"/>
        <v>0</v>
      </c>
    </row>
    <row r="282" spans="1:16">
      <c r="A282" s="637"/>
      <c r="B282" s="637" t="s">
        <v>672</v>
      </c>
      <c r="C282" s="637"/>
      <c r="D282" s="408">
        <v>0</v>
      </c>
      <c r="E282" s="408">
        <v>0</v>
      </c>
      <c r="F282" s="408">
        <v>0</v>
      </c>
      <c r="G282" s="408">
        <v>0</v>
      </c>
      <c r="H282" s="408">
        <v>0</v>
      </c>
      <c r="I282" s="408">
        <v>0</v>
      </c>
      <c r="J282" s="408">
        <v>0</v>
      </c>
      <c r="K282" s="408">
        <v>0</v>
      </c>
      <c r="L282" s="408">
        <v>0</v>
      </c>
      <c r="M282" s="408">
        <v>0</v>
      </c>
      <c r="N282" s="408">
        <v>0</v>
      </c>
      <c r="O282" s="408">
        <v>0</v>
      </c>
      <c r="P282" s="408">
        <f t="shared" si="63"/>
        <v>0</v>
      </c>
    </row>
    <row r="283" spans="1:16">
      <c r="A283" s="637"/>
      <c r="B283" s="637" t="s">
        <v>673</v>
      </c>
      <c r="C283" s="637"/>
      <c r="D283" s="408">
        <v>0</v>
      </c>
      <c r="E283" s="408">
        <v>0</v>
      </c>
      <c r="F283" s="408">
        <v>0</v>
      </c>
      <c r="G283" s="408">
        <v>0</v>
      </c>
      <c r="H283" s="408">
        <v>0</v>
      </c>
      <c r="I283" s="408">
        <v>0</v>
      </c>
      <c r="J283" s="408">
        <v>0</v>
      </c>
      <c r="K283" s="408">
        <v>0</v>
      </c>
      <c r="L283" s="408">
        <v>0</v>
      </c>
      <c r="M283" s="408">
        <v>0</v>
      </c>
      <c r="N283" s="408">
        <v>0</v>
      </c>
      <c r="O283" s="408">
        <v>0</v>
      </c>
      <c r="P283" s="408">
        <f t="shared" si="63"/>
        <v>0</v>
      </c>
    </row>
    <row r="284" spans="1:16">
      <c r="A284" s="637"/>
      <c r="B284" s="637" t="s">
        <v>769</v>
      </c>
      <c r="C284" s="637"/>
      <c r="D284" s="408"/>
      <c r="E284" s="408"/>
      <c r="F284" s="408"/>
      <c r="G284" s="408"/>
      <c r="H284" s="408">
        <v>0</v>
      </c>
      <c r="I284" s="408">
        <v>0</v>
      </c>
      <c r="J284" s="408">
        <v>0</v>
      </c>
      <c r="K284" s="408">
        <v>0</v>
      </c>
      <c r="L284" s="408">
        <v>0</v>
      </c>
      <c r="M284" s="408">
        <v>0</v>
      </c>
      <c r="N284" s="408">
        <v>0</v>
      </c>
      <c r="O284" s="408">
        <v>0</v>
      </c>
      <c r="P284" s="408">
        <f t="shared" si="63"/>
        <v>0</v>
      </c>
    </row>
    <row r="285" spans="1:16">
      <c r="A285" s="637"/>
      <c r="B285" s="637" t="s">
        <v>66</v>
      </c>
      <c r="C285" s="637"/>
      <c r="D285" s="408">
        <f>SUM(D277:D284)</f>
        <v>36190.500999999997</v>
      </c>
      <c r="E285" s="408">
        <f t="shared" ref="E285:P285" si="64">SUM(E277:E284)</f>
        <v>35813.033000000003</v>
      </c>
      <c r="F285" s="408">
        <f t="shared" si="64"/>
        <v>33924.413</v>
      </c>
      <c r="G285" s="408">
        <f t="shared" si="64"/>
        <v>33857.317000000003</v>
      </c>
      <c r="H285" s="408">
        <f t="shared" si="64"/>
        <v>34884.633000000002</v>
      </c>
      <c r="I285" s="408">
        <f t="shared" si="64"/>
        <v>37147.800999999999</v>
      </c>
      <c r="J285" s="408">
        <f t="shared" si="64"/>
        <v>33986.000999999997</v>
      </c>
      <c r="K285" s="408">
        <f t="shared" si="64"/>
        <v>34799.300000000003</v>
      </c>
      <c r="L285" s="408">
        <f t="shared" si="64"/>
        <v>38298.567000000003</v>
      </c>
      <c r="M285" s="408">
        <f t="shared" si="64"/>
        <v>33875.633999999998</v>
      </c>
      <c r="N285" s="408">
        <f t="shared" si="64"/>
        <v>33764.055</v>
      </c>
      <c r="O285" s="408">
        <f t="shared" si="64"/>
        <v>38381.917000000001</v>
      </c>
      <c r="P285" s="408">
        <f t="shared" si="64"/>
        <v>424923.17200000002</v>
      </c>
    </row>
    <row r="286" spans="1:16">
      <c r="A286" s="637" t="s">
        <v>652</v>
      </c>
      <c r="B286" s="637" t="s">
        <v>679</v>
      </c>
      <c r="C286" s="637"/>
      <c r="D286" s="408">
        <v>0</v>
      </c>
      <c r="E286" s="408">
        <v>0</v>
      </c>
      <c r="F286" s="408">
        <v>0</v>
      </c>
      <c r="G286" s="408">
        <v>0</v>
      </c>
      <c r="H286" s="408">
        <v>0</v>
      </c>
      <c r="I286" s="408">
        <v>0</v>
      </c>
      <c r="J286" s="408">
        <v>0</v>
      </c>
      <c r="K286" s="408">
        <v>0</v>
      </c>
      <c r="L286" s="408">
        <v>0</v>
      </c>
      <c r="M286" s="408">
        <v>0</v>
      </c>
      <c r="N286" s="408">
        <v>0</v>
      </c>
      <c r="O286" s="408">
        <v>0</v>
      </c>
      <c r="P286" s="408">
        <f>SUM(D286:O286)</f>
        <v>0</v>
      </c>
    </row>
    <row r="287" spans="1:16">
      <c r="A287" s="637"/>
      <c r="B287" s="637" t="s">
        <v>663</v>
      </c>
      <c r="C287" s="637"/>
      <c r="D287" s="408">
        <v>94723.862999999998</v>
      </c>
      <c r="E287" s="408">
        <v>87020.865999999995</v>
      </c>
      <c r="F287" s="408">
        <v>82039.502999999997</v>
      </c>
      <c r="G287" s="408">
        <v>94277.933000000005</v>
      </c>
      <c r="H287" s="408">
        <v>69727.032000000007</v>
      </c>
      <c r="I287" s="408">
        <v>87191.264999999999</v>
      </c>
      <c r="J287" s="408">
        <v>88913.097999999998</v>
      </c>
      <c r="K287" s="408">
        <v>84810.832999999999</v>
      </c>
      <c r="L287" s="408">
        <v>90197.163</v>
      </c>
      <c r="M287" s="408">
        <v>87190.630999999994</v>
      </c>
      <c r="N287" s="408">
        <v>83214.792000000001</v>
      </c>
      <c r="O287" s="408">
        <v>92626.005000000005</v>
      </c>
      <c r="P287" s="408">
        <f>SUM(D287:O287)</f>
        <v>1041932.9840000002</v>
      </c>
    </row>
    <row r="288" spans="1:16">
      <c r="A288" s="637"/>
      <c r="B288" s="637" t="s">
        <v>669</v>
      </c>
      <c r="C288" s="637"/>
      <c r="D288" s="408">
        <v>0</v>
      </c>
      <c r="E288" s="408">
        <v>0</v>
      </c>
      <c r="F288" s="408">
        <v>0</v>
      </c>
      <c r="G288" s="408">
        <v>0</v>
      </c>
      <c r="H288" s="408">
        <v>0</v>
      </c>
      <c r="I288" s="408">
        <v>0</v>
      </c>
      <c r="J288" s="408">
        <v>0</v>
      </c>
      <c r="K288" s="408">
        <v>0</v>
      </c>
      <c r="L288" s="408">
        <v>0</v>
      </c>
      <c r="M288" s="408">
        <v>0</v>
      </c>
      <c r="N288" s="408">
        <v>0</v>
      </c>
      <c r="O288" s="408">
        <v>0</v>
      </c>
      <c r="P288" s="408">
        <f t="shared" ref="P288:P293" si="65">SUM(D288:O288)</f>
        <v>0</v>
      </c>
    </row>
    <row r="289" spans="1:16">
      <c r="A289" s="637"/>
      <c r="B289" s="637" t="s">
        <v>670</v>
      </c>
      <c r="C289" s="637"/>
      <c r="D289" s="408">
        <v>0</v>
      </c>
      <c r="E289" s="408">
        <v>0</v>
      </c>
      <c r="F289" s="408">
        <v>0</v>
      </c>
      <c r="G289" s="408">
        <v>0</v>
      </c>
      <c r="H289" s="408">
        <v>0</v>
      </c>
      <c r="I289" s="408">
        <v>0</v>
      </c>
      <c r="J289" s="408">
        <v>0</v>
      </c>
      <c r="K289" s="408">
        <v>0</v>
      </c>
      <c r="L289" s="408">
        <v>0</v>
      </c>
      <c r="M289" s="408">
        <v>0</v>
      </c>
      <c r="N289" s="408">
        <v>0</v>
      </c>
      <c r="O289" s="408">
        <v>0</v>
      </c>
      <c r="P289" s="408">
        <f t="shared" si="65"/>
        <v>0</v>
      </c>
    </row>
    <row r="290" spans="1:16">
      <c r="A290" s="637"/>
      <c r="B290" s="637" t="s">
        <v>671</v>
      </c>
      <c r="C290" s="637"/>
      <c r="D290" s="408">
        <v>0</v>
      </c>
      <c r="E290" s="408">
        <v>0</v>
      </c>
      <c r="F290" s="408">
        <v>0</v>
      </c>
      <c r="G290" s="408">
        <v>0</v>
      </c>
      <c r="H290" s="408">
        <v>0</v>
      </c>
      <c r="I290" s="408">
        <v>0</v>
      </c>
      <c r="J290" s="408">
        <v>0</v>
      </c>
      <c r="K290" s="408">
        <v>0</v>
      </c>
      <c r="L290" s="408">
        <v>0</v>
      </c>
      <c r="M290" s="408">
        <v>0</v>
      </c>
      <c r="N290" s="408">
        <v>0</v>
      </c>
      <c r="O290" s="408">
        <v>0</v>
      </c>
      <c r="P290" s="408">
        <f t="shared" si="65"/>
        <v>0</v>
      </c>
    </row>
    <row r="291" spans="1:16">
      <c r="A291" s="637"/>
      <c r="B291" s="637" t="s">
        <v>672</v>
      </c>
      <c r="C291" s="637"/>
      <c r="D291" s="408">
        <v>0</v>
      </c>
      <c r="E291" s="408">
        <v>0</v>
      </c>
      <c r="F291" s="408">
        <v>0</v>
      </c>
      <c r="G291" s="408">
        <v>0</v>
      </c>
      <c r="H291" s="408">
        <v>0</v>
      </c>
      <c r="I291" s="408">
        <v>0</v>
      </c>
      <c r="J291" s="408">
        <v>0</v>
      </c>
      <c r="K291" s="408">
        <v>0</v>
      </c>
      <c r="L291" s="408">
        <v>0</v>
      </c>
      <c r="M291" s="408">
        <v>0</v>
      </c>
      <c r="N291" s="408">
        <v>0</v>
      </c>
      <c r="O291" s="408">
        <v>0</v>
      </c>
      <c r="P291" s="408">
        <f t="shared" si="65"/>
        <v>0</v>
      </c>
    </row>
    <row r="292" spans="1:16">
      <c r="A292" s="637"/>
      <c r="B292" s="637" t="s">
        <v>673</v>
      </c>
      <c r="C292" s="637"/>
      <c r="D292" s="408">
        <v>0</v>
      </c>
      <c r="E292" s="408">
        <v>0</v>
      </c>
      <c r="F292" s="408">
        <v>0</v>
      </c>
      <c r="G292" s="408">
        <v>0</v>
      </c>
      <c r="H292" s="408">
        <v>0</v>
      </c>
      <c r="I292" s="408">
        <v>0</v>
      </c>
      <c r="J292" s="408">
        <v>0</v>
      </c>
      <c r="K292" s="408">
        <v>0</v>
      </c>
      <c r="L292" s="408">
        <v>0</v>
      </c>
      <c r="M292" s="408">
        <v>0</v>
      </c>
      <c r="N292" s="408">
        <v>0</v>
      </c>
      <c r="O292" s="408">
        <v>0</v>
      </c>
      <c r="P292" s="408">
        <f t="shared" si="65"/>
        <v>0</v>
      </c>
    </row>
    <row r="293" spans="1:16">
      <c r="A293" s="637"/>
      <c r="B293" s="637" t="s">
        <v>769</v>
      </c>
      <c r="C293" s="637"/>
      <c r="D293" s="408"/>
      <c r="E293" s="408"/>
      <c r="F293" s="408"/>
      <c r="G293" s="408"/>
      <c r="H293" s="408">
        <v>0</v>
      </c>
      <c r="I293" s="408">
        <v>0</v>
      </c>
      <c r="J293" s="408">
        <v>0</v>
      </c>
      <c r="K293" s="408">
        <v>0</v>
      </c>
      <c r="L293" s="408">
        <v>0</v>
      </c>
      <c r="M293" s="408">
        <v>0</v>
      </c>
      <c r="N293" s="408">
        <v>0</v>
      </c>
      <c r="O293" s="408">
        <v>0</v>
      </c>
      <c r="P293" s="408">
        <f t="shared" si="65"/>
        <v>0</v>
      </c>
    </row>
    <row r="294" spans="1:16">
      <c r="A294" s="637"/>
      <c r="B294" s="637" t="s">
        <v>66</v>
      </c>
      <c r="C294" s="637"/>
      <c r="D294" s="408">
        <f>SUM(D286:D293)</f>
        <v>94723.862999999998</v>
      </c>
      <c r="E294" s="408">
        <f t="shared" ref="E294:O294" si="66">SUM(E286:E293)</f>
        <v>87020.865999999995</v>
      </c>
      <c r="F294" s="408">
        <f t="shared" si="66"/>
        <v>82039.502999999997</v>
      </c>
      <c r="G294" s="408">
        <f t="shared" si="66"/>
        <v>94277.933000000005</v>
      </c>
      <c r="H294" s="408">
        <f t="shared" si="66"/>
        <v>69727.032000000007</v>
      </c>
      <c r="I294" s="408">
        <f t="shared" si="66"/>
        <v>87191.264999999999</v>
      </c>
      <c r="J294" s="408">
        <f t="shared" si="66"/>
        <v>88913.097999999998</v>
      </c>
      <c r="K294" s="408">
        <f t="shared" si="66"/>
        <v>84810.832999999999</v>
      </c>
      <c r="L294" s="408">
        <f t="shared" si="66"/>
        <v>90197.163</v>
      </c>
      <c r="M294" s="408">
        <f t="shared" si="66"/>
        <v>87190.630999999994</v>
      </c>
      <c r="N294" s="408">
        <f t="shared" si="66"/>
        <v>83214.792000000001</v>
      </c>
      <c r="O294" s="408">
        <f t="shared" si="66"/>
        <v>92626.005000000005</v>
      </c>
      <c r="P294" s="408">
        <f>SUM(P286:P293)</f>
        <v>1041932.9840000002</v>
      </c>
    </row>
    <row r="295" spans="1:16">
      <c r="A295" s="637" t="s">
        <v>653</v>
      </c>
      <c r="B295" s="637" t="s">
        <v>679</v>
      </c>
      <c r="C295" s="637"/>
      <c r="D295" s="408">
        <v>0</v>
      </c>
      <c r="E295" s="408">
        <v>0</v>
      </c>
      <c r="F295" s="408">
        <v>0</v>
      </c>
      <c r="G295" s="408">
        <v>0</v>
      </c>
      <c r="H295" s="408">
        <v>0</v>
      </c>
      <c r="I295" s="408">
        <v>0</v>
      </c>
      <c r="J295" s="408">
        <v>0</v>
      </c>
      <c r="K295" s="408">
        <v>0</v>
      </c>
      <c r="L295" s="408">
        <v>0</v>
      </c>
      <c r="M295" s="408">
        <v>0</v>
      </c>
      <c r="N295" s="408">
        <v>0</v>
      </c>
      <c r="O295" s="408">
        <v>0</v>
      </c>
      <c r="P295" s="408">
        <f>SUM(D295:O295)</f>
        <v>0</v>
      </c>
    </row>
    <row r="296" spans="1:16">
      <c r="A296" s="637"/>
      <c r="B296" s="637" t="s">
        <v>663</v>
      </c>
      <c r="C296" s="637"/>
      <c r="D296" s="408">
        <v>423839.93099999998</v>
      </c>
      <c r="E296" s="408">
        <v>387188.75699999998</v>
      </c>
      <c r="F296" s="408">
        <v>388239.98200000002</v>
      </c>
      <c r="G296" s="408">
        <v>379370.27591999999</v>
      </c>
      <c r="H296" s="408">
        <v>393289.64199999999</v>
      </c>
      <c r="I296" s="408">
        <v>395650.48798999999</v>
      </c>
      <c r="J296" s="408">
        <v>391992.74800000002</v>
      </c>
      <c r="K296" s="408">
        <v>391199.821</v>
      </c>
      <c r="L296" s="408">
        <v>405301.93400000001</v>
      </c>
      <c r="M296" s="408">
        <v>382397.59600000002</v>
      </c>
      <c r="N296" s="408">
        <v>375705.80822000001</v>
      </c>
      <c r="O296" s="408">
        <v>418658.96399999998</v>
      </c>
      <c r="P296" s="408">
        <f>SUM(D296:O296)</f>
        <v>4732835.9471299993</v>
      </c>
    </row>
    <row r="297" spans="1:16">
      <c r="A297" s="637"/>
      <c r="B297" s="637" t="s">
        <v>669</v>
      </c>
      <c r="C297" s="637"/>
      <c r="D297" s="408">
        <v>0</v>
      </c>
      <c r="E297" s="408">
        <v>0</v>
      </c>
      <c r="F297" s="408">
        <v>0</v>
      </c>
      <c r="G297" s="408">
        <v>0</v>
      </c>
      <c r="H297" s="408">
        <v>0</v>
      </c>
      <c r="I297" s="408">
        <v>0</v>
      </c>
      <c r="J297" s="408">
        <v>0</v>
      </c>
      <c r="K297" s="408">
        <v>0</v>
      </c>
      <c r="L297" s="408">
        <v>0</v>
      </c>
      <c r="M297" s="408">
        <v>0</v>
      </c>
      <c r="N297" s="408">
        <v>0</v>
      </c>
      <c r="O297" s="408">
        <v>0</v>
      </c>
      <c r="P297" s="408">
        <f t="shared" ref="P297:P302" si="67">SUM(D297:O297)</f>
        <v>0</v>
      </c>
    </row>
    <row r="298" spans="1:16">
      <c r="A298" s="637"/>
      <c r="B298" s="637" t="s">
        <v>670</v>
      </c>
      <c r="C298" s="637"/>
      <c r="D298" s="408">
        <v>0</v>
      </c>
      <c r="E298" s="408">
        <v>0</v>
      </c>
      <c r="F298" s="408">
        <v>0</v>
      </c>
      <c r="G298" s="408">
        <v>0</v>
      </c>
      <c r="H298" s="408">
        <v>0</v>
      </c>
      <c r="I298" s="408">
        <v>0</v>
      </c>
      <c r="J298" s="408">
        <v>0</v>
      </c>
      <c r="K298" s="408">
        <v>0</v>
      </c>
      <c r="L298" s="408">
        <v>0</v>
      </c>
      <c r="M298" s="408">
        <v>0</v>
      </c>
      <c r="N298" s="408">
        <v>0</v>
      </c>
      <c r="O298" s="408">
        <v>0</v>
      </c>
      <c r="P298" s="408">
        <f t="shared" si="67"/>
        <v>0</v>
      </c>
    </row>
    <row r="299" spans="1:16">
      <c r="A299" s="637"/>
      <c r="B299" s="637" t="s">
        <v>671</v>
      </c>
      <c r="C299" s="637"/>
      <c r="D299" s="408">
        <v>0</v>
      </c>
      <c r="E299" s="408">
        <v>0</v>
      </c>
      <c r="F299" s="408">
        <v>0</v>
      </c>
      <c r="G299" s="408">
        <v>0</v>
      </c>
      <c r="H299" s="408">
        <v>0</v>
      </c>
      <c r="I299" s="408">
        <v>0</v>
      </c>
      <c r="J299" s="408">
        <v>0</v>
      </c>
      <c r="K299" s="408">
        <v>0</v>
      </c>
      <c r="L299" s="408">
        <v>0</v>
      </c>
      <c r="M299" s="408">
        <v>0</v>
      </c>
      <c r="N299" s="408">
        <v>0</v>
      </c>
      <c r="O299" s="408">
        <v>0</v>
      </c>
      <c r="P299" s="408">
        <f t="shared" si="67"/>
        <v>0</v>
      </c>
    </row>
    <row r="300" spans="1:16">
      <c r="A300" s="637"/>
      <c r="B300" s="637" t="s">
        <v>672</v>
      </c>
      <c r="C300" s="637"/>
      <c r="D300" s="408">
        <v>0</v>
      </c>
      <c r="E300" s="408">
        <v>0</v>
      </c>
      <c r="F300" s="408">
        <v>0</v>
      </c>
      <c r="G300" s="408">
        <v>0</v>
      </c>
      <c r="H300" s="408">
        <v>0</v>
      </c>
      <c r="I300" s="408">
        <v>0</v>
      </c>
      <c r="J300" s="408">
        <v>0</v>
      </c>
      <c r="K300" s="408">
        <v>0</v>
      </c>
      <c r="L300" s="408">
        <v>0</v>
      </c>
      <c r="M300" s="408">
        <v>0</v>
      </c>
      <c r="N300" s="408">
        <v>0</v>
      </c>
      <c r="O300" s="408">
        <v>0</v>
      </c>
      <c r="P300" s="408">
        <f t="shared" si="67"/>
        <v>0</v>
      </c>
    </row>
    <row r="301" spans="1:16">
      <c r="A301" s="637"/>
      <c r="B301" s="637" t="s">
        <v>673</v>
      </c>
      <c r="C301" s="637"/>
      <c r="D301" s="408">
        <v>0</v>
      </c>
      <c r="E301" s="408">
        <v>0</v>
      </c>
      <c r="F301" s="408">
        <v>0</v>
      </c>
      <c r="G301" s="408">
        <v>0</v>
      </c>
      <c r="H301" s="408">
        <v>0</v>
      </c>
      <c r="I301" s="408">
        <v>0</v>
      </c>
      <c r="J301" s="408">
        <v>0</v>
      </c>
      <c r="K301" s="408">
        <v>0</v>
      </c>
      <c r="L301" s="408">
        <v>0</v>
      </c>
      <c r="M301" s="408">
        <v>0</v>
      </c>
      <c r="N301" s="408">
        <v>0</v>
      </c>
      <c r="O301" s="408">
        <v>0</v>
      </c>
      <c r="P301" s="408">
        <f t="shared" si="67"/>
        <v>0</v>
      </c>
    </row>
    <row r="302" spans="1:16">
      <c r="A302" s="637"/>
      <c r="B302" s="637" t="s">
        <v>769</v>
      </c>
      <c r="C302" s="637"/>
      <c r="D302" s="408"/>
      <c r="E302" s="408"/>
      <c r="F302" s="408"/>
      <c r="G302" s="408"/>
      <c r="H302" s="408">
        <v>0</v>
      </c>
      <c r="I302" s="408">
        <v>0</v>
      </c>
      <c r="J302" s="408">
        <v>0</v>
      </c>
      <c r="K302" s="408">
        <v>0</v>
      </c>
      <c r="L302" s="408">
        <v>0</v>
      </c>
      <c r="M302" s="408">
        <v>0</v>
      </c>
      <c r="N302" s="408">
        <v>0</v>
      </c>
      <c r="O302" s="408">
        <v>0</v>
      </c>
      <c r="P302" s="408">
        <f t="shared" si="67"/>
        <v>0</v>
      </c>
    </row>
    <row r="303" spans="1:16">
      <c r="A303" s="637"/>
      <c r="B303" s="637" t="s">
        <v>66</v>
      </c>
      <c r="C303" s="637"/>
      <c r="D303" s="408">
        <f>SUM(D295:D302)</f>
        <v>423839.93099999998</v>
      </c>
      <c r="E303" s="408">
        <f t="shared" ref="E303:P303" si="68">SUM(E295:E302)</f>
        <v>387188.75699999998</v>
      </c>
      <c r="F303" s="408">
        <f t="shared" si="68"/>
        <v>388239.98200000002</v>
      </c>
      <c r="G303" s="408">
        <f t="shared" si="68"/>
        <v>379370.27591999999</v>
      </c>
      <c r="H303" s="408">
        <f t="shared" si="68"/>
        <v>393289.64199999999</v>
      </c>
      <c r="I303" s="408">
        <f t="shared" si="68"/>
        <v>395650.48798999999</v>
      </c>
      <c r="J303" s="408">
        <f t="shared" si="68"/>
        <v>391992.74800000002</v>
      </c>
      <c r="K303" s="408">
        <f t="shared" si="68"/>
        <v>391199.821</v>
      </c>
      <c r="L303" s="408">
        <f t="shared" si="68"/>
        <v>405301.93400000001</v>
      </c>
      <c r="M303" s="408">
        <f t="shared" si="68"/>
        <v>382397.59600000002</v>
      </c>
      <c r="N303" s="408">
        <f t="shared" si="68"/>
        <v>375705.80822000001</v>
      </c>
      <c r="O303" s="408">
        <f t="shared" si="68"/>
        <v>418658.96399999998</v>
      </c>
      <c r="P303" s="408">
        <f t="shared" si="68"/>
        <v>4732835.9471299993</v>
      </c>
    </row>
    <row r="304" spans="1:16">
      <c r="A304" s="637" t="s">
        <v>654</v>
      </c>
      <c r="B304" s="637" t="s">
        <v>679</v>
      </c>
      <c r="C304" s="637"/>
      <c r="D304" s="408">
        <v>0</v>
      </c>
      <c r="E304" s="408">
        <v>0</v>
      </c>
      <c r="F304" s="408">
        <v>0</v>
      </c>
      <c r="G304" s="408">
        <v>0</v>
      </c>
      <c r="H304" s="408">
        <v>0</v>
      </c>
      <c r="I304" s="408">
        <v>0</v>
      </c>
      <c r="J304" s="408">
        <v>0</v>
      </c>
      <c r="K304" s="408">
        <v>0</v>
      </c>
      <c r="L304" s="408">
        <v>0</v>
      </c>
      <c r="M304" s="408">
        <v>0</v>
      </c>
      <c r="N304" s="408">
        <v>0</v>
      </c>
      <c r="O304" s="408">
        <v>0</v>
      </c>
      <c r="P304" s="408">
        <f>SUM(D304:O304)</f>
        <v>0</v>
      </c>
    </row>
    <row r="305" spans="1:16">
      <c r="A305" s="637"/>
      <c r="B305" s="637" t="s">
        <v>663</v>
      </c>
      <c r="C305" s="637"/>
      <c r="D305" s="408">
        <v>220619.03899999999</v>
      </c>
      <c r="E305" s="408">
        <v>201931.54629</v>
      </c>
      <c r="F305" s="408">
        <v>203174.64799999999</v>
      </c>
      <c r="G305" s="408">
        <v>207838.198</v>
      </c>
      <c r="H305" s="408">
        <v>204366.97899999999</v>
      </c>
      <c r="I305" s="408">
        <v>209330.76500000001</v>
      </c>
      <c r="J305" s="408">
        <v>211160.42800000001</v>
      </c>
      <c r="K305" s="408">
        <v>206632.55300000001</v>
      </c>
      <c r="L305" s="408">
        <v>214611.43799999999</v>
      </c>
      <c r="M305" s="408">
        <v>200868.76800000001</v>
      </c>
      <c r="N305" s="408">
        <v>199402.976</v>
      </c>
      <c r="O305" s="408">
        <v>219307.83799999999</v>
      </c>
      <c r="P305" s="408">
        <f>SUM(D305:O305)</f>
        <v>2499245.1762899999</v>
      </c>
    </row>
    <row r="306" spans="1:16">
      <c r="A306" s="637"/>
      <c r="B306" s="637" t="s">
        <v>668</v>
      </c>
      <c r="C306" s="637"/>
      <c r="D306" s="408">
        <v>0</v>
      </c>
      <c r="E306" s="408">
        <v>0</v>
      </c>
      <c r="F306" s="408">
        <v>0</v>
      </c>
      <c r="G306" s="408">
        <v>0</v>
      </c>
      <c r="H306" s="408">
        <v>0</v>
      </c>
      <c r="I306" s="408">
        <v>0</v>
      </c>
      <c r="J306" s="408">
        <v>0</v>
      </c>
      <c r="K306" s="408">
        <v>0</v>
      </c>
      <c r="L306" s="408">
        <v>0</v>
      </c>
      <c r="M306" s="408">
        <v>0</v>
      </c>
      <c r="N306" s="408">
        <v>0</v>
      </c>
      <c r="O306" s="408">
        <v>0</v>
      </c>
      <c r="P306" s="408">
        <f t="shared" ref="P306:P312" si="69">SUM(D306:O306)</f>
        <v>0</v>
      </c>
    </row>
    <row r="307" spans="1:16">
      <c r="A307" s="637"/>
      <c r="B307" s="637" t="s">
        <v>669</v>
      </c>
      <c r="C307" s="637"/>
      <c r="D307" s="408">
        <v>0</v>
      </c>
      <c r="E307" s="408">
        <v>0</v>
      </c>
      <c r="F307" s="408">
        <v>0</v>
      </c>
      <c r="G307" s="408">
        <v>0</v>
      </c>
      <c r="H307" s="408">
        <v>0</v>
      </c>
      <c r="I307" s="408">
        <v>0</v>
      </c>
      <c r="J307" s="408">
        <v>0</v>
      </c>
      <c r="K307" s="408">
        <v>0</v>
      </c>
      <c r="L307" s="408">
        <v>0</v>
      </c>
      <c r="M307" s="408">
        <v>0</v>
      </c>
      <c r="N307" s="408">
        <v>0</v>
      </c>
      <c r="O307" s="408">
        <v>0</v>
      </c>
      <c r="P307" s="408">
        <f t="shared" si="69"/>
        <v>0</v>
      </c>
    </row>
    <row r="308" spans="1:16">
      <c r="A308" s="637"/>
      <c r="B308" s="637" t="s">
        <v>670</v>
      </c>
      <c r="C308" s="637"/>
      <c r="D308" s="408">
        <v>0</v>
      </c>
      <c r="E308" s="408">
        <v>0</v>
      </c>
      <c r="F308" s="408">
        <v>0</v>
      </c>
      <c r="G308" s="408">
        <v>0</v>
      </c>
      <c r="H308" s="408">
        <v>0</v>
      </c>
      <c r="I308" s="408">
        <v>0</v>
      </c>
      <c r="J308" s="408">
        <v>0</v>
      </c>
      <c r="K308" s="408">
        <v>0</v>
      </c>
      <c r="L308" s="408">
        <v>0</v>
      </c>
      <c r="M308" s="408">
        <v>0</v>
      </c>
      <c r="N308" s="408">
        <v>0</v>
      </c>
      <c r="O308" s="408">
        <v>0</v>
      </c>
      <c r="P308" s="408">
        <f t="shared" si="69"/>
        <v>0</v>
      </c>
    </row>
    <row r="309" spans="1:16">
      <c r="A309" s="637"/>
      <c r="B309" s="637" t="s">
        <v>671</v>
      </c>
      <c r="C309" s="637"/>
      <c r="D309" s="408">
        <v>0</v>
      </c>
      <c r="E309" s="408">
        <v>0</v>
      </c>
      <c r="F309" s="408">
        <v>0</v>
      </c>
      <c r="G309" s="408">
        <v>0</v>
      </c>
      <c r="H309" s="408">
        <v>0</v>
      </c>
      <c r="I309" s="408">
        <v>0</v>
      </c>
      <c r="J309" s="408">
        <v>0</v>
      </c>
      <c r="K309" s="408">
        <v>0</v>
      </c>
      <c r="L309" s="408">
        <v>0</v>
      </c>
      <c r="M309" s="408">
        <v>0</v>
      </c>
      <c r="N309" s="408">
        <v>0</v>
      </c>
      <c r="O309" s="408">
        <v>0</v>
      </c>
      <c r="P309" s="408">
        <f t="shared" si="69"/>
        <v>0</v>
      </c>
    </row>
    <row r="310" spans="1:16">
      <c r="A310" s="637"/>
      <c r="B310" s="637" t="s">
        <v>672</v>
      </c>
      <c r="C310" s="637"/>
      <c r="D310" s="408">
        <v>0</v>
      </c>
      <c r="E310" s="408">
        <v>0</v>
      </c>
      <c r="F310" s="408">
        <v>0</v>
      </c>
      <c r="G310" s="408">
        <v>0</v>
      </c>
      <c r="H310" s="408">
        <v>0</v>
      </c>
      <c r="I310" s="408">
        <v>0</v>
      </c>
      <c r="J310" s="408">
        <v>0</v>
      </c>
      <c r="K310" s="408">
        <v>0</v>
      </c>
      <c r="L310" s="408">
        <v>0</v>
      </c>
      <c r="M310" s="408">
        <v>0</v>
      </c>
      <c r="N310" s="408">
        <v>0</v>
      </c>
      <c r="O310" s="408">
        <v>0</v>
      </c>
      <c r="P310" s="408">
        <f t="shared" si="69"/>
        <v>0</v>
      </c>
    </row>
    <row r="311" spans="1:16">
      <c r="A311" s="637"/>
      <c r="B311" s="637" t="s">
        <v>673</v>
      </c>
      <c r="C311" s="637"/>
      <c r="D311" s="408">
        <v>0</v>
      </c>
      <c r="E311" s="408">
        <v>0</v>
      </c>
      <c r="F311" s="408">
        <v>0</v>
      </c>
      <c r="G311" s="408">
        <v>0</v>
      </c>
      <c r="H311" s="408">
        <v>0</v>
      </c>
      <c r="I311" s="408">
        <v>0</v>
      </c>
      <c r="J311" s="408">
        <v>0</v>
      </c>
      <c r="K311" s="408">
        <v>0</v>
      </c>
      <c r="L311" s="408">
        <v>0</v>
      </c>
      <c r="M311" s="408">
        <v>0</v>
      </c>
      <c r="N311" s="408">
        <v>0</v>
      </c>
      <c r="O311" s="408">
        <v>0</v>
      </c>
      <c r="P311" s="408">
        <f t="shared" si="69"/>
        <v>0</v>
      </c>
    </row>
    <row r="312" spans="1:16">
      <c r="A312" s="637"/>
      <c r="B312" s="637" t="s">
        <v>769</v>
      </c>
      <c r="C312" s="637"/>
      <c r="D312" s="408"/>
      <c r="E312" s="408"/>
      <c r="F312" s="408"/>
      <c r="G312" s="408"/>
      <c r="H312" s="408">
        <v>0</v>
      </c>
      <c r="I312" s="408">
        <v>0</v>
      </c>
      <c r="J312" s="408">
        <v>0</v>
      </c>
      <c r="K312" s="408">
        <v>0</v>
      </c>
      <c r="L312" s="408">
        <v>0</v>
      </c>
      <c r="M312" s="408">
        <v>0</v>
      </c>
      <c r="N312" s="408">
        <v>0</v>
      </c>
      <c r="O312" s="408">
        <v>0</v>
      </c>
      <c r="P312" s="408">
        <f t="shared" si="69"/>
        <v>0</v>
      </c>
    </row>
    <row r="313" spans="1:16">
      <c r="A313" s="637"/>
      <c r="B313" s="637" t="s">
        <v>66</v>
      </c>
      <c r="C313" s="637"/>
      <c r="D313" s="408">
        <f>SUM(D304:D312)</f>
        <v>220619.03899999999</v>
      </c>
      <c r="E313" s="408">
        <f t="shared" ref="E313:P313" si="70">SUM(E304:E312)</f>
        <v>201931.54629</v>
      </c>
      <c r="F313" s="408">
        <f t="shared" si="70"/>
        <v>203174.64799999999</v>
      </c>
      <c r="G313" s="408">
        <f t="shared" si="70"/>
        <v>207838.198</v>
      </c>
      <c r="H313" s="408">
        <f t="shared" si="70"/>
        <v>204366.97899999999</v>
      </c>
      <c r="I313" s="408">
        <f t="shared" si="70"/>
        <v>209330.76500000001</v>
      </c>
      <c r="J313" s="408">
        <f t="shared" si="70"/>
        <v>211160.42800000001</v>
      </c>
      <c r="K313" s="408">
        <f t="shared" si="70"/>
        <v>206632.55300000001</v>
      </c>
      <c r="L313" s="408">
        <f t="shared" si="70"/>
        <v>214611.43799999999</v>
      </c>
      <c r="M313" s="408">
        <f t="shared" si="70"/>
        <v>200868.76800000001</v>
      </c>
      <c r="N313" s="408">
        <f t="shared" si="70"/>
        <v>199402.976</v>
      </c>
      <c r="O313" s="408">
        <f t="shared" si="70"/>
        <v>219307.83799999999</v>
      </c>
      <c r="P313" s="408">
        <f t="shared" si="70"/>
        <v>2499245.1762899999</v>
      </c>
    </row>
    <row r="314" spans="1:16">
      <c r="A314" s="637" t="s">
        <v>655</v>
      </c>
      <c r="B314" s="637" t="s">
        <v>680</v>
      </c>
      <c r="C314" s="637"/>
      <c r="D314" s="408">
        <v>0</v>
      </c>
      <c r="E314" s="408">
        <v>0</v>
      </c>
      <c r="F314" s="408">
        <v>0</v>
      </c>
      <c r="G314" s="408">
        <v>0</v>
      </c>
      <c r="H314" s="408">
        <v>0</v>
      </c>
      <c r="I314" s="408">
        <v>0</v>
      </c>
      <c r="J314" s="408">
        <v>0</v>
      </c>
      <c r="K314" s="408">
        <v>0</v>
      </c>
      <c r="L314" s="408">
        <v>0</v>
      </c>
      <c r="M314" s="408">
        <v>0</v>
      </c>
      <c r="N314" s="408">
        <v>0</v>
      </c>
      <c r="O314" s="408">
        <v>0</v>
      </c>
      <c r="P314" s="408">
        <v>0</v>
      </c>
    </row>
    <row r="315" spans="1:16">
      <c r="A315" s="637"/>
      <c r="B315" s="637" t="s">
        <v>663</v>
      </c>
      <c r="C315" s="637"/>
      <c r="D315" s="408"/>
      <c r="E315" s="408"/>
      <c r="F315" s="408">
        <v>0</v>
      </c>
      <c r="G315" s="408">
        <v>0</v>
      </c>
      <c r="H315" s="408">
        <v>0</v>
      </c>
      <c r="I315" s="408">
        <v>0</v>
      </c>
      <c r="J315" s="408">
        <v>0</v>
      </c>
      <c r="K315" s="408">
        <v>0</v>
      </c>
      <c r="L315" s="408">
        <v>0</v>
      </c>
      <c r="M315" s="408">
        <v>0</v>
      </c>
      <c r="N315" s="408">
        <v>0</v>
      </c>
      <c r="O315" s="408">
        <v>0</v>
      </c>
      <c r="P315" s="408">
        <v>0</v>
      </c>
    </row>
    <row r="316" spans="1:16">
      <c r="A316" s="637"/>
      <c r="B316" s="637" t="s">
        <v>66</v>
      </c>
      <c r="C316" s="637"/>
      <c r="D316" s="408">
        <v>0</v>
      </c>
      <c r="E316" s="408">
        <v>0</v>
      </c>
      <c r="F316" s="408">
        <v>0</v>
      </c>
      <c r="G316" s="408">
        <v>0</v>
      </c>
      <c r="H316" s="408">
        <v>0</v>
      </c>
      <c r="I316" s="408">
        <v>0</v>
      </c>
      <c r="J316" s="408">
        <v>0</v>
      </c>
      <c r="K316" s="408">
        <v>0</v>
      </c>
      <c r="L316" s="408">
        <v>0</v>
      </c>
      <c r="M316" s="408">
        <v>0</v>
      </c>
      <c r="N316" s="408">
        <v>0</v>
      </c>
      <c r="O316" s="408">
        <v>0</v>
      </c>
      <c r="P316" s="408">
        <v>0</v>
      </c>
    </row>
    <row r="317" spans="1:16">
      <c r="A317" s="637" t="s">
        <v>656</v>
      </c>
      <c r="B317" s="637" t="s">
        <v>680</v>
      </c>
      <c r="C317" s="637"/>
      <c r="D317" s="408">
        <v>0</v>
      </c>
      <c r="E317" s="408">
        <v>0</v>
      </c>
      <c r="F317" s="408">
        <v>0</v>
      </c>
      <c r="G317" s="408">
        <v>0</v>
      </c>
      <c r="H317" s="408">
        <v>0</v>
      </c>
      <c r="I317" s="408">
        <v>0</v>
      </c>
      <c r="J317" s="408">
        <v>0</v>
      </c>
      <c r="K317" s="408">
        <v>0</v>
      </c>
      <c r="L317" s="408">
        <v>0</v>
      </c>
      <c r="M317" s="408">
        <v>0</v>
      </c>
      <c r="N317" s="408">
        <v>0</v>
      </c>
      <c r="O317" s="408">
        <v>0</v>
      </c>
      <c r="P317" s="408">
        <v>0</v>
      </c>
    </row>
    <row r="318" spans="1:16" s="663" customFormat="1">
      <c r="B318" s="663" t="s">
        <v>66</v>
      </c>
      <c r="D318" s="408">
        <v>0</v>
      </c>
      <c r="E318" s="408">
        <v>0</v>
      </c>
      <c r="F318" s="408">
        <v>0</v>
      </c>
      <c r="G318" s="408">
        <v>0</v>
      </c>
      <c r="H318" s="408">
        <v>0</v>
      </c>
      <c r="I318" s="408">
        <v>0</v>
      </c>
      <c r="J318" s="408">
        <v>0</v>
      </c>
      <c r="K318" s="408">
        <v>0</v>
      </c>
      <c r="L318" s="408">
        <v>0</v>
      </c>
      <c r="M318" s="408">
        <v>0</v>
      </c>
      <c r="N318" s="408">
        <v>0</v>
      </c>
      <c r="O318" s="408">
        <v>0</v>
      </c>
      <c r="P318" s="408">
        <v>0</v>
      </c>
    </row>
    <row r="319" spans="1:16" s="663" customFormat="1">
      <c r="A319" s="663" t="s">
        <v>657</v>
      </c>
      <c r="B319" s="663" t="s">
        <v>663</v>
      </c>
      <c r="D319" s="408">
        <v>0</v>
      </c>
      <c r="E319" s="408">
        <v>0</v>
      </c>
      <c r="F319" s="408">
        <v>0</v>
      </c>
      <c r="G319" s="408">
        <v>0</v>
      </c>
      <c r="H319" s="408">
        <v>0</v>
      </c>
      <c r="I319" s="408">
        <v>0</v>
      </c>
      <c r="J319" s="408">
        <v>0</v>
      </c>
      <c r="K319" s="408">
        <v>0</v>
      </c>
      <c r="L319" s="408">
        <v>0</v>
      </c>
      <c r="M319" s="408">
        <v>0</v>
      </c>
      <c r="N319" s="408">
        <v>0</v>
      </c>
      <c r="O319" s="408">
        <v>0</v>
      </c>
      <c r="P319" s="408">
        <v>0</v>
      </c>
    </row>
    <row r="320" spans="1:16" s="663" customFormat="1">
      <c r="B320" s="663" t="s">
        <v>66</v>
      </c>
      <c r="D320" s="408">
        <v>0</v>
      </c>
      <c r="E320" s="408">
        <v>0</v>
      </c>
      <c r="F320" s="408">
        <v>0</v>
      </c>
      <c r="G320" s="408">
        <v>0</v>
      </c>
      <c r="H320" s="408">
        <v>0</v>
      </c>
      <c r="I320" s="408">
        <v>0</v>
      </c>
      <c r="J320" s="408">
        <v>0</v>
      </c>
      <c r="K320" s="408">
        <v>0</v>
      </c>
      <c r="L320" s="408">
        <v>0</v>
      </c>
      <c r="M320" s="408">
        <v>0</v>
      </c>
      <c r="N320" s="408">
        <v>0</v>
      </c>
      <c r="O320" s="408">
        <v>0</v>
      </c>
      <c r="P320" s="408">
        <v>0</v>
      </c>
    </row>
    <row r="321" spans="1:16" s="663" customFormat="1">
      <c r="A321" s="663" t="s">
        <v>658</v>
      </c>
      <c r="B321" s="663" t="s">
        <v>663</v>
      </c>
      <c r="D321" s="408">
        <v>0</v>
      </c>
      <c r="E321" s="408">
        <v>0</v>
      </c>
      <c r="F321" s="408">
        <v>0</v>
      </c>
      <c r="G321" s="408">
        <v>0</v>
      </c>
      <c r="H321" s="408">
        <v>0</v>
      </c>
      <c r="I321" s="408">
        <v>0</v>
      </c>
      <c r="J321" s="408">
        <v>0</v>
      </c>
      <c r="K321" s="408">
        <v>0</v>
      </c>
      <c r="L321" s="408">
        <v>0</v>
      </c>
      <c r="M321" s="408">
        <v>0</v>
      </c>
      <c r="N321" s="408">
        <v>0</v>
      </c>
      <c r="O321" s="408">
        <v>0</v>
      </c>
      <c r="P321" s="408">
        <v>0</v>
      </c>
    </row>
    <row r="322" spans="1:16" s="663" customFormat="1">
      <c r="B322" s="663" t="s">
        <v>66</v>
      </c>
      <c r="D322" s="408">
        <v>0</v>
      </c>
      <c r="E322" s="408">
        <v>0</v>
      </c>
      <c r="F322" s="408">
        <v>0</v>
      </c>
      <c r="G322" s="408">
        <v>0</v>
      </c>
      <c r="H322" s="408">
        <v>0</v>
      </c>
      <c r="I322" s="408">
        <v>0</v>
      </c>
      <c r="J322" s="408">
        <v>0</v>
      </c>
      <c r="K322" s="408">
        <v>0</v>
      </c>
      <c r="L322" s="408">
        <v>0</v>
      </c>
      <c r="M322" s="408">
        <v>0</v>
      </c>
      <c r="N322" s="408">
        <v>0</v>
      </c>
      <c r="O322" s="408">
        <v>0</v>
      </c>
      <c r="P322" s="408">
        <v>0</v>
      </c>
    </row>
    <row r="323" spans="1:16" s="663" customFormat="1">
      <c r="A323" s="663" t="s">
        <v>659</v>
      </c>
      <c r="B323" s="663" t="s">
        <v>681</v>
      </c>
      <c r="D323" s="408">
        <v>0</v>
      </c>
      <c r="E323" s="408">
        <v>0</v>
      </c>
      <c r="F323" s="408">
        <v>0</v>
      </c>
      <c r="G323" s="408">
        <v>0</v>
      </c>
      <c r="H323" s="408">
        <v>0</v>
      </c>
      <c r="I323" s="408">
        <v>0</v>
      </c>
      <c r="J323" s="408">
        <v>0</v>
      </c>
      <c r="K323" s="408">
        <v>0</v>
      </c>
      <c r="L323" s="408">
        <v>0</v>
      </c>
      <c r="M323" s="408">
        <v>0</v>
      </c>
      <c r="N323" s="408">
        <v>0</v>
      </c>
      <c r="O323" s="408">
        <v>0</v>
      </c>
      <c r="P323" s="408">
        <v>0</v>
      </c>
    </row>
    <row r="324" spans="1:16" s="663" customFormat="1">
      <c r="B324" s="663" t="s">
        <v>682</v>
      </c>
      <c r="D324" s="408">
        <v>0</v>
      </c>
      <c r="E324" s="408">
        <v>0</v>
      </c>
      <c r="F324" s="408">
        <v>0</v>
      </c>
      <c r="G324" s="408">
        <v>0</v>
      </c>
      <c r="H324" s="408">
        <v>0</v>
      </c>
      <c r="I324" s="408">
        <v>0</v>
      </c>
      <c r="J324" s="408">
        <v>0</v>
      </c>
      <c r="K324" s="408">
        <v>0</v>
      </c>
      <c r="L324" s="408">
        <v>0</v>
      </c>
      <c r="M324" s="408">
        <v>0</v>
      </c>
      <c r="N324" s="408">
        <v>0</v>
      </c>
      <c r="O324" s="408">
        <v>0</v>
      </c>
      <c r="P324" s="408">
        <v>0</v>
      </c>
    </row>
    <row r="325" spans="1:16" s="663" customFormat="1">
      <c r="B325" s="663" t="s">
        <v>66</v>
      </c>
      <c r="D325" s="408">
        <v>0</v>
      </c>
      <c r="E325" s="408">
        <v>0</v>
      </c>
      <c r="F325" s="408">
        <v>0</v>
      </c>
      <c r="G325" s="408">
        <v>0</v>
      </c>
      <c r="H325" s="408">
        <v>0</v>
      </c>
      <c r="I325" s="408">
        <v>0</v>
      </c>
      <c r="J325" s="408">
        <v>0</v>
      </c>
      <c r="K325" s="408">
        <v>0</v>
      </c>
      <c r="L325" s="408">
        <v>0</v>
      </c>
      <c r="M325" s="408">
        <v>0</v>
      </c>
      <c r="N325" s="408">
        <v>0</v>
      </c>
      <c r="O325" s="408">
        <v>0</v>
      </c>
      <c r="P325" s="408">
        <v>0</v>
      </c>
    </row>
    <row r="326" spans="1:16" s="663" customFormat="1">
      <c r="A326" s="663" t="s">
        <v>66</v>
      </c>
      <c r="D326" s="408">
        <f>D74+D89+D104+D119+D149+D164+D194+D221+D235+D249+D258+D267+D276+D285+D294+D303+D313</f>
        <v>511192648.42633986</v>
      </c>
      <c r="E326" s="408">
        <f t="shared" ref="E326:P326" si="71">E74+E89+E104+E119+E149+E164+E194+E221+E235+E249+E258+E267+E276+E285+E294+E303+E313</f>
        <v>482621150.00128996</v>
      </c>
      <c r="F326" s="408">
        <f t="shared" si="71"/>
        <v>516585111.42199993</v>
      </c>
      <c r="G326" s="408">
        <f t="shared" si="71"/>
        <v>412212525.06292003</v>
      </c>
      <c r="H326" s="408">
        <f t="shared" si="71"/>
        <v>379171519.66799992</v>
      </c>
      <c r="I326" s="408">
        <f t="shared" si="71"/>
        <v>381388119.67198998</v>
      </c>
      <c r="J326" s="408">
        <f t="shared" si="71"/>
        <v>408902123.63799989</v>
      </c>
      <c r="K326" s="408">
        <f t="shared" si="71"/>
        <v>430960350.68699992</v>
      </c>
      <c r="L326" s="408">
        <f t="shared" si="71"/>
        <v>423589126.38800001</v>
      </c>
      <c r="M326" s="408">
        <f t="shared" si="71"/>
        <v>390378321.93599999</v>
      </c>
      <c r="N326" s="408">
        <f t="shared" si="71"/>
        <v>419427741.57822013</v>
      </c>
      <c r="O326" s="408">
        <f t="shared" si="71"/>
        <v>499089711.09020996</v>
      </c>
      <c r="P326" s="408">
        <f t="shared" si="71"/>
        <v>5255518449.5699701</v>
      </c>
    </row>
    <row r="327" spans="1:16" s="663" customFormat="1">
      <c r="D327" s="408"/>
      <c r="E327" s="408"/>
      <c r="F327" s="408"/>
      <c r="G327" s="408"/>
      <c r="H327" s="408"/>
      <c r="I327" s="408"/>
      <c r="J327" s="408"/>
      <c r="K327" s="408"/>
      <c r="L327" s="408"/>
      <c r="M327" s="408"/>
      <c r="N327" s="408"/>
      <c r="O327" s="408"/>
      <c r="P327" s="408"/>
    </row>
    <row r="328" spans="1:16" s="663" customFormat="1">
      <c r="D328" s="408"/>
      <c r="E328" s="408"/>
      <c r="F328" s="408"/>
      <c r="G328" s="408"/>
      <c r="H328" s="408"/>
      <c r="I328" s="408"/>
      <c r="J328" s="408"/>
      <c r="K328" s="408"/>
      <c r="L328" s="408"/>
      <c r="M328" s="408"/>
      <c r="N328" s="408"/>
      <c r="O328" s="408"/>
      <c r="P328" s="408"/>
    </row>
    <row r="329" spans="1:16" s="663" customFormat="1">
      <c r="D329" s="408"/>
      <c r="E329" s="408"/>
      <c r="F329" s="408"/>
      <c r="G329" s="408"/>
      <c r="H329" s="408"/>
      <c r="I329" s="408"/>
      <c r="J329" s="408"/>
      <c r="K329" s="408"/>
      <c r="L329" s="408"/>
      <c r="M329" s="408"/>
      <c r="N329" s="408"/>
      <c r="O329" s="408"/>
      <c r="P329" s="408"/>
    </row>
    <row r="330" spans="1:16" s="663" customFormat="1">
      <c r="D330" s="408"/>
      <c r="E330" s="408"/>
      <c r="F330" s="408"/>
      <c r="G330" s="408"/>
      <c r="H330" s="408"/>
      <c r="I330" s="408"/>
      <c r="J330" s="408"/>
      <c r="K330" s="408"/>
      <c r="L330" s="408"/>
      <c r="M330" s="408"/>
      <c r="N330" s="408"/>
      <c r="O330" s="408"/>
      <c r="P330" s="408"/>
    </row>
    <row r="332" spans="1:16">
      <c r="A332" s="637" t="s">
        <v>558</v>
      </c>
      <c r="B332" s="637"/>
      <c r="C332" s="637"/>
      <c r="D332" s="663">
        <v>201901</v>
      </c>
      <c r="E332" s="722">
        <v>201902</v>
      </c>
      <c r="F332" s="722">
        <v>201903</v>
      </c>
      <c r="G332" s="722">
        <v>201904</v>
      </c>
      <c r="H332" s="722">
        <v>201905</v>
      </c>
      <c r="I332" s="722">
        <v>201906</v>
      </c>
      <c r="J332" s="722">
        <v>201907</v>
      </c>
      <c r="K332" s="722">
        <v>201908</v>
      </c>
      <c r="L332" s="722">
        <v>201909</v>
      </c>
      <c r="M332" s="722">
        <v>201910</v>
      </c>
      <c r="N332" s="722">
        <v>201911</v>
      </c>
      <c r="O332" s="722">
        <v>201912</v>
      </c>
      <c r="P332" s="408"/>
    </row>
    <row r="333" spans="1:16">
      <c r="A333" s="637"/>
      <c r="B333" s="637"/>
      <c r="C333" s="404" t="s">
        <v>660</v>
      </c>
      <c r="D333" s="628">
        <f>D74+D89</f>
        <v>268421353.00100002</v>
      </c>
      <c r="E333" s="628">
        <f t="shared" ref="E333:O333" si="72">E74+E89</f>
        <v>248463642.29500002</v>
      </c>
      <c r="F333" s="628">
        <f t="shared" si="72"/>
        <v>272094704.38</v>
      </c>
      <c r="G333" s="628">
        <f t="shared" si="72"/>
        <v>189257389.23899999</v>
      </c>
      <c r="H333" s="628">
        <f t="shared" si="72"/>
        <v>159137014.24199998</v>
      </c>
      <c r="I333" s="628">
        <f t="shared" si="72"/>
        <v>150640891.35699999</v>
      </c>
      <c r="J333" s="628">
        <f t="shared" si="72"/>
        <v>167011451.32799998</v>
      </c>
      <c r="K333" s="628">
        <f t="shared" si="72"/>
        <v>182841597.602</v>
      </c>
      <c r="L333" s="628">
        <f t="shared" si="72"/>
        <v>175504029.74200001</v>
      </c>
      <c r="M333" s="628">
        <f t="shared" si="72"/>
        <v>166990370.697</v>
      </c>
      <c r="N333" s="628">
        <f t="shared" si="72"/>
        <v>197141568.961</v>
      </c>
      <c r="O333" s="628">
        <f t="shared" si="72"/>
        <v>258761011.98700002</v>
      </c>
      <c r="P333" s="408">
        <f>SUM(D333:O333)</f>
        <v>2436265024.8310003</v>
      </c>
    </row>
    <row r="334" spans="1:16">
      <c r="A334" s="637"/>
      <c r="B334" s="637"/>
      <c r="C334" s="404" t="s">
        <v>477</v>
      </c>
      <c r="D334" s="628">
        <f>D104+D119</f>
        <v>59920327.122999996</v>
      </c>
      <c r="E334" s="628">
        <f t="shared" ref="E334:O334" si="73">E104+E119</f>
        <v>57839488.487000003</v>
      </c>
      <c r="F334" s="628">
        <f t="shared" si="73"/>
        <v>61576960.423999995</v>
      </c>
      <c r="G334" s="628">
        <f t="shared" si="73"/>
        <v>49969768.848000005</v>
      </c>
      <c r="H334" s="628">
        <f t="shared" si="73"/>
        <v>45483877.745000005</v>
      </c>
      <c r="I334" s="628">
        <f t="shared" si="73"/>
        <v>45253592.461000003</v>
      </c>
      <c r="J334" s="628">
        <f t="shared" si="73"/>
        <v>48403035.067000002</v>
      </c>
      <c r="K334" s="628">
        <f t="shared" si="73"/>
        <v>51264596.407999992</v>
      </c>
      <c r="L334" s="628">
        <f t="shared" si="73"/>
        <v>51101182.038999997</v>
      </c>
      <c r="M334" s="628">
        <f t="shared" si="73"/>
        <v>46524849.420999996</v>
      </c>
      <c r="N334" s="628">
        <f t="shared" si="73"/>
        <v>49608710.002999999</v>
      </c>
      <c r="O334" s="628">
        <f t="shared" si="73"/>
        <v>60149114.510000005</v>
      </c>
      <c r="P334" s="408">
        <f t="shared" ref="P334:P342" si="74">SUM(D334:O334)</f>
        <v>627095502.53599989</v>
      </c>
    </row>
    <row r="335" spans="1:16" s="755" customFormat="1">
      <c r="C335" s="404">
        <v>13</v>
      </c>
      <c r="D335" s="628">
        <f>D134</f>
        <v>0</v>
      </c>
      <c r="E335" s="628">
        <f t="shared" ref="E335:O335" si="75">E134</f>
        <v>0</v>
      </c>
      <c r="F335" s="628">
        <f t="shared" si="75"/>
        <v>0</v>
      </c>
      <c r="G335" s="628">
        <f t="shared" si="75"/>
        <v>0</v>
      </c>
      <c r="H335" s="628">
        <f t="shared" si="75"/>
        <v>0</v>
      </c>
      <c r="I335" s="628">
        <f t="shared" si="75"/>
        <v>0</v>
      </c>
      <c r="J335" s="628">
        <f t="shared" si="75"/>
        <v>0</v>
      </c>
      <c r="K335" s="628">
        <f t="shared" si="75"/>
        <v>0</v>
      </c>
      <c r="L335" s="628">
        <f t="shared" si="75"/>
        <v>0</v>
      </c>
      <c r="M335" s="628">
        <f t="shared" si="75"/>
        <v>0</v>
      </c>
      <c r="N335" s="628">
        <f t="shared" si="75"/>
        <v>0</v>
      </c>
      <c r="O335" s="628">
        <f t="shared" si="75"/>
        <v>0</v>
      </c>
      <c r="P335" s="408">
        <f t="shared" si="74"/>
        <v>0</v>
      </c>
    </row>
    <row r="336" spans="1:16">
      <c r="A336" s="637"/>
      <c r="B336" s="637"/>
      <c r="C336" s="404" t="s">
        <v>478</v>
      </c>
      <c r="D336" s="628">
        <f>D149+D164</f>
        <v>120581416.625</v>
      </c>
      <c r="E336" s="628">
        <f t="shared" ref="E336:O336" si="76">E149+E164</f>
        <v>113255795.15000001</v>
      </c>
      <c r="F336" s="628">
        <f t="shared" si="76"/>
        <v>119857363.82800001</v>
      </c>
      <c r="G336" s="628">
        <f t="shared" si="76"/>
        <v>108672042.67399999</v>
      </c>
      <c r="H336" s="628">
        <f t="shared" si="76"/>
        <v>107356121.802</v>
      </c>
      <c r="I336" s="628">
        <f t="shared" si="76"/>
        <v>110519103.513</v>
      </c>
      <c r="J336" s="628">
        <f t="shared" si="76"/>
        <v>116480751.57000001</v>
      </c>
      <c r="K336" s="628">
        <f t="shared" si="76"/>
        <v>118121978.582</v>
      </c>
      <c r="L336" s="628">
        <f t="shared" si="76"/>
        <v>117306042.244</v>
      </c>
      <c r="M336" s="628">
        <f t="shared" si="76"/>
        <v>113212430.59299999</v>
      </c>
      <c r="N336" s="628">
        <f t="shared" si="76"/>
        <v>107981227.42200001</v>
      </c>
      <c r="O336" s="628">
        <f t="shared" si="76"/>
        <v>122684702.25399999</v>
      </c>
      <c r="P336" s="408">
        <f t="shared" si="74"/>
        <v>1376028976.257</v>
      </c>
    </row>
    <row r="337" spans="1:16" s="755" customFormat="1">
      <c r="C337" s="404">
        <v>23</v>
      </c>
      <c r="D337" s="628">
        <f>D179</f>
        <v>0</v>
      </c>
      <c r="E337" s="628">
        <f t="shared" ref="E337:O337" si="77">E179</f>
        <v>0</v>
      </c>
      <c r="F337" s="628">
        <f t="shared" si="77"/>
        <v>0</v>
      </c>
      <c r="G337" s="628">
        <f t="shared" si="77"/>
        <v>0</v>
      </c>
      <c r="H337" s="628">
        <f t="shared" si="77"/>
        <v>0</v>
      </c>
      <c r="I337" s="628">
        <f t="shared" si="77"/>
        <v>0</v>
      </c>
      <c r="J337" s="628">
        <f t="shared" si="77"/>
        <v>0</v>
      </c>
      <c r="K337" s="628">
        <f t="shared" si="77"/>
        <v>0</v>
      </c>
      <c r="L337" s="628">
        <f t="shared" si="77"/>
        <v>0</v>
      </c>
      <c r="M337" s="628">
        <f t="shared" si="77"/>
        <v>0</v>
      </c>
      <c r="N337" s="628">
        <f t="shared" si="77"/>
        <v>0</v>
      </c>
      <c r="O337" s="628">
        <f t="shared" si="77"/>
        <v>0</v>
      </c>
      <c r="P337" s="408">
        <f t="shared" si="74"/>
        <v>0</v>
      </c>
    </row>
    <row r="338" spans="1:16">
      <c r="A338" s="637"/>
      <c r="B338" s="637"/>
      <c r="C338" s="404" t="s">
        <v>397</v>
      </c>
      <c r="D338" s="628">
        <f>D194</f>
        <v>56313648.936999999</v>
      </c>
      <c r="E338" s="628">
        <f t="shared" ref="E338:O338" si="78">E194</f>
        <v>57419736.936999999</v>
      </c>
      <c r="F338" s="628">
        <f t="shared" si="78"/>
        <v>57199434.936999999</v>
      </c>
      <c r="G338" s="628">
        <f t="shared" si="78"/>
        <v>58193172.936999999</v>
      </c>
      <c r="H338" s="628">
        <f t="shared" si="78"/>
        <v>53790902.936999999</v>
      </c>
      <c r="I338" s="628">
        <f t="shared" si="78"/>
        <v>54930948.936999999</v>
      </c>
      <c r="J338" s="628">
        <f t="shared" si="78"/>
        <v>52161172.936999999</v>
      </c>
      <c r="K338" s="628">
        <f t="shared" si="78"/>
        <v>52140262.936999999</v>
      </c>
      <c r="L338" s="628">
        <f t="shared" si="78"/>
        <v>53860674.936999999</v>
      </c>
      <c r="M338" s="628">
        <f t="shared" si="78"/>
        <v>51836484.936999999</v>
      </c>
      <c r="N338" s="628">
        <f t="shared" si="78"/>
        <v>59071286.936999999</v>
      </c>
      <c r="O338" s="628">
        <f t="shared" si="78"/>
        <v>51689314.936999999</v>
      </c>
      <c r="P338" s="408">
        <f t="shared" si="74"/>
        <v>658607043.24399996</v>
      </c>
    </row>
    <row r="339" spans="1:16" s="755" customFormat="1">
      <c r="C339" s="404" t="s">
        <v>952</v>
      </c>
      <c r="D339" s="628">
        <f>D209</f>
        <v>36161892</v>
      </c>
      <c r="E339" s="628">
        <f t="shared" ref="E339:O339" si="79">E209</f>
        <v>35055804</v>
      </c>
      <c r="F339" s="628">
        <f t="shared" si="79"/>
        <v>35276106</v>
      </c>
      <c r="G339" s="628">
        <f t="shared" si="79"/>
        <v>34282368</v>
      </c>
      <c r="H339" s="628">
        <f t="shared" si="79"/>
        <v>38684638</v>
      </c>
      <c r="I339" s="628">
        <f t="shared" si="79"/>
        <v>37544592</v>
      </c>
      <c r="J339" s="628">
        <f t="shared" si="79"/>
        <v>40314368</v>
      </c>
      <c r="K339" s="628">
        <f t="shared" si="79"/>
        <v>40335278</v>
      </c>
      <c r="L339" s="628">
        <f t="shared" si="79"/>
        <v>38614866</v>
      </c>
      <c r="M339" s="628">
        <f t="shared" si="79"/>
        <v>40639056</v>
      </c>
      <c r="N339" s="628">
        <f t="shared" si="79"/>
        <v>33404254</v>
      </c>
      <c r="O339" s="628">
        <f t="shared" si="79"/>
        <v>40786226</v>
      </c>
      <c r="P339" s="408">
        <f t="shared" si="74"/>
        <v>451099448</v>
      </c>
    </row>
    <row r="340" spans="1:16">
      <c r="A340" s="637"/>
      <c r="B340" s="637"/>
      <c r="C340" s="404" t="s">
        <v>479</v>
      </c>
      <c r="D340" s="628">
        <f>D221+D235+D249</f>
        <v>4367812.5839999998</v>
      </c>
      <c r="E340" s="628">
        <f t="shared" ref="E340:O340" si="80">E221+E235+E249</f>
        <v>4176908.1949999998</v>
      </c>
      <c r="F340" s="628">
        <f t="shared" si="80"/>
        <v>4399346.9869999997</v>
      </c>
      <c r="G340" s="628">
        <f t="shared" si="80"/>
        <v>4615683.58</v>
      </c>
      <c r="H340" s="628">
        <f t="shared" si="80"/>
        <v>11922026.261</v>
      </c>
      <c r="I340" s="628">
        <f t="shared" si="80"/>
        <v>18540612.465999998</v>
      </c>
      <c r="J340" s="628">
        <f t="shared" si="80"/>
        <v>23327966.862</v>
      </c>
      <c r="K340" s="628">
        <f t="shared" si="80"/>
        <v>25106392.523000002</v>
      </c>
      <c r="L340" s="628">
        <f t="shared" si="80"/>
        <v>24282322.969000001</v>
      </c>
      <c r="M340" s="628">
        <f t="shared" si="80"/>
        <v>10323876.083000001</v>
      </c>
      <c r="N340" s="628">
        <f t="shared" si="80"/>
        <v>4196695.1040000003</v>
      </c>
      <c r="O340" s="628">
        <f t="shared" si="80"/>
        <v>4300335.4280000003</v>
      </c>
      <c r="P340" s="408">
        <f t="shared" si="74"/>
        <v>139559979.042</v>
      </c>
    </row>
    <row r="341" spans="1:16">
      <c r="A341" s="637"/>
      <c r="B341" s="637"/>
      <c r="C341" s="404" t="s">
        <v>480</v>
      </c>
      <c r="D341" s="628">
        <f>D258+D267+D285+D276+D294+D313+D303</f>
        <v>1588090.1563400002</v>
      </c>
      <c r="E341" s="628">
        <f t="shared" ref="E341:O341" si="81">E258+E267+E285+E276+E294+E313+E303</f>
        <v>1465578.93729</v>
      </c>
      <c r="F341" s="628">
        <f t="shared" si="81"/>
        <v>1457300.8660000002</v>
      </c>
      <c r="G341" s="628">
        <f t="shared" si="81"/>
        <v>1504467.7849199998</v>
      </c>
      <c r="H341" s="628">
        <f t="shared" si="81"/>
        <v>1481576.6810000001</v>
      </c>
      <c r="I341" s="628">
        <f t="shared" si="81"/>
        <v>1502970.93799</v>
      </c>
      <c r="J341" s="628">
        <f t="shared" si="81"/>
        <v>1517745.8739999998</v>
      </c>
      <c r="K341" s="628">
        <f t="shared" si="81"/>
        <v>1485522.635</v>
      </c>
      <c r="L341" s="628">
        <f t="shared" si="81"/>
        <v>1534874.4569999999</v>
      </c>
      <c r="M341" s="628">
        <f t="shared" si="81"/>
        <v>1490310.2050000001</v>
      </c>
      <c r="N341" s="628">
        <f t="shared" si="81"/>
        <v>1428253.1512200001</v>
      </c>
      <c r="O341" s="628">
        <f t="shared" si="81"/>
        <v>1505231.9742099999</v>
      </c>
      <c r="P341" s="408">
        <f>SUM(D341:O341)</f>
        <v>17961923.65997</v>
      </c>
    </row>
    <row r="342" spans="1:16">
      <c r="A342" s="637"/>
      <c r="B342" s="637"/>
      <c r="C342" s="405" t="s">
        <v>66</v>
      </c>
      <c r="D342" s="628">
        <f>SUM(D333:D341)</f>
        <v>547354540.42633998</v>
      </c>
      <c r="E342" s="628">
        <f t="shared" ref="E342:O342" si="82">SUM(E333:E341)</f>
        <v>517676954.00129002</v>
      </c>
      <c r="F342" s="628">
        <f t="shared" si="82"/>
        <v>551861217.42200005</v>
      </c>
      <c r="G342" s="628">
        <f t="shared" si="82"/>
        <v>446494893.06291997</v>
      </c>
      <c r="H342" s="628">
        <f t="shared" si="82"/>
        <v>417856157.66799992</v>
      </c>
      <c r="I342" s="628">
        <f t="shared" si="82"/>
        <v>418932711.67198998</v>
      </c>
      <c r="J342" s="628">
        <f t="shared" si="82"/>
        <v>449216491.63799995</v>
      </c>
      <c r="K342" s="628">
        <f t="shared" si="82"/>
        <v>471295628.68699998</v>
      </c>
      <c r="L342" s="628">
        <f t="shared" si="82"/>
        <v>462203992.38800001</v>
      </c>
      <c r="M342" s="628">
        <f t="shared" si="82"/>
        <v>431017377.93599993</v>
      </c>
      <c r="N342" s="628">
        <f t="shared" si="82"/>
        <v>452831995.57821995</v>
      </c>
      <c r="O342" s="628">
        <f t="shared" si="82"/>
        <v>539875937.09021008</v>
      </c>
      <c r="P342" s="408">
        <f t="shared" si="74"/>
        <v>5706617897.5699701</v>
      </c>
    </row>
    <row r="343" spans="1:16">
      <c r="A343" s="637"/>
      <c r="B343" s="637"/>
      <c r="C343" s="637"/>
      <c r="D343" s="408"/>
      <c r="E343" s="408"/>
      <c r="F343" s="408"/>
      <c r="G343" s="408"/>
      <c r="H343" s="408"/>
      <c r="I343" s="408"/>
      <c r="J343" s="408"/>
      <c r="K343" s="408"/>
      <c r="L343" s="408"/>
      <c r="M343" s="408"/>
      <c r="N343" s="408"/>
      <c r="O343" s="408"/>
      <c r="P343" s="408"/>
    </row>
    <row r="344" spans="1:16">
      <c r="A344" s="637"/>
      <c r="B344" s="637"/>
      <c r="C344" s="637"/>
      <c r="D344" s="408">
        <f>D326-D342</f>
        <v>-36161892.000000119</v>
      </c>
      <c r="E344" s="408">
        <f t="shared" ref="E344:O344" si="83">E326-E342</f>
        <v>-35055804.00000006</v>
      </c>
      <c r="F344" s="408">
        <f t="shared" si="83"/>
        <v>-35276106.000000119</v>
      </c>
      <c r="G344" s="408">
        <f t="shared" si="83"/>
        <v>-34282367.99999994</v>
      </c>
      <c r="H344" s="408">
        <f t="shared" si="83"/>
        <v>-38684638</v>
      </c>
      <c r="I344" s="408">
        <f t="shared" si="83"/>
        <v>-37544592</v>
      </c>
      <c r="J344" s="408">
        <f t="shared" si="83"/>
        <v>-40314368.00000006</v>
      </c>
      <c r="K344" s="408">
        <f t="shared" si="83"/>
        <v>-40335278.00000006</v>
      </c>
      <c r="L344" s="408">
        <f t="shared" si="83"/>
        <v>-38614866</v>
      </c>
      <c r="M344" s="408">
        <f t="shared" si="83"/>
        <v>-40639055.99999994</v>
      </c>
      <c r="N344" s="408">
        <f t="shared" si="83"/>
        <v>-33404253.999999821</v>
      </c>
      <c r="O344" s="408">
        <f t="shared" si="83"/>
        <v>-40786226.000000119</v>
      </c>
      <c r="P344" s="408"/>
    </row>
    <row r="346" spans="1:16">
      <c r="A346" s="637" t="s">
        <v>767</v>
      </c>
      <c r="B346" s="637"/>
      <c r="C346" s="637"/>
      <c r="D346" s="637"/>
      <c r="E346" s="637"/>
      <c r="F346" s="637"/>
      <c r="G346" s="637"/>
      <c r="H346" s="637"/>
      <c r="I346" s="637"/>
      <c r="J346" s="637"/>
      <c r="K346" s="637"/>
      <c r="L346" s="637"/>
      <c r="M346" s="637"/>
      <c r="N346" s="637"/>
      <c r="O346" s="637"/>
      <c r="P346" s="637"/>
    </row>
    <row r="347" spans="1:16">
      <c r="A347" s="637"/>
      <c r="B347" s="637"/>
      <c r="C347" s="637"/>
      <c r="D347" s="637"/>
      <c r="E347" s="637"/>
      <c r="F347" s="637"/>
      <c r="G347" s="637"/>
      <c r="H347" s="637"/>
      <c r="I347" s="637"/>
      <c r="J347" s="637"/>
      <c r="K347" s="637"/>
      <c r="L347" s="637"/>
      <c r="M347" s="637"/>
      <c r="N347" s="637"/>
      <c r="O347" s="637"/>
      <c r="P347" s="637"/>
    </row>
    <row r="348" spans="1:16">
      <c r="A348" s="637" t="s">
        <v>473</v>
      </c>
      <c r="B348" s="637"/>
      <c r="C348" s="637"/>
      <c r="D348" s="637"/>
      <c r="E348" s="637"/>
      <c r="F348" s="637"/>
      <c r="G348" s="637"/>
      <c r="H348" s="637"/>
      <c r="I348" s="637"/>
      <c r="J348" s="637"/>
      <c r="K348" s="637"/>
      <c r="L348" s="637"/>
      <c r="M348" s="637"/>
      <c r="N348" s="637"/>
      <c r="O348" s="637"/>
      <c r="P348" s="637"/>
    </row>
    <row r="349" spans="1:16">
      <c r="A349" s="637"/>
      <c r="B349" s="637"/>
      <c r="C349" s="637"/>
      <c r="D349" s="637"/>
      <c r="E349" s="637"/>
      <c r="F349" s="637"/>
      <c r="G349" s="637"/>
      <c r="H349" s="637"/>
      <c r="I349" s="637"/>
      <c r="J349" s="637"/>
      <c r="K349" s="637"/>
      <c r="L349" s="637"/>
      <c r="M349" s="637"/>
      <c r="N349" s="637"/>
      <c r="O349" s="637"/>
      <c r="P349" s="637"/>
    </row>
    <row r="350" spans="1:16">
      <c r="A350" s="637"/>
      <c r="B350" s="637"/>
      <c r="C350" s="637"/>
      <c r="D350" s="637" t="s">
        <v>768</v>
      </c>
      <c r="E350" s="637"/>
      <c r="F350" s="637"/>
      <c r="G350" s="637"/>
      <c r="H350" s="637"/>
      <c r="I350" s="637"/>
      <c r="J350" s="637"/>
      <c r="K350" s="637"/>
      <c r="L350" s="637"/>
      <c r="M350" s="637"/>
      <c r="N350" s="637"/>
      <c r="O350" s="637"/>
      <c r="P350" s="637"/>
    </row>
    <row r="351" spans="1:16">
      <c r="A351" s="637"/>
      <c r="B351" s="637"/>
      <c r="C351" s="637" t="s">
        <v>469</v>
      </c>
      <c r="D351" s="663" t="s">
        <v>755</v>
      </c>
      <c r="E351" s="663" t="s">
        <v>756</v>
      </c>
      <c r="F351" s="663" t="s">
        <v>757</v>
      </c>
      <c r="G351" s="663" t="s">
        <v>758</v>
      </c>
      <c r="H351" s="663" t="s">
        <v>759</v>
      </c>
      <c r="I351" s="663" t="s">
        <v>760</v>
      </c>
      <c r="J351" s="663" t="s">
        <v>761</v>
      </c>
      <c r="K351" s="663" t="s">
        <v>762</v>
      </c>
      <c r="L351" s="663" t="s">
        <v>763</v>
      </c>
      <c r="M351" s="663" t="s">
        <v>764</v>
      </c>
      <c r="N351" s="663" t="s">
        <v>765</v>
      </c>
      <c r="O351" s="663" t="s">
        <v>766</v>
      </c>
      <c r="P351" s="637" t="s">
        <v>472</v>
      </c>
    </row>
    <row r="352" spans="1:16">
      <c r="A352" s="637" t="s">
        <v>474</v>
      </c>
      <c r="B352" s="637" t="s">
        <v>391</v>
      </c>
      <c r="C352" s="637"/>
      <c r="D352" s="637"/>
      <c r="E352" s="637"/>
      <c r="F352" s="637"/>
      <c r="G352" s="637"/>
      <c r="H352" s="637"/>
      <c r="I352" s="637"/>
      <c r="J352" s="637"/>
      <c r="K352" s="637"/>
      <c r="L352" s="637"/>
      <c r="M352" s="637"/>
      <c r="N352" s="637"/>
      <c r="O352" s="637"/>
      <c r="P352" s="637"/>
    </row>
    <row r="353" spans="1:16" ht="13.5" thickBot="1">
      <c r="A353" s="925" t="s">
        <v>164</v>
      </c>
      <c r="B353" s="925" t="s">
        <v>392</v>
      </c>
      <c r="C353" s="723" t="s">
        <v>475</v>
      </c>
      <c r="D353" s="725">
        <v>126345126</v>
      </c>
      <c r="E353" s="725">
        <v>123665373</v>
      </c>
      <c r="F353" s="725">
        <v>102864779</v>
      </c>
      <c r="G353" s="725">
        <v>79253910</v>
      </c>
      <c r="H353" s="725">
        <v>77047881</v>
      </c>
      <c r="I353" s="725">
        <v>78919795</v>
      </c>
      <c r="J353" s="725">
        <v>91004591</v>
      </c>
      <c r="K353" s="725">
        <v>98756098</v>
      </c>
      <c r="L353" s="725">
        <v>77115939</v>
      </c>
      <c r="M353" s="725">
        <v>98956893</v>
      </c>
      <c r="N353" s="725">
        <v>121833489</v>
      </c>
      <c r="O353" s="725">
        <v>122208219</v>
      </c>
      <c r="P353" s="726">
        <v>1197972093</v>
      </c>
    </row>
    <row r="354" spans="1:16" ht="13.5" thickBot="1">
      <c r="A354" s="930"/>
      <c r="B354" s="926"/>
      <c r="C354" s="723" t="s">
        <v>476</v>
      </c>
      <c r="D354" s="725">
        <v>-127093842</v>
      </c>
      <c r="E354" s="725">
        <v>-126345126</v>
      </c>
      <c r="F354" s="725">
        <v>-123665373</v>
      </c>
      <c r="G354" s="725">
        <v>-102864779</v>
      </c>
      <c r="H354" s="725">
        <v>-79253910</v>
      </c>
      <c r="I354" s="725">
        <v>-77047881</v>
      </c>
      <c r="J354" s="725">
        <v>-78919795</v>
      </c>
      <c r="K354" s="725">
        <v>-91004591</v>
      </c>
      <c r="L354" s="725">
        <v>-98756098</v>
      </c>
      <c r="M354" s="725">
        <v>-77115939</v>
      </c>
      <c r="N354" s="725">
        <v>-98956893</v>
      </c>
      <c r="O354" s="725">
        <v>-121833489</v>
      </c>
      <c r="P354" s="726">
        <v>-1202857716</v>
      </c>
    </row>
    <row r="355" spans="1:16" ht="13.5" thickBot="1">
      <c r="A355" s="930"/>
      <c r="B355" s="925" t="s">
        <v>641</v>
      </c>
      <c r="C355" s="723" t="s">
        <v>475</v>
      </c>
      <c r="D355" s="725">
        <v>273631</v>
      </c>
      <c r="E355" s="725">
        <v>270017</v>
      </c>
      <c r="F355" s="725">
        <v>224428</v>
      </c>
      <c r="G355" s="725">
        <v>164004</v>
      </c>
      <c r="H355" s="725">
        <v>147751</v>
      </c>
      <c r="I355" s="725">
        <v>131250</v>
      </c>
      <c r="J355" s="725">
        <v>141788</v>
      </c>
      <c r="K355" s="725">
        <v>145054</v>
      </c>
      <c r="L355" s="725">
        <v>113913</v>
      </c>
      <c r="M355" s="725">
        <v>136212</v>
      </c>
      <c r="N355" s="725">
        <v>205766</v>
      </c>
      <c r="O355" s="725">
        <v>233766</v>
      </c>
      <c r="P355" s="726">
        <v>2187580</v>
      </c>
    </row>
    <row r="356" spans="1:16" ht="13.5" thickBot="1">
      <c r="A356" s="930"/>
      <c r="B356" s="926"/>
      <c r="C356" s="723" t="s">
        <v>476</v>
      </c>
      <c r="D356" s="725">
        <v>-269574</v>
      </c>
      <c r="E356" s="725">
        <v>-273631</v>
      </c>
      <c r="F356" s="725">
        <v>-270017</v>
      </c>
      <c r="G356" s="725">
        <v>-224428</v>
      </c>
      <c r="H356" s="725">
        <v>-164004</v>
      </c>
      <c r="I356" s="725">
        <v>-147751</v>
      </c>
      <c r="J356" s="725">
        <v>-131250</v>
      </c>
      <c r="K356" s="725">
        <v>-141788</v>
      </c>
      <c r="L356" s="725">
        <v>-145054</v>
      </c>
      <c r="M356" s="725">
        <v>-113913</v>
      </c>
      <c r="N356" s="725">
        <v>-136212</v>
      </c>
      <c r="O356" s="725">
        <v>-205766</v>
      </c>
      <c r="P356" s="726">
        <v>-2223388</v>
      </c>
    </row>
    <row r="357" spans="1:16" ht="13.5" thickBot="1">
      <c r="A357" s="930"/>
      <c r="B357" s="925" t="s">
        <v>393</v>
      </c>
      <c r="C357" s="723" t="s">
        <v>475</v>
      </c>
      <c r="D357" s="725">
        <v>24924085</v>
      </c>
      <c r="E357" s="725">
        <v>25442340</v>
      </c>
      <c r="F357" s="725">
        <v>20492468</v>
      </c>
      <c r="G357" s="725">
        <v>18731044</v>
      </c>
      <c r="H357" s="725">
        <v>20033011</v>
      </c>
      <c r="I357" s="725">
        <v>21804441</v>
      </c>
      <c r="J357" s="725">
        <v>24302464</v>
      </c>
      <c r="K357" s="725">
        <v>25501155</v>
      </c>
      <c r="L357" s="725">
        <v>20636289</v>
      </c>
      <c r="M357" s="725">
        <v>25009635</v>
      </c>
      <c r="N357" s="725">
        <v>27517043</v>
      </c>
      <c r="O357" s="725">
        <v>25195627</v>
      </c>
      <c r="P357" s="726">
        <v>279589602</v>
      </c>
    </row>
    <row r="358" spans="1:16" ht="13.5" thickBot="1">
      <c r="A358" s="930"/>
      <c r="B358" s="926"/>
      <c r="C358" s="723" t="s">
        <v>476</v>
      </c>
      <c r="D358" s="725">
        <v>-26276394</v>
      </c>
      <c r="E358" s="725">
        <v>-24924085</v>
      </c>
      <c r="F358" s="725">
        <v>-25442340</v>
      </c>
      <c r="G358" s="725">
        <v>-20492468</v>
      </c>
      <c r="H358" s="725">
        <v>-18731044</v>
      </c>
      <c r="I358" s="725">
        <v>-20033011</v>
      </c>
      <c r="J358" s="725">
        <v>-21804441</v>
      </c>
      <c r="K358" s="725">
        <v>-24302464</v>
      </c>
      <c r="L358" s="725">
        <v>-25501155</v>
      </c>
      <c r="M358" s="725">
        <v>-20636289</v>
      </c>
      <c r="N358" s="725">
        <v>-25009635</v>
      </c>
      <c r="O358" s="725">
        <v>-27517043</v>
      </c>
      <c r="P358" s="726">
        <v>-280670369</v>
      </c>
    </row>
    <row r="359" spans="1:16" ht="13.5" thickBot="1">
      <c r="A359" s="930"/>
      <c r="B359" s="925" t="s">
        <v>394</v>
      </c>
      <c r="C359" s="723" t="s">
        <v>475</v>
      </c>
      <c r="D359" s="725">
        <v>3225387</v>
      </c>
      <c r="E359" s="725">
        <v>3288593</v>
      </c>
      <c r="F359" s="725">
        <v>2735330</v>
      </c>
      <c r="G359" s="725">
        <v>2153685</v>
      </c>
      <c r="H359" s="725">
        <v>1951017</v>
      </c>
      <c r="I359" s="725">
        <v>1887387</v>
      </c>
      <c r="J359" s="725">
        <v>2036165</v>
      </c>
      <c r="K359" s="725">
        <v>2148130</v>
      </c>
      <c r="L359" s="725">
        <v>1769263</v>
      </c>
      <c r="M359" s="725">
        <v>2512593</v>
      </c>
      <c r="N359" s="725">
        <v>3086251</v>
      </c>
      <c r="O359" s="725">
        <v>3158611</v>
      </c>
      <c r="P359" s="726">
        <v>29952412</v>
      </c>
    </row>
    <row r="360" spans="1:16" ht="13.5" thickBot="1">
      <c r="A360" s="930"/>
      <c r="B360" s="926"/>
      <c r="C360" s="723" t="s">
        <v>476</v>
      </c>
      <c r="D360" s="725">
        <v>-3165785</v>
      </c>
      <c r="E360" s="725">
        <v>-3225387</v>
      </c>
      <c r="F360" s="725">
        <v>-3288593</v>
      </c>
      <c r="G360" s="725">
        <v>-2735330</v>
      </c>
      <c r="H360" s="725">
        <v>-2153685</v>
      </c>
      <c r="I360" s="725">
        <v>-1951017</v>
      </c>
      <c r="J360" s="725">
        <v>-1887387</v>
      </c>
      <c r="K360" s="725">
        <v>-2036165</v>
      </c>
      <c r="L360" s="725">
        <v>-2148130</v>
      </c>
      <c r="M360" s="725">
        <v>-1769263</v>
      </c>
      <c r="N360" s="725">
        <v>-2512593</v>
      </c>
      <c r="O360" s="725">
        <v>-3086251</v>
      </c>
      <c r="P360" s="726">
        <v>-29959586</v>
      </c>
    </row>
    <row r="361" spans="1:16" s="755" customFormat="1" ht="13.5" thickBot="1">
      <c r="A361" s="930"/>
      <c r="B361" s="925">
        <v>13</v>
      </c>
      <c r="C361" s="756" t="s">
        <v>475</v>
      </c>
      <c r="D361" s="725">
        <v>0</v>
      </c>
      <c r="E361" s="725">
        <v>0</v>
      </c>
      <c r="F361" s="725">
        <v>0</v>
      </c>
      <c r="G361" s="725">
        <v>0</v>
      </c>
      <c r="H361" s="725">
        <v>0</v>
      </c>
      <c r="I361" s="725">
        <v>0</v>
      </c>
      <c r="J361" s="725">
        <v>0</v>
      </c>
      <c r="K361" s="725">
        <v>0</v>
      </c>
      <c r="L361" s="725">
        <v>0</v>
      </c>
      <c r="M361" s="725">
        <v>0</v>
      </c>
      <c r="N361" s="725">
        <v>0</v>
      </c>
      <c r="O361" s="725">
        <v>0</v>
      </c>
      <c r="P361" s="726">
        <v>0</v>
      </c>
    </row>
    <row r="362" spans="1:16" s="755" customFormat="1" ht="13.5" thickBot="1">
      <c r="A362" s="930"/>
      <c r="B362" s="926"/>
      <c r="C362" s="756" t="s">
        <v>476</v>
      </c>
      <c r="D362" s="725">
        <v>0</v>
      </c>
      <c r="E362" s="725">
        <v>0</v>
      </c>
      <c r="F362" s="725">
        <v>0</v>
      </c>
      <c r="G362" s="725">
        <v>0</v>
      </c>
      <c r="H362" s="725">
        <v>0</v>
      </c>
      <c r="I362" s="725">
        <v>0</v>
      </c>
      <c r="J362" s="725">
        <v>0</v>
      </c>
      <c r="K362" s="725">
        <v>0</v>
      </c>
      <c r="L362" s="725">
        <v>0</v>
      </c>
      <c r="M362" s="725">
        <v>0</v>
      </c>
      <c r="N362" s="725">
        <v>0</v>
      </c>
      <c r="O362" s="725">
        <v>0</v>
      </c>
      <c r="P362" s="726">
        <v>0</v>
      </c>
    </row>
    <row r="363" spans="1:16" ht="13.5" thickBot="1">
      <c r="A363" s="930"/>
      <c r="B363" s="931" t="s">
        <v>395</v>
      </c>
      <c r="C363" s="723" t="s">
        <v>475</v>
      </c>
      <c r="D363" s="725">
        <v>54809718</v>
      </c>
      <c r="E363" s="725">
        <v>54469939</v>
      </c>
      <c r="F363" s="725">
        <v>43737316</v>
      </c>
      <c r="G363" s="725">
        <v>44169806</v>
      </c>
      <c r="H363" s="725">
        <v>50651191</v>
      </c>
      <c r="I363" s="725">
        <v>56488170</v>
      </c>
      <c r="J363" s="725">
        <v>61944423</v>
      </c>
      <c r="K363" s="725">
        <v>62170005</v>
      </c>
      <c r="L363" s="725">
        <v>50298406</v>
      </c>
      <c r="M363" s="725">
        <v>65264233</v>
      </c>
      <c r="N363" s="725">
        <v>64803850</v>
      </c>
      <c r="O363" s="725">
        <v>56115148</v>
      </c>
      <c r="P363" s="726">
        <v>664922205</v>
      </c>
    </row>
    <row r="364" spans="1:16" ht="13.5" thickBot="1">
      <c r="A364" s="930"/>
      <c r="B364" s="925"/>
      <c r="C364" s="723" t="s">
        <v>476</v>
      </c>
      <c r="D364" s="725">
        <v>-59753857</v>
      </c>
      <c r="E364" s="725">
        <v>-54809718</v>
      </c>
      <c r="F364" s="725">
        <v>-54469939</v>
      </c>
      <c r="G364" s="725">
        <v>-43737316</v>
      </c>
      <c r="H364" s="725">
        <v>-44169806</v>
      </c>
      <c r="I364" s="725">
        <v>-50651191</v>
      </c>
      <c r="J364" s="725">
        <v>-56488170</v>
      </c>
      <c r="K364" s="725">
        <v>-61944423</v>
      </c>
      <c r="L364" s="725">
        <v>-62170005</v>
      </c>
      <c r="M364" s="725">
        <v>-50298406</v>
      </c>
      <c r="N364" s="725">
        <v>-65264233</v>
      </c>
      <c r="O364" s="725">
        <v>-64803850</v>
      </c>
      <c r="P364" s="726">
        <v>-668560914</v>
      </c>
    </row>
    <row r="365" spans="1:16" ht="13.5" thickBot="1">
      <c r="A365" s="930"/>
      <c r="B365" s="925" t="s">
        <v>396</v>
      </c>
      <c r="C365" s="723" t="s">
        <v>475</v>
      </c>
      <c r="D365" s="725">
        <v>1678552</v>
      </c>
      <c r="E365" s="725">
        <v>1627128</v>
      </c>
      <c r="F365" s="725">
        <v>1383853</v>
      </c>
      <c r="G365" s="725">
        <v>1115653</v>
      </c>
      <c r="H365" s="725">
        <v>1090220</v>
      </c>
      <c r="I365" s="725">
        <v>1139214</v>
      </c>
      <c r="J365" s="725">
        <v>1251547</v>
      </c>
      <c r="K365" s="725">
        <v>1367645</v>
      </c>
      <c r="L365" s="725">
        <v>1018384</v>
      </c>
      <c r="M365" s="725">
        <v>1508696</v>
      </c>
      <c r="N365" s="725">
        <v>1624452</v>
      </c>
      <c r="O365" s="725">
        <v>1556783</v>
      </c>
      <c r="P365" s="726">
        <v>16362127</v>
      </c>
    </row>
    <row r="366" spans="1:16" ht="13.5" thickBot="1">
      <c r="A366" s="930"/>
      <c r="B366" s="926"/>
      <c r="C366" s="723" t="s">
        <v>476</v>
      </c>
      <c r="D366" s="725">
        <v>-1589576</v>
      </c>
      <c r="E366" s="725">
        <v>-1678552</v>
      </c>
      <c r="F366" s="725">
        <v>-1627128</v>
      </c>
      <c r="G366" s="725">
        <v>-1383853</v>
      </c>
      <c r="H366" s="725">
        <v>-1115653</v>
      </c>
      <c r="I366" s="725">
        <v>-1090220</v>
      </c>
      <c r="J366" s="725">
        <v>-1139214</v>
      </c>
      <c r="K366" s="725">
        <v>-1251547</v>
      </c>
      <c r="L366" s="725">
        <v>-1367645</v>
      </c>
      <c r="M366" s="725">
        <v>-1018384</v>
      </c>
      <c r="N366" s="725">
        <v>-1508696</v>
      </c>
      <c r="O366" s="725">
        <v>-1624452</v>
      </c>
      <c r="P366" s="726">
        <v>-16394920</v>
      </c>
    </row>
    <row r="367" spans="1:16" s="755" customFormat="1" ht="13.5" thickBot="1">
      <c r="A367" s="930"/>
      <c r="B367" s="925">
        <v>23</v>
      </c>
      <c r="C367" s="756" t="s">
        <v>475</v>
      </c>
      <c r="D367" s="725">
        <v>0</v>
      </c>
      <c r="E367" s="725">
        <v>0</v>
      </c>
      <c r="F367" s="725">
        <v>0</v>
      </c>
      <c r="G367" s="725">
        <v>0</v>
      </c>
      <c r="H367" s="725">
        <v>0</v>
      </c>
      <c r="I367" s="725">
        <v>0</v>
      </c>
      <c r="J367" s="725">
        <v>0</v>
      </c>
      <c r="K367" s="725">
        <v>0</v>
      </c>
      <c r="L367" s="725">
        <v>0</v>
      </c>
      <c r="M367" s="725">
        <v>0</v>
      </c>
      <c r="N367" s="725">
        <v>0</v>
      </c>
      <c r="O367" s="725">
        <v>0</v>
      </c>
      <c r="P367" s="726">
        <v>0</v>
      </c>
    </row>
    <row r="368" spans="1:16" s="755" customFormat="1" ht="13.5" thickBot="1">
      <c r="A368" s="930"/>
      <c r="B368" s="926"/>
      <c r="C368" s="756" t="s">
        <v>476</v>
      </c>
      <c r="D368" s="725">
        <v>0</v>
      </c>
      <c r="E368" s="725">
        <v>0</v>
      </c>
      <c r="F368" s="725">
        <v>0</v>
      </c>
      <c r="G368" s="725">
        <v>0</v>
      </c>
      <c r="H368" s="725">
        <v>0</v>
      </c>
      <c r="I368" s="725">
        <v>0</v>
      </c>
      <c r="J368" s="725">
        <v>0</v>
      </c>
      <c r="K368" s="725">
        <v>0</v>
      </c>
      <c r="L368" s="725">
        <v>0</v>
      </c>
      <c r="M368" s="725">
        <v>0</v>
      </c>
      <c r="N368" s="725">
        <v>0</v>
      </c>
      <c r="O368" s="725">
        <v>0</v>
      </c>
      <c r="P368" s="726">
        <v>0</v>
      </c>
    </row>
    <row r="369" spans="1:17" ht="13.5" thickBot="1">
      <c r="A369" s="930"/>
      <c r="B369" s="931" t="s">
        <v>397</v>
      </c>
      <c r="C369" s="723" t="s">
        <v>475</v>
      </c>
      <c r="D369" s="725">
        <v>91484247</v>
      </c>
      <c r="E369" s="725">
        <v>84934068</v>
      </c>
      <c r="F369" s="725">
        <v>89487500</v>
      </c>
      <c r="G369" s="725">
        <v>79454560</v>
      </c>
      <c r="H369" s="725">
        <v>92015166</v>
      </c>
      <c r="I369" s="725">
        <v>91195162</v>
      </c>
      <c r="J369" s="725">
        <v>95775976</v>
      </c>
      <c r="K369" s="725">
        <v>94768404</v>
      </c>
      <c r="L369" s="725">
        <v>91927127</v>
      </c>
      <c r="M369" s="725">
        <v>93727705</v>
      </c>
      <c r="N369" s="725">
        <v>83601582</v>
      </c>
      <c r="O369" s="725">
        <v>90893021</v>
      </c>
      <c r="P369" s="726">
        <v>1079264518</v>
      </c>
    </row>
    <row r="370" spans="1:17" ht="13.5" thickBot="1">
      <c r="A370" s="930"/>
      <c r="B370" s="925"/>
      <c r="C370" s="723" t="s">
        <v>476</v>
      </c>
      <c r="D370" s="725">
        <v>-92515285</v>
      </c>
      <c r="E370" s="725">
        <v>-91484247</v>
      </c>
      <c r="F370" s="725">
        <v>-84934068</v>
      </c>
      <c r="G370" s="725">
        <v>-89487500</v>
      </c>
      <c r="H370" s="725">
        <v>-79454560</v>
      </c>
      <c r="I370" s="725">
        <v>-92015166</v>
      </c>
      <c r="J370" s="725">
        <v>-91195162</v>
      </c>
      <c r="K370" s="725">
        <v>-95775976</v>
      </c>
      <c r="L370" s="725">
        <v>-94768404</v>
      </c>
      <c r="M370" s="725">
        <v>-91927127</v>
      </c>
      <c r="N370" s="725">
        <v>-93727705</v>
      </c>
      <c r="O370" s="725">
        <v>-83601582</v>
      </c>
      <c r="P370" s="726">
        <v>-1080886782</v>
      </c>
    </row>
    <row r="371" spans="1:17" s="755" customFormat="1" ht="13.5" thickBot="1">
      <c r="A371" s="930"/>
      <c r="B371" s="925" t="s">
        <v>959</v>
      </c>
      <c r="C371" s="756" t="s">
        <v>475</v>
      </c>
      <c r="D371" s="725">
        <v>0</v>
      </c>
      <c r="E371" s="725">
        <v>0</v>
      </c>
      <c r="F371" s="725">
        <v>0</v>
      </c>
      <c r="G371" s="725">
        <v>0</v>
      </c>
      <c r="H371" s="725">
        <v>0</v>
      </c>
      <c r="I371" s="725">
        <v>0</v>
      </c>
      <c r="J371" s="725">
        <v>0</v>
      </c>
      <c r="K371" s="725">
        <v>0</v>
      </c>
      <c r="L371" s="725">
        <v>0</v>
      </c>
      <c r="M371" s="725">
        <v>0</v>
      </c>
      <c r="N371" s="725">
        <v>0</v>
      </c>
      <c r="O371" s="725">
        <v>0</v>
      </c>
      <c r="P371" s="726">
        <v>0</v>
      </c>
    </row>
    <row r="372" spans="1:17" s="755" customFormat="1" ht="13.5" thickBot="1">
      <c r="A372" s="930"/>
      <c r="B372" s="926"/>
      <c r="C372" s="756" t="s">
        <v>476</v>
      </c>
      <c r="D372" s="725">
        <v>0</v>
      </c>
      <c r="E372" s="725">
        <v>0</v>
      </c>
      <c r="F372" s="725">
        <v>0</v>
      </c>
      <c r="G372" s="725">
        <v>0</v>
      </c>
      <c r="H372" s="725">
        <v>0</v>
      </c>
      <c r="I372" s="725">
        <v>0</v>
      </c>
      <c r="J372" s="725">
        <v>0</v>
      </c>
      <c r="K372" s="725">
        <v>0</v>
      </c>
      <c r="L372" s="725">
        <v>0</v>
      </c>
      <c r="M372" s="725">
        <v>0</v>
      </c>
      <c r="N372" s="725">
        <v>0</v>
      </c>
      <c r="O372" s="725">
        <v>0</v>
      </c>
      <c r="P372" s="726">
        <v>0</v>
      </c>
    </row>
    <row r="373" spans="1:17" ht="13.5" thickBot="1">
      <c r="A373" s="930"/>
      <c r="B373" s="931" t="s">
        <v>398</v>
      </c>
      <c r="C373" s="723" t="s">
        <v>475</v>
      </c>
      <c r="D373" s="725">
        <v>1686223</v>
      </c>
      <c r="E373" s="725">
        <v>1751695</v>
      </c>
      <c r="F373" s="725">
        <v>1396018</v>
      </c>
      <c r="G373" s="725">
        <v>1602289</v>
      </c>
      <c r="H373" s="725">
        <v>2739460</v>
      </c>
      <c r="I373" s="725">
        <v>4758420</v>
      </c>
      <c r="J373" s="725">
        <v>6396055</v>
      </c>
      <c r="K373" s="725">
        <v>8016094</v>
      </c>
      <c r="L373" s="725">
        <v>6038413</v>
      </c>
      <c r="M373" s="725">
        <v>3879449</v>
      </c>
      <c r="N373" s="725">
        <v>2094330</v>
      </c>
      <c r="O373" s="725">
        <v>1779535</v>
      </c>
      <c r="P373" s="726">
        <v>42137981</v>
      </c>
    </row>
    <row r="374" spans="1:17" ht="13.5" thickBot="1">
      <c r="A374" s="930"/>
      <c r="B374" s="925"/>
      <c r="C374" s="723" t="s">
        <v>476</v>
      </c>
      <c r="D374" s="725">
        <v>-1728595</v>
      </c>
      <c r="E374" s="725">
        <v>-1686223</v>
      </c>
      <c r="F374" s="725">
        <v>-1751695</v>
      </c>
      <c r="G374" s="725">
        <v>-1396018</v>
      </c>
      <c r="H374" s="725">
        <v>-1602289</v>
      </c>
      <c r="I374" s="725">
        <v>-2739460</v>
      </c>
      <c r="J374" s="725">
        <v>-4758420</v>
      </c>
      <c r="K374" s="725">
        <v>-6396055</v>
      </c>
      <c r="L374" s="725">
        <v>-8016094</v>
      </c>
      <c r="M374" s="725">
        <v>-6038413</v>
      </c>
      <c r="N374" s="725">
        <v>-3879449</v>
      </c>
      <c r="O374" s="725">
        <v>-2094330</v>
      </c>
      <c r="P374" s="726">
        <v>-42087041</v>
      </c>
    </row>
    <row r="375" spans="1:17" ht="13.5" thickBot="1">
      <c r="A375" s="930"/>
      <c r="B375" s="925" t="s">
        <v>399</v>
      </c>
      <c r="C375" s="723" t="s">
        <v>475</v>
      </c>
      <c r="D375" s="725">
        <v>137133</v>
      </c>
      <c r="E375" s="725">
        <v>139725</v>
      </c>
      <c r="F375" s="725">
        <v>118877</v>
      </c>
      <c r="G375" s="725">
        <v>114155</v>
      </c>
      <c r="H375" s="725">
        <v>192447</v>
      </c>
      <c r="I375" s="725">
        <v>0</v>
      </c>
      <c r="J375" s="725">
        <v>651581</v>
      </c>
      <c r="K375" s="725">
        <v>636344</v>
      </c>
      <c r="L375" s="725">
        <v>409129</v>
      </c>
      <c r="M375" s="725">
        <v>186928</v>
      </c>
      <c r="N375" s="725">
        <v>143627</v>
      </c>
      <c r="O375" s="725">
        <v>134463</v>
      </c>
      <c r="P375" s="726">
        <v>2864409</v>
      </c>
    </row>
    <row r="376" spans="1:17" ht="13.5" thickBot="1">
      <c r="A376" s="930"/>
      <c r="B376" s="926"/>
      <c r="C376" s="723" t="s">
        <v>476</v>
      </c>
      <c r="D376" s="725">
        <v>-122329</v>
      </c>
      <c r="E376" s="725">
        <v>-137133</v>
      </c>
      <c r="F376" s="725">
        <v>-139725</v>
      </c>
      <c r="G376" s="725">
        <v>-118877</v>
      </c>
      <c r="H376" s="725">
        <v>-114155</v>
      </c>
      <c r="I376" s="725">
        <v>-192447</v>
      </c>
      <c r="J376" s="725">
        <v>0</v>
      </c>
      <c r="K376" s="725">
        <v>-651581</v>
      </c>
      <c r="L376" s="725">
        <v>-636344</v>
      </c>
      <c r="M376" s="725">
        <v>-409129</v>
      </c>
      <c r="N376" s="725">
        <v>-186928</v>
      </c>
      <c r="O376" s="725">
        <v>-143627</v>
      </c>
      <c r="P376" s="726">
        <v>-2852275</v>
      </c>
    </row>
    <row r="377" spans="1:17" ht="13.5" thickBot="1">
      <c r="A377" s="930"/>
      <c r="B377" s="925" t="s">
        <v>647</v>
      </c>
      <c r="C377" s="723" t="s">
        <v>475</v>
      </c>
      <c r="D377" s="727"/>
      <c r="E377" s="727"/>
      <c r="F377" s="727"/>
      <c r="G377" s="727"/>
      <c r="H377" s="727"/>
      <c r="I377" s="725">
        <v>324152</v>
      </c>
      <c r="J377" s="725">
        <v>0</v>
      </c>
      <c r="K377" s="725">
        <v>0</v>
      </c>
      <c r="L377" s="725">
        <v>0</v>
      </c>
      <c r="M377" s="725">
        <v>0</v>
      </c>
      <c r="N377" s="725">
        <v>0</v>
      </c>
      <c r="O377" s="725">
        <v>0</v>
      </c>
      <c r="P377" s="726">
        <v>324152</v>
      </c>
    </row>
    <row r="378" spans="1:17" ht="13.5" thickBot="1">
      <c r="A378" s="926"/>
      <c r="B378" s="926"/>
      <c r="C378" s="723" t="s">
        <v>476</v>
      </c>
      <c r="D378" s="727"/>
      <c r="E378" s="727"/>
      <c r="F378" s="727"/>
      <c r="G378" s="727"/>
      <c r="H378" s="727"/>
      <c r="I378" s="727"/>
      <c r="J378" s="725">
        <v>-324152</v>
      </c>
      <c r="K378" s="725">
        <v>0</v>
      </c>
      <c r="L378" s="725">
        <v>0</v>
      </c>
      <c r="M378" s="725">
        <v>0</v>
      </c>
      <c r="N378" s="725">
        <v>0</v>
      </c>
      <c r="O378" s="725">
        <v>0</v>
      </c>
      <c r="P378" s="726">
        <v>-324152</v>
      </c>
    </row>
    <row r="379" spans="1:17" ht="13.5" thickBot="1">
      <c r="A379" s="927" t="s">
        <v>66</v>
      </c>
      <c r="B379" s="928"/>
      <c r="C379" s="929"/>
      <c r="D379" s="728">
        <f t="shared" ref="D379:P379" si="84">SUM(D353:D378)</f>
        <v>-7951135</v>
      </c>
      <c r="E379" s="728">
        <f t="shared" si="84"/>
        <v>-8975224</v>
      </c>
      <c r="F379" s="728">
        <f t="shared" si="84"/>
        <v>-33148309</v>
      </c>
      <c r="G379" s="728">
        <f t="shared" si="84"/>
        <v>-35681463</v>
      </c>
      <c r="H379" s="728">
        <f t="shared" si="84"/>
        <v>19109038</v>
      </c>
      <c r="I379" s="728">
        <f t="shared" si="84"/>
        <v>10779847</v>
      </c>
      <c r="J379" s="728">
        <f t="shared" si="84"/>
        <v>26856599</v>
      </c>
      <c r="K379" s="728">
        <f t="shared" si="84"/>
        <v>10004339</v>
      </c>
      <c r="L379" s="728">
        <f t="shared" si="84"/>
        <v>-44182066</v>
      </c>
      <c r="M379" s="728">
        <f t="shared" si="84"/>
        <v>41855481</v>
      </c>
      <c r="N379" s="728">
        <f t="shared" si="84"/>
        <v>13728046</v>
      </c>
      <c r="O379" s="728">
        <f t="shared" si="84"/>
        <v>-3635217</v>
      </c>
      <c r="P379" s="728">
        <f t="shared" si="84"/>
        <v>-11240064</v>
      </c>
    </row>
    <row r="382" spans="1:17">
      <c r="C382" s="404" t="s">
        <v>660</v>
      </c>
      <c r="D382" s="408">
        <f t="shared" ref="D382:O382" si="85">SUM(D353:D356)</f>
        <v>-744659</v>
      </c>
      <c r="E382" s="408">
        <f t="shared" si="85"/>
        <v>-2683367</v>
      </c>
      <c r="F382" s="408">
        <f t="shared" si="85"/>
        <v>-20846183</v>
      </c>
      <c r="G382" s="408">
        <f t="shared" si="85"/>
        <v>-23671293</v>
      </c>
      <c r="H382" s="408">
        <f t="shared" si="85"/>
        <v>-2222282</v>
      </c>
      <c r="I382" s="408">
        <f t="shared" si="85"/>
        <v>1855413</v>
      </c>
      <c r="J382" s="408">
        <f t="shared" si="85"/>
        <v>12095334</v>
      </c>
      <c r="K382" s="408">
        <f t="shared" si="85"/>
        <v>7754773</v>
      </c>
      <c r="L382" s="408">
        <f t="shared" si="85"/>
        <v>-21671300</v>
      </c>
      <c r="M382" s="408">
        <f t="shared" si="85"/>
        <v>21863253</v>
      </c>
      <c r="N382" s="408">
        <f t="shared" si="85"/>
        <v>22946150</v>
      </c>
      <c r="O382" s="408">
        <f t="shared" si="85"/>
        <v>402730</v>
      </c>
      <c r="P382" s="408">
        <f>SUM(D382:O382)</f>
        <v>-4921431</v>
      </c>
    </row>
    <row r="383" spans="1:17">
      <c r="C383" s="404" t="s">
        <v>477</v>
      </c>
      <c r="D383" s="408">
        <f t="shared" ref="D383:O383" si="86">SUM(D357:D360)</f>
        <v>-1292707</v>
      </c>
      <c r="E383" s="408">
        <f t="shared" si="86"/>
        <v>581461</v>
      </c>
      <c r="F383" s="408">
        <f t="shared" si="86"/>
        <v>-5503135</v>
      </c>
      <c r="G383" s="408">
        <f t="shared" si="86"/>
        <v>-2343069</v>
      </c>
      <c r="H383" s="408">
        <f t="shared" si="86"/>
        <v>1099299</v>
      </c>
      <c r="I383" s="408">
        <f t="shared" si="86"/>
        <v>1707800</v>
      </c>
      <c r="J383" s="408">
        <f t="shared" si="86"/>
        <v>2646801</v>
      </c>
      <c r="K383" s="408">
        <f t="shared" si="86"/>
        <v>1310656</v>
      </c>
      <c r="L383" s="408">
        <f t="shared" si="86"/>
        <v>-5243733</v>
      </c>
      <c r="M383" s="408">
        <f t="shared" si="86"/>
        <v>5116676</v>
      </c>
      <c r="N383" s="408">
        <f t="shared" si="86"/>
        <v>3081066</v>
      </c>
      <c r="O383" s="408">
        <f t="shared" si="86"/>
        <v>-2249056</v>
      </c>
      <c r="P383" s="408">
        <f t="shared" ref="P383:P389" si="87">SUM(D383:O383)</f>
        <v>-1087941</v>
      </c>
      <c r="Q383" s="671"/>
    </row>
    <row r="384" spans="1:17" s="755" customFormat="1">
      <c r="C384" s="404">
        <v>13</v>
      </c>
      <c r="D384" s="408">
        <f>SUM(D361:D362)</f>
        <v>0</v>
      </c>
      <c r="E384" s="408">
        <f t="shared" ref="E384:O384" si="88">SUM(E361:E362)</f>
        <v>0</v>
      </c>
      <c r="F384" s="408">
        <f t="shared" si="88"/>
        <v>0</v>
      </c>
      <c r="G384" s="408">
        <f t="shared" si="88"/>
        <v>0</v>
      </c>
      <c r="H384" s="408">
        <f t="shared" si="88"/>
        <v>0</v>
      </c>
      <c r="I384" s="408">
        <f t="shared" si="88"/>
        <v>0</v>
      </c>
      <c r="J384" s="408">
        <f t="shared" si="88"/>
        <v>0</v>
      </c>
      <c r="K384" s="408">
        <f t="shared" si="88"/>
        <v>0</v>
      </c>
      <c r="L384" s="408">
        <f t="shared" si="88"/>
        <v>0</v>
      </c>
      <c r="M384" s="408">
        <f t="shared" si="88"/>
        <v>0</v>
      </c>
      <c r="N384" s="408">
        <f t="shared" si="88"/>
        <v>0</v>
      </c>
      <c r="O384" s="408">
        <f t="shared" si="88"/>
        <v>0</v>
      </c>
      <c r="P384" s="408">
        <f t="shared" si="87"/>
        <v>0</v>
      </c>
    </row>
    <row r="385" spans="3:17">
      <c r="C385" s="404" t="s">
        <v>478</v>
      </c>
      <c r="D385" s="408">
        <f t="shared" ref="D385:O385" si="89">SUM(D363:D366)</f>
        <v>-4855163</v>
      </c>
      <c r="E385" s="408">
        <f t="shared" si="89"/>
        <v>-391203</v>
      </c>
      <c r="F385" s="408">
        <f t="shared" si="89"/>
        <v>-10975898</v>
      </c>
      <c r="G385" s="408">
        <f t="shared" si="89"/>
        <v>164290</v>
      </c>
      <c r="H385" s="408">
        <f t="shared" si="89"/>
        <v>6455952</v>
      </c>
      <c r="I385" s="408">
        <f t="shared" si="89"/>
        <v>5885973</v>
      </c>
      <c r="J385" s="408">
        <f t="shared" si="89"/>
        <v>5568586</v>
      </c>
      <c r="K385" s="408">
        <f t="shared" si="89"/>
        <v>341680</v>
      </c>
      <c r="L385" s="408">
        <f t="shared" si="89"/>
        <v>-12220860</v>
      </c>
      <c r="M385" s="408">
        <f t="shared" si="89"/>
        <v>15456139</v>
      </c>
      <c r="N385" s="408">
        <f t="shared" si="89"/>
        <v>-344627</v>
      </c>
      <c r="O385" s="408">
        <f t="shared" si="89"/>
        <v>-8756371</v>
      </c>
      <c r="P385" s="408">
        <f t="shared" si="87"/>
        <v>-3671502</v>
      </c>
      <c r="Q385" s="671"/>
    </row>
    <row r="386" spans="3:17" s="755" customFormat="1">
      <c r="C386" s="404">
        <v>23</v>
      </c>
      <c r="D386" s="408">
        <f>SUM(D367:D368)</f>
        <v>0</v>
      </c>
      <c r="E386" s="408">
        <f t="shared" ref="E386:O386" si="90">SUM(E367:E368)</f>
        <v>0</v>
      </c>
      <c r="F386" s="408">
        <f t="shared" si="90"/>
        <v>0</v>
      </c>
      <c r="G386" s="408">
        <f t="shared" si="90"/>
        <v>0</v>
      </c>
      <c r="H386" s="408">
        <f t="shared" si="90"/>
        <v>0</v>
      </c>
      <c r="I386" s="408">
        <f t="shared" si="90"/>
        <v>0</v>
      </c>
      <c r="J386" s="408">
        <f t="shared" si="90"/>
        <v>0</v>
      </c>
      <c r="K386" s="408">
        <f t="shared" si="90"/>
        <v>0</v>
      </c>
      <c r="L386" s="408">
        <f t="shared" si="90"/>
        <v>0</v>
      </c>
      <c r="M386" s="408">
        <f t="shared" si="90"/>
        <v>0</v>
      </c>
      <c r="N386" s="408">
        <f t="shared" si="90"/>
        <v>0</v>
      </c>
      <c r="O386" s="408">
        <f t="shared" si="90"/>
        <v>0</v>
      </c>
      <c r="P386" s="408">
        <f t="shared" si="87"/>
        <v>0</v>
      </c>
    </row>
    <row r="387" spans="3:17">
      <c r="C387" s="404" t="s">
        <v>397</v>
      </c>
      <c r="D387" s="408">
        <f t="shared" ref="D387:O387" si="91">SUM(D369:D370)</f>
        <v>-1031038</v>
      </c>
      <c r="E387" s="408">
        <f t="shared" si="91"/>
        <v>-6550179</v>
      </c>
      <c r="F387" s="408">
        <f t="shared" si="91"/>
        <v>4553432</v>
      </c>
      <c r="G387" s="408">
        <f t="shared" si="91"/>
        <v>-10032940</v>
      </c>
      <c r="H387" s="408">
        <f t="shared" si="91"/>
        <v>12560606</v>
      </c>
      <c r="I387" s="408">
        <f t="shared" si="91"/>
        <v>-820004</v>
      </c>
      <c r="J387" s="408">
        <f t="shared" si="91"/>
        <v>4580814</v>
      </c>
      <c r="K387" s="408">
        <f t="shared" si="91"/>
        <v>-1007572</v>
      </c>
      <c r="L387" s="408">
        <f t="shared" si="91"/>
        <v>-2841277</v>
      </c>
      <c r="M387" s="408">
        <f t="shared" si="91"/>
        <v>1800578</v>
      </c>
      <c r="N387" s="408">
        <f t="shared" si="91"/>
        <v>-10126123</v>
      </c>
      <c r="O387" s="408">
        <f t="shared" si="91"/>
        <v>7291439</v>
      </c>
      <c r="P387" s="408">
        <f t="shared" si="87"/>
        <v>-1622264</v>
      </c>
      <c r="Q387" s="671"/>
    </row>
    <row r="388" spans="3:17" s="755" customFormat="1">
      <c r="C388" s="404" t="s">
        <v>952</v>
      </c>
      <c r="D388" s="408">
        <f>SUM(D371:D372)</f>
        <v>0</v>
      </c>
      <c r="E388" s="408">
        <f t="shared" ref="E388:O388" si="92">SUM(E371:E372)</f>
        <v>0</v>
      </c>
      <c r="F388" s="408">
        <f t="shared" si="92"/>
        <v>0</v>
      </c>
      <c r="G388" s="408">
        <f t="shared" si="92"/>
        <v>0</v>
      </c>
      <c r="H388" s="408">
        <f t="shared" si="92"/>
        <v>0</v>
      </c>
      <c r="I388" s="408">
        <f t="shared" si="92"/>
        <v>0</v>
      </c>
      <c r="J388" s="408">
        <f t="shared" si="92"/>
        <v>0</v>
      </c>
      <c r="K388" s="408">
        <f t="shared" si="92"/>
        <v>0</v>
      </c>
      <c r="L388" s="408">
        <f t="shared" si="92"/>
        <v>0</v>
      </c>
      <c r="M388" s="408">
        <f t="shared" si="92"/>
        <v>0</v>
      </c>
      <c r="N388" s="408">
        <f t="shared" si="92"/>
        <v>0</v>
      </c>
      <c r="O388" s="408">
        <f t="shared" si="92"/>
        <v>0</v>
      </c>
      <c r="P388" s="408">
        <f t="shared" si="87"/>
        <v>0</v>
      </c>
    </row>
    <row r="389" spans="3:17">
      <c r="C389" s="404" t="s">
        <v>479</v>
      </c>
      <c r="D389" s="408">
        <f t="shared" ref="D389:O389" si="93">SUM(D373:D378)</f>
        <v>-27568</v>
      </c>
      <c r="E389" s="408">
        <f t="shared" si="93"/>
        <v>68064</v>
      </c>
      <c r="F389" s="408">
        <f t="shared" si="93"/>
        <v>-376525</v>
      </c>
      <c r="G389" s="408">
        <f t="shared" si="93"/>
        <v>201549</v>
      </c>
      <c r="H389" s="408">
        <f t="shared" si="93"/>
        <v>1215463</v>
      </c>
      <c r="I389" s="408">
        <f t="shared" si="93"/>
        <v>2150665</v>
      </c>
      <c r="J389" s="408">
        <f t="shared" si="93"/>
        <v>1965064</v>
      </c>
      <c r="K389" s="408">
        <f t="shared" si="93"/>
        <v>1604802</v>
      </c>
      <c r="L389" s="408">
        <f t="shared" si="93"/>
        <v>-2204896</v>
      </c>
      <c r="M389" s="408">
        <f t="shared" si="93"/>
        <v>-2381165</v>
      </c>
      <c r="N389" s="408">
        <f t="shared" si="93"/>
        <v>-1828420</v>
      </c>
      <c r="O389" s="408">
        <f t="shared" si="93"/>
        <v>-323959</v>
      </c>
      <c r="P389" s="408">
        <f t="shared" si="87"/>
        <v>63074</v>
      </c>
      <c r="Q389" s="671"/>
    </row>
    <row r="390" spans="3:17">
      <c r="D390" s="528">
        <f>SUM(D382:D389)</f>
        <v>-7951135</v>
      </c>
      <c r="E390" s="528">
        <f t="shared" ref="E390:O390" si="94">SUM(E382:E389)</f>
        <v>-8975224</v>
      </c>
      <c r="F390" s="528">
        <f t="shared" si="94"/>
        <v>-33148309</v>
      </c>
      <c r="G390" s="528">
        <f t="shared" si="94"/>
        <v>-35681463</v>
      </c>
      <c r="H390" s="528">
        <f t="shared" si="94"/>
        <v>19109038</v>
      </c>
      <c r="I390" s="528">
        <f t="shared" si="94"/>
        <v>10779847</v>
      </c>
      <c r="J390" s="528">
        <f t="shared" si="94"/>
        <v>26856599</v>
      </c>
      <c r="K390" s="528">
        <f t="shared" si="94"/>
        <v>10004339</v>
      </c>
      <c r="L390" s="528">
        <f t="shared" si="94"/>
        <v>-44182066</v>
      </c>
      <c r="M390" s="528">
        <f t="shared" si="94"/>
        <v>41855481</v>
      </c>
      <c r="N390" s="528">
        <f t="shared" si="94"/>
        <v>13728046</v>
      </c>
      <c r="O390" s="528">
        <f t="shared" si="94"/>
        <v>-3635217</v>
      </c>
      <c r="P390" s="408">
        <f>SUM(D390:O390)</f>
        <v>-11240064</v>
      </c>
    </row>
    <row r="391" spans="3:17">
      <c r="D391" s="528">
        <f>D379-D390</f>
        <v>0</v>
      </c>
      <c r="E391" s="528">
        <f t="shared" ref="E391:N391" si="95">E379-E390</f>
        <v>0</v>
      </c>
      <c r="F391" s="528">
        <f t="shared" si="95"/>
        <v>0</v>
      </c>
      <c r="G391" s="528">
        <f t="shared" si="95"/>
        <v>0</v>
      </c>
      <c r="H391" s="528">
        <f t="shared" si="95"/>
        <v>0</v>
      </c>
      <c r="I391" s="528">
        <f t="shared" si="95"/>
        <v>0</v>
      </c>
      <c r="J391" s="528">
        <f t="shared" si="95"/>
        <v>0</v>
      </c>
      <c r="K391" s="528">
        <f t="shared" si="95"/>
        <v>0</v>
      </c>
      <c r="L391" s="528">
        <f t="shared" si="95"/>
        <v>0</v>
      </c>
      <c r="M391" s="528">
        <f t="shared" si="95"/>
        <v>0</v>
      </c>
      <c r="N391" s="528">
        <f t="shared" si="95"/>
        <v>0</v>
      </c>
      <c r="O391" s="405" t="s">
        <v>66</v>
      </c>
      <c r="P391" s="408">
        <f>SUM(P382:P389)</f>
        <v>-11240064</v>
      </c>
    </row>
    <row r="392" spans="3:17">
      <c r="O392" s="408"/>
      <c r="P392" s="408"/>
    </row>
    <row r="393" spans="3:17">
      <c r="O393" s="408"/>
      <c r="P393" s="408">
        <f>P391-P379</f>
        <v>0</v>
      </c>
    </row>
    <row r="402" spans="1:17">
      <c r="A402" s="422" t="s">
        <v>881</v>
      </c>
      <c r="B402" s="637"/>
      <c r="C402" s="637"/>
      <c r="D402" s="637"/>
      <c r="E402" s="637"/>
      <c r="F402" s="637"/>
      <c r="G402" s="637"/>
      <c r="H402" s="637"/>
      <c r="I402" s="637"/>
      <c r="J402" s="637"/>
      <c r="K402" s="637"/>
      <c r="L402" s="637"/>
      <c r="M402" s="637"/>
      <c r="N402" s="637"/>
      <c r="O402" s="637"/>
      <c r="P402" s="637"/>
    </row>
    <row r="403" spans="1:17">
      <c r="A403" s="637"/>
      <c r="B403" s="637"/>
      <c r="C403" s="637"/>
      <c r="D403" s="637"/>
      <c r="E403" s="637"/>
      <c r="F403" s="637"/>
      <c r="G403" s="637"/>
      <c r="H403" s="637"/>
      <c r="I403" s="637"/>
      <c r="J403" s="637"/>
      <c r="K403" s="637"/>
      <c r="L403" s="637"/>
      <c r="M403" s="637"/>
      <c r="N403" s="637"/>
      <c r="O403" s="637"/>
      <c r="P403" s="637"/>
    </row>
    <row r="404" spans="1:17">
      <c r="A404" s="637" t="s">
        <v>468</v>
      </c>
      <c r="B404" s="637"/>
      <c r="C404" s="637"/>
      <c r="D404" s="637"/>
      <c r="E404" s="637"/>
      <c r="F404" s="637"/>
      <c r="G404" s="637"/>
      <c r="H404" s="637"/>
      <c r="I404" s="637"/>
      <c r="J404" s="637"/>
      <c r="K404" s="637"/>
      <c r="L404" s="637"/>
      <c r="M404" s="637"/>
      <c r="N404" s="637"/>
      <c r="O404" s="637"/>
      <c r="P404" s="637"/>
    </row>
    <row r="405" spans="1:17">
      <c r="A405" s="637"/>
      <c r="B405" s="637"/>
      <c r="C405" s="637"/>
      <c r="D405" s="637"/>
      <c r="E405" s="637"/>
      <c r="F405" s="637"/>
      <c r="G405" s="637"/>
      <c r="H405" s="637"/>
      <c r="I405" s="637"/>
      <c r="J405" s="637"/>
      <c r="K405" s="637"/>
      <c r="L405" s="637"/>
      <c r="M405" s="637"/>
      <c r="N405" s="637"/>
      <c r="O405" s="637"/>
      <c r="P405" s="637"/>
    </row>
    <row r="406" spans="1:17">
      <c r="A406" s="637"/>
      <c r="B406" s="637"/>
      <c r="C406" s="637"/>
      <c r="D406" s="637" t="s">
        <v>683</v>
      </c>
      <c r="E406" s="637"/>
      <c r="F406" s="637"/>
      <c r="G406" s="637"/>
      <c r="H406" s="637"/>
      <c r="I406" s="637"/>
      <c r="J406" s="637"/>
      <c r="K406" s="637"/>
      <c r="L406" s="637"/>
      <c r="M406" s="637"/>
      <c r="N406" s="637"/>
      <c r="O406" s="637"/>
      <c r="P406" s="637"/>
    </row>
    <row r="407" spans="1:17">
      <c r="A407" s="637"/>
      <c r="B407" s="637"/>
      <c r="C407" s="637" t="s">
        <v>469</v>
      </c>
      <c r="D407" s="663">
        <v>201901</v>
      </c>
      <c r="E407" s="722">
        <v>201902</v>
      </c>
      <c r="F407" s="722">
        <v>201903</v>
      </c>
      <c r="G407" s="722">
        <v>201904</v>
      </c>
      <c r="H407" s="722">
        <v>201905</v>
      </c>
      <c r="I407" s="722">
        <v>201906</v>
      </c>
      <c r="J407" s="722">
        <v>201907</v>
      </c>
      <c r="K407" s="722">
        <v>201908</v>
      </c>
      <c r="L407" s="722">
        <v>201909</v>
      </c>
      <c r="M407" s="722">
        <v>201910</v>
      </c>
      <c r="N407" s="722">
        <v>201911</v>
      </c>
      <c r="O407" s="722">
        <v>201912</v>
      </c>
      <c r="P407" s="637" t="s">
        <v>472</v>
      </c>
    </row>
    <row r="409" spans="1:17">
      <c r="A409" s="722" t="s">
        <v>882</v>
      </c>
      <c r="B409" s="722"/>
      <c r="C409" s="722"/>
      <c r="D409" s="722"/>
      <c r="E409" s="722"/>
      <c r="F409" s="722"/>
      <c r="G409" s="722"/>
      <c r="H409" s="722"/>
      <c r="I409" s="722"/>
      <c r="J409" s="722"/>
      <c r="K409" s="722"/>
      <c r="L409" s="722"/>
      <c r="M409" s="722"/>
      <c r="N409" s="722"/>
      <c r="O409" s="722"/>
      <c r="P409" s="722"/>
      <c r="Q409" s="722"/>
    </row>
    <row r="410" spans="1:17">
      <c r="A410" s="722" t="s">
        <v>883</v>
      </c>
      <c r="B410" s="722"/>
      <c r="C410" s="722"/>
      <c r="D410" s="722"/>
      <c r="E410" s="722"/>
      <c r="F410" s="722"/>
      <c r="G410" s="722"/>
      <c r="H410" s="722"/>
      <c r="I410" s="722"/>
      <c r="J410" s="722"/>
      <c r="K410" s="722"/>
      <c r="L410" s="722"/>
      <c r="M410" s="722"/>
      <c r="N410" s="722"/>
      <c r="O410" s="722"/>
      <c r="P410" s="722"/>
      <c r="Q410" s="722"/>
    </row>
    <row r="411" spans="1:17" ht="15">
      <c r="A411" s="722"/>
      <c r="B411" s="722" t="s">
        <v>884</v>
      </c>
      <c r="C411" s="722"/>
      <c r="D411" s="729">
        <v>210947.73</v>
      </c>
      <c r="E411" s="729">
        <v>213666.06</v>
      </c>
      <c r="F411" s="729">
        <v>231146.78</v>
      </c>
      <c r="G411" s="729">
        <v>197713.04</v>
      </c>
      <c r="H411" s="729">
        <v>208742.72</v>
      </c>
      <c r="I411" s="729">
        <v>227748.21</v>
      </c>
      <c r="J411" s="729">
        <v>237912.8</v>
      </c>
      <c r="K411" s="729">
        <v>260707.5</v>
      </c>
      <c r="L411" s="729">
        <v>264421.15999999997</v>
      </c>
      <c r="M411" s="729">
        <v>247952.67</v>
      </c>
      <c r="N411" s="729">
        <v>236848.6</v>
      </c>
      <c r="O411" s="729">
        <v>228751.6</v>
      </c>
      <c r="P411" s="573">
        <f>SUM(D411:O411)</f>
        <v>2766558.87</v>
      </c>
      <c r="Q411" s="722"/>
    </row>
    <row r="412" spans="1:17" ht="15">
      <c r="A412" s="722"/>
      <c r="B412" s="722" t="s">
        <v>885</v>
      </c>
      <c r="C412" s="722"/>
      <c r="D412" s="729">
        <v>0</v>
      </c>
      <c r="E412" s="729">
        <v>0</v>
      </c>
      <c r="F412" s="729">
        <v>0</v>
      </c>
      <c r="G412" s="729">
        <v>0</v>
      </c>
      <c r="H412" s="729">
        <v>0</v>
      </c>
      <c r="I412" s="729">
        <v>0</v>
      </c>
      <c r="J412" s="729">
        <v>0</v>
      </c>
      <c r="K412" s="729">
        <v>0</v>
      </c>
      <c r="L412" s="729">
        <v>0</v>
      </c>
      <c r="M412" s="729">
        <v>0</v>
      </c>
      <c r="N412" s="729">
        <v>0</v>
      </c>
      <c r="O412" s="729">
        <v>0</v>
      </c>
      <c r="P412" s="573">
        <f>SUM(D412:O412)</f>
        <v>0</v>
      </c>
      <c r="Q412" s="722"/>
    </row>
    <row r="413" spans="1:17" ht="15">
      <c r="A413" s="722"/>
      <c r="B413" s="722" t="s">
        <v>886</v>
      </c>
      <c r="C413" s="722"/>
      <c r="D413" s="729">
        <v>6.5</v>
      </c>
      <c r="E413" s="730">
        <f>D413</f>
        <v>6.5</v>
      </c>
      <c r="F413" s="730">
        <f t="shared" ref="F413:O414" si="96">E413</f>
        <v>6.5</v>
      </c>
      <c r="G413" s="730">
        <f t="shared" si="96"/>
        <v>6.5</v>
      </c>
      <c r="H413" s="730">
        <f t="shared" si="96"/>
        <v>6.5</v>
      </c>
      <c r="I413" s="730">
        <f t="shared" si="96"/>
        <v>6.5</v>
      </c>
      <c r="J413" s="730">
        <f t="shared" si="96"/>
        <v>6.5</v>
      </c>
      <c r="K413" s="730">
        <f t="shared" si="96"/>
        <v>6.5</v>
      </c>
      <c r="L413" s="730">
        <f t="shared" si="96"/>
        <v>6.5</v>
      </c>
      <c r="M413" s="730">
        <f t="shared" si="96"/>
        <v>6.5</v>
      </c>
      <c r="N413" s="730">
        <f t="shared" si="96"/>
        <v>6.5</v>
      </c>
      <c r="O413" s="730">
        <f t="shared" si="96"/>
        <v>6.5</v>
      </c>
      <c r="P413" s="722"/>
      <c r="Q413" s="722"/>
    </row>
    <row r="414" spans="1:17" ht="15">
      <c r="A414" s="722"/>
      <c r="B414" s="722" t="s">
        <v>887</v>
      </c>
      <c r="C414" s="722"/>
      <c r="D414" s="729">
        <v>0.5</v>
      </c>
      <c r="E414" s="730">
        <f>D414</f>
        <v>0.5</v>
      </c>
      <c r="F414" s="730">
        <f t="shared" si="96"/>
        <v>0.5</v>
      </c>
      <c r="G414" s="730">
        <f t="shared" si="96"/>
        <v>0.5</v>
      </c>
      <c r="H414" s="730">
        <f t="shared" si="96"/>
        <v>0.5</v>
      </c>
      <c r="I414" s="730">
        <f t="shared" si="96"/>
        <v>0.5</v>
      </c>
      <c r="J414" s="730">
        <f t="shared" si="96"/>
        <v>0.5</v>
      </c>
      <c r="K414" s="730">
        <f t="shared" si="96"/>
        <v>0.5</v>
      </c>
      <c r="L414" s="730">
        <f t="shared" si="96"/>
        <v>0.5</v>
      </c>
      <c r="M414" s="730">
        <f t="shared" si="96"/>
        <v>0.5</v>
      </c>
      <c r="N414" s="730">
        <f t="shared" si="96"/>
        <v>0.5</v>
      </c>
      <c r="O414" s="730">
        <f t="shared" si="96"/>
        <v>0.5</v>
      </c>
      <c r="P414" s="722"/>
      <c r="Q414" s="722"/>
    </row>
    <row r="415" spans="1:17">
      <c r="A415" s="722" t="s">
        <v>888</v>
      </c>
      <c r="B415" s="722"/>
      <c r="C415" s="722"/>
      <c r="D415" s="722"/>
      <c r="E415" s="722"/>
      <c r="F415" s="722"/>
      <c r="G415" s="722"/>
      <c r="H415" s="722"/>
      <c r="I415" s="722"/>
      <c r="J415" s="722"/>
      <c r="K415" s="722"/>
      <c r="L415" s="722"/>
      <c r="M415" s="722"/>
      <c r="N415" s="722"/>
      <c r="O415" s="722"/>
      <c r="P415" s="722"/>
      <c r="Q415" s="722"/>
    </row>
    <row r="416" spans="1:17" ht="15">
      <c r="A416" s="722"/>
      <c r="B416" s="722" t="s">
        <v>884</v>
      </c>
      <c r="C416" s="722"/>
      <c r="D416" s="729">
        <v>7626.84</v>
      </c>
      <c r="E416" s="729">
        <v>7923.84</v>
      </c>
      <c r="F416" s="729">
        <v>8197.2000000000007</v>
      </c>
      <c r="G416" s="729">
        <v>6605.04</v>
      </c>
      <c r="H416" s="729">
        <v>5549.55</v>
      </c>
      <c r="I416" s="729">
        <v>4194.29</v>
      </c>
      <c r="J416" s="729">
        <v>4294.84</v>
      </c>
      <c r="K416" s="729">
        <v>6707.5</v>
      </c>
      <c r="L416" s="729">
        <v>6604.23</v>
      </c>
      <c r="M416" s="729">
        <v>7089.95</v>
      </c>
      <c r="N416" s="729">
        <v>8859.67</v>
      </c>
      <c r="O416" s="729">
        <v>8790.0300000000007</v>
      </c>
      <c r="P416" s="573">
        <f t="shared" ref="P416:P417" si="97">SUM(D416:O416)</f>
        <v>82442.98</v>
      </c>
      <c r="Q416" s="722"/>
    </row>
    <row r="417" spans="1:17" ht="15">
      <c r="A417" s="722"/>
      <c r="B417" s="722" t="s">
        <v>885</v>
      </c>
      <c r="C417" s="722"/>
      <c r="D417" s="729">
        <v>0</v>
      </c>
      <c r="E417" s="729">
        <v>0</v>
      </c>
      <c r="F417" s="729">
        <v>0</v>
      </c>
      <c r="G417" s="729">
        <v>0</v>
      </c>
      <c r="H417" s="729">
        <v>0</v>
      </c>
      <c r="I417" s="729">
        <v>0</v>
      </c>
      <c r="J417" s="729">
        <v>0</v>
      </c>
      <c r="K417" s="729">
        <v>0</v>
      </c>
      <c r="L417" s="729">
        <v>0</v>
      </c>
      <c r="M417" s="729">
        <v>0</v>
      </c>
      <c r="N417" s="729">
        <v>0</v>
      </c>
      <c r="O417" s="729">
        <v>0</v>
      </c>
      <c r="P417" s="573">
        <f t="shared" si="97"/>
        <v>0</v>
      </c>
      <c r="Q417" s="722"/>
    </row>
    <row r="418" spans="1:17" ht="15">
      <c r="A418" s="722"/>
      <c r="B418" s="722" t="s">
        <v>886</v>
      </c>
      <c r="C418" s="722"/>
      <c r="D418" s="729">
        <v>6.5</v>
      </c>
      <c r="E418" s="730">
        <f>D418</f>
        <v>6.5</v>
      </c>
      <c r="F418" s="730">
        <f t="shared" ref="F418:O419" si="98">E418</f>
        <v>6.5</v>
      </c>
      <c r="G418" s="730">
        <f t="shared" si="98"/>
        <v>6.5</v>
      </c>
      <c r="H418" s="730">
        <f t="shared" si="98"/>
        <v>6.5</v>
      </c>
      <c r="I418" s="730">
        <f t="shared" si="98"/>
        <v>6.5</v>
      </c>
      <c r="J418" s="730">
        <f t="shared" si="98"/>
        <v>6.5</v>
      </c>
      <c r="K418" s="730">
        <f t="shared" si="98"/>
        <v>6.5</v>
      </c>
      <c r="L418" s="730">
        <f t="shared" si="98"/>
        <v>6.5</v>
      </c>
      <c r="M418" s="730">
        <f t="shared" si="98"/>
        <v>6.5</v>
      </c>
      <c r="N418" s="730">
        <f t="shared" si="98"/>
        <v>6.5</v>
      </c>
      <c r="O418" s="730">
        <f t="shared" si="98"/>
        <v>6.5</v>
      </c>
      <c r="P418" s="722"/>
      <c r="Q418" s="722"/>
    </row>
    <row r="419" spans="1:17" ht="15">
      <c r="A419" s="722"/>
      <c r="B419" s="722" t="s">
        <v>887</v>
      </c>
      <c r="C419" s="722"/>
      <c r="D419" s="729">
        <v>0.5</v>
      </c>
      <c r="E419" s="730">
        <f>D419</f>
        <v>0.5</v>
      </c>
      <c r="F419" s="730">
        <f t="shared" si="98"/>
        <v>0.5</v>
      </c>
      <c r="G419" s="730">
        <f t="shared" si="98"/>
        <v>0.5</v>
      </c>
      <c r="H419" s="730">
        <f t="shared" si="98"/>
        <v>0.5</v>
      </c>
      <c r="I419" s="730">
        <f t="shared" si="98"/>
        <v>0.5</v>
      </c>
      <c r="J419" s="730">
        <f t="shared" si="98"/>
        <v>0.5</v>
      </c>
      <c r="K419" s="730">
        <f t="shared" si="98"/>
        <v>0.5</v>
      </c>
      <c r="L419" s="730">
        <f t="shared" si="98"/>
        <v>0.5</v>
      </c>
      <c r="M419" s="730">
        <f t="shared" si="98"/>
        <v>0.5</v>
      </c>
      <c r="N419" s="730">
        <f t="shared" si="98"/>
        <v>0.5</v>
      </c>
      <c r="O419" s="730">
        <f t="shared" si="98"/>
        <v>0.5</v>
      </c>
      <c r="P419" s="722"/>
      <c r="Q419" s="722"/>
    </row>
    <row r="420" spans="1:17" s="755" customFormat="1">
      <c r="A420" s="755" t="s">
        <v>954</v>
      </c>
    </row>
    <row r="421" spans="1:17" s="755" customFormat="1" ht="15">
      <c r="B421" s="755" t="s">
        <v>884</v>
      </c>
      <c r="D421" s="729">
        <v>0</v>
      </c>
      <c r="E421" s="729">
        <v>0</v>
      </c>
      <c r="F421" s="729">
        <v>0</v>
      </c>
      <c r="G421" s="729">
        <v>0</v>
      </c>
      <c r="H421" s="729">
        <v>0</v>
      </c>
      <c r="I421" s="729">
        <v>0</v>
      </c>
      <c r="J421" s="729">
        <v>0</v>
      </c>
      <c r="K421" s="729">
        <v>0</v>
      </c>
      <c r="L421" s="729">
        <v>0</v>
      </c>
      <c r="M421" s="729">
        <v>0</v>
      </c>
      <c r="N421" s="729">
        <v>0</v>
      </c>
      <c r="O421" s="729">
        <v>0</v>
      </c>
      <c r="P421" s="573">
        <f t="shared" ref="P421:P422" si="99">SUM(D421:O421)</f>
        <v>0</v>
      </c>
    </row>
    <row r="422" spans="1:17" s="755" customFormat="1" ht="15">
      <c r="B422" s="755" t="s">
        <v>885</v>
      </c>
      <c r="D422" s="729">
        <v>0</v>
      </c>
      <c r="E422" s="729">
        <v>0</v>
      </c>
      <c r="F422" s="729">
        <v>0</v>
      </c>
      <c r="G422" s="729">
        <v>0</v>
      </c>
      <c r="H422" s="729">
        <v>0</v>
      </c>
      <c r="I422" s="729">
        <v>0</v>
      </c>
      <c r="J422" s="729">
        <v>0</v>
      </c>
      <c r="K422" s="729">
        <v>0</v>
      </c>
      <c r="L422" s="729">
        <v>0</v>
      </c>
      <c r="M422" s="729">
        <v>0</v>
      </c>
      <c r="N422" s="729">
        <v>0</v>
      </c>
      <c r="O422" s="729">
        <v>0</v>
      </c>
      <c r="P422" s="573">
        <f t="shared" si="99"/>
        <v>0</v>
      </c>
    </row>
    <row r="423" spans="1:17" s="755" customFormat="1" ht="15">
      <c r="B423" s="755" t="s">
        <v>886</v>
      </c>
      <c r="D423" s="729">
        <v>6.5</v>
      </c>
      <c r="E423" s="730">
        <f>D423</f>
        <v>6.5</v>
      </c>
      <c r="F423" s="730">
        <f t="shared" ref="F423:F424" si="100">E423</f>
        <v>6.5</v>
      </c>
      <c r="G423" s="730">
        <f t="shared" ref="G423:G424" si="101">F423</f>
        <v>6.5</v>
      </c>
      <c r="H423" s="730">
        <f t="shared" ref="H423:H424" si="102">G423</f>
        <v>6.5</v>
      </c>
      <c r="I423" s="730">
        <f t="shared" ref="I423:I424" si="103">H423</f>
        <v>6.5</v>
      </c>
      <c r="J423" s="730">
        <f t="shared" ref="J423:J424" si="104">I423</f>
        <v>6.5</v>
      </c>
      <c r="K423" s="730">
        <f t="shared" ref="K423:K424" si="105">J423</f>
        <v>6.5</v>
      </c>
      <c r="L423" s="730">
        <f t="shared" ref="L423:L424" si="106">K423</f>
        <v>6.5</v>
      </c>
      <c r="M423" s="730">
        <f t="shared" ref="M423:M424" si="107">L423</f>
        <v>6.5</v>
      </c>
      <c r="N423" s="730">
        <f t="shared" ref="N423:N424" si="108">M423</f>
        <v>6.5</v>
      </c>
      <c r="O423" s="730">
        <f t="shared" ref="O423:O424" si="109">N423</f>
        <v>6.5</v>
      </c>
    </row>
    <row r="424" spans="1:17" s="755" customFormat="1" ht="15">
      <c r="B424" s="755" t="s">
        <v>887</v>
      </c>
      <c r="D424" s="729">
        <v>0.5</v>
      </c>
      <c r="E424" s="730">
        <f>D424</f>
        <v>0.5</v>
      </c>
      <c r="F424" s="730">
        <f t="shared" si="100"/>
        <v>0.5</v>
      </c>
      <c r="G424" s="730">
        <f t="shared" si="101"/>
        <v>0.5</v>
      </c>
      <c r="H424" s="730">
        <f t="shared" si="102"/>
        <v>0.5</v>
      </c>
      <c r="I424" s="730">
        <f t="shared" si="103"/>
        <v>0.5</v>
      </c>
      <c r="J424" s="730">
        <f t="shared" si="104"/>
        <v>0.5</v>
      </c>
      <c r="K424" s="730">
        <f t="shared" si="105"/>
        <v>0.5</v>
      </c>
      <c r="L424" s="730">
        <f t="shared" si="106"/>
        <v>0.5</v>
      </c>
      <c r="M424" s="730">
        <f t="shared" si="107"/>
        <v>0.5</v>
      </c>
      <c r="N424" s="730">
        <f t="shared" si="108"/>
        <v>0.5</v>
      </c>
      <c r="O424" s="730">
        <f t="shared" si="109"/>
        <v>0.5</v>
      </c>
    </row>
    <row r="425" spans="1:17">
      <c r="A425" s="722" t="s">
        <v>889</v>
      </c>
      <c r="B425" s="722"/>
      <c r="C425" s="722"/>
      <c r="D425" s="722"/>
      <c r="E425" s="722"/>
      <c r="F425" s="722"/>
      <c r="G425" s="722"/>
      <c r="H425" s="722"/>
      <c r="I425" s="722"/>
      <c r="J425" s="722"/>
      <c r="K425" s="722"/>
      <c r="L425" s="722"/>
      <c r="M425" s="722"/>
      <c r="N425" s="722"/>
      <c r="O425" s="722"/>
      <c r="P425" s="722"/>
      <c r="Q425" s="722"/>
    </row>
    <row r="426" spans="1:17" ht="15">
      <c r="A426" s="722"/>
      <c r="B426" s="722" t="s">
        <v>884</v>
      </c>
      <c r="C426" s="722"/>
      <c r="D426" s="731">
        <v>1323996.9099999999</v>
      </c>
      <c r="E426" s="731">
        <v>1285571.51</v>
      </c>
      <c r="F426" s="731">
        <v>1368216.58</v>
      </c>
      <c r="G426" s="731">
        <v>1311816.22</v>
      </c>
      <c r="H426" s="731">
        <v>1343031.12</v>
      </c>
      <c r="I426" s="731">
        <v>1469575.33</v>
      </c>
      <c r="J426" s="731">
        <v>1497363.67</v>
      </c>
      <c r="K426" s="731">
        <v>1539350.45</v>
      </c>
      <c r="L426" s="731">
        <v>1489775.05</v>
      </c>
      <c r="M426" s="731">
        <v>1513382.8</v>
      </c>
      <c r="N426" s="731">
        <v>1394984.26</v>
      </c>
      <c r="O426" s="731">
        <v>1352514.19</v>
      </c>
      <c r="P426" s="573">
        <f t="shared" ref="P426:P428" si="110">SUM(D426:O426)</f>
        <v>16889578.09</v>
      </c>
      <c r="Q426" s="722"/>
    </row>
    <row r="427" spans="1:17" ht="15">
      <c r="A427" s="722"/>
      <c r="B427" s="722" t="s">
        <v>885</v>
      </c>
      <c r="C427" s="722"/>
      <c r="D427" s="729">
        <v>9113.23</v>
      </c>
      <c r="E427" s="729">
        <v>8668.18</v>
      </c>
      <c r="F427" s="729">
        <v>8492.15</v>
      </c>
      <c r="G427" s="729">
        <v>9184.44</v>
      </c>
      <c r="H427" s="729">
        <v>10070.290000000001</v>
      </c>
      <c r="I427" s="729">
        <v>10933.33</v>
      </c>
      <c r="J427" s="729">
        <v>12202.77</v>
      </c>
      <c r="K427" s="729">
        <v>11821.83</v>
      </c>
      <c r="L427" s="729">
        <v>12466.38</v>
      </c>
      <c r="M427" s="729">
        <v>11497.97</v>
      </c>
      <c r="N427" s="729">
        <v>11126.52</v>
      </c>
      <c r="O427" s="729">
        <v>10683.54</v>
      </c>
      <c r="P427" s="573">
        <f t="shared" si="110"/>
        <v>126260.63</v>
      </c>
      <c r="Q427" s="722"/>
    </row>
    <row r="428" spans="1:17" ht="15">
      <c r="A428" s="722"/>
      <c r="B428" s="722" t="s">
        <v>890</v>
      </c>
      <c r="C428" s="722"/>
      <c r="D428" s="729">
        <v>-3897.25</v>
      </c>
      <c r="E428" s="729">
        <v>-13267.62</v>
      </c>
      <c r="F428" s="729">
        <v>-4203.5200000000004</v>
      </c>
      <c r="G428" s="729">
        <v>-4123.3599999999997</v>
      </c>
      <c r="H428" s="729">
        <v>-4769.8900000000003</v>
      </c>
      <c r="I428" s="729">
        <v>-5017.3500000000004</v>
      </c>
      <c r="J428" s="729">
        <v>-4718.68</v>
      </c>
      <c r="K428" s="729">
        <v>-5313.78</v>
      </c>
      <c r="L428" s="729">
        <v>-5340.07</v>
      </c>
      <c r="M428" s="729">
        <v>-5371</v>
      </c>
      <c r="N428" s="729">
        <v>-4934</v>
      </c>
      <c r="O428" s="729">
        <v>-4212.6899999999996</v>
      </c>
      <c r="P428" s="573">
        <f t="shared" si="110"/>
        <v>-65169.210000000006</v>
      </c>
      <c r="Q428" s="722"/>
    </row>
    <row r="429" spans="1:17" ht="15">
      <c r="A429" s="722"/>
      <c r="B429" s="722" t="s">
        <v>886</v>
      </c>
      <c r="C429" s="722"/>
      <c r="D429" s="729">
        <v>6.5</v>
      </c>
      <c r="E429" s="730">
        <f>D429</f>
        <v>6.5</v>
      </c>
      <c r="F429" s="730">
        <f t="shared" ref="F429:O431" si="111">E429</f>
        <v>6.5</v>
      </c>
      <c r="G429" s="730">
        <f t="shared" si="111"/>
        <v>6.5</v>
      </c>
      <c r="H429" s="730">
        <f t="shared" si="111"/>
        <v>6.5</v>
      </c>
      <c r="I429" s="730">
        <f t="shared" si="111"/>
        <v>6.5</v>
      </c>
      <c r="J429" s="730">
        <f t="shared" si="111"/>
        <v>6.5</v>
      </c>
      <c r="K429" s="730">
        <f t="shared" si="111"/>
        <v>6.5</v>
      </c>
      <c r="L429" s="730">
        <f t="shared" si="111"/>
        <v>6.5</v>
      </c>
      <c r="M429" s="730">
        <f t="shared" si="111"/>
        <v>6.5</v>
      </c>
      <c r="N429" s="730">
        <f t="shared" si="111"/>
        <v>6.5</v>
      </c>
      <c r="O429" s="730">
        <f t="shared" si="111"/>
        <v>6.5</v>
      </c>
      <c r="P429" s="722"/>
      <c r="Q429" s="722"/>
    </row>
    <row r="430" spans="1:17" ht="15">
      <c r="A430" s="722"/>
      <c r="B430" s="722" t="s">
        <v>887</v>
      </c>
      <c r="C430" s="722"/>
      <c r="D430" s="729">
        <v>0.5</v>
      </c>
      <c r="E430" s="730">
        <f>D430</f>
        <v>0.5</v>
      </c>
      <c r="F430" s="730">
        <f t="shared" si="111"/>
        <v>0.5</v>
      </c>
      <c r="G430" s="730">
        <f t="shared" si="111"/>
        <v>0.5</v>
      </c>
      <c r="H430" s="730">
        <f t="shared" si="111"/>
        <v>0.5</v>
      </c>
      <c r="I430" s="730">
        <f t="shared" si="111"/>
        <v>0.5</v>
      </c>
      <c r="J430" s="730">
        <f t="shared" si="111"/>
        <v>0.5</v>
      </c>
      <c r="K430" s="730">
        <f t="shared" si="111"/>
        <v>0.5</v>
      </c>
      <c r="L430" s="730">
        <f t="shared" si="111"/>
        <v>0.5</v>
      </c>
      <c r="M430" s="730">
        <f t="shared" si="111"/>
        <v>0.5</v>
      </c>
      <c r="N430" s="730">
        <f t="shared" si="111"/>
        <v>0.5</v>
      </c>
      <c r="O430" s="730">
        <f t="shared" si="111"/>
        <v>0.5</v>
      </c>
      <c r="P430" s="722"/>
      <c r="Q430" s="722"/>
    </row>
    <row r="431" spans="1:17" ht="15">
      <c r="A431" s="722"/>
      <c r="B431" s="722" t="s">
        <v>891</v>
      </c>
      <c r="C431" s="722"/>
      <c r="D431" s="729">
        <v>-0.2</v>
      </c>
      <c r="E431" s="730">
        <f>D431</f>
        <v>-0.2</v>
      </c>
      <c r="F431" s="730">
        <f t="shared" si="111"/>
        <v>-0.2</v>
      </c>
      <c r="G431" s="730">
        <f t="shared" si="111"/>
        <v>-0.2</v>
      </c>
      <c r="H431" s="730">
        <f t="shared" si="111"/>
        <v>-0.2</v>
      </c>
      <c r="I431" s="730">
        <f t="shared" si="111"/>
        <v>-0.2</v>
      </c>
      <c r="J431" s="730">
        <f t="shared" si="111"/>
        <v>-0.2</v>
      </c>
      <c r="K431" s="730">
        <f t="shared" si="111"/>
        <v>-0.2</v>
      </c>
      <c r="L431" s="730">
        <f t="shared" si="111"/>
        <v>-0.2</v>
      </c>
      <c r="M431" s="730">
        <f t="shared" si="111"/>
        <v>-0.2</v>
      </c>
      <c r="N431" s="730">
        <f t="shared" si="111"/>
        <v>-0.2</v>
      </c>
      <c r="O431" s="730">
        <f t="shared" si="111"/>
        <v>-0.2</v>
      </c>
      <c r="P431" s="722"/>
      <c r="Q431" s="722"/>
    </row>
    <row r="432" spans="1:17">
      <c r="A432" s="722" t="s">
        <v>892</v>
      </c>
      <c r="B432" s="722"/>
      <c r="C432" s="722"/>
      <c r="D432" s="722"/>
      <c r="E432" s="722"/>
      <c r="F432" s="722"/>
      <c r="G432" s="722"/>
      <c r="H432" s="722"/>
      <c r="I432" s="722"/>
      <c r="J432" s="722"/>
      <c r="K432" s="722"/>
      <c r="L432" s="722"/>
      <c r="M432" s="722"/>
      <c r="N432" s="722"/>
      <c r="O432" s="722"/>
      <c r="P432" s="722"/>
      <c r="Q432" s="722"/>
    </row>
    <row r="433" spans="1:17" ht="15">
      <c r="A433" s="722"/>
      <c r="B433" s="722" t="s">
        <v>884</v>
      </c>
      <c r="C433" s="722"/>
      <c r="D433" s="729">
        <v>31412.65</v>
      </c>
      <c r="E433" s="729">
        <v>32464</v>
      </c>
      <c r="F433" s="729">
        <v>35972.1</v>
      </c>
      <c r="G433" s="729">
        <v>26928.86</v>
      </c>
      <c r="H433" s="729">
        <v>21101.919999999998</v>
      </c>
      <c r="I433" s="729">
        <v>20721.34</v>
      </c>
      <c r="J433" s="729">
        <v>21544.74</v>
      </c>
      <c r="K433" s="729">
        <v>23156.35</v>
      </c>
      <c r="L433" s="729">
        <v>21024.53</v>
      </c>
      <c r="M433" s="729">
        <v>27308.44</v>
      </c>
      <c r="N433" s="729">
        <v>31090.45</v>
      </c>
      <c r="O433" s="729">
        <v>29927.94</v>
      </c>
      <c r="P433" s="573">
        <f t="shared" ref="P433:P435" si="112">SUM(D433:O433)</f>
        <v>322653.32</v>
      </c>
      <c r="Q433" s="722"/>
    </row>
    <row r="434" spans="1:17" ht="15">
      <c r="A434" s="722"/>
      <c r="B434" s="722" t="s">
        <v>885</v>
      </c>
      <c r="C434" s="722"/>
      <c r="D434" s="729">
        <v>0</v>
      </c>
      <c r="E434" s="729">
        <v>0</v>
      </c>
      <c r="F434" s="729">
        <v>0</v>
      </c>
      <c r="G434" s="729">
        <v>0</v>
      </c>
      <c r="H434" s="729">
        <v>0</v>
      </c>
      <c r="I434" s="729">
        <v>2.98</v>
      </c>
      <c r="J434" s="729">
        <v>3.68</v>
      </c>
      <c r="K434" s="729">
        <v>5.84</v>
      </c>
      <c r="L434" s="729">
        <v>3.92</v>
      </c>
      <c r="M434" s="729">
        <v>15.39</v>
      </c>
      <c r="N434" s="729">
        <v>0</v>
      </c>
      <c r="O434" s="729">
        <v>0</v>
      </c>
      <c r="P434" s="573">
        <f t="shared" si="112"/>
        <v>31.810000000000002</v>
      </c>
      <c r="Q434" s="722"/>
    </row>
    <row r="435" spans="1:17" ht="15">
      <c r="A435" s="722"/>
      <c r="B435" s="722" t="s">
        <v>890</v>
      </c>
      <c r="C435" s="722"/>
      <c r="D435" s="729">
        <v>0</v>
      </c>
      <c r="E435" s="729">
        <v>0</v>
      </c>
      <c r="F435" s="729">
        <v>0</v>
      </c>
      <c r="G435" s="729">
        <v>0</v>
      </c>
      <c r="H435" s="729">
        <v>0</v>
      </c>
      <c r="I435" s="729">
        <v>0</v>
      </c>
      <c r="J435" s="729">
        <v>0</v>
      </c>
      <c r="K435" s="729">
        <v>0</v>
      </c>
      <c r="L435" s="729">
        <v>0</v>
      </c>
      <c r="M435" s="729">
        <v>0</v>
      </c>
      <c r="N435" s="729">
        <v>0</v>
      </c>
      <c r="O435" s="729">
        <v>0</v>
      </c>
      <c r="P435" s="573">
        <f t="shared" si="112"/>
        <v>0</v>
      </c>
      <c r="Q435" s="722"/>
    </row>
    <row r="436" spans="1:17" ht="15">
      <c r="A436" s="722"/>
      <c r="B436" s="722" t="s">
        <v>886</v>
      </c>
      <c r="C436" s="722"/>
      <c r="D436" s="729">
        <v>6.5</v>
      </c>
      <c r="E436" s="730">
        <f>D436</f>
        <v>6.5</v>
      </c>
      <c r="F436" s="730">
        <f t="shared" ref="F436:O438" si="113">E436</f>
        <v>6.5</v>
      </c>
      <c r="G436" s="730">
        <f t="shared" si="113"/>
        <v>6.5</v>
      </c>
      <c r="H436" s="730">
        <f t="shared" si="113"/>
        <v>6.5</v>
      </c>
      <c r="I436" s="730">
        <f t="shared" si="113"/>
        <v>6.5</v>
      </c>
      <c r="J436" s="730">
        <f t="shared" si="113"/>
        <v>6.5</v>
      </c>
      <c r="K436" s="730">
        <f t="shared" si="113"/>
        <v>6.5</v>
      </c>
      <c r="L436" s="730">
        <f t="shared" si="113"/>
        <v>6.5</v>
      </c>
      <c r="M436" s="730">
        <f t="shared" si="113"/>
        <v>6.5</v>
      </c>
      <c r="N436" s="730">
        <f t="shared" si="113"/>
        <v>6.5</v>
      </c>
      <c r="O436" s="730">
        <f t="shared" si="113"/>
        <v>6.5</v>
      </c>
      <c r="P436" s="722"/>
      <c r="Q436" s="722"/>
    </row>
    <row r="437" spans="1:17" ht="15">
      <c r="A437" s="722"/>
      <c r="B437" s="722" t="s">
        <v>887</v>
      </c>
      <c r="C437" s="722"/>
      <c r="D437" s="729">
        <v>0.5</v>
      </c>
      <c r="E437" s="730">
        <f>D437</f>
        <v>0.5</v>
      </c>
      <c r="F437" s="730">
        <f t="shared" si="113"/>
        <v>0.5</v>
      </c>
      <c r="G437" s="730">
        <f t="shared" si="113"/>
        <v>0.5</v>
      </c>
      <c r="H437" s="730">
        <f t="shared" si="113"/>
        <v>0.5</v>
      </c>
      <c r="I437" s="730">
        <f t="shared" si="113"/>
        <v>0.5</v>
      </c>
      <c r="J437" s="730">
        <f t="shared" si="113"/>
        <v>0.5</v>
      </c>
      <c r="K437" s="730">
        <f t="shared" si="113"/>
        <v>0.5</v>
      </c>
      <c r="L437" s="730">
        <f t="shared" si="113"/>
        <v>0.5</v>
      </c>
      <c r="M437" s="730">
        <f t="shared" si="113"/>
        <v>0.5</v>
      </c>
      <c r="N437" s="730">
        <f t="shared" si="113"/>
        <v>0.5</v>
      </c>
      <c r="O437" s="730">
        <f t="shared" si="113"/>
        <v>0.5</v>
      </c>
      <c r="P437" s="722"/>
      <c r="Q437" s="722"/>
    </row>
    <row r="438" spans="1:17" ht="15">
      <c r="A438" s="722"/>
      <c r="B438" s="722" t="s">
        <v>891</v>
      </c>
      <c r="C438" s="722"/>
      <c r="D438" s="729">
        <v>-0.2</v>
      </c>
      <c r="E438" s="730">
        <f>D438</f>
        <v>-0.2</v>
      </c>
      <c r="F438" s="730">
        <f t="shared" si="113"/>
        <v>-0.2</v>
      </c>
      <c r="G438" s="730">
        <f t="shared" si="113"/>
        <v>-0.2</v>
      </c>
      <c r="H438" s="730">
        <f t="shared" si="113"/>
        <v>-0.2</v>
      </c>
      <c r="I438" s="730">
        <f t="shared" si="113"/>
        <v>-0.2</v>
      </c>
      <c r="J438" s="730">
        <f t="shared" si="113"/>
        <v>-0.2</v>
      </c>
      <c r="K438" s="730">
        <f t="shared" si="113"/>
        <v>-0.2</v>
      </c>
      <c r="L438" s="730">
        <f t="shared" si="113"/>
        <v>-0.2</v>
      </c>
      <c r="M438" s="730">
        <f t="shared" si="113"/>
        <v>-0.2</v>
      </c>
      <c r="N438" s="730">
        <f t="shared" si="113"/>
        <v>-0.2</v>
      </c>
      <c r="O438" s="730">
        <f t="shared" si="113"/>
        <v>-0.2</v>
      </c>
      <c r="P438" s="722"/>
      <c r="Q438" s="722"/>
    </row>
    <row r="439" spans="1:17" s="755" customFormat="1">
      <c r="A439" s="755" t="s">
        <v>955</v>
      </c>
    </row>
    <row r="440" spans="1:17" s="755" customFormat="1" ht="15">
      <c r="B440" s="755" t="s">
        <v>884</v>
      </c>
      <c r="D440" s="729">
        <v>0</v>
      </c>
      <c r="E440" s="729">
        <v>0</v>
      </c>
      <c r="F440" s="729">
        <v>0</v>
      </c>
      <c r="G440" s="729">
        <v>0</v>
      </c>
      <c r="H440" s="729">
        <v>0</v>
      </c>
      <c r="I440" s="729">
        <v>0</v>
      </c>
      <c r="J440" s="729">
        <v>0</v>
      </c>
      <c r="K440" s="729">
        <v>0</v>
      </c>
      <c r="L440" s="729">
        <v>0</v>
      </c>
      <c r="M440" s="729">
        <v>0</v>
      </c>
      <c r="N440" s="729">
        <v>0</v>
      </c>
      <c r="O440" s="729">
        <v>0</v>
      </c>
      <c r="P440" s="573">
        <f t="shared" ref="P440:P442" si="114">SUM(D440:O440)</f>
        <v>0</v>
      </c>
    </row>
    <row r="441" spans="1:17" s="755" customFormat="1" ht="15">
      <c r="B441" s="755" t="s">
        <v>885</v>
      </c>
      <c r="D441" s="729">
        <v>0</v>
      </c>
      <c r="E441" s="729">
        <v>0</v>
      </c>
      <c r="F441" s="729">
        <v>0</v>
      </c>
      <c r="G441" s="729">
        <v>0</v>
      </c>
      <c r="H441" s="729">
        <v>0</v>
      </c>
      <c r="I441" s="729">
        <v>0</v>
      </c>
      <c r="J441" s="729">
        <v>0</v>
      </c>
      <c r="K441" s="729">
        <v>0</v>
      </c>
      <c r="L441" s="729">
        <v>0</v>
      </c>
      <c r="M441" s="729">
        <v>0</v>
      </c>
      <c r="N441" s="729">
        <v>0</v>
      </c>
      <c r="O441" s="729">
        <v>0</v>
      </c>
      <c r="P441" s="573">
        <f t="shared" si="114"/>
        <v>0</v>
      </c>
    </row>
    <row r="442" spans="1:17" s="755" customFormat="1" ht="15">
      <c r="B442" s="755" t="s">
        <v>890</v>
      </c>
      <c r="D442" s="729">
        <v>0</v>
      </c>
      <c r="E442" s="729">
        <v>0</v>
      </c>
      <c r="F442" s="729">
        <v>0</v>
      </c>
      <c r="G442" s="729">
        <v>0</v>
      </c>
      <c r="H442" s="729">
        <v>0</v>
      </c>
      <c r="I442" s="729">
        <v>0</v>
      </c>
      <c r="J442" s="729">
        <v>0</v>
      </c>
      <c r="K442" s="729">
        <v>0</v>
      </c>
      <c r="L442" s="729">
        <v>0</v>
      </c>
      <c r="M442" s="729">
        <v>0</v>
      </c>
      <c r="N442" s="729">
        <v>0</v>
      </c>
      <c r="O442" s="729">
        <v>0</v>
      </c>
      <c r="P442" s="573">
        <f t="shared" si="114"/>
        <v>0</v>
      </c>
    </row>
    <row r="443" spans="1:17" s="755" customFormat="1" ht="15">
      <c r="B443" s="755" t="s">
        <v>886</v>
      </c>
      <c r="D443" s="729">
        <v>6.5</v>
      </c>
      <c r="E443" s="730">
        <f>D443</f>
        <v>6.5</v>
      </c>
      <c r="F443" s="730">
        <f t="shared" ref="F443:F445" si="115">E443</f>
        <v>6.5</v>
      </c>
      <c r="G443" s="730">
        <f t="shared" ref="G443:G445" si="116">F443</f>
        <v>6.5</v>
      </c>
      <c r="H443" s="730">
        <f t="shared" ref="H443:H445" si="117">G443</f>
        <v>6.5</v>
      </c>
      <c r="I443" s="730">
        <f t="shared" ref="I443:I445" si="118">H443</f>
        <v>6.5</v>
      </c>
      <c r="J443" s="730">
        <f t="shared" ref="J443:J445" si="119">I443</f>
        <v>6.5</v>
      </c>
      <c r="K443" s="730">
        <f t="shared" ref="K443:K445" si="120">J443</f>
        <v>6.5</v>
      </c>
      <c r="L443" s="730">
        <f t="shared" ref="L443:L445" si="121">K443</f>
        <v>6.5</v>
      </c>
      <c r="M443" s="730">
        <f t="shared" ref="M443:M445" si="122">L443</f>
        <v>6.5</v>
      </c>
      <c r="N443" s="730">
        <f t="shared" ref="N443:N445" si="123">M443</f>
        <v>6.5</v>
      </c>
      <c r="O443" s="730">
        <f t="shared" ref="O443:O445" si="124">N443</f>
        <v>6.5</v>
      </c>
    </row>
    <row r="444" spans="1:17" s="755" customFormat="1" ht="15">
      <c r="B444" s="755" t="s">
        <v>887</v>
      </c>
      <c r="D444" s="729">
        <v>0.5</v>
      </c>
      <c r="E444" s="730">
        <f>D444</f>
        <v>0.5</v>
      </c>
      <c r="F444" s="730">
        <f t="shared" si="115"/>
        <v>0.5</v>
      </c>
      <c r="G444" s="730">
        <f t="shared" si="116"/>
        <v>0.5</v>
      </c>
      <c r="H444" s="730">
        <f t="shared" si="117"/>
        <v>0.5</v>
      </c>
      <c r="I444" s="730">
        <f t="shared" si="118"/>
        <v>0.5</v>
      </c>
      <c r="J444" s="730">
        <f t="shared" si="119"/>
        <v>0.5</v>
      </c>
      <c r="K444" s="730">
        <f t="shared" si="120"/>
        <v>0.5</v>
      </c>
      <c r="L444" s="730">
        <f t="shared" si="121"/>
        <v>0.5</v>
      </c>
      <c r="M444" s="730">
        <f t="shared" si="122"/>
        <v>0.5</v>
      </c>
      <c r="N444" s="730">
        <f t="shared" si="123"/>
        <v>0.5</v>
      </c>
      <c r="O444" s="730">
        <f t="shared" si="124"/>
        <v>0.5</v>
      </c>
    </row>
    <row r="445" spans="1:17" s="755" customFormat="1" ht="15">
      <c r="B445" s="755" t="s">
        <v>891</v>
      </c>
      <c r="D445" s="729">
        <v>-0.2</v>
      </c>
      <c r="E445" s="730">
        <f>D445</f>
        <v>-0.2</v>
      </c>
      <c r="F445" s="730">
        <f t="shared" si="115"/>
        <v>-0.2</v>
      </c>
      <c r="G445" s="730">
        <f t="shared" si="116"/>
        <v>-0.2</v>
      </c>
      <c r="H445" s="730">
        <f t="shared" si="117"/>
        <v>-0.2</v>
      </c>
      <c r="I445" s="730">
        <f t="shared" si="118"/>
        <v>-0.2</v>
      </c>
      <c r="J445" s="730">
        <f t="shared" si="119"/>
        <v>-0.2</v>
      </c>
      <c r="K445" s="730">
        <f t="shared" si="120"/>
        <v>-0.2</v>
      </c>
      <c r="L445" s="730">
        <f t="shared" si="121"/>
        <v>-0.2</v>
      </c>
      <c r="M445" s="730">
        <f t="shared" si="122"/>
        <v>-0.2</v>
      </c>
      <c r="N445" s="730">
        <f t="shared" si="123"/>
        <v>-0.2</v>
      </c>
      <c r="O445" s="730">
        <f t="shared" si="124"/>
        <v>-0.2</v>
      </c>
    </row>
    <row r="446" spans="1:17">
      <c r="A446" s="722" t="s">
        <v>893</v>
      </c>
      <c r="B446" s="722"/>
      <c r="C446" s="722"/>
      <c r="D446" s="722"/>
      <c r="E446" s="722"/>
      <c r="F446" s="722"/>
      <c r="G446" s="722"/>
      <c r="H446" s="722"/>
      <c r="I446" s="722"/>
      <c r="J446" s="722"/>
      <c r="K446" s="722"/>
      <c r="L446" s="722"/>
      <c r="M446" s="722"/>
      <c r="N446" s="722"/>
      <c r="O446" s="722"/>
      <c r="P446" s="722"/>
      <c r="Q446" s="722"/>
    </row>
    <row r="447" spans="1:17" ht="15">
      <c r="A447" s="722"/>
      <c r="B447" s="722" t="s">
        <v>884</v>
      </c>
      <c r="C447" s="722"/>
      <c r="D447" s="729">
        <v>666432.23</v>
      </c>
      <c r="E447" s="729">
        <v>652001.65</v>
      </c>
      <c r="F447" s="729">
        <v>686228.85</v>
      </c>
      <c r="G447" s="729">
        <v>673260.36</v>
      </c>
      <c r="H447" s="729">
        <v>660927.79</v>
      </c>
      <c r="I447" s="729">
        <v>725362.24</v>
      </c>
      <c r="J447" s="729">
        <v>694676.39</v>
      </c>
      <c r="K447" s="729">
        <v>706268.77</v>
      </c>
      <c r="L447" s="729">
        <v>741565.98</v>
      </c>
      <c r="M447" s="729">
        <v>733036.77</v>
      </c>
      <c r="N447" s="729">
        <v>705514.82</v>
      </c>
      <c r="O447" s="729">
        <v>662546.63</v>
      </c>
      <c r="P447" s="573">
        <f t="shared" ref="P447:P450" si="125">SUM(D447:O447)</f>
        <v>8307822.4799999995</v>
      </c>
      <c r="Q447" s="408"/>
    </row>
    <row r="448" spans="1:17" ht="15">
      <c r="A448" s="722"/>
      <c r="B448" s="722" t="s">
        <v>894</v>
      </c>
      <c r="C448" s="722"/>
      <c r="D448" s="729">
        <v>-19158.52</v>
      </c>
      <c r="E448" s="729">
        <v>-19530.38</v>
      </c>
      <c r="F448" s="729">
        <v>-19520.25</v>
      </c>
      <c r="G448" s="729">
        <v>-19393.53</v>
      </c>
      <c r="H448" s="729">
        <v>-19101.2</v>
      </c>
      <c r="I448" s="729">
        <v>-21280.44</v>
      </c>
      <c r="J448" s="729">
        <v>-20110.23</v>
      </c>
      <c r="K448" s="729">
        <v>-20385.759999999998</v>
      </c>
      <c r="L448" s="729">
        <v>-20922.39</v>
      </c>
      <c r="M448" s="729">
        <v>-20525.259999999998</v>
      </c>
      <c r="N448" s="729">
        <v>-17120.55</v>
      </c>
      <c r="O448" s="729">
        <v>-16629.810000000001</v>
      </c>
      <c r="P448" s="573">
        <f t="shared" si="125"/>
        <v>-233678.32</v>
      </c>
      <c r="Q448" s="408"/>
    </row>
    <row r="449" spans="1:17" ht="15">
      <c r="A449" s="722"/>
      <c r="B449" s="722" t="s">
        <v>895</v>
      </c>
      <c r="C449" s="722"/>
      <c r="D449" s="729">
        <v>-9986.11</v>
      </c>
      <c r="E449" s="729">
        <v>-13362.28</v>
      </c>
      <c r="F449" s="729">
        <v>-11794.68</v>
      </c>
      <c r="G449" s="729">
        <v>-11909.8</v>
      </c>
      <c r="H449" s="729">
        <v>-9559.61</v>
      </c>
      <c r="I449" s="729">
        <v>-9692.86</v>
      </c>
      <c r="J449" s="729">
        <v>-10133.27</v>
      </c>
      <c r="K449" s="729">
        <v>-9427.7900000000009</v>
      </c>
      <c r="L449" s="729">
        <v>-9094.2199999999993</v>
      </c>
      <c r="M449" s="729">
        <v>-9902.5300000000007</v>
      </c>
      <c r="N449" s="729">
        <v>-10866.28</v>
      </c>
      <c r="O449" s="729">
        <v>-14918.64</v>
      </c>
      <c r="P449" s="573">
        <f t="shared" si="125"/>
        <v>-130648.06999999999</v>
      </c>
      <c r="Q449" s="408"/>
    </row>
    <row r="450" spans="1:17" ht="15">
      <c r="A450" s="722"/>
      <c r="B450" s="722" t="s">
        <v>896</v>
      </c>
      <c r="C450" s="722"/>
      <c r="D450" s="729">
        <v>-72979.48</v>
      </c>
      <c r="E450" s="729">
        <v>-68140.800000000003</v>
      </c>
      <c r="F450" s="729">
        <v>-68342.399999999994</v>
      </c>
      <c r="G450" s="729">
        <v>-72980.320000000007</v>
      </c>
      <c r="H450" s="729">
        <v>-71971.48</v>
      </c>
      <c r="I450" s="729">
        <v>-70963.48</v>
      </c>
      <c r="J450" s="729">
        <v>-72173.08</v>
      </c>
      <c r="K450" s="729">
        <v>-73181.08</v>
      </c>
      <c r="L450" s="729">
        <v>-75602.42</v>
      </c>
      <c r="M450" s="729">
        <v>-72979.48</v>
      </c>
      <c r="N450" s="729">
        <v>-75801.87</v>
      </c>
      <c r="O450" s="729">
        <v>-71769.88</v>
      </c>
      <c r="P450" s="573">
        <f t="shared" si="125"/>
        <v>-866885.77</v>
      </c>
      <c r="Q450" s="408"/>
    </row>
    <row r="451" spans="1:17" ht="15">
      <c r="A451" s="722"/>
      <c r="B451" s="722" t="s">
        <v>886</v>
      </c>
      <c r="C451" s="722"/>
      <c r="D451" s="729">
        <v>6.5</v>
      </c>
      <c r="E451" s="730">
        <f t="shared" ref="E451:O454" si="126">D451</f>
        <v>6.5</v>
      </c>
      <c r="F451" s="730">
        <f t="shared" si="126"/>
        <v>6.5</v>
      </c>
      <c r="G451" s="730">
        <f t="shared" si="126"/>
        <v>6.5</v>
      </c>
      <c r="H451" s="730">
        <f t="shared" si="126"/>
        <v>6.5</v>
      </c>
      <c r="I451" s="730">
        <f t="shared" si="126"/>
        <v>6.5</v>
      </c>
      <c r="J451" s="730">
        <f t="shared" si="126"/>
        <v>6.5</v>
      </c>
      <c r="K451" s="730">
        <f t="shared" si="126"/>
        <v>6.5</v>
      </c>
      <c r="L451" s="730">
        <f t="shared" si="126"/>
        <v>6.5</v>
      </c>
      <c r="M451" s="730">
        <f t="shared" si="126"/>
        <v>6.5</v>
      </c>
      <c r="N451" s="730">
        <f t="shared" si="126"/>
        <v>6.5</v>
      </c>
      <c r="O451" s="730">
        <f t="shared" si="126"/>
        <v>6.5</v>
      </c>
      <c r="P451" s="722"/>
      <c r="Q451" s="722"/>
    </row>
    <row r="452" spans="1:17" ht="15">
      <c r="A452" s="722"/>
      <c r="B452" s="722" t="s">
        <v>897</v>
      </c>
      <c r="C452" s="722"/>
      <c r="D452" s="729">
        <v>-0.2</v>
      </c>
      <c r="E452" s="730">
        <f t="shared" si="126"/>
        <v>-0.2</v>
      </c>
      <c r="F452" s="730">
        <f t="shared" si="126"/>
        <v>-0.2</v>
      </c>
      <c r="G452" s="730">
        <f t="shared" si="126"/>
        <v>-0.2</v>
      </c>
      <c r="H452" s="730">
        <f t="shared" si="126"/>
        <v>-0.2</v>
      </c>
      <c r="I452" s="730">
        <f t="shared" si="126"/>
        <v>-0.2</v>
      </c>
      <c r="J452" s="730">
        <f t="shared" si="126"/>
        <v>-0.2</v>
      </c>
      <c r="K452" s="730">
        <f t="shared" si="126"/>
        <v>-0.2</v>
      </c>
      <c r="L452" s="730">
        <f t="shared" si="126"/>
        <v>-0.2</v>
      </c>
      <c r="M452" s="730">
        <f t="shared" si="126"/>
        <v>-0.2</v>
      </c>
      <c r="N452" s="730">
        <f t="shared" si="126"/>
        <v>-0.2</v>
      </c>
      <c r="O452" s="730">
        <f t="shared" si="126"/>
        <v>-0.2</v>
      </c>
      <c r="P452" s="722"/>
      <c r="Q452" s="722"/>
    </row>
    <row r="453" spans="1:17" ht="15">
      <c r="A453" s="722"/>
      <c r="B453" s="722" t="s">
        <v>898</v>
      </c>
      <c r="C453" s="722"/>
      <c r="D453" s="729">
        <v>-1.1000000000000001</v>
      </c>
      <c r="E453" s="730">
        <f t="shared" si="126"/>
        <v>-1.1000000000000001</v>
      </c>
      <c r="F453" s="730">
        <f t="shared" si="126"/>
        <v>-1.1000000000000001</v>
      </c>
      <c r="G453" s="730">
        <f t="shared" si="126"/>
        <v>-1.1000000000000001</v>
      </c>
      <c r="H453" s="730">
        <f t="shared" si="126"/>
        <v>-1.1000000000000001</v>
      </c>
      <c r="I453" s="730">
        <f t="shared" si="126"/>
        <v>-1.1000000000000001</v>
      </c>
      <c r="J453" s="730">
        <f t="shared" si="126"/>
        <v>-1.1000000000000001</v>
      </c>
      <c r="K453" s="730">
        <f t="shared" si="126"/>
        <v>-1.1000000000000001</v>
      </c>
      <c r="L453" s="730">
        <f t="shared" si="126"/>
        <v>-1.1000000000000001</v>
      </c>
      <c r="M453" s="730">
        <f t="shared" si="126"/>
        <v>-1.1000000000000001</v>
      </c>
      <c r="N453" s="730">
        <f t="shared" si="126"/>
        <v>-1.1000000000000001</v>
      </c>
      <c r="O453" s="730">
        <f t="shared" si="126"/>
        <v>-1.1000000000000001</v>
      </c>
      <c r="P453" s="722"/>
      <c r="Q453" s="722"/>
    </row>
    <row r="454" spans="1:17" ht="15">
      <c r="A454" s="722"/>
      <c r="B454" s="722" t="s">
        <v>899</v>
      </c>
      <c r="C454" s="722"/>
      <c r="D454" s="729">
        <v>-1.4</v>
      </c>
      <c r="E454" s="730">
        <f t="shared" si="126"/>
        <v>-1.4</v>
      </c>
      <c r="F454" s="730">
        <f t="shared" si="126"/>
        <v>-1.4</v>
      </c>
      <c r="G454" s="730">
        <f t="shared" si="126"/>
        <v>-1.4</v>
      </c>
      <c r="H454" s="730">
        <f t="shared" si="126"/>
        <v>-1.4</v>
      </c>
      <c r="I454" s="730">
        <f t="shared" si="126"/>
        <v>-1.4</v>
      </c>
      <c r="J454" s="730">
        <f t="shared" si="126"/>
        <v>-1.4</v>
      </c>
      <c r="K454" s="730">
        <f t="shared" si="126"/>
        <v>-1.4</v>
      </c>
      <c r="L454" s="730">
        <f t="shared" si="126"/>
        <v>-1.4</v>
      </c>
      <c r="M454" s="730">
        <f t="shared" si="126"/>
        <v>-1.4</v>
      </c>
      <c r="N454" s="730">
        <f t="shared" si="126"/>
        <v>-1.4</v>
      </c>
      <c r="O454" s="730">
        <f t="shared" si="126"/>
        <v>-1.4</v>
      </c>
      <c r="P454" s="722"/>
      <c r="Q454" s="722"/>
    </row>
    <row r="455" spans="1:17" s="755" customFormat="1">
      <c r="A455" s="755" t="s">
        <v>956</v>
      </c>
    </row>
    <row r="456" spans="1:17" s="755" customFormat="1" ht="15">
      <c r="B456" s="755" t="s">
        <v>884</v>
      </c>
      <c r="D456" s="729">
        <v>0</v>
      </c>
      <c r="E456" s="729">
        <v>0</v>
      </c>
      <c r="F456" s="729">
        <v>0</v>
      </c>
      <c r="G456" s="729">
        <v>0</v>
      </c>
      <c r="H456" s="729">
        <v>0</v>
      </c>
      <c r="I456" s="729">
        <v>0</v>
      </c>
      <c r="J456" s="729">
        <v>0</v>
      </c>
      <c r="K456" s="729">
        <v>0</v>
      </c>
      <c r="L456" s="729">
        <v>0</v>
      </c>
      <c r="M456" s="729">
        <v>0</v>
      </c>
      <c r="N456" s="729">
        <v>0</v>
      </c>
      <c r="O456" s="729">
        <v>0</v>
      </c>
      <c r="P456" s="573">
        <f t="shared" ref="P456:P459" si="127">SUM(D456:O456)</f>
        <v>0</v>
      </c>
      <c r="Q456" s="408"/>
    </row>
    <row r="457" spans="1:17" s="755" customFormat="1" ht="15">
      <c r="B457" s="755" t="s">
        <v>894</v>
      </c>
      <c r="D457" s="729">
        <v>0</v>
      </c>
      <c r="E457" s="729">
        <v>0</v>
      </c>
      <c r="F457" s="729">
        <v>0</v>
      </c>
      <c r="G457" s="729">
        <v>0</v>
      </c>
      <c r="H457" s="729">
        <v>0</v>
      </c>
      <c r="I457" s="729">
        <v>0</v>
      </c>
      <c r="J457" s="729">
        <v>0</v>
      </c>
      <c r="K457" s="729">
        <v>0</v>
      </c>
      <c r="L457" s="729">
        <v>0</v>
      </c>
      <c r="M457" s="729">
        <v>0</v>
      </c>
      <c r="N457" s="729">
        <v>0</v>
      </c>
      <c r="O457" s="729">
        <v>0</v>
      </c>
      <c r="P457" s="573">
        <f t="shared" si="127"/>
        <v>0</v>
      </c>
      <c r="Q457" s="408"/>
    </row>
    <row r="458" spans="1:17" s="755" customFormat="1" ht="15">
      <c r="B458" s="755" t="s">
        <v>895</v>
      </c>
      <c r="D458" s="729">
        <v>0</v>
      </c>
      <c r="E458" s="729">
        <v>0</v>
      </c>
      <c r="F458" s="729">
        <v>0</v>
      </c>
      <c r="G458" s="729">
        <v>0</v>
      </c>
      <c r="H458" s="729">
        <v>0</v>
      </c>
      <c r="I458" s="729">
        <v>0</v>
      </c>
      <c r="J458" s="729">
        <v>0</v>
      </c>
      <c r="K458" s="729">
        <v>0</v>
      </c>
      <c r="L458" s="729">
        <v>0</v>
      </c>
      <c r="M458" s="729">
        <v>0</v>
      </c>
      <c r="N458" s="729">
        <v>0</v>
      </c>
      <c r="O458" s="729">
        <v>0</v>
      </c>
      <c r="P458" s="573">
        <f t="shared" si="127"/>
        <v>0</v>
      </c>
      <c r="Q458" s="408"/>
    </row>
    <row r="459" spans="1:17" s="755" customFormat="1" ht="15">
      <c r="B459" s="755" t="s">
        <v>896</v>
      </c>
      <c r="D459" s="729">
        <v>0</v>
      </c>
      <c r="E459" s="729">
        <v>0</v>
      </c>
      <c r="F459" s="729">
        <v>0</v>
      </c>
      <c r="G459" s="729">
        <v>0</v>
      </c>
      <c r="H459" s="729">
        <v>0</v>
      </c>
      <c r="I459" s="729">
        <v>0</v>
      </c>
      <c r="J459" s="729">
        <v>0</v>
      </c>
      <c r="K459" s="729">
        <v>0</v>
      </c>
      <c r="L459" s="729">
        <v>0</v>
      </c>
      <c r="M459" s="729">
        <v>0</v>
      </c>
      <c r="N459" s="729">
        <v>0</v>
      </c>
      <c r="O459" s="729">
        <v>0</v>
      </c>
      <c r="P459" s="573">
        <f t="shared" si="127"/>
        <v>0</v>
      </c>
      <c r="Q459" s="408"/>
    </row>
    <row r="460" spans="1:17" s="755" customFormat="1" ht="15">
      <c r="B460" s="755" t="s">
        <v>886</v>
      </c>
      <c r="D460" s="729">
        <v>6.5</v>
      </c>
      <c r="E460" s="730">
        <f t="shared" ref="E460:E463" si="128">D460</f>
        <v>6.5</v>
      </c>
      <c r="F460" s="730">
        <f t="shared" ref="F460:F463" si="129">E460</f>
        <v>6.5</v>
      </c>
      <c r="G460" s="730">
        <f t="shared" ref="G460:G463" si="130">F460</f>
        <v>6.5</v>
      </c>
      <c r="H460" s="730">
        <f t="shared" ref="H460:H463" si="131">G460</f>
        <v>6.5</v>
      </c>
      <c r="I460" s="730">
        <f t="shared" ref="I460:I463" si="132">H460</f>
        <v>6.5</v>
      </c>
      <c r="J460" s="730">
        <f t="shared" ref="J460:J463" si="133">I460</f>
        <v>6.5</v>
      </c>
      <c r="K460" s="730">
        <f t="shared" ref="K460:K463" si="134">J460</f>
        <v>6.5</v>
      </c>
      <c r="L460" s="730">
        <f t="shared" ref="L460:L463" si="135">K460</f>
        <v>6.5</v>
      </c>
      <c r="M460" s="730">
        <f t="shared" ref="M460:M463" si="136">L460</f>
        <v>6.5</v>
      </c>
      <c r="N460" s="730">
        <f t="shared" ref="N460:N463" si="137">M460</f>
        <v>6.5</v>
      </c>
      <c r="O460" s="730">
        <f t="shared" ref="O460:O463" si="138">N460</f>
        <v>6.5</v>
      </c>
    </row>
    <row r="461" spans="1:17" s="755" customFormat="1" ht="15">
      <c r="B461" s="755" t="s">
        <v>897</v>
      </c>
      <c r="D461" s="729">
        <v>-0.2</v>
      </c>
      <c r="E461" s="730">
        <f t="shared" si="128"/>
        <v>-0.2</v>
      </c>
      <c r="F461" s="730">
        <f t="shared" si="129"/>
        <v>-0.2</v>
      </c>
      <c r="G461" s="730">
        <f t="shared" si="130"/>
        <v>-0.2</v>
      </c>
      <c r="H461" s="730">
        <f t="shared" si="131"/>
        <v>-0.2</v>
      </c>
      <c r="I461" s="730">
        <f t="shared" si="132"/>
        <v>-0.2</v>
      </c>
      <c r="J461" s="730">
        <f t="shared" si="133"/>
        <v>-0.2</v>
      </c>
      <c r="K461" s="730">
        <f t="shared" si="134"/>
        <v>-0.2</v>
      </c>
      <c r="L461" s="730">
        <f t="shared" si="135"/>
        <v>-0.2</v>
      </c>
      <c r="M461" s="730">
        <f t="shared" si="136"/>
        <v>-0.2</v>
      </c>
      <c r="N461" s="730">
        <f t="shared" si="137"/>
        <v>-0.2</v>
      </c>
      <c r="O461" s="730">
        <f t="shared" si="138"/>
        <v>-0.2</v>
      </c>
    </row>
    <row r="462" spans="1:17" s="755" customFormat="1" ht="15">
      <c r="B462" s="755" t="s">
        <v>898</v>
      </c>
      <c r="D462" s="729">
        <v>-1.1000000000000001</v>
      </c>
      <c r="E462" s="730">
        <f t="shared" si="128"/>
        <v>-1.1000000000000001</v>
      </c>
      <c r="F462" s="730">
        <f t="shared" si="129"/>
        <v>-1.1000000000000001</v>
      </c>
      <c r="G462" s="730">
        <f t="shared" si="130"/>
        <v>-1.1000000000000001</v>
      </c>
      <c r="H462" s="730">
        <f t="shared" si="131"/>
        <v>-1.1000000000000001</v>
      </c>
      <c r="I462" s="730">
        <f t="shared" si="132"/>
        <v>-1.1000000000000001</v>
      </c>
      <c r="J462" s="730">
        <f t="shared" si="133"/>
        <v>-1.1000000000000001</v>
      </c>
      <c r="K462" s="730">
        <f t="shared" si="134"/>
        <v>-1.1000000000000001</v>
      </c>
      <c r="L462" s="730">
        <f t="shared" si="135"/>
        <v>-1.1000000000000001</v>
      </c>
      <c r="M462" s="730">
        <f t="shared" si="136"/>
        <v>-1.1000000000000001</v>
      </c>
      <c r="N462" s="730">
        <f t="shared" si="137"/>
        <v>-1.1000000000000001</v>
      </c>
      <c r="O462" s="730">
        <f t="shared" si="138"/>
        <v>-1.1000000000000001</v>
      </c>
    </row>
    <row r="463" spans="1:17" s="755" customFormat="1" ht="15">
      <c r="B463" s="755" t="s">
        <v>899</v>
      </c>
      <c r="D463" s="729">
        <v>-1.4</v>
      </c>
      <c r="E463" s="730">
        <f t="shared" si="128"/>
        <v>-1.4</v>
      </c>
      <c r="F463" s="730">
        <f t="shared" si="129"/>
        <v>-1.4</v>
      </c>
      <c r="G463" s="730">
        <f t="shared" si="130"/>
        <v>-1.4</v>
      </c>
      <c r="H463" s="730">
        <f t="shared" si="131"/>
        <v>-1.4</v>
      </c>
      <c r="I463" s="730">
        <f t="shared" si="132"/>
        <v>-1.4</v>
      </c>
      <c r="J463" s="730">
        <f t="shared" si="133"/>
        <v>-1.4</v>
      </c>
      <c r="K463" s="730">
        <f t="shared" si="134"/>
        <v>-1.4</v>
      </c>
      <c r="L463" s="730">
        <f t="shared" si="135"/>
        <v>-1.4</v>
      </c>
      <c r="M463" s="730">
        <f t="shared" si="136"/>
        <v>-1.4</v>
      </c>
      <c r="N463" s="730">
        <f t="shared" si="137"/>
        <v>-1.4</v>
      </c>
      <c r="O463" s="730">
        <f t="shared" si="138"/>
        <v>-1.4</v>
      </c>
    </row>
    <row r="464" spans="1:17">
      <c r="A464" s="722" t="s">
        <v>900</v>
      </c>
      <c r="B464" s="722"/>
      <c r="C464" s="722"/>
      <c r="D464" s="722"/>
      <c r="E464" s="722"/>
      <c r="F464" s="722"/>
      <c r="G464" s="722"/>
      <c r="H464" s="722"/>
      <c r="I464" s="722"/>
      <c r="J464" s="722"/>
      <c r="K464" s="722"/>
      <c r="L464" s="722"/>
      <c r="M464" s="722"/>
      <c r="N464" s="722"/>
      <c r="O464" s="722"/>
      <c r="P464" s="722"/>
      <c r="Q464" s="722"/>
    </row>
    <row r="465" spans="1:17" ht="15">
      <c r="A465" s="722"/>
      <c r="B465" s="722" t="s">
        <v>885</v>
      </c>
      <c r="C465" s="722"/>
      <c r="D465" s="729">
        <v>0</v>
      </c>
      <c r="E465" s="729">
        <v>0</v>
      </c>
      <c r="F465" s="729">
        <v>0</v>
      </c>
      <c r="G465" s="729">
        <v>0</v>
      </c>
      <c r="H465" s="729">
        <v>0</v>
      </c>
      <c r="I465" s="729">
        <v>0</v>
      </c>
      <c r="J465" s="729">
        <v>0</v>
      </c>
      <c r="K465" s="729">
        <v>0</v>
      </c>
      <c r="L465" s="729">
        <v>0</v>
      </c>
      <c r="M465" s="729">
        <v>0</v>
      </c>
      <c r="N465" s="729">
        <v>0</v>
      </c>
      <c r="O465" s="729">
        <v>0</v>
      </c>
      <c r="P465" s="573">
        <f t="shared" ref="P465" si="139">SUM(D465:O465)</f>
        <v>0</v>
      </c>
      <c r="Q465" s="722"/>
    </row>
    <row r="466" spans="1:17" ht="15">
      <c r="A466" s="722"/>
      <c r="B466" s="722" t="s">
        <v>887</v>
      </c>
      <c r="C466" s="722"/>
      <c r="D466" s="729">
        <v>0.5</v>
      </c>
      <c r="E466" s="630">
        <f>D466</f>
        <v>0.5</v>
      </c>
      <c r="F466" s="630">
        <f t="shared" ref="F466:O466" si="140">E466</f>
        <v>0.5</v>
      </c>
      <c r="G466" s="630">
        <f t="shared" si="140"/>
        <v>0.5</v>
      </c>
      <c r="H466" s="630">
        <f t="shared" si="140"/>
        <v>0.5</v>
      </c>
      <c r="I466" s="630">
        <f t="shared" si="140"/>
        <v>0.5</v>
      </c>
      <c r="J466" s="630">
        <f t="shared" si="140"/>
        <v>0.5</v>
      </c>
      <c r="K466" s="630">
        <f t="shared" si="140"/>
        <v>0.5</v>
      </c>
      <c r="L466" s="630">
        <f t="shared" si="140"/>
        <v>0.5</v>
      </c>
      <c r="M466" s="630">
        <f t="shared" si="140"/>
        <v>0.5</v>
      </c>
      <c r="N466" s="630">
        <f t="shared" si="140"/>
        <v>0.5</v>
      </c>
      <c r="O466" s="630">
        <f t="shared" si="140"/>
        <v>0.5</v>
      </c>
      <c r="P466" s="722"/>
      <c r="Q466" s="722"/>
    </row>
    <row r="467" spans="1:17">
      <c r="A467" s="722" t="s">
        <v>901</v>
      </c>
      <c r="B467" s="722"/>
      <c r="C467" s="722"/>
      <c r="D467" s="722"/>
      <c r="E467" s="722"/>
      <c r="F467" s="722"/>
      <c r="G467" s="722"/>
      <c r="H467" s="722"/>
      <c r="I467" s="722"/>
      <c r="J467" s="722"/>
      <c r="K467" s="722"/>
      <c r="L467" s="722"/>
      <c r="M467" s="722"/>
      <c r="N467" s="722"/>
      <c r="O467" s="722"/>
      <c r="P467" s="722"/>
      <c r="Q467" s="722"/>
    </row>
    <row r="468" spans="1:17" ht="15">
      <c r="A468" s="722"/>
      <c r="B468" s="722" t="s">
        <v>885</v>
      </c>
      <c r="C468" s="722"/>
      <c r="D468" s="729">
        <v>0</v>
      </c>
      <c r="E468" s="729">
        <v>0</v>
      </c>
      <c r="F468" s="729">
        <v>0</v>
      </c>
      <c r="G468" s="729">
        <v>0</v>
      </c>
      <c r="H468" s="729">
        <v>0</v>
      </c>
      <c r="I468" s="729">
        <v>0</v>
      </c>
      <c r="J468" s="729">
        <v>0</v>
      </c>
      <c r="K468" s="729">
        <v>0</v>
      </c>
      <c r="L468" s="729">
        <v>0</v>
      </c>
      <c r="M468" s="729">
        <v>0</v>
      </c>
      <c r="N468" s="729">
        <v>0</v>
      </c>
      <c r="O468" s="729">
        <v>0</v>
      </c>
      <c r="P468" s="573">
        <f t="shared" ref="P468" si="141">SUM(D468:O468)</f>
        <v>0</v>
      </c>
      <c r="Q468" s="722"/>
    </row>
    <row r="469" spans="1:17" ht="15">
      <c r="A469" s="722"/>
      <c r="B469" s="722" t="s">
        <v>887</v>
      </c>
      <c r="C469" s="722"/>
      <c r="D469" s="729">
        <v>0.5</v>
      </c>
      <c r="E469" s="630">
        <f>D469</f>
        <v>0.5</v>
      </c>
      <c r="F469" s="630">
        <f t="shared" ref="F469:O469" si="142">E469</f>
        <v>0.5</v>
      </c>
      <c r="G469" s="630">
        <f t="shared" si="142"/>
        <v>0.5</v>
      </c>
      <c r="H469" s="630">
        <f t="shared" si="142"/>
        <v>0.5</v>
      </c>
      <c r="I469" s="630">
        <f t="shared" si="142"/>
        <v>0.5</v>
      </c>
      <c r="J469" s="630">
        <f t="shared" si="142"/>
        <v>0.5</v>
      </c>
      <c r="K469" s="630">
        <f t="shared" si="142"/>
        <v>0.5</v>
      </c>
      <c r="L469" s="630">
        <f t="shared" si="142"/>
        <v>0.5</v>
      </c>
      <c r="M469" s="630">
        <f t="shared" si="142"/>
        <v>0.5</v>
      </c>
      <c r="N469" s="630">
        <f t="shared" si="142"/>
        <v>0.5</v>
      </c>
      <c r="O469" s="630">
        <f t="shared" si="142"/>
        <v>0.5</v>
      </c>
      <c r="P469" s="722"/>
      <c r="Q469" s="722"/>
    </row>
    <row r="470" spans="1:17">
      <c r="A470" s="722" t="s">
        <v>902</v>
      </c>
      <c r="B470" s="722"/>
      <c r="C470" s="722"/>
      <c r="D470" s="722"/>
      <c r="E470" s="722"/>
      <c r="F470" s="722"/>
      <c r="G470" s="722"/>
      <c r="H470" s="722"/>
      <c r="I470" s="722"/>
      <c r="J470" s="722"/>
      <c r="K470" s="722"/>
      <c r="L470" s="722"/>
      <c r="M470" s="722"/>
      <c r="N470" s="722"/>
      <c r="O470" s="722"/>
      <c r="P470" s="722"/>
      <c r="Q470" s="722"/>
    </row>
    <row r="471" spans="1:17" ht="15">
      <c r="A471" s="722"/>
      <c r="B471" s="722" t="s">
        <v>885</v>
      </c>
      <c r="C471" s="722"/>
      <c r="D471" s="729">
        <v>0</v>
      </c>
      <c r="E471" s="729">
        <v>0</v>
      </c>
      <c r="F471" s="729">
        <v>0</v>
      </c>
      <c r="G471" s="729">
        <v>0</v>
      </c>
      <c r="H471" s="729">
        <v>0</v>
      </c>
      <c r="I471" s="729">
        <v>0</v>
      </c>
      <c r="J471" s="729">
        <v>0</v>
      </c>
      <c r="K471" s="729">
        <v>0</v>
      </c>
      <c r="L471" s="729">
        <v>0</v>
      </c>
      <c r="M471" s="729">
        <v>0</v>
      </c>
      <c r="N471" s="729">
        <v>0</v>
      </c>
      <c r="O471" s="729">
        <v>0</v>
      </c>
      <c r="P471" s="573">
        <f t="shared" ref="P471" si="143">SUM(D471:O471)</f>
        <v>0</v>
      </c>
      <c r="Q471" s="722"/>
    </row>
    <row r="472" spans="1:17" ht="15">
      <c r="A472" s="722"/>
      <c r="B472" s="722" t="s">
        <v>887</v>
      </c>
      <c r="C472" s="722"/>
      <c r="D472" s="729">
        <v>0.5</v>
      </c>
      <c r="E472" s="630">
        <f>D472</f>
        <v>0.5</v>
      </c>
      <c r="F472" s="630">
        <f t="shared" ref="F472:O472" si="144">E472</f>
        <v>0.5</v>
      </c>
      <c r="G472" s="630">
        <f t="shared" si="144"/>
        <v>0.5</v>
      </c>
      <c r="H472" s="630">
        <f t="shared" si="144"/>
        <v>0.5</v>
      </c>
      <c r="I472" s="630">
        <f t="shared" si="144"/>
        <v>0.5</v>
      </c>
      <c r="J472" s="630">
        <f t="shared" si="144"/>
        <v>0.5</v>
      </c>
      <c r="K472" s="630">
        <f t="shared" si="144"/>
        <v>0.5</v>
      </c>
      <c r="L472" s="630">
        <f t="shared" si="144"/>
        <v>0.5</v>
      </c>
      <c r="M472" s="630">
        <f t="shared" si="144"/>
        <v>0.5</v>
      </c>
      <c r="N472" s="630">
        <f t="shared" si="144"/>
        <v>0.5</v>
      </c>
      <c r="O472" s="630">
        <f t="shared" si="144"/>
        <v>0.5</v>
      </c>
      <c r="P472" s="722"/>
      <c r="Q472" s="722"/>
    </row>
  </sheetData>
  <mergeCells count="15">
    <mergeCell ref="B377:B378"/>
    <mergeCell ref="A379:C379"/>
    <mergeCell ref="A353:A378"/>
    <mergeCell ref="B353:B354"/>
    <mergeCell ref="B355:B356"/>
    <mergeCell ref="B357:B358"/>
    <mergeCell ref="B359:B360"/>
    <mergeCell ref="B363:B364"/>
    <mergeCell ref="B365:B366"/>
    <mergeCell ref="B369:B370"/>
    <mergeCell ref="B373:B374"/>
    <mergeCell ref="B375:B376"/>
    <mergeCell ref="B361:B362"/>
    <mergeCell ref="B367:B368"/>
    <mergeCell ref="B371:B372"/>
  </mergeCells>
  <pageMargins left="0.7" right="0.7" top="0.75" bottom="0.75" header="0.3" footer="0.3"/>
  <pageSetup scale="6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autoPageBreaks="0" fitToPage="1"/>
  </sheetPr>
  <dimension ref="A1:AC136"/>
  <sheetViews>
    <sheetView showGridLines="0" tabSelected="1" zoomScaleNormal="100" workbookViewId="0">
      <pane xSplit="2" ySplit="2" topLeftCell="C42" activePane="bottomRight" state="frozen"/>
      <selection activeCell="M469" sqref="M469"/>
      <selection pane="topRight" activeCell="M469" sqref="M469"/>
      <selection pane="bottomLeft" activeCell="M469" sqref="M469"/>
      <selection pane="bottomRight" activeCell="C36" sqref="C36"/>
    </sheetView>
  </sheetViews>
  <sheetFormatPr defaultRowHeight="12.75"/>
  <cols>
    <col min="1" max="1" width="8.7109375" customWidth="1"/>
    <col min="2" max="2" width="24.28515625" customWidth="1"/>
    <col min="3" max="3" width="20.7109375" bestFit="1" customWidth="1"/>
    <col min="4" max="4" width="16.28515625" bestFit="1" customWidth="1"/>
    <col min="5" max="5" width="14.7109375" customWidth="1"/>
    <col min="6" max="6" width="14.7109375" style="755" hidden="1" customWidth="1"/>
    <col min="7" max="7" width="15.7109375" customWidth="1"/>
    <col min="8" max="8" width="15.7109375" style="755" hidden="1" customWidth="1"/>
    <col min="9" max="9" width="14.7109375" customWidth="1"/>
    <col min="10" max="10" width="14.7109375" style="755" customWidth="1"/>
    <col min="11" max="13" width="14.7109375" customWidth="1"/>
    <col min="17" max="18" width="14.7109375" customWidth="1"/>
    <col min="19" max="19" width="14.7109375" style="755" customWidth="1"/>
    <col min="20" max="20" width="14.7109375" customWidth="1"/>
    <col min="21" max="21" width="14.7109375" style="755" customWidth="1"/>
    <col min="22" max="22" width="14.7109375" customWidth="1"/>
    <col min="23" max="23" width="14.7109375" style="755" customWidth="1"/>
    <col min="24" max="24" width="14.7109375" customWidth="1"/>
  </cols>
  <sheetData>
    <row r="1" spans="1:24" ht="15">
      <c r="A1" s="61" t="s">
        <v>32</v>
      </c>
      <c r="C1" s="116"/>
      <c r="D1">
        <v>1</v>
      </c>
      <c r="E1">
        <v>2</v>
      </c>
      <c r="F1" s="755">
        <v>3</v>
      </c>
      <c r="G1">
        <v>4</v>
      </c>
      <c r="H1" s="755">
        <v>5</v>
      </c>
      <c r="I1">
        <v>6</v>
      </c>
      <c r="J1" s="755">
        <v>7</v>
      </c>
      <c r="K1">
        <v>8</v>
      </c>
      <c r="L1">
        <v>9</v>
      </c>
      <c r="Q1" s="79" t="s">
        <v>276</v>
      </c>
    </row>
    <row r="2" spans="1:24">
      <c r="C2" s="58" t="s">
        <v>9</v>
      </c>
      <c r="D2" s="58" t="s">
        <v>711</v>
      </c>
      <c r="E2" s="58" t="s">
        <v>11</v>
      </c>
      <c r="F2" s="564" t="s">
        <v>948</v>
      </c>
      <c r="G2" s="58" t="s">
        <v>12</v>
      </c>
      <c r="H2" s="564" t="s">
        <v>949</v>
      </c>
      <c r="I2" s="58" t="s">
        <v>279</v>
      </c>
      <c r="J2" s="564" t="s">
        <v>951</v>
      </c>
      <c r="K2" s="58" t="s">
        <v>14</v>
      </c>
      <c r="L2" s="58"/>
      <c r="O2" s="133" t="s">
        <v>232</v>
      </c>
      <c r="Q2" s="58" t="s">
        <v>685</v>
      </c>
      <c r="R2" s="58" t="s">
        <v>11</v>
      </c>
      <c r="S2" s="564" t="s">
        <v>948</v>
      </c>
      <c r="T2" s="58" t="s">
        <v>12</v>
      </c>
      <c r="U2" s="564" t="s">
        <v>949</v>
      </c>
      <c r="V2" s="58" t="s">
        <v>13</v>
      </c>
      <c r="W2" s="564" t="s">
        <v>950</v>
      </c>
      <c r="X2" s="58" t="s">
        <v>14</v>
      </c>
    </row>
    <row r="3" spans="1:24">
      <c r="B3" s="116" t="s">
        <v>226</v>
      </c>
      <c r="C3" s="58"/>
      <c r="D3" s="58"/>
      <c r="E3" s="58"/>
      <c r="F3" s="564"/>
      <c r="G3" s="58"/>
      <c r="H3" s="564"/>
      <c r="I3" s="58"/>
      <c r="J3" s="564"/>
      <c r="K3" s="58"/>
      <c r="L3" s="58"/>
      <c r="O3" s="133"/>
    </row>
    <row r="4" spans="1:24">
      <c r="A4">
        <v>1</v>
      </c>
      <c r="B4" t="s">
        <v>33</v>
      </c>
      <c r="D4" s="120">
        <v>9</v>
      </c>
      <c r="E4" s="120">
        <v>20</v>
      </c>
      <c r="F4" s="120">
        <v>20</v>
      </c>
      <c r="G4" s="120">
        <v>0</v>
      </c>
      <c r="H4" s="120">
        <v>550</v>
      </c>
      <c r="I4" s="120">
        <v>0</v>
      </c>
      <c r="J4" s="120">
        <v>0</v>
      </c>
      <c r="K4" s="120">
        <v>20</v>
      </c>
      <c r="L4" s="120"/>
      <c r="M4" s="121"/>
    </row>
    <row r="5" spans="1:24">
      <c r="A5">
        <v>2</v>
      </c>
      <c r="B5" t="s">
        <v>35</v>
      </c>
      <c r="D5" s="122">
        <v>8.1029999999999998</v>
      </c>
      <c r="E5" s="122">
        <v>11.686</v>
      </c>
      <c r="F5" s="122">
        <v>21.108000000000001</v>
      </c>
      <c r="G5" s="122">
        <v>7.5350000000000001</v>
      </c>
      <c r="H5" s="122">
        <v>16.332999999999998</v>
      </c>
      <c r="I5" s="122">
        <v>5.5049999999999999</v>
      </c>
      <c r="J5" s="122">
        <v>5.5049999999999999</v>
      </c>
      <c r="K5" s="122">
        <v>10.292</v>
      </c>
      <c r="L5" s="122"/>
      <c r="M5" s="121"/>
      <c r="Q5" s="174">
        <v>800</v>
      </c>
      <c r="R5" s="174">
        <v>3650</v>
      </c>
      <c r="S5" s="174">
        <v>3650</v>
      </c>
      <c r="T5" s="174">
        <v>250000</v>
      </c>
      <c r="U5" s="174">
        <v>250000</v>
      </c>
      <c r="V5" s="174">
        <v>500000</v>
      </c>
      <c r="W5" s="174">
        <v>500000</v>
      </c>
      <c r="X5" s="174"/>
    </row>
    <row r="6" spans="1:24">
      <c r="A6">
        <v>3</v>
      </c>
      <c r="B6" t="s">
        <v>36</v>
      </c>
      <c r="D6" s="122">
        <v>9.4269999999999996</v>
      </c>
      <c r="E6" s="122">
        <v>8.5879999999999992</v>
      </c>
      <c r="F6" s="122">
        <v>8.5879999999999992</v>
      </c>
      <c r="G6" s="122">
        <v>6.742</v>
      </c>
      <c r="H6" s="122">
        <v>6.742</v>
      </c>
      <c r="I6" s="122">
        <v>4.9530000000000003</v>
      </c>
      <c r="J6" s="122">
        <v>4.9530000000000003</v>
      </c>
      <c r="K6" s="122">
        <v>7.35</v>
      </c>
      <c r="L6" s="122"/>
      <c r="M6" s="121"/>
      <c r="Q6" s="174">
        <v>1500</v>
      </c>
      <c r="R6" s="174">
        <v>9999999</v>
      </c>
      <c r="S6" s="174">
        <v>9999999</v>
      </c>
      <c r="T6" s="174">
        <v>9999999</v>
      </c>
      <c r="U6" s="174">
        <v>9999999</v>
      </c>
      <c r="V6" s="174">
        <v>9999999</v>
      </c>
      <c r="W6" s="174">
        <v>9999999</v>
      </c>
      <c r="X6" s="174"/>
    </row>
    <row r="7" spans="1:24">
      <c r="A7">
        <v>4</v>
      </c>
      <c r="B7" t="s">
        <v>37</v>
      </c>
      <c r="D7" s="122">
        <v>11.053000000000001</v>
      </c>
      <c r="E7" s="122">
        <v>0</v>
      </c>
      <c r="F7" s="122">
        <v>0</v>
      </c>
      <c r="G7" s="122">
        <v>0</v>
      </c>
      <c r="H7" s="122">
        <v>0</v>
      </c>
      <c r="I7" s="122">
        <v>4.2350000000000003</v>
      </c>
      <c r="J7" s="122">
        <v>4.2350000000000003</v>
      </c>
      <c r="K7" s="122">
        <v>0</v>
      </c>
      <c r="L7" s="122"/>
      <c r="M7" s="121"/>
      <c r="O7" t="s">
        <v>231</v>
      </c>
      <c r="Q7" s="174">
        <v>9999999</v>
      </c>
      <c r="R7" s="174">
        <v>9999999</v>
      </c>
      <c r="S7" s="174">
        <v>9999999</v>
      </c>
      <c r="T7" s="174">
        <v>9999999</v>
      </c>
      <c r="U7" s="174">
        <v>9999999</v>
      </c>
      <c r="V7" s="174">
        <v>9999999</v>
      </c>
      <c r="W7" s="174">
        <v>9999999</v>
      </c>
      <c r="X7" s="174"/>
    </row>
    <row r="8" spans="1:24">
      <c r="A8">
        <v>5</v>
      </c>
      <c r="B8" t="s">
        <v>38</v>
      </c>
      <c r="D8" s="122"/>
      <c r="E8" s="122"/>
      <c r="F8" s="122"/>
      <c r="G8" s="122"/>
      <c r="H8" s="122"/>
      <c r="I8" s="122"/>
      <c r="J8" s="122"/>
      <c r="K8" s="122"/>
      <c r="L8" s="122"/>
      <c r="M8" s="121"/>
    </row>
    <row r="9" spans="1:24">
      <c r="A9">
        <v>6</v>
      </c>
      <c r="B9" t="s">
        <v>277</v>
      </c>
      <c r="D9" s="120">
        <v>0</v>
      </c>
      <c r="E9" s="120">
        <v>0</v>
      </c>
      <c r="F9" s="120">
        <v>0</v>
      </c>
      <c r="G9" s="120">
        <v>550</v>
      </c>
      <c r="H9" s="120">
        <v>0</v>
      </c>
      <c r="I9" s="120">
        <v>30650</v>
      </c>
      <c r="J9" s="120">
        <v>30650</v>
      </c>
      <c r="K9" s="120">
        <v>0</v>
      </c>
      <c r="L9" s="120"/>
      <c r="M9" s="121"/>
      <c r="Q9" s="174"/>
      <c r="R9" s="174"/>
      <c r="S9" s="174"/>
      <c r="T9" s="174"/>
      <c r="U9" s="174"/>
      <c r="V9" s="174"/>
      <c r="W9" s="174"/>
    </row>
    <row r="10" spans="1:24">
      <c r="A10">
        <v>7</v>
      </c>
      <c r="B10" t="s">
        <v>40</v>
      </c>
      <c r="D10" s="120">
        <v>0</v>
      </c>
      <c r="E10" s="120">
        <v>7</v>
      </c>
      <c r="F10" s="120">
        <v>0</v>
      </c>
      <c r="G10" s="120">
        <v>7</v>
      </c>
      <c r="H10" s="120">
        <v>0</v>
      </c>
      <c r="I10" s="120">
        <v>8.3000000000000007</v>
      </c>
      <c r="J10" s="120">
        <v>8.3000000000000007</v>
      </c>
      <c r="K10" s="120">
        <v>0</v>
      </c>
      <c r="L10" s="120"/>
      <c r="M10" s="121"/>
      <c r="Q10" s="174">
        <v>0</v>
      </c>
      <c r="R10" s="174">
        <v>20</v>
      </c>
      <c r="S10" s="174">
        <v>20</v>
      </c>
      <c r="T10" s="174">
        <v>50</v>
      </c>
      <c r="U10" s="174">
        <v>50</v>
      </c>
      <c r="V10" s="174">
        <v>3000</v>
      </c>
      <c r="W10" s="174">
        <v>3000</v>
      </c>
    </row>
    <row r="11" spans="1:24">
      <c r="D11" s="121"/>
      <c r="E11" s="121"/>
      <c r="F11" s="121"/>
      <c r="G11" s="121"/>
      <c r="H11" s="121"/>
      <c r="I11" s="121"/>
      <c r="J11" s="121"/>
      <c r="K11" s="121"/>
      <c r="L11" s="121"/>
      <c r="M11" s="121"/>
    </row>
    <row r="12" spans="1:24">
      <c r="B12" s="116" t="s">
        <v>227</v>
      </c>
      <c r="C12" s="116"/>
      <c r="D12" t="str">
        <f>IF(D13&lt;&gt;'Pres &amp; Prop Rev'!D$5,#VALUE!,"")</f>
        <v/>
      </c>
      <c r="E12" t="str">
        <f>IF(E13&lt;&gt;'Pres &amp; Prop Rev'!E$5,#VALUE!,"")</f>
        <v/>
      </c>
      <c r="F12" s="755" t="str">
        <f>IF(F13&lt;&gt;'Pres &amp; Prop Rev'!F$5,#VALUE!,"")</f>
        <v/>
      </c>
      <c r="G12" t="str">
        <f>IF(G13&lt;&gt;'Pres &amp; Prop Rev'!G$5,#VALUE!,"")</f>
        <v/>
      </c>
      <c r="H12" s="755" t="str">
        <f>IF(H13&lt;&gt;'Pres &amp; Prop Rev'!H$5,#VALUE!,"")</f>
        <v/>
      </c>
      <c r="I12" t="str">
        <f>IF(I13&lt;&gt;'Pres &amp; Prop Rev'!I$5,#VALUE!,"")</f>
        <v/>
      </c>
      <c r="J12" s="755" t="str">
        <f>IF(J13&lt;&gt;'Pres &amp; Prop Rev'!J$5,#VALUE!,"")</f>
        <v/>
      </c>
      <c r="K12" t="str">
        <f>IF(K13&lt;&gt;'Pres &amp; Prop Rev'!K$5,#VALUE!,"")</f>
        <v/>
      </c>
    </row>
    <row r="13" spans="1:24">
      <c r="D13" s="58" t="s">
        <v>685</v>
      </c>
      <c r="E13" s="58" t="s">
        <v>11</v>
      </c>
      <c r="F13" s="564" t="s">
        <v>948</v>
      </c>
      <c r="G13" s="58" t="s">
        <v>12</v>
      </c>
      <c r="H13" s="564" t="s">
        <v>949</v>
      </c>
      <c r="I13" s="58" t="s">
        <v>13</v>
      </c>
      <c r="J13" s="564" t="s">
        <v>950</v>
      </c>
      <c r="K13" s="58" t="s">
        <v>14</v>
      </c>
      <c r="L13" s="58"/>
      <c r="M13" s="229"/>
    </row>
    <row r="14" spans="1:24">
      <c r="A14">
        <v>1</v>
      </c>
      <c r="B14" t="s">
        <v>33</v>
      </c>
      <c r="D14" s="123">
        <f t="shared" ref="D14:K14" si="0">D4</f>
        <v>9</v>
      </c>
      <c r="E14" s="123">
        <f t="shared" si="0"/>
        <v>20</v>
      </c>
      <c r="F14" s="123">
        <f t="shared" si="0"/>
        <v>20</v>
      </c>
      <c r="G14" s="123">
        <f t="shared" si="0"/>
        <v>0</v>
      </c>
      <c r="H14" s="123">
        <v>550</v>
      </c>
      <c r="I14" s="123">
        <f t="shared" si="0"/>
        <v>0</v>
      </c>
      <c r="J14" s="123">
        <f t="shared" si="0"/>
        <v>0</v>
      </c>
      <c r="K14" s="123">
        <f t="shared" si="0"/>
        <v>20</v>
      </c>
      <c r="L14" s="123"/>
      <c r="M14" s="124"/>
    </row>
    <row r="15" spans="1:24">
      <c r="A15">
        <v>2</v>
      </c>
      <c r="B15" t="s">
        <v>35</v>
      </c>
      <c r="D15" s="125">
        <f>D5-0.386-0.045+0.255+0.141-0.317-0.015</f>
        <v>7.7359999999999998</v>
      </c>
      <c r="E15" s="125">
        <f>E5+0.679+0.321+0.205-0.314-0.015</f>
        <v>12.561999999999999</v>
      </c>
      <c r="F15" s="125">
        <f>F5+0.679+0.321+0.205-0.314-0.015</f>
        <v>21.983999999999998</v>
      </c>
      <c r="G15" s="125">
        <f>G5+0.679+0.273+0.147-0.326-0.016</f>
        <v>8.2919999999999998</v>
      </c>
      <c r="H15" s="125">
        <f>H5+0.679+0.273+0.147-0.326-0.016</f>
        <v>17.089999999999996</v>
      </c>
      <c r="I15" s="125">
        <f>I5+0.182+0.093-0.301-0.016</f>
        <v>5.4630000000000001</v>
      </c>
      <c r="J15" s="125">
        <f>J5+0.182+0.093-0.301-0.016</f>
        <v>5.4630000000000001</v>
      </c>
      <c r="K15" s="125">
        <f>K5+0.679+0.236+0.128-0.301-0.016</f>
        <v>11.018000000000001</v>
      </c>
      <c r="L15" s="125"/>
      <c r="M15" s="124"/>
      <c r="Q15" s="72">
        <f t="shared" ref="Q15:W15" si="1">Q5</f>
        <v>800</v>
      </c>
      <c r="R15" s="72">
        <f t="shared" si="1"/>
        <v>3650</v>
      </c>
      <c r="S15" s="72">
        <f t="shared" si="1"/>
        <v>3650</v>
      </c>
      <c r="T15" s="72">
        <f t="shared" si="1"/>
        <v>250000</v>
      </c>
      <c r="U15" s="72">
        <f t="shared" si="1"/>
        <v>250000</v>
      </c>
      <c r="V15" s="72">
        <f t="shared" si="1"/>
        <v>500000</v>
      </c>
      <c r="W15" s="72">
        <f t="shared" si="1"/>
        <v>500000</v>
      </c>
    </row>
    <row r="16" spans="1:24">
      <c r="A16">
        <v>3</v>
      </c>
      <c r="B16" t="s">
        <v>36</v>
      </c>
      <c r="D16" s="125">
        <f t="shared" ref="D16:D17" si="2">D6-0.386-0.045+0.255+0.141-0.317-0.015</f>
        <v>9.06</v>
      </c>
      <c r="E16" s="125">
        <f>E6+0.679+0.321+0.205-0.314-0.015</f>
        <v>9.4639999999999986</v>
      </c>
      <c r="F16" s="125">
        <f>F6+0.679+0.321+0.205-0.314-0.015</f>
        <v>9.4639999999999986</v>
      </c>
      <c r="G16" s="125">
        <f>G6+0.679+0.273+0.147-0.326-0.016</f>
        <v>7.4990000000000006</v>
      </c>
      <c r="H16" s="125">
        <f>H6+0.679+0.273+0.147-0.326-0.016</f>
        <v>7.4990000000000006</v>
      </c>
      <c r="I16" s="125">
        <f t="shared" ref="I16:J16" si="3">I6+0.182+0.093-0.301-0.016</f>
        <v>4.9110000000000005</v>
      </c>
      <c r="J16" s="125">
        <f t="shared" si="3"/>
        <v>4.9110000000000005</v>
      </c>
      <c r="K16" s="125">
        <f>K6+0.679+0.236+0.128-0.301-0.016</f>
        <v>8.0760000000000005</v>
      </c>
      <c r="L16" s="125"/>
      <c r="M16" s="124"/>
      <c r="Q16" s="72">
        <f t="shared" ref="Q16:V17" si="4">Q6</f>
        <v>1500</v>
      </c>
      <c r="R16" s="72">
        <f t="shared" si="4"/>
        <v>9999999</v>
      </c>
      <c r="S16" s="72">
        <f t="shared" ref="S16" si="5">S6</f>
        <v>9999999</v>
      </c>
      <c r="T16" s="72">
        <f t="shared" si="4"/>
        <v>9999999</v>
      </c>
      <c r="U16" s="72">
        <f t="shared" ref="U16" si="6">U6</f>
        <v>9999999</v>
      </c>
      <c r="V16" s="72">
        <f t="shared" si="4"/>
        <v>9999999</v>
      </c>
      <c r="W16" s="72">
        <f t="shared" ref="W16" si="7">W6</f>
        <v>9999999</v>
      </c>
    </row>
    <row r="17" spans="1:27">
      <c r="A17">
        <v>4</v>
      </c>
      <c r="B17" t="s">
        <v>37</v>
      </c>
      <c r="D17" s="125">
        <f t="shared" si="2"/>
        <v>10.686000000000002</v>
      </c>
      <c r="E17" s="125"/>
      <c r="F17" s="125"/>
      <c r="G17" s="125"/>
      <c r="H17" s="125"/>
      <c r="I17" s="125">
        <f>I7+0.182-0.301-0.016</f>
        <v>4.1000000000000005</v>
      </c>
      <c r="J17" s="125">
        <f>J7+0.182-0.301-0.016</f>
        <v>4.1000000000000005</v>
      </c>
      <c r="K17" s="125"/>
      <c r="L17" s="125"/>
      <c r="M17" s="124"/>
      <c r="O17" t="s">
        <v>233</v>
      </c>
      <c r="Q17" s="72">
        <f t="shared" si="4"/>
        <v>9999999</v>
      </c>
      <c r="R17" s="72">
        <f t="shared" si="4"/>
        <v>9999999</v>
      </c>
      <c r="S17" s="72">
        <f t="shared" ref="S17" si="8">S7</f>
        <v>9999999</v>
      </c>
      <c r="T17" s="72">
        <f t="shared" si="4"/>
        <v>9999999</v>
      </c>
      <c r="U17" s="72">
        <f t="shared" ref="U17" si="9">U7</f>
        <v>9999999</v>
      </c>
      <c r="V17" s="72">
        <f t="shared" si="4"/>
        <v>9999999</v>
      </c>
      <c r="W17" s="72">
        <f t="shared" ref="W17" si="10">W7</f>
        <v>9999999</v>
      </c>
    </row>
    <row r="18" spans="1:27">
      <c r="A18">
        <v>5</v>
      </c>
      <c r="B18" t="s">
        <v>38</v>
      </c>
      <c r="D18" s="125"/>
      <c r="E18" s="125"/>
      <c r="F18" s="125"/>
      <c r="G18" s="125"/>
      <c r="H18" s="125"/>
      <c r="I18" s="125"/>
      <c r="J18" s="125"/>
      <c r="K18" s="125"/>
      <c r="L18" s="125"/>
      <c r="M18" s="124"/>
    </row>
    <row r="19" spans="1:27">
      <c r="A19">
        <v>6</v>
      </c>
      <c r="B19" t="s">
        <v>277</v>
      </c>
      <c r="D19" s="126"/>
      <c r="E19" s="126"/>
      <c r="F19" s="126"/>
      <c r="G19" s="123">
        <f t="shared" ref="G19:J20" si="11">G9</f>
        <v>550</v>
      </c>
      <c r="H19" s="123">
        <v>0</v>
      </c>
      <c r="I19" s="123">
        <f t="shared" si="11"/>
        <v>30650</v>
      </c>
      <c r="J19" s="123">
        <f t="shared" si="11"/>
        <v>30650</v>
      </c>
      <c r="K19" s="126"/>
      <c r="L19" s="126"/>
      <c r="M19" s="124"/>
      <c r="Q19" s="72"/>
      <c r="R19" s="72"/>
      <c r="S19" s="72"/>
      <c r="T19" s="72"/>
      <c r="U19" s="72"/>
      <c r="V19" s="72"/>
      <c r="W19" s="72"/>
    </row>
    <row r="20" spans="1:27">
      <c r="A20">
        <v>7</v>
      </c>
      <c r="B20" t="s">
        <v>40</v>
      </c>
      <c r="D20" s="126"/>
      <c r="E20" s="123">
        <f>E10</f>
        <v>7</v>
      </c>
      <c r="F20" s="123">
        <f>F10</f>
        <v>0</v>
      </c>
      <c r="G20" s="123">
        <f t="shared" si="11"/>
        <v>7</v>
      </c>
      <c r="H20" s="123">
        <f t="shared" si="11"/>
        <v>0</v>
      </c>
      <c r="I20" s="123">
        <f t="shared" si="11"/>
        <v>8.3000000000000007</v>
      </c>
      <c r="J20" s="123">
        <f t="shared" si="11"/>
        <v>8.3000000000000007</v>
      </c>
      <c r="K20" s="126"/>
      <c r="L20" s="126"/>
      <c r="M20" s="124"/>
      <c r="Q20" s="72">
        <f t="shared" ref="Q20:W20" si="12">Q10</f>
        <v>0</v>
      </c>
      <c r="R20" s="72">
        <f t="shared" si="12"/>
        <v>20</v>
      </c>
      <c r="S20" s="72">
        <f t="shared" si="12"/>
        <v>20</v>
      </c>
      <c r="T20" s="72">
        <f t="shared" si="12"/>
        <v>50</v>
      </c>
      <c r="U20" s="72">
        <f t="shared" si="12"/>
        <v>50</v>
      </c>
      <c r="V20" s="72">
        <f t="shared" si="12"/>
        <v>3000</v>
      </c>
      <c r="W20" s="72">
        <f t="shared" si="12"/>
        <v>3000</v>
      </c>
    </row>
    <row r="21" spans="1:27">
      <c r="C21" s="285"/>
      <c r="D21" s="284"/>
      <c r="E21" s="296"/>
      <c r="F21" s="296"/>
      <c r="G21" s="296"/>
      <c r="H21" s="296"/>
      <c r="I21" s="296"/>
      <c r="J21" s="296"/>
      <c r="K21" s="296"/>
      <c r="L21" s="124"/>
      <c r="M21" s="124"/>
    </row>
    <row r="22" spans="1:27" ht="15">
      <c r="A22" s="61" t="s">
        <v>42</v>
      </c>
      <c r="B22" s="116"/>
      <c r="C22" s="286"/>
      <c r="D22" s="286"/>
      <c r="E22" s="293"/>
      <c r="F22" s="293"/>
      <c r="G22" s="293"/>
      <c r="H22" s="293"/>
      <c r="I22" s="293"/>
      <c r="J22" s="293"/>
      <c r="K22" s="293"/>
    </row>
    <row r="23" spans="1:27">
      <c r="A23" s="116"/>
      <c r="B23" s="116"/>
      <c r="C23" s="285"/>
      <c r="D23" s="285"/>
      <c r="E23" s="297"/>
      <c r="F23" s="297"/>
      <c r="G23" s="297"/>
      <c r="H23" s="297"/>
      <c r="I23" s="297"/>
      <c r="J23" s="297"/>
      <c r="K23" s="297"/>
    </row>
    <row r="24" spans="1:27">
      <c r="B24" s="116" t="s">
        <v>226</v>
      </c>
      <c r="C24" s="116"/>
      <c r="D24" t="str">
        <f>IF(D25&lt;&gt;'Pres &amp; Prop Rev'!D$5,#VALUE!,"")</f>
        <v/>
      </c>
      <c r="E24" t="str">
        <f>IF(E25&lt;&gt;'Pres &amp; Prop Rev'!E$5,#VALUE!,"")</f>
        <v/>
      </c>
      <c r="F24" s="755" t="str">
        <f>IF(F25&lt;&gt;'Pres &amp; Prop Rev'!F$5,#VALUE!,"")</f>
        <v/>
      </c>
      <c r="G24" t="str">
        <f>IF(G25&lt;&gt;'Pres &amp; Prop Rev'!G$5,#VALUE!,"")</f>
        <v/>
      </c>
      <c r="H24" s="755" t="str">
        <f>IF(H25&lt;&gt;'Pres &amp; Prop Rev'!H$5,#VALUE!,"")</f>
        <v/>
      </c>
      <c r="I24" t="str">
        <f>IF(I25&lt;&gt;'Pres &amp; Prop Rev'!I$5,#VALUE!,"")</f>
        <v/>
      </c>
      <c r="J24" s="755" t="str">
        <f>IF(J25&lt;&gt;'Pres &amp; Prop Rev'!J$5,#VALUE!,"")</f>
        <v/>
      </c>
      <c r="K24" t="str">
        <f>IF(K25&lt;&gt;'Pres &amp; Prop Rev'!K$5,#VALUE!,"")</f>
        <v/>
      </c>
    </row>
    <row r="25" spans="1:27">
      <c r="D25" s="58" t="s">
        <v>685</v>
      </c>
      <c r="E25" s="58" t="s">
        <v>11</v>
      </c>
      <c r="F25" s="564" t="s">
        <v>948</v>
      </c>
      <c r="G25" s="58" t="s">
        <v>12</v>
      </c>
      <c r="H25" s="564" t="s">
        <v>949</v>
      </c>
      <c r="I25" s="58" t="s">
        <v>13</v>
      </c>
      <c r="J25" s="564" t="s">
        <v>950</v>
      </c>
      <c r="K25" s="58" t="s">
        <v>14</v>
      </c>
      <c r="L25" s="58"/>
      <c r="Z25" s="79" t="s">
        <v>305</v>
      </c>
    </row>
    <row r="26" spans="1:27">
      <c r="A26">
        <v>1</v>
      </c>
      <c r="B26" t="s">
        <v>33</v>
      </c>
      <c r="D26" s="127">
        <f t="shared" ref="D26:K26" si="13">ROUND(D62,$Z26)</f>
        <v>9</v>
      </c>
      <c r="E26" s="127">
        <f t="shared" si="13"/>
        <v>20</v>
      </c>
      <c r="F26" s="127">
        <f t="shared" si="13"/>
        <v>20</v>
      </c>
      <c r="G26" s="127">
        <f t="shared" si="13"/>
        <v>0</v>
      </c>
      <c r="H26" s="127">
        <f t="shared" si="13"/>
        <v>550</v>
      </c>
      <c r="I26" s="127">
        <f t="shared" si="13"/>
        <v>0</v>
      </c>
      <c r="J26" s="127">
        <f t="shared" si="13"/>
        <v>0</v>
      </c>
      <c r="K26" s="127">
        <f t="shared" si="13"/>
        <v>20</v>
      </c>
      <c r="L26" s="127"/>
      <c r="M26" s="128"/>
      <c r="Z26" s="177">
        <v>2</v>
      </c>
      <c r="AA26">
        <v>2</v>
      </c>
    </row>
    <row r="27" spans="1:27">
      <c r="A27">
        <v>2</v>
      </c>
      <c r="B27" t="s">
        <v>35</v>
      </c>
      <c r="D27" s="129">
        <f>ROUND(D85,$Z27)</f>
        <v>8.5190000000000001</v>
      </c>
      <c r="E27" s="129">
        <f t="shared" ref="D27:K29" si="14">ROUND(E85,$Z27)</f>
        <v>11.936</v>
      </c>
      <c r="F27" s="129">
        <f t="shared" ref="F27" si="15">ROUND(F85,$Z27)</f>
        <v>21.108000000000001</v>
      </c>
      <c r="G27" s="129">
        <f t="shared" si="14"/>
        <v>7.7140000000000004</v>
      </c>
      <c r="H27" s="129">
        <f t="shared" ref="H27" si="16">ROUND(H85,$Z27)</f>
        <v>16.332999999999998</v>
      </c>
      <c r="I27" s="129">
        <f t="shared" si="14"/>
        <v>5.7469999999999999</v>
      </c>
      <c r="J27" s="129">
        <f t="shared" ref="J27" si="17">ROUND(J85,$Z27)</f>
        <v>4.6619999999999999</v>
      </c>
      <c r="K27" s="129">
        <f t="shared" si="14"/>
        <v>10.646000000000001</v>
      </c>
      <c r="L27" s="129"/>
      <c r="M27" s="128"/>
      <c r="Q27" s="174">
        <v>800</v>
      </c>
      <c r="R27" s="174">
        <v>3650</v>
      </c>
      <c r="S27" s="174">
        <v>3650</v>
      </c>
      <c r="T27" s="174">
        <v>250000</v>
      </c>
      <c r="U27" s="174">
        <v>250000</v>
      </c>
      <c r="V27" s="174">
        <v>500000</v>
      </c>
      <c r="W27" s="174">
        <v>500000</v>
      </c>
      <c r="Z27" s="154">
        <v>3</v>
      </c>
      <c r="AA27">
        <v>3</v>
      </c>
    </row>
    <row r="28" spans="1:27">
      <c r="A28">
        <v>3</v>
      </c>
      <c r="B28" t="s">
        <v>36</v>
      </c>
      <c r="D28" s="129">
        <f t="shared" si="14"/>
        <v>9.9109999999999996</v>
      </c>
      <c r="E28" s="129">
        <f>ROUND(E86,$Z28)</f>
        <v>8.7710000000000008</v>
      </c>
      <c r="F28" s="129">
        <f>ROUND(F86,$Z28)</f>
        <v>8.5879999999999992</v>
      </c>
      <c r="G28" s="129">
        <f t="shared" si="14"/>
        <v>6.9020000000000001</v>
      </c>
      <c r="H28" s="129">
        <f t="shared" ref="H28" si="18">ROUND(H86,$Z28)</f>
        <v>6.742</v>
      </c>
      <c r="I28" s="129">
        <f t="shared" si="14"/>
        <v>5.17</v>
      </c>
      <c r="J28" s="129">
        <f t="shared" ref="J28" si="19">ROUND(J86,$Z28)</f>
        <v>4.1950000000000003</v>
      </c>
      <c r="K28" s="129">
        <f t="shared" si="14"/>
        <v>7.6029999999999998</v>
      </c>
      <c r="L28" s="129"/>
      <c r="M28" s="128"/>
      <c r="Q28" s="174">
        <v>1500</v>
      </c>
      <c r="R28" s="174">
        <v>9999999</v>
      </c>
      <c r="S28" s="174">
        <v>9999999</v>
      </c>
      <c r="T28" s="174">
        <v>9999999</v>
      </c>
      <c r="U28" s="174">
        <v>9999999</v>
      </c>
      <c r="V28" s="174">
        <v>6000000</v>
      </c>
      <c r="W28" s="174">
        <v>6000000</v>
      </c>
      <c r="Z28" s="154">
        <v>3</v>
      </c>
      <c r="AA28">
        <v>3</v>
      </c>
    </row>
    <row r="29" spans="1:27">
      <c r="A29">
        <v>4</v>
      </c>
      <c r="B29" t="s">
        <v>37</v>
      </c>
      <c r="D29" s="129">
        <f t="shared" si="14"/>
        <v>11.621</v>
      </c>
      <c r="E29" s="129">
        <f t="shared" si="14"/>
        <v>0</v>
      </c>
      <c r="F29" s="129">
        <f t="shared" ref="F29" si="20">ROUND(F87,$Z29)</f>
        <v>0</v>
      </c>
      <c r="G29" s="129">
        <f t="shared" si="14"/>
        <v>0</v>
      </c>
      <c r="H29" s="129">
        <f t="shared" ref="H29" si="21">ROUND(H87,$Z29)</f>
        <v>0</v>
      </c>
      <c r="I29" s="129">
        <f t="shared" si="14"/>
        <v>4.2350000000000003</v>
      </c>
      <c r="J29" s="129">
        <f t="shared" ref="J29" si="22">ROUND(J87,$Z29)</f>
        <v>3.5870000000000002</v>
      </c>
      <c r="K29" s="129">
        <f t="shared" si="14"/>
        <v>0</v>
      </c>
      <c r="L29" s="129"/>
      <c r="M29" s="128"/>
      <c r="O29" t="s">
        <v>237</v>
      </c>
      <c r="Q29" s="174">
        <v>9999999</v>
      </c>
      <c r="R29" s="174">
        <v>9999999</v>
      </c>
      <c r="S29" s="174">
        <v>9999999</v>
      </c>
      <c r="T29" s="174">
        <v>9999999</v>
      </c>
      <c r="U29" s="174">
        <v>9999999</v>
      </c>
      <c r="V29" s="174">
        <v>99999999</v>
      </c>
      <c r="W29" s="174">
        <v>99999999</v>
      </c>
      <c r="Z29" s="154">
        <v>3</v>
      </c>
      <c r="AA29">
        <v>3</v>
      </c>
    </row>
    <row r="30" spans="1:27">
      <c r="A30">
        <v>5</v>
      </c>
      <c r="B30" t="s">
        <v>38</v>
      </c>
      <c r="D30" s="129"/>
      <c r="E30" s="129"/>
      <c r="F30" s="129"/>
      <c r="G30" s="129"/>
      <c r="H30" s="129"/>
      <c r="I30" s="129"/>
      <c r="J30" s="129"/>
      <c r="K30" s="129"/>
      <c r="L30" s="129"/>
      <c r="M30" s="128"/>
      <c r="Z30" s="154">
        <v>3</v>
      </c>
      <c r="AA30">
        <v>3</v>
      </c>
    </row>
    <row r="31" spans="1:27">
      <c r="A31">
        <v>6</v>
      </c>
      <c r="B31" t="s">
        <v>277</v>
      </c>
      <c r="D31" s="127">
        <f t="shared" ref="D31:K31" si="23">ROUND(D66,$Z31)</f>
        <v>0</v>
      </c>
      <c r="E31" s="127">
        <f t="shared" si="23"/>
        <v>0</v>
      </c>
      <c r="F31" s="127">
        <f t="shared" si="23"/>
        <v>0</v>
      </c>
      <c r="G31" s="127">
        <f t="shared" si="23"/>
        <v>550</v>
      </c>
      <c r="H31" s="127">
        <f t="shared" si="23"/>
        <v>0</v>
      </c>
      <c r="I31" s="127">
        <f t="shared" si="23"/>
        <v>30650</v>
      </c>
      <c r="J31" s="127">
        <f t="shared" si="23"/>
        <v>30650</v>
      </c>
      <c r="K31" s="127">
        <f t="shared" si="23"/>
        <v>0</v>
      </c>
      <c r="L31" s="127"/>
      <c r="M31" s="128"/>
      <c r="Q31" s="174"/>
      <c r="R31" s="174"/>
      <c r="S31" s="174"/>
      <c r="T31" s="174"/>
      <c r="U31" s="174"/>
      <c r="V31" s="174"/>
      <c r="W31" s="174"/>
      <c r="Z31" s="154">
        <v>2</v>
      </c>
      <c r="AA31">
        <v>2</v>
      </c>
    </row>
    <row r="32" spans="1:27">
      <c r="A32">
        <v>7</v>
      </c>
      <c r="B32" t="s">
        <v>40</v>
      </c>
      <c r="D32" s="127">
        <f t="shared" ref="D32:K32" si="24">ROUND(D69,$Z32)</f>
        <v>0</v>
      </c>
      <c r="E32" s="127">
        <f t="shared" si="24"/>
        <v>7</v>
      </c>
      <c r="F32" s="127">
        <f t="shared" si="24"/>
        <v>0</v>
      </c>
      <c r="G32" s="127">
        <f t="shared" si="24"/>
        <v>7</v>
      </c>
      <c r="H32" s="127">
        <f t="shared" si="24"/>
        <v>0</v>
      </c>
      <c r="I32" s="127">
        <f t="shared" si="24"/>
        <v>8.3000000000000007</v>
      </c>
      <c r="J32" s="127">
        <f t="shared" si="24"/>
        <v>8.3000000000000007</v>
      </c>
      <c r="K32" s="127">
        <f t="shared" si="24"/>
        <v>0</v>
      </c>
      <c r="L32" s="127"/>
      <c r="M32" s="128"/>
      <c r="Q32" s="174">
        <v>0</v>
      </c>
      <c r="R32" s="174">
        <v>20</v>
      </c>
      <c r="S32" s="174">
        <v>20</v>
      </c>
      <c r="T32" s="174">
        <v>50</v>
      </c>
      <c r="U32" s="174">
        <v>50</v>
      </c>
      <c r="V32" s="174">
        <v>3000</v>
      </c>
      <c r="W32" s="174">
        <v>3000</v>
      </c>
      <c r="Z32" s="154">
        <v>2</v>
      </c>
      <c r="AA32">
        <v>2</v>
      </c>
    </row>
    <row r="33" spans="1:29">
      <c r="D33" s="128"/>
      <c r="E33" s="128"/>
      <c r="F33" s="128"/>
      <c r="G33" s="128"/>
      <c r="H33" s="128"/>
      <c r="I33" s="128"/>
      <c r="J33" s="128"/>
      <c r="K33" s="128"/>
      <c r="L33" s="128"/>
      <c r="M33" s="128"/>
    </row>
    <row r="34" spans="1:29">
      <c r="B34" s="116" t="s">
        <v>227</v>
      </c>
      <c r="C34" s="116"/>
      <c r="D34" t="str">
        <f>IF(D35&lt;&gt;'Pres &amp; Prop Rev'!D$5,#VALUE!,"")</f>
        <v/>
      </c>
      <c r="E34" t="str">
        <f>IF(E35&lt;&gt;'Pres &amp; Prop Rev'!E$5,#VALUE!,"")</f>
        <v/>
      </c>
      <c r="F34" s="755" t="str">
        <f>IF(F35&lt;&gt;'Pres &amp; Prop Rev'!F$5,#VALUE!,"")</f>
        <v/>
      </c>
      <c r="G34" t="str">
        <f>IF(G35&lt;&gt;'Pres &amp; Prop Rev'!G$5,#VALUE!,"")</f>
        <v/>
      </c>
      <c r="H34" s="755" t="str">
        <f>IF(H35&lt;&gt;'Pres &amp; Prop Rev'!H$5,#VALUE!,"")</f>
        <v/>
      </c>
      <c r="I34" t="str">
        <f>IF(I35&lt;&gt;'Pres &amp; Prop Rev'!I$5,#VALUE!,"")</f>
        <v/>
      </c>
      <c r="J34" s="755" t="str">
        <f>IF(J35&lt;&gt;'Pres &amp; Prop Rev'!J$5,#VALUE!,"")</f>
        <v/>
      </c>
      <c r="K34" t="str">
        <f>IF(K35&lt;&gt;'Pres &amp; Prop Rev'!K$5,#VALUE!,"")</f>
        <v/>
      </c>
    </row>
    <row r="35" spans="1:29">
      <c r="D35" s="58" t="s">
        <v>685</v>
      </c>
      <c r="E35" s="58" t="s">
        <v>11</v>
      </c>
      <c r="F35" s="564" t="s">
        <v>948</v>
      </c>
      <c r="G35" s="58" t="s">
        <v>12</v>
      </c>
      <c r="H35" s="564" t="s">
        <v>949</v>
      </c>
      <c r="I35" s="58" t="s">
        <v>13</v>
      </c>
      <c r="J35" s="564" t="s">
        <v>950</v>
      </c>
      <c r="K35" s="58" t="s">
        <v>14</v>
      </c>
      <c r="L35" s="58"/>
      <c r="Y35" s="116" t="s">
        <v>390</v>
      </c>
    </row>
    <row r="36" spans="1:29">
      <c r="A36">
        <v>1</v>
      </c>
      <c r="B36" t="s">
        <v>33</v>
      </c>
      <c r="D36" s="130">
        <f t="shared" ref="D36:K36" si="25">D26</f>
        <v>9</v>
      </c>
      <c r="E36" s="130">
        <f t="shared" si="25"/>
        <v>20</v>
      </c>
      <c r="F36" s="130">
        <f t="shared" si="25"/>
        <v>20</v>
      </c>
      <c r="G36" s="130">
        <f t="shared" si="25"/>
        <v>0</v>
      </c>
      <c r="H36" s="130">
        <f>H26</f>
        <v>550</v>
      </c>
      <c r="I36" s="130">
        <f t="shared" si="25"/>
        <v>0</v>
      </c>
      <c r="J36" s="130">
        <f t="shared" si="25"/>
        <v>0</v>
      </c>
      <c r="K36" s="130">
        <f t="shared" si="25"/>
        <v>20</v>
      </c>
      <c r="L36" s="130"/>
      <c r="M36" s="131"/>
      <c r="Y36" s="295">
        <v>1</v>
      </c>
      <c r="Z36" s="295">
        <v>11</v>
      </c>
      <c r="AA36" s="295">
        <v>21</v>
      </c>
      <c r="AB36" s="295">
        <v>25</v>
      </c>
      <c r="AC36" s="295">
        <v>31</v>
      </c>
    </row>
    <row r="37" spans="1:29">
      <c r="A37">
        <v>2</v>
      </c>
      <c r="B37" t="s">
        <v>35</v>
      </c>
      <c r="D37" s="824">
        <f>D27-0.386-0.045+0.255+0.141-0.317-0.015</f>
        <v>8.152000000000001</v>
      </c>
      <c r="E37" s="824">
        <f>E27+0.679+0.321+0.205-0.314-0.015</f>
        <v>12.811999999999999</v>
      </c>
      <c r="F37" s="824">
        <f>F27+0.679+0.321+0.205-0.314-0.015</f>
        <v>21.983999999999998</v>
      </c>
      <c r="G37" s="824">
        <f>G27+0.679+0.273+0.147-0.326-0.016</f>
        <v>8.4710000000000001</v>
      </c>
      <c r="H37" s="824">
        <f>H27+0.679+0.273+0.147-0.326-0.016</f>
        <v>17.089999999999996</v>
      </c>
      <c r="I37" s="824">
        <f>I27+0.182+0.093-0.301-0.016</f>
        <v>5.7050000000000001</v>
      </c>
      <c r="J37" s="824">
        <f>J27+0.182+0.093-0.301-0.016</f>
        <v>4.62</v>
      </c>
      <c r="K37" s="824">
        <f>K27+0.679+0.236+0.128-0.301-0.016</f>
        <v>11.372000000000002</v>
      </c>
      <c r="L37" s="132"/>
      <c r="M37" s="131"/>
      <c r="Q37" s="72">
        <f t="shared" ref="Q37:V39" si="26">Q27</f>
        <v>800</v>
      </c>
      <c r="R37" s="72">
        <f t="shared" si="26"/>
        <v>3650</v>
      </c>
      <c r="S37" s="72">
        <f t="shared" ref="S37" si="27">S27</f>
        <v>3650</v>
      </c>
      <c r="T37" s="72">
        <f t="shared" si="26"/>
        <v>250000</v>
      </c>
      <c r="U37" s="72">
        <f t="shared" ref="U37" si="28">U27</f>
        <v>250000</v>
      </c>
      <c r="V37" s="72">
        <f t="shared" si="26"/>
        <v>500000</v>
      </c>
      <c r="W37" s="72">
        <f t="shared" ref="W37" si="29">W27</f>
        <v>500000</v>
      </c>
      <c r="Y37" s="281">
        <v>0</v>
      </c>
      <c r="Z37" s="281">
        <v>0</v>
      </c>
      <c r="AA37" s="281">
        <v>0</v>
      </c>
      <c r="AB37" s="281">
        <v>0</v>
      </c>
      <c r="AC37" s="281">
        <v>0</v>
      </c>
    </row>
    <row r="38" spans="1:29">
      <c r="A38">
        <v>3</v>
      </c>
      <c r="B38" t="s">
        <v>36</v>
      </c>
      <c r="D38" s="824">
        <f t="shared" ref="D38:D39" si="30">D28-0.386-0.045+0.255+0.141-0.317-0.015</f>
        <v>9.5440000000000005</v>
      </c>
      <c r="E38" s="824">
        <f>E28+0.679+0.321+0.205-0.314-0.015</f>
        <v>9.6470000000000002</v>
      </c>
      <c r="F38" s="824">
        <f>F28+0.679+0.321+0.205-0.314-0.015</f>
        <v>9.4639999999999986</v>
      </c>
      <c r="G38" s="824">
        <f>G28+0.679+0.273+0.147-0.326-0.016</f>
        <v>7.6589999999999998</v>
      </c>
      <c r="H38" s="824">
        <f>H28+0.679+0.273+0.147-0.326-0.016</f>
        <v>7.4990000000000006</v>
      </c>
      <c r="I38" s="824">
        <f t="shared" ref="I38:J38" si="31">I28+0.182+0.093-0.301-0.016</f>
        <v>5.1280000000000001</v>
      </c>
      <c r="J38" s="824">
        <f t="shared" si="31"/>
        <v>4.1530000000000005</v>
      </c>
      <c r="K38" s="824">
        <f>K28+0.679+0.236+0.128-0.301-0.016</f>
        <v>8.3290000000000006</v>
      </c>
      <c r="L38" s="132"/>
      <c r="M38" s="131"/>
      <c r="Q38" s="72">
        <f t="shared" si="26"/>
        <v>1500</v>
      </c>
      <c r="R38" s="72">
        <f t="shared" si="26"/>
        <v>9999999</v>
      </c>
      <c r="S38" s="72">
        <f t="shared" ref="S38" si="32">S28</f>
        <v>9999999</v>
      </c>
      <c r="T38" s="72">
        <f t="shared" si="26"/>
        <v>9999999</v>
      </c>
      <c r="U38" s="72">
        <f t="shared" ref="U38" si="33">U28</f>
        <v>9999999</v>
      </c>
      <c r="V38" s="72">
        <f t="shared" si="26"/>
        <v>6000000</v>
      </c>
      <c r="W38" s="72">
        <f t="shared" ref="W38" si="34">W28</f>
        <v>6000000</v>
      </c>
      <c r="Y38" s="282">
        <f>Y$37</f>
        <v>0</v>
      </c>
      <c r="Z38" s="282">
        <f>Z$37</f>
        <v>0</v>
      </c>
      <c r="AA38" s="282">
        <f>AA$37</f>
        <v>0</v>
      </c>
      <c r="AB38" s="282">
        <f>AB$37</f>
        <v>0</v>
      </c>
      <c r="AC38" s="282">
        <f>AC$37</f>
        <v>0</v>
      </c>
    </row>
    <row r="39" spans="1:29">
      <c r="A39">
        <v>4</v>
      </c>
      <c r="B39" t="s">
        <v>37</v>
      </c>
      <c r="D39" s="824">
        <f t="shared" si="30"/>
        <v>11.254000000000001</v>
      </c>
      <c r="E39" s="824"/>
      <c r="F39" s="824"/>
      <c r="G39" s="824"/>
      <c r="H39" s="824"/>
      <c r="I39" s="824">
        <f>I29+0.182-0.301-0.016</f>
        <v>4.1000000000000005</v>
      </c>
      <c r="J39" s="824">
        <f>J29+0.182-0.301-0.016</f>
        <v>3.452</v>
      </c>
      <c r="K39" s="824"/>
      <c r="L39" s="132"/>
      <c r="M39" s="131"/>
      <c r="O39" t="s">
        <v>234</v>
      </c>
      <c r="Q39" s="72">
        <f t="shared" si="26"/>
        <v>9999999</v>
      </c>
      <c r="R39" s="72">
        <f t="shared" si="26"/>
        <v>9999999</v>
      </c>
      <c r="S39" s="72">
        <f t="shared" ref="S39" si="35">S29</f>
        <v>9999999</v>
      </c>
      <c r="T39" s="72">
        <f t="shared" si="26"/>
        <v>9999999</v>
      </c>
      <c r="U39" s="72">
        <f t="shared" ref="U39" si="36">U29</f>
        <v>9999999</v>
      </c>
      <c r="V39" s="72">
        <f t="shared" si="26"/>
        <v>99999999</v>
      </c>
      <c r="W39" s="72">
        <f t="shared" ref="W39" si="37">W29</f>
        <v>99999999</v>
      </c>
      <c r="Y39" s="282">
        <f t="shared" ref="Y39:AC40" si="38">Y$37</f>
        <v>0</v>
      </c>
      <c r="Z39" s="282">
        <f t="shared" si="38"/>
        <v>0</v>
      </c>
      <c r="AA39" s="282">
        <f t="shared" si="38"/>
        <v>0</v>
      </c>
      <c r="AB39" s="282">
        <f t="shared" si="38"/>
        <v>0</v>
      </c>
      <c r="AC39" s="282">
        <f t="shared" si="38"/>
        <v>0</v>
      </c>
    </row>
    <row r="40" spans="1:29">
      <c r="A40">
        <v>5</v>
      </c>
      <c r="B40" t="s">
        <v>38</v>
      </c>
      <c r="D40" s="132"/>
      <c r="E40" s="132"/>
      <c r="F40" s="132"/>
      <c r="G40" s="132"/>
      <c r="H40" s="132"/>
      <c r="I40" s="132"/>
      <c r="J40" s="132"/>
      <c r="K40" s="132"/>
      <c r="L40" s="132"/>
      <c r="M40" s="131"/>
      <c r="Y40" s="282">
        <f t="shared" si="38"/>
        <v>0</v>
      </c>
      <c r="Z40" s="282">
        <f t="shared" si="38"/>
        <v>0</v>
      </c>
      <c r="AA40" s="282">
        <f t="shared" si="38"/>
        <v>0</v>
      </c>
      <c r="AB40" s="282">
        <f t="shared" si="38"/>
        <v>0</v>
      </c>
      <c r="AC40" s="282">
        <f t="shared" si="38"/>
        <v>0</v>
      </c>
    </row>
    <row r="41" spans="1:29">
      <c r="A41">
        <v>6</v>
      </c>
      <c r="B41" t="s">
        <v>277</v>
      </c>
      <c r="D41" s="130"/>
      <c r="E41" s="130"/>
      <c r="F41" s="130"/>
      <c r="G41" s="130">
        <f t="shared" ref="G41:J42" si="39">G31</f>
        <v>550</v>
      </c>
      <c r="H41" s="130">
        <f t="shared" si="39"/>
        <v>0</v>
      </c>
      <c r="I41" s="130">
        <f t="shared" si="39"/>
        <v>30650</v>
      </c>
      <c r="J41" s="130">
        <f t="shared" si="39"/>
        <v>30650</v>
      </c>
      <c r="K41" s="130"/>
      <c r="L41" s="130"/>
      <c r="M41" s="131"/>
      <c r="Q41" s="72"/>
      <c r="R41" s="72"/>
      <c r="S41" s="72"/>
      <c r="T41" s="72"/>
      <c r="U41" s="72"/>
      <c r="V41" s="72"/>
      <c r="W41" s="72"/>
    </row>
    <row r="42" spans="1:29">
      <c r="A42">
        <v>7</v>
      </c>
      <c r="B42" t="s">
        <v>40</v>
      </c>
      <c r="D42" s="130"/>
      <c r="E42" s="130">
        <f>E32</f>
        <v>7</v>
      </c>
      <c r="F42" s="130">
        <f>F32</f>
        <v>0</v>
      </c>
      <c r="G42" s="130">
        <f t="shared" si="39"/>
        <v>7</v>
      </c>
      <c r="H42" s="130">
        <f t="shared" si="39"/>
        <v>0</v>
      </c>
      <c r="I42" s="130">
        <f t="shared" si="39"/>
        <v>8.3000000000000007</v>
      </c>
      <c r="J42" s="130">
        <f t="shared" si="39"/>
        <v>8.3000000000000007</v>
      </c>
      <c r="K42" s="130"/>
      <c r="L42" s="130"/>
      <c r="M42" s="131"/>
      <c r="Q42" s="72">
        <f t="shared" ref="Q42:W42" si="40">Q32</f>
        <v>0</v>
      </c>
      <c r="R42" s="72">
        <f t="shared" si="40"/>
        <v>20</v>
      </c>
      <c r="S42" s="72">
        <f t="shared" si="40"/>
        <v>20</v>
      </c>
      <c r="T42" s="72">
        <f t="shared" si="40"/>
        <v>50</v>
      </c>
      <c r="U42" s="72">
        <f t="shared" si="40"/>
        <v>50</v>
      </c>
      <c r="V42" s="72">
        <f t="shared" si="40"/>
        <v>3000</v>
      </c>
      <c r="W42" s="72">
        <f t="shared" si="40"/>
        <v>3000</v>
      </c>
    </row>
    <row r="43" spans="1:29">
      <c r="C43" s="290"/>
      <c r="D43" s="291"/>
      <c r="E43" s="291"/>
      <c r="F43" s="291"/>
      <c r="G43" s="291"/>
      <c r="H43" s="291"/>
      <c r="I43" s="291"/>
      <c r="J43" s="291"/>
      <c r="K43" s="291"/>
      <c r="L43" s="131"/>
      <c r="M43" s="131"/>
    </row>
    <row r="44" spans="1:29">
      <c r="C44" s="290"/>
      <c r="D44" s="308"/>
      <c r="E44" s="308"/>
      <c r="F44" s="308"/>
      <c r="G44" s="308"/>
      <c r="H44" s="308"/>
      <c r="I44" s="308"/>
      <c r="J44" s="308"/>
      <c r="K44" s="308"/>
    </row>
    <row r="45" spans="1:29">
      <c r="C45" s="290"/>
      <c r="D45" s="316">
        <v>0</v>
      </c>
      <c r="E45" s="317" t="s">
        <v>428</v>
      </c>
      <c r="F45" s="317"/>
      <c r="G45" s="317"/>
      <c r="H45" s="317"/>
      <c r="I45" s="308"/>
      <c r="J45" s="308"/>
      <c r="K45" s="308"/>
    </row>
    <row r="46" spans="1:29">
      <c r="D46" s="308"/>
      <c r="E46" s="308"/>
      <c r="F46" s="308"/>
      <c r="G46" s="308"/>
      <c r="H46" s="308"/>
      <c r="I46" s="308"/>
      <c r="J46" s="308"/>
      <c r="K46" s="308"/>
    </row>
    <row r="47" spans="1:29">
      <c r="A47" t="s">
        <v>1</v>
      </c>
      <c r="B47" s="116" t="s">
        <v>249</v>
      </c>
      <c r="C47" s="116"/>
    </row>
    <row r="49" spans="1:16">
      <c r="B49" t="s">
        <v>17</v>
      </c>
    </row>
    <row r="50" spans="1:16">
      <c r="B50" s="143" t="s">
        <v>18</v>
      </c>
      <c r="C50" s="68">
        <f>SUM(D50:K50)</f>
        <v>3477200782.391242</v>
      </c>
      <c r="D50" s="68">
        <f>'Pres &amp; Prop Rev'!D31</f>
        <v>1632639774.4875689</v>
      </c>
      <c r="E50" s="68">
        <f>'Pres &amp; Prop Rev'!E31</f>
        <v>435979118.38983351</v>
      </c>
      <c r="F50" s="565">
        <f>'Pres &amp; Prop Rev'!F31</f>
        <v>0</v>
      </c>
      <c r="G50" s="68">
        <f>'Pres &amp; Prop Rev'!G31</f>
        <v>1229791151.8036699</v>
      </c>
      <c r="H50" s="565">
        <f>'Pres &amp; Prop Rev'!H31</f>
        <v>0</v>
      </c>
      <c r="I50" s="68">
        <f>'Pres &amp; Prop Rev'!I31</f>
        <v>126000000</v>
      </c>
      <c r="J50" s="565">
        <f>'Pres &amp; Prop Rev'!J31</f>
        <v>6000000</v>
      </c>
      <c r="K50" s="68">
        <f>'Pres &amp; Prop Rev'!K31</f>
        <v>46790737.710170001</v>
      </c>
    </row>
    <row r="51" spans="1:16">
      <c r="B51" s="143" t="s">
        <v>19</v>
      </c>
      <c r="C51" s="68">
        <f>SUM(D51:K51)</f>
        <v>1490635917.2345786</v>
      </c>
      <c r="D51" s="68">
        <f>'Pres &amp; Prop Rev'!D32</f>
        <v>504552667.9882521</v>
      </c>
      <c r="E51" s="68">
        <f>'Pres &amp; Prop Rev'!E32</f>
        <v>191116384.14616641</v>
      </c>
      <c r="F51" s="565">
        <f>'Pres &amp; Prop Rev'!F32</f>
        <v>0</v>
      </c>
      <c r="G51" s="68">
        <f>'Pres &amp; Prop Rev'!G32</f>
        <v>146237824.45333001</v>
      </c>
      <c r="H51" s="565">
        <f>'Pres &amp; Prop Rev'!H32</f>
        <v>0</v>
      </c>
      <c r="I51" s="68">
        <f>'Pres &amp; Prop Rev'!I32</f>
        <v>489959799.31499994</v>
      </c>
      <c r="J51" s="565">
        <f>'Pres &amp; Prop Rev'!J32</f>
        <v>66000000</v>
      </c>
      <c r="K51" s="68">
        <f>'Pres &amp; Prop Rev'!K32</f>
        <v>92769241.331829995</v>
      </c>
    </row>
    <row r="52" spans="1:16">
      <c r="B52" s="143" t="s">
        <v>20</v>
      </c>
      <c r="C52" s="68">
        <f>SUM(D52:K52)</f>
        <v>682329916.95517945</v>
      </c>
      <c r="D52" s="68">
        <f>'Pres &amp; Prop Rev'!D33</f>
        <v>299072582.35517937</v>
      </c>
      <c r="E52" s="68">
        <f>'Pres &amp; Prop Rev'!E33</f>
        <v>0</v>
      </c>
      <c r="F52" s="565">
        <f>'Pres &amp; Prop Rev'!F33</f>
        <v>0</v>
      </c>
      <c r="G52" s="68">
        <f>'Pres &amp; Prop Rev'!G33</f>
        <v>0</v>
      </c>
      <c r="H52" s="565">
        <f>'Pres &amp; Prop Rev'!H33</f>
        <v>0</v>
      </c>
      <c r="I52" s="68">
        <f>'Pres &amp; Prop Rev'!I33</f>
        <v>4157886.6000001431</v>
      </c>
      <c r="J52" s="565">
        <f>'Pres &amp; Prop Rev'!J33</f>
        <v>379099448</v>
      </c>
      <c r="K52" s="68">
        <f>'Pres &amp; Prop Rev'!K33</f>
        <v>0</v>
      </c>
    </row>
    <row r="53" spans="1:16">
      <c r="B53" s="143" t="s">
        <v>439</v>
      </c>
      <c r="C53" s="68">
        <f>SUM(D53:K53)</f>
        <v>0</v>
      </c>
      <c r="D53" s="68">
        <f>'Pres &amp; Prop Rev'!D41+'Pres &amp; Prop Rev'!D38</f>
        <v>0</v>
      </c>
      <c r="E53" s="68">
        <f>'Pres &amp; Prop Rev'!E41+'Pres &amp; Prop Rev'!E38</f>
        <v>0</v>
      </c>
      <c r="F53" s="565">
        <f>'Pres &amp; Prop Rev'!F41+'Pres &amp; Prop Rev'!F38</f>
        <v>0</v>
      </c>
      <c r="G53" s="68">
        <f>'Pres &amp; Prop Rev'!G41+'Pres &amp; Prop Rev'!G38</f>
        <v>0</v>
      </c>
      <c r="H53" s="565">
        <f>'Pres &amp; Prop Rev'!H41+'Pres &amp; Prop Rev'!H38</f>
        <v>0</v>
      </c>
      <c r="I53" s="68">
        <f>'Pres &amp; Prop Rev'!I41+'Pres &amp; Prop Rev'!I38</f>
        <v>0</v>
      </c>
      <c r="J53" s="565">
        <f>'Pres &amp; Prop Rev'!J41+'Pres &amp; Prop Rev'!J38</f>
        <v>0</v>
      </c>
      <c r="K53" s="68">
        <f>'Pres &amp; Prop Rev'!K41+'Pres &amp; Prop Rev'!K38</f>
        <v>0</v>
      </c>
    </row>
    <row r="54" spans="1:16">
      <c r="B54" s="143" t="s">
        <v>241</v>
      </c>
      <c r="C54" s="68">
        <f>SUM(D54:K54)</f>
        <v>-52372625</v>
      </c>
      <c r="D54" s="68">
        <f>'Pres &amp; Prop Rev'!D44</f>
        <v>-40779500</v>
      </c>
      <c r="E54" s="68">
        <f>'Pres &amp; Prop Rev'!E44</f>
        <v>-5197349</v>
      </c>
      <c r="F54" s="565">
        <f>'Pres &amp; Prop Rev'!F44</f>
        <v>0</v>
      </c>
      <c r="G54" s="68">
        <f>'Pres &amp; Prop Rev'!G44</f>
        <v>-6458850</v>
      </c>
      <c r="H54" s="565">
        <f>'Pres &amp; Prop Rev'!H44</f>
        <v>0</v>
      </c>
      <c r="I54" s="68">
        <f>'Pres &amp; Prop Rev'!I44</f>
        <v>0</v>
      </c>
      <c r="J54" s="565">
        <f>'Pres &amp; Prop Rev'!J44</f>
        <v>0</v>
      </c>
      <c r="K54" s="68">
        <f>'Pres &amp; Prop Rev'!K44</f>
        <v>63074</v>
      </c>
    </row>
    <row r="55" spans="1:16">
      <c r="B55" t="s">
        <v>27</v>
      </c>
      <c r="C55" s="76">
        <f>IF(ROUND(SUM(D55:L55),3)&lt;&gt;ROUND(SUM(C50:C54),3),#VALUE!,SUM(D55:L55))</f>
        <v>5597793991.5810003</v>
      </c>
      <c r="D55" s="76">
        <f t="shared" ref="D55:K55" si="41">SUM(D50:D54)</f>
        <v>2395485524.8310003</v>
      </c>
      <c r="E55" s="76">
        <f t="shared" si="41"/>
        <v>621898153.53599989</v>
      </c>
      <c r="F55" s="76">
        <f t="shared" si="41"/>
        <v>0</v>
      </c>
      <c r="G55" s="76">
        <f t="shared" si="41"/>
        <v>1369570126.257</v>
      </c>
      <c r="H55" s="76">
        <f t="shared" si="41"/>
        <v>0</v>
      </c>
      <c r="I55" s="76">
        <f t="shared" si="41"/>
        <v>620117685.91500008</v>
      </c>
      <c r="J55" s="76">
        <f t="shared" si="41"/>
        <v>451099448</v>
      </c>
      <c r="K55" s="76">
        <f t="shared" si="41"/>
        <v>139623053.042</v>
      </c>
    </row>
    <row r="56" spans="1:16">
      <c r="B56" t="s">
        <v>28</v>
      </c>
      <c r="C56" s="68"/>
      <c r="D56" s="68">
        <f>'Pres &amp; Prop Rev'!D48</f>
        <v>2619517</v>
      </c>
      <c r="E56" s="68">
        <f>'Pres &amp; Prop Rev'!E48</f>
        <v>391801</v>
      </c>
      <c r="F56" s="565">
        <f>'Pres &amp; Prop Rev'!F48</f>
        <v>0</v>
      </c>
      <c r="G56" s="68">
        <f>'Pres &amp; Prop Rev'!G48</f>
        <v>22941</v>
      </c>
      <c r="H56" s="565">
        <f>'Pres &amp; Prop Rev'!H48</f>
        <v>0</v>
      </c>
      <c r="I56" s="68">
        <f>'Pres &amp; Prop Rev'!I48</f>
        <v>252</v>
      </c>
      <c r="J56" s="565">
        <f>'Pres &amp; Prop Rev'!J48</f>
        <v>12</v>
      </c>
      <c r="K56" s="68">
        <f>'Pres &amp; Prop Rev'!K48</f>
        <v>29492</v>
      </c>
    </row>
    <row r="57" spans="1:16">
      <c r="B57" t="s">
        <v>30</v>
      </c>
      <c r="C57" s="68"/>
      <c r="D57" s="68">
        <f>'Pres &amp; Prop Rev'!D50</f>
        <v>0</v>
      </c>
      <c r="E57" s="68">
        <f>'Pres &amp; Prop Rev'!E50</f>
        <v>438307.97692307696</v>
      </c>
      <c r="F57" s="565">
        <f>'Pres &amp; Prop Rev'!F50</f>
        <v>0</v>
      </c>
      <c r="G57" s="68">
        <f>'Pres &amp; Prop Rev'!G50</f>
        <v>2648035.6015384616</v>
      </c>
      <c r="H57" s="565">
        <f>'Pres &amp; Prop Rev'!H50</f>
        <v>0</v>
      </c>
      <c r="I57" s="68">
        <f>'Pres &amp; Prop Rev'!I50</f>
        <v>585966.87300000002</v>
      </c>
      <c r="J57" s="565">
        <f>'Pres &amp; Prop Rev'!J50</f>
        <v>689915.61</v>
      </c>
      <c r="K57" s="68">
        <f>'Pres &amp; Prop Rev'!K50</f>
        <v>0</v>
      </c>
    </row>
    <row r="58" spans="1:16">
      <c r="M58" t="s">
        <v>282</v>
      </c>
      <c r="N58" s="165" t="s">
        <v>261</v>
      </c>
      <c r="O58" s="165"/>
      <c r="P58" s="165"/>
    </row>
    <row r="59" spans="1:16">
      <c r="A59" s="283"/>
      <c r="B59" s="116" t="s">
        <v>238</v>
      </c>
      <c r="C59" s="208">
        <f ca="1">SUM(D59:L59)</f>
        <v>537294832.56845546</v>
      </c>
      <c r="D59" s="208">
        <f ca="1">'Rate Spread GRC'!J15*1000</f>
        <v>243283384.82911858</v>
      </c>
      <c r="E59" s="208">
        <f ca="1">'Rate Spread GRC'!J17*1000</f>
        <v>79225774.373470604</v>
      </c>
      <c r="F59" s="208">
        <f ca="1">'Rate Spread GRC'!J19*1000</f>
        <v>0</v>
      </c>
      <c r="G59" s="208">
        <f ca="1">'Rate Spread GRC'!J21*1000</f>
        <v>135690077.12940943</v>
      </c>
      <c r="H59" s="208">
        <f ca="1">'Rate Spread GRC'!J23*1000</f>
        <v>0</v>
      </c>
      <c r="I59" s="208">
        <f ca="1">'Rate Spread GRC'!J25*1000</f>
        <v>45108579.451791294</v>
      </c>
      <c r="J59" s="208">
        <f ca="1">'Rate Spread GRC'!J27*1000</f>
        <v>21357310.439499997</v>
      </c>
      <c r="K59" s="208">
        <f ca="1">'Rate Spread GRC'!J29*1000</f>
        <v>12629706.345165567</v>
      </c>
      <c r="M59" s="184" t="s">
        <v>280</v>
      </c>
      <c r="N59" s="58" t="s">
        <v>262</v>
      </c>
      <c r="O59" s="58" t="s">
        <v>263</v>
      </c>
      <c r="P59" s="58" t="s">
        <v>264</v>
      </c>
    </row>
    <row r="60" spans="1:16">
      <c r="B60" s="116" t="s">
        <v>348</v>
      </c>
      <c r="C60" s="181">
        <f ca="1">'Rate Spread GRC'!H33</f>
        <v>2.5590906640825563E-2</v>
      </c>
      <c r="D60" s="181">
        <f ca="1">'Rate Spread GRC'!H15</f>
        <v>3.8763090049473328E-2</v>
      </c>
      <c r="E60" s="181">
        <f ca="1">'Rate Spread GRC'!H17</f>
        <v>1.3332103198443105E-2</v>
      </c>
      <c r="F60" s="181">
        <f ca="1">'Rate Spread GRC'!H19</f>
        <v>0</v>
      </c>
      <c r="G60" s="181">
        <f ca="1">'Rate Spread GRC'!H21</f>
        <v>1.3332103198443105E-2</v>
      </c>
      <c r="H60" s="181">
        <f ca="1">'Rate Spread GRC'!H23</f>
        <v>0</v>
      </c>
      <c r="I60" s="181">
        <f ca="1">'Rate Spread GRC'!H25</f>
        <v>2.6664206396886211E-2</v>
      </c>
      <c r="J60" s="181">
        <f ca="1">'Rate Spread GRC'!H27</f>
        <v>0</v>
      </c>
      <c r="K60" s="181">
        <f ca="1">'Rate Spread GRC'!H31</f>
        <v>2.6664206396886211E-2</v>
      </c>
      <c r="M60" s="185" t="s">
        <v>281</v>
      </c>
    </row>
    <row r="61" spans="1:16">
      <c r="B61" s="145" t="s">
        <v>245</v>
      </c>
      <c r="C61" s="168"/>
      <c r="D61" s="146">
        <f t="shared" ref="D61:J61" si="42">D4</f>
        <v>9</v>
      </c>
      <c r="E61" s="146">
        <f t="shared" si="42"/>
        <v>20</v>
      </c>
      <c r="F61" s="146">
        <f t="shared" si="42"/>
        <v>20</v>
      </c>
      <c r="G61" s="146">
        <f t="shared" si="42"/>
        <v>0</v>
      </c>
      <c r="H61" s="146">
        <f t="shared" si="42"/>
        <v>550</v>
      </c>
      <c r="I61" s="146">
        <f t="shared" si="42"/>
        <v>0</v>
      </c>
      <c r="J61" s="146">
        <f t="shared" si="42"/>
        <v>0</v>
      </c>
      <c r="K61" s="146">
        <v>20</v>
      </c>
      <c r="L61" s="147"/>
    </row>
    <row r="62" spans="1:16">
      <c r="B62" s="160" t="s">
        <v>33</v>
      </c>
      <c r="C62" s="158"/>
      <c r="D62" s="183">
        <v>9</v>
      </c>
      <c r="E62" s="183">
        <v>20</v>
      </c>
      <c r="F62" s="183">
        <v>20</v>
      </c>
      <c r="G62" s="183">
        <v>0</v>
      </c>
      <c r="H62" s="183">
        <v>550</v>
      </c>
      <c r="I62" s="183">
        <v>0</v>
      </c>
      <c r="J62" s="183">
        <v>0</v>
      </c>
      <c r="K62" s="183">
        <v>20</v>
      </c>
      <c r="L62" s="161"/>
      <c r="N62">
        <f>FLOOR(N61*(1+N$60),$N63)</f>
        <v>0</v>
      </c>
      <c r="O62">
        <f>CEILING(O61*(1+O$60),$O63)</f>
        <v>0</v>
      </c>
      <c r="P62">
        <f>P61*(1+P$60)</f>
        <v>0</v>
      </c>
    </row>
    <row r="63" spans="1:16">
      <c r="B63" s="162" t="s">
        <v>258</v>
      </c>
      <c r="C63" s="169"/>
      <c r="D63" s="163">
        <f t="shared" ref="D63:K63" si="43">IF(D61,D62/D61-1,0)</f>
        <v>0</v>
      </c>
      <c r="E63" s="163">
        <f t="shared" si="43"/>
        <v>0</v>
      </c>
      <c r="F63" s="163">
        <f t="shared" si="43"/>
        <v>0</v>
      </c>
      <c r="G63" s="163">
        <f t="shared" si="43"/>
        <v>0</v>
      </c>
      <c r="H63" s="163">
        <f t="shared" si="43"/>
        <v>0</v>
      </c>
      <c r="I63" s="163">
        <f t="shared" si="43"/>
        <v>0</v>
      </c>
      <c r="J63" s="163">
        <f t="shared" si="43"/>
        <v>0</v>
      </c>
      <c r="K63" s="163">
        <f t="shared" si="43"/>
        <v>0</v>
      </c>
      <c r="L63" s="149"/>
      <c r="N63" s="164">
        <v>0.05</v>
      </c>
      <c r="O63" s="164">
        <v>0.05</v>
      </c>
    </row>
    <row r="64" spans="1:16">
      <c r="B64" s="143" t="s">
        <v>242</v>
      </c>
      <c r="C64" s="69">
        <f>SUM(D64:L64)</f>
        <v>32001513</v>
      </c>
      <c r="D64" s="69">
        <f t="shared" ref="D64:K64" si="44">D56*D62</f>
        <v>23575653</v>
      </c>
      <c r="E64" s="69">
        <f t="shared" si="44"/>
        <v>7836020</v>
      </c>
      <c r="F64" s="69">
        <f t="shared" si="44"/>
        <v>0</v>
      </c>
      <c r="G64" s="69">
        <f t="shared" si="44"/>
        <v>0</v>
      </c>
      <c r="H64" s="69">
        <f t="shared" si="44"/>
        <v>0</v>
      </c>
      <c r="I64" s="69">
        <f t="shared" si="44"/>
        <v>0</v>
      </c>
      <c r="J64" s="69">
        <f t="shared" si="44"/>
        <v>0</v>
      </c>
      <c r="K64" s="69">
        <f t="shared" si="44"/>
        <v>589840</v>
      </c>
      <c r="L64" s="69"/>
    </row>
    <row r="65" spans="2:16">
      <c r="B65" s="150" t="s">
        <v>246</v>
      </c>
      <c r="C65" s="170"/>
      <c r="D65" s="146">
        <f t="shared" ref="D65:K65" si="45">D9</f>
        <v>0</v>
      </c>
      <c r="E65" s="146">
        <f t="shared" si="45"/>
        <v>0</v>
      </c>
      <c r="F65" s="146">
        <f t="shared" si="45"/>
        <v>0</v>
      </c>
      <c r="G65" s="146">
        <f t="shared" si="45"/>
        <v>550</v>
      </c>
      <c r="H65" s="146">
        <f t="shared" si="45"/>
        <v>0</v>
      </c>
      <c r="I65" s="146">
        <f t="shared" si="45"/>
        <v>30650</v>
      </c>
      <c r="J65" s="146">
        <f t="shared" si="45"/>
        <v>30650</v>
      </c>
      <c r="K65" s="146">
        <f t="shared" si="45"/>
        <v>0</v>
      </c>
      <c r="L65" s="151"/>
    </row>
    <row r="66" spans="2:16">
      <c r="B66" s="160" t="s">
        <v>40</v>
      </c>
      <c r="C66" s="158"/>
      <c r="D66" s="159"/>
      <c r="E66" s="159"/>
      <c r="F66" s="159"/>
      <c r="G66" s="183">
        <v>550</v>
      </c>
      <c r="H66" s="159"/>
      <c r="I66" s="183">
        <v>30650</v>
      </c>
      <c r="J66" s="183">
        <v>30650</v>
      </c>
      <c r="K66" s="159"/>
      <c r="L66" s="161"/>
      <c r="N66">
        <f>FLOOR(N65*(1+N$60),$N67)</f>
        <v>0</v>
      </c>
      <c r="O66">
        <f>CEILING(O65*(1+O$60),$O67)</f>
        <v>0</v>
      </c>
      <c r="P66">
        <f>P65*(1+P$60)</f>
        <v>0</v>
      </c>
    </row>
    <row r="67" spans="2:16">
      <c r="B67" s="162" t="s">
        <v>259</v>
      </c>
      <c r="C67" s="169"/>
      <c r="D67" s="163">
        <f t="shared" ref="D67:K67" si="46">IF(D65,D66/D65-1,0)</f>
        <v>0</v>
      </c>
      <c r="E67" s="163">
        <f t="shared" si="46"/>
        <v>0</v>
      </c>
      <c r="F67" s="163">
        <f t="shared" si="46"/>
        <v>0</v>
      </c>
      <c r="G67" s="163">
        <f t="shared" si="46"/>
        <v>0</v>
      </c>
      <c r="H67" s="163">
        <f t="shared" si="46"/>
        <v>0</v>
      </c>
      <c r="I67" s="163">
        <f t="shared" si="46"/>
        <v>0</v>
      </c>
      <c r="J67" s="163">
        <f t="shared" si="46"/>
        <v>0</v>
      </c>
      <c r="K67" s="163">
        <f t="shared" si="46"/>
        <v>0</v>
      </c>
      <c r="L67" s="149"/>
      <c r="N67" s="164">
        <v>5</v>
      </c>
      <c r="O67" s="164">
        <v>10</v>
      </c>
    </row>
    <row r="68" spans="2:16">
      <c r="B68" s="150" t="s">
        <v>247</v>
      </c>
      <c r="C68" s="170"/>
      <c r="D68" s="146">
        <f>D10</f>
        <v>0</v>
      </c>
      <c r="E68" s="146">
        <v>7</v>
      </c>
      <c r="F68" s="146">
        <v>0</v>
      </c>
      <c r="G68" s="146">
        <v>7</v>
      </c>
      <c r="H68" s="146">
        <v>0</v>
      </c>
      <c r="I68" s="146">
        <v>8.3000000000000007</v>
      </c>
      <c r="J68" s="146">
        <v>8.3000000000000007</v>
      </c>
      <c r="K68" s="146">
        <f>K10</f>
        <v>0</v>
      </c>
      <c r="L68" s="147"/>
    </row>
    <row r="69" spans="2:16">
      <c r="B69" s="160" t="s">
        <v>41</v>
      </c>
      <c r="C69" s="158"/>
      <c r="D69" s="159"/>
      <c r="E69" s="183">
        <v>7</v>
      </c>
      <c r="F69" s="159"/>
      <c r="G69" s="183">
        <v>7</v>
      </c>
      <c r="H69" s="159"/>
      <c r="I69" s="183">
        <v>8.3000000000000007</v>
      </c>
      <c r="J69" s="183">
        <v>8.3000000000000007</v>
      </c>
      <c r="K69" s="183">
        <v>0</v>
      </c>
      <c r="L69" s="161"/>
      <c r="N69">
        <f>FLOOR(N68*(1+N$60),$N70)</f>
        <v>0</v>
      </c>
      <c r="O69">
        <f>CEILING(O68*(1+O$60),$O70)</f>
        <v>0</v>
      </c>
      <c r="P69">
        <f>P68*(1+P$60)</f>
        <v>0</v>
      </c>
    </row>
    <row r="70" spans="2:16">
      <c r="B70" s="162" t="s">
        <v>260</v>
      </c>
      <c r="C70" s="169"/>
      <c r="D70" s="163">
        <f t="shared" ref="D70:K70" si="47">IF(D68,D69/D68-1,0)</f>
        <v>0</v>
      </c>
      <c r="E70" s="163">
        <f t="shared" si="47"/>
        <v>0</v>
      </c>
      <c r="F70" s="163">
        <f t="shared" si="47"/>
        <v>0</v>
      </c>
      <c r="G70" s="163">
        <f t="shared" si="47"/>
        <v>0</v>
      </c>
      <c r="H70" s="163">
        <f t="shared" si="47"/>
        <v>0</v>
      </c>
      <c r="I70" s="163">
        <f t="shared" si="47"/>
        <v>0</v>
      </c>
      <c r="J70" s="163">
        <f t="shared" si="47"/>
        <v>0</v>
      </c>
      <c r="K70" s="163">
        <f t="shared" si="47"/>
        <v>0</v>
      </c>
      <c r="L70" s="149"/>
      <c r="N70" s="164">
        <v>0.05</v>
      </c>
      <c r="O70" s="164">
        <v>0.05</v>
      </c>
    </row>
    <row r="71" spans="2:16">
      <c r="B71" s="143" t="s">
        <v>244</v>
      </c>
      <c r="C71" s="69">
        <f>SUM(D71:L71)</f>
        <v>52903379.658130772</v>
      </c>
      <c r="D71" s="69">
        <f t="shared" ref="D71:K71" si="48">D56*D66+D57*D69</f>
        <v>0</v>
      </c>
      <c r="E71" s="69">
        <f t="shared" si="48"/>
        <v>3068155.8384615388</v>
      </c>
      <c r="F71" s="69">
        <f t="shared" si="48"/>
        <v>0</v>
      </c>
      <c r="G71" s="69">
        <f t="shared" si="48"/>
        <v>31153799.210769232</v>
      </c>
      <c r="H71" s="69">
        <f t="shared" si="48"/>
        <v>0</v>
      </c>
      <c r="I71" s="69">
        <f t="shared" si="48"/>
        <v>12587325.0459</v>
      </c>
      <c r="J71" s="69">
        <f t="shared" si="48"/>
        <v>6094099.5630000001</v>
      </c>
      <c r="K71" s="69">
        <f t="shared" si="48"/>
        <v>0</v>
      </c>
      <c r="L71" s="69"/>
    </row>
    <row r="72" spans="2:16">
      <c r="B72" s="143" t="s">
        <v>248</v>
      </c>
      <c r="C72" s="69">
        <f>SUM(D72:L72)</f>
        <v>-1549513.6997000002</v>
      </c>
      <c r="D72" s="69">
        <f>'Pres &amp; Prop Rev'!D172+'Pres &amp; Prop Rev'!D173</f>
        <v>0</v>
      </c>
      <c r="E72" s="69">
        <f>'Pres &amp; Prop Rev'!E172+'Pres &amp; Prop Rev'!E173</f>
        <v>0</v>
      </c>
      <c r="F72" s="69">
        <f>'Pres &amp; Prop Rev'!F172+'Pres &amp; Prop Rev'!F173</f>
        <v>0</v>
      </c>
      <c r="G72" s="69">
        <f>'Pres &amp; Prop Rev'!G172+'Pres &amp; Prop Rev'!G173</f>
        <v>61123.229999999996</v>
      </c>
      <c r="H72" s="69">
        <f>'Pres &amp; Prop Rev'!H172+'Pres &amp; Prop Rev'!H173</f>
        <v>0</v>
      </c>
      <c r="I72" s="69">
        <f>'Pres &amp; Prop Rev'!I172+'Pres &amp; Prop Rev'!I173</f>
        <v>-228706.1862</v>
      </c>
      <c r="J72" s="69">
        <f>'Pres &amp; Prop Rev'!J172+'Pres &amp; Prop Rev'!J173</f>
        <v>-1381930.7435000001</v>
      </c>
      <c r="K72" s="69">
        <f>'Pres &amp; Prop Rev'!K172+'Pres &amp; Prop Rev'!K173</f>
        <v>0</v>
      </c>
      <c r="L72" s="69"/>
    </row>
    <row r="73" spans="2:16">
      <c r="B73" s="143"/>
      <c r="C73" s="143"/>
      <c r="D73" s="144"/>
      <c r="E73" s="144"/>
      <c r="F73" s="144"/>
      <c r="G73" s="144"/>
      <c r="H73" s="144"/>
      <c r="I73" s="144"/>
      <c r="J73" s="144"/>
      <c r="L73" s="144"/>
    </row>
    <row r="74" spans="2:16">
      <c r="B74" s="152" t="s">
        <v>342</v>
      </c>
      <c r="C74" s="152"/>
      <c r="D74" s="153">
        <f t="shared" ref="D74:K74" si="49">D5</f>
        <v>8.1029999999999998</v>
      </c>
      <c r="E74" s="153">
        <f t="shared" si="49"/>
        <v>11.686</v>
      </c>
      <c r="F74" s="153">
        <f t="shared" si="49"/>
        <v>21.108000000000001</v>
      </c>
      <c r="G74" s="153">
        <f t="shared" si="49"/>
        <v>7.5350000000000001</v>
      </c>
      <c r="H74" s="153">
        <f t="shared" si="49"/>
        <v>16.332999999999998</v>
      </c>
      <c r="I74" s="153">
        <f t="shared" si="49"/>
        <v>5.5049999999999999</v>
      </c>
      <c r="J74" s="153">
        <f t="shared" si="49"/>
        <v>5.5049999999999999</v>
      </c>
      <c r="K74" s="153">
        <f t="shared" si="49"/>
        <v>10.292</v>
      </c>
      <c r="L74" s="153"/>
    </row>
    <row r="75" spans="2:16">
      <c r="B75" s="152" t="s">
        <v>343</v>
      </c>
      <c r="C75" s="152"/>
      <c r="D75" s="153">
        <f t="shared" ref="D75:K76" si="50">D6</f>
        <v>9.4269999999999996</v>
      </c>
      <c r="E75" s="153">
        <f t="shared" si="50"/>
        <v>8.5879999999999992</v>
      </c>
      <c r="F75" s="153">
        <f t="shared" ref="F75" si="51">F6</f>
        <v>8.5879999999999992</v>
      </c>
      <c r="G75" s="153">
        <f t="shared" si="50"/>
        <v>6.742</v>
      </c>
      <c r="H75" s="153">
        <f t="shared" ref="H75" si="52">H6</f>
        <v>6.742</v>
      </c>
      <c r="I75" s="153">
        <f t="shared" si="50"/>
        <v>4.9530000000000003</v>
      </c>
      <c r="J75" s="153">
        <f t="shared" ref="J75" si="53">J6</f>
        <v>4.9530000000000003</v>
      </c>
      <c r="K75" s="153">
        <f t="shared" si="50"/>
        <v>7.35</v>
      </c>
      <c r="L75" s="153"/>
    </row>
    <row r="76" spans="2:16">
      <c r="B76" s="152" t="s">
        <v>344</v>
      </c>
      <c r="C76" s="152"/>
      <c r="D76" s="153">
        <f t="shared" si="50"/>
        <v>11.053000000000001</v>
      </c>
      <c r="E76" s="153">
        <f t="shared" si="50"/>
        <v>0</v>
      </c>
      <c r="F76" s="153">
        <f t="shared" ref="F76" si="54">F7</f>
        <v>0</v>
      </c>
      <c r="G76" s="153">
        <f t="shared" si="50"/>
        <v>0</v>
      </c>
      <c r="H76" s="153">
        <f t="shared" ref="H76" si="55">H7</f>
        <v>0</v>
      </c>
      <c r="I76" s="153">
        <f t="shared" si="50"/>
        <v>4.2350000000000003</v>
      </c>
      <c r="J76" s="153">
        <f t="shared" ref="J76" si="56">J7</f>
        <v>4.2350000000000003</v>
      </c>
      <c r="K76" s="153">
        <f t="shared" si="50"/>
        <v>0</v>
      </c>
      <c r="L76" s="153"/>
    </row>
    <row r="77" spans="2:16">
      <c r="B77" s="152"/>
      <c r="C77" s="152"/>
      <c r="D77" s="153"/>
      <c r="E77" s="153"/>
      <c r="F77" s="153"/>
      <c r="G77" s="153"/>
      <c r="H77" s="153"/>
      <c r="I77" s="153"/>
      <c r="J77" s="153"/>
      <c r="K77" s="153"/>
      <c r="L77" s="153"/>
      <c r="N77" s="35"/>
    </row>
    <row r="78" spans="2:16">
      <c r="B78" s="152" t="s">
        <v>254</v>
      </c>
      <c r="C78" s="152"/>
      <c r="D78" s="155">
        <v>0</v>
      </c>
      <c r="E78" s="155">
        <v>1</v>
      </c>
      <c r="F78" s="155">
        <v>1</v>
      </c>
      <c r="G78" s="155">
        <v>1</v>
      </c>
      <c r="H78" s="155">
        <v>1</v>
      </c>
      <c r="I78" s="155">
        <v>1</v>
      </c>
      <c r="J78" s="155">
        <v>1</v>
      </c>
      <c r="K78" s="155">
        <v>1</v>
      </c>
      <c r="L78" s="153"/>
    </row>
    <row r="79" spans="2:16">
      <c r="B79" s="152" t="s">
        <v>253</v>
      </c>
      <c r="C79" s="152"/>
      <c r="D79" s="156">
        <v>5.135345300344215E-2</v>
      </c>
      <c r="E79" s="156">
        <v>2.1353450030381003E-2</v>
      </c>
      <c r="F79" s="156">
        <v>0</v>
      </c>
      <c r="G79" s="156">
        <v>2.3749378946423566E-2</v>
      </c>
      <c r="H79" s="156">
        <v>0</v>
      </c>
      <c r="I79" s="156">
        <v>4.3887477427994231E-2</v>
      </c>
      <c r="J79" s="156">
        <v>-0.1530975028341805</v>
      </c>
      <c r="K79" s="156">
        <v>3.4431582522283524E-2</v>
      </c>
      <c r="L79" s="153"/>
      <c r="P79">
        <f>P$60</f>
        <v>0</v>
      </c>
    </row>
    <row r="80" spans="2:16">
      <c r="B80" s="152" t="s">
        <v>255</v>
      </c>
      <c r="C80" s="152"/>
      <c r="D80" s="166">
        <v>2</v>
      </c>
      <c r="E80" s="166">
        <v>2</v>
      </c>
      <c r="F80" s="166">
        <v>2</v>
      </c>
      <c r="G80" s="166">
        <v>2</v>
      </c>
      <c r="H80" s="166">
        <v>2</v>
      </c>
      <c r="I80" s="166">
        <v>2</v>
      </c>
      <c r="J80" s="166">
        <v>2</v>
      </c>
      <c r="K80" s="166">
        <v>2</v>
      </c>
      <c r="L80" s="154"/>
    </row>
    <row r="81" spans="1:17">
      <c r="B81" s="152"/>
      <c r="C81" s="152"/>
      <c r="D81" s="153"/>
      <c r="E81" s="153"/>
      <c r="F81" s="153"/>
      <c r="G81" s="153"/>
      <c r="H81" s="153"/>
      <c r="I81" s="153"/>
      <c r="J81" s="153"/>
      <c r="K81" s="153"/>
      <c r="L81" s="153"/>
    </row>
    <row r="82" spans="1:17">
      <c r="A82" t="s">
        <v>256</v>
      </c>
      <c r="B82" t="s">
        <v>35</v>
      </c>
      <c r="D82" s="153">
        <f>CHOOSE(D$80,D74+D$78,D74*(1+D$79))</f>
        <v>8.5191170296868908</v>
      </c>
      <c r="E82" s="153">
        <f t="shared" ref="E82:J82" si="57">CHOOSE(E$80,E74+E$78,E74*(1+E$79))</f>
        <v>11.935536417055031</v>
      </c>
      <c r="F82" s="153">
        <f t="shared" si="57"/>
        <v>21.108000000000001</v>
      </c>
      <c r="G82" s="153">
        <f t="shared" si="57"/>
        <v>7.713951570361302</v>
      </c>
      <c r="H82" s="153">
        <f t="shared" si="57"/>
        <v>16.332999999999998</v>
      </c>
      <c r="I82" s="153">
        <f t="shared" si="57"/>
        <v>5.7466005632411079</v>
      </c>
      <c r="J82" s="153">
        <f t="shared" si="57"/>
        <v>4.6621982468978356</v>
      </c>
      <c r="K82" s="153">
        <f t="shared" ref="D82:K84" si="58">CHOOSE(K$80,K74+K$78,K74*(1+K$79))</f>
        <v>10.646369847319344</v>
      </c>
      <c r="L82" s="153"/>
    </row>
    <row r="83" spans="1:17">
      <c r="B83" t="s">
        <v>36</v>
      </c>
      <c r="D83" s="153">
        <f t="shared" si="58"/>
        <v>9.9111090014634478</v>
      </c>
      <c r="E83" s="153">
        <f>CHOOSE(E$80,E75+E$78,E75*(1+E$79))</f>
        <v>8.7713834288609096</v>
      </c>
      <c r="F83" s="153">
        <f>CHOOSE(F$80,F75+F$78,F75*(1+F$79))</f>
        <v>8.5879999999999992</v>
      </c>
      <c r="G83" s="153">
        <f t="shared" si="58"/>
        <v>6.9021183128567882</v>
      </c>
      <c r="H83" s="153">
        <f t="shared" ref="H83" si="59">CHOOSE(H$80,H75+H$78,H75*(1+H$79))</f>
        <v>6.742</v>
      </c>
      <c r="I83" s="153">
        <f>CHOOSE(I$80,I75+I$78,I75*(1+I$79))</f>
        <v>5.170374675700856</v>
      </c>
      <c r="J83" s="153">
        <f>CHOOSE(J$80,J75+J$78,J75*(1+J$79))</f>
        <v>4.1947080684623037</v>
      </c>
      <c r="K83" s="153">
        <f>CHOOSE(K$80,K75+K$78,K75*(1+K$79))</f>
        <v>7.6030721315387844</v>
      </c>
      <c r="L83" s="153"/>
      <c r="N83" s="153"/>
      <c r="P83">
        <f>0.75*P82</f>
        <v>0</v>
      </c>
    </row>
    <row r="84" spans="1:17">
      <c r="B84" t="s">
        <v>37</v>
      </c>
      <c r="D84" s="153">
        <f t="shared" si="58"/>
        <v>11.620609716047046</v>
      </c>
      <c r="E84" s="153">
        <f t="shared" si="58"/>
        <v>0</v>
      </c>
      <c r="F84" s="153">
        <f t="shared" ref="F84" si="60">CHOOSE(F$80,F76+F$78,F76*(1+F$79))</f>
        <v>0</v>
      </c>
      <c r="G84" s="153">
        <f t="shared" si="58"/>
        <v>0</v>
      </c>
      <c r="H84" s="153">
        <f t="shared" ref="H84" si="61">CHOOSE(H$80,H76+H$78,H76*(1+H$79))</f>
        <v>0</v>
      </c>
      <c r="I84" s="153">
        <f>CHOOSE(I$80,I76+I$78,I76*(1+I$79))</f>
        <v>4.4208634669075559</v>
      </c>
      <c r="J84" s="153">
        <f>CHOOSE(J$80,J76+J$78,J76*(1+J$79))</f>
        <v>3.5866320754972456</v>
      </c>
      <c r="K84" s="153">
        <f t="shared" si="58"/>
        <v>0</v>
      </c>
      <c r="L84" s="153"/>
    </row>
    <row r="85" spans="1:17">
      <c r="A85" t="s">
        <v>257</v>
      </c>
      <c r="B85" s="145" t="s">
        <v>35</v>
      </c>
      <c r="C85" s="168"/>
      <c r="D85" s="189">
        <f>D82</f>
        <v>8.5191170296868908</v>
      </c>
      <c r="E85" s="189">
        <f t="shared" ref="E85:K87" si="62">E82</f>
        <v>11.935536417055031</v>
      </c>
      <c r="F85" s="189">
        <f t="shared" ref="F85" si="63">F82</f>
        <v>21.108000000000001</v>
      </c>
      <c r="G85" s="189">
        <f t="shared" ref="G85:J86" si="64">G82</f>
        <v>7.713951570361302</v>
      </c>
      <c r="H85" s="189">
        <f t="shared" si="64"/>
        <v>16.332999999999998</v>
      </c>
      <c r="I85" s="189">
        <f t="shared" si="64"/>
        <v>5.7466005632411079</v>
      </c>
      <c r="J85" s="189">
        <f t="shared" si="64"/>
        <v>4.6621982468978356</v>
      </c>
      <c r="K85" s="189">
        <f t="shared" si="62"/>
        <v>10.646369847319344</v>
      </c>
      <c r="L85" s="186"/>
      <c r="P85">
        <f>P82</f>
        <v>0</v>
      </c>
    </row>
    <row r="86" spans="1:17">
      <c r="B86" s="160" t="s">
        <v>36</v>
      </c>
      <c r="C86" s="158"/>
      <c r="D86" s="190">
        <f>D83</f>
        <v>9.9111090014634478</v>
      </c>
      <c r="E86" s="190">
        <f>E83</f>
        <v>8.7713834288609096</v>
      </c>
      <c r="F86" s="190">
        <f>F83</f>
        <v>8.5879999999999992</v>
      </c>
      <c r="G86" s="190">
        <f t="shared" si="64"/>
        <v>6.9021183128567882</v>
      </c>
      <c r="H86" s="190">
        <f t="shared" si="64"/>
        <v>6.742</v>
      </c>
      <c r="I86" s="190">
        <f t="shared" si="64"/>
        <v>5.170374675700856</v>
      </c>
      <c r="J86" s="190">
        <f t="shared" si="64"/>
        <v>4.1947080684623037</v>
      </c>
      <c r="K86" s="190">
        <f>K83</f>
        <v>7.6030721315387844</v>
      </c>
      <c r="L86" s="187"/>
      <c r="M86" s="52">
        <f>I86-I85</f>
        <v>-0.57622588754025195</v>
      </c>
      <c r="P86">
        <f>P83</f>
        <v>0</v>
      </c>
      <c r="Q86">
        <f>0.75*(Q85-Q74)+Q75</f>
        <v>0</v>
      </c>
    </row>
    <row r="87" spans="1:17">
      <c r="B87" s="148" t="s">
        <v>37</v>
      </c>
      <c r="C87" s="171"/>
      <c r="D87" s="191">
        <f>D84</f>
        <v>11.620609716047046</v>
      </c>
      <c r="E87" s="167">
        <f t="shared" si="62"/>
        <v>0</v>
      </c>
      <c r="F87" s="167">
        <f t="shared" ref="F87" si="65">F84</f>
        <v>0</v>
      </c>
      <c r="G87" s="167">
        <f t="shared" si="62"/>
        <v>0</v>
      </c>
      <c r="H87" s="167">
        <f t="shared" ref="H87" si="66">H84</f>
        <v>0</v>
      </c>
      <c r="I87" s="191">
        <f>I76</f>
        <v>4.2350000000000003</v>
      </c>
      <c r="J87" s="191">
        <f>J84</f>
        <v>3.5866320754972456</v>
      </c>
      <c r="K87" s="167">
        <f t="shared" si="62"/>
        <v>0</v>
      </c>
      <c r="L87" s="188"/>
      <c r="M87" s="52">
        <f>I87-I86</f>
        <v>-0.93537467570085564</v>
      </c>
      <c r="P87">
        <f>P84</f>
        <v>0</v>
      </c>
    </row>
    <row r="88" spans="1:17">
      <c r="B88" t="s">
        <v>250</v>
      </c>
      <c r="C88" s="69">
        <f>SUM(D88:L88)</f>
        <v>459035843.88011318</v>
      </c>
      <c r="D88" s="144">
        <f>SUMPRODUCT(D50:D52,D85:D87)/100</f>
        <v>223847315.51911855</v>
      </c>
      <c r="E88" s="144">
        <f t="shared" ref="E88:K88" si="67">SUMPRODUCT(E50:E52,E85:E87)/100</f>
        <v>68799997.295009047</v>
      </c>
      <c r="F88" s="144">
        <f t="shared" si="67"/>
        <v>0</v>
      </c>
      <c r="G88" s="144">
        <f t="shared" si="67"/>
        <v>104959001.5286402</v>
      </c>
      <c r="H88" s="144">
        <f t="shared" si="67"/>
        <v>0</v>
      </c>
      <c r="I88" s="144">
        <f t="shared" si="67"/>
        <v>32749560.592091292</v>
      </c>
      <c r="J88" s="144">
        <f t="shared" si="67"/>
        <v>16645141.619999994</v>
      </c>
      <c r="K88" s="144">
        <f t="shared" si="67"/>
        <v>12034827.325254144</v>
      </c>
      <c r="L88" s="144"/>
    </row>
    <row r="89" spans="1:17">
      <c r="B89" s="350" t="s">
        <v>251</v>
      </c>
      <c r="C89" s="69">
        <f ca="1">SUM(D89:L89)</f>
        <v>0</v>
      </c>
      <c r="D89" s="144">
        <f ca="1">'Pres &amp; Prop Rev'!D181+'Pres &amp; Prop Rev'!D178</f>
        <v>0</v>
      </c>
      <c r="E89" s="144">
        <f ca="1">'Pres &amp; Prop Rev'!E181+'Pres &amp; Prop Rev'!E178</f>
        <v>0</v>
      </c>
      <c r="F89" s="144">
        <f>'Pres &amp; Prop Rev'!F181+'Pres &amp; Prop Rev'!F178</f>
        <v>0</v>
      </c>
      <c r="G89" s="144">
        <f ca="1">'Pres &amp; Prop Rev'!G181+'Pres &amp; Prop Rev'!G178</f>
        <v>0</v>
      </c>
      <c r="H89" s="144">
        <f>'Pres &amp; Prop Rev'!H181+'Pres &amp; Prop Rev'!H178</f>
        <v>0</v>
      </c>
      <c r="I89" s="144">
        <f ca="1">'Pres &amp; Prop Rev'!I181+'Pres &amp; Prop Rev'!I178+'Pres &amp; Prop Rev'!I174</f>
        <v>0</v>
      </c>
      <c r="J89" s="144">
        <f ca="1">'Pres &amp; Prop Rev'!J181+'Pres &amp; Prop Rev'!J178+'Pres &amp; Prop Rev'!J174</f>
        <v>0</v>
      </c>
      <c r="K89" s="144">
        <f ca="1">'Pres &amp; Prop Rev'!K181+'Pres &amp; Prop Rev'!K178</f>
        <v>0</v>
      </c>
      <c r="L89" s="144"/>
    </row>
    <row r="90" spans="1:17">
      <c r="B90" t="s">
        <v>252</v>
      </c>
      <c r="C90" s="69">
        <f ca="1">SUM(D90:L90)</f>
        <v>-5095990.2700000005</v>
      </c>
      <c r="D90" s="144">
        <f ca="1">'Pres &amp; Prop Rev'!D202</f>
        <v>-4137183.69</v>
      </c>
      <c r="E90" s="144">
        <f ca="1">'Pres &amp; Prop Rev'!E202</f>
        <v>-479798.76</v>
      </c>
      <c r="F90" s="144">
        <f>'Pres &amp; Prop Rev'!F202</f>
        <v>0</v>
      </c>
      <c r="G90" s="144">
        <f ca="1">'Pres &amp; Prop Rev'!G202</f>
        <v>-484446.83999999997</v>
      </c>
      <c r="H90" s="144">
        <f>'Pres &amp; Prop Rev'!H202</f>
        <v>0</v>
      </c>
      <c r="I90" s="144">
        <f>'Pres &amp; Prop Rev'!I202</f>
        <v>0</v>
      </c>
      <c r="J90" s="144">
        <f>'Pres &amp; Prop Rev'!J202</f>
        <v>0</v>
      </c>
      <c r="K90" s="144">
        <f ca="1">'Pres &amp; Prop Rev'!K202</f>
        <v>5439.02</v>
      </c>
      <c r="L90" s="144"/>
    </row>
    <row r="92" spans="1:17">
      <c r="A92" t="s">
        <v>1</v>
      </c>
      <c r="B92" s="182" t="s">
        <v>243</v>
      </c>
      <c r="C92" s="144">
        <f ca="1">IF(ROUND(C59-C64-C71-C72-SUM(C88:C90),3)&lt;&gt;ROUND(SUM(D92:L92),3),#VALUE!,SUM(D92:L92))</f>
        <v>-400.00008851662278</v>
      </c>
      <c r="D92" s="144">
        <f t="shared" ref="D92:K92" ca="1" si="68">D59-D64-D71-D72-SUM(D88:D90)</f>
        <v>-2399.9999999701977</v>
      </c>
      <c r="E92" s="144">
        <f t="shared" ca="1" si="68"/>
        <v>1400.0000000298023</v>
      </c>
      <c r="F92" s="144">
        <f t="shared" ca="1" si="68"/>
        <v>0</v>
      </c>
      <c r="G92" s="144">
        <f t="shared" ca="1" si="68"/>
        <v>600</v>
      </c>
      <c r="H92" s="144">
        <f ca="1">H59-H64-H71-H72-SUM(H88:H90)</f>
        <v>0</v>
      </c>
      <c r="I92" s="144">
        <f t="shared" ca="1" si="68"/>
        <v>400</v>
      </c>
      <c r="J92" s="144">
        <f t="shared" ca="1" si="68"/>
        <v>0</v>
      </c>
      <c r="K92" s="144">
        <f t="shared" ca="1" si="68"/>
        <v>-400.00008857622743</v>
      </c>
      <c r="M92" t="s">
        <v>306</v>
      </c>
    </row>
    <row r="93" spans="1:17">
      <c r="B93" s="152" t="s">
        <v>274</v>
      </c>
      <c r="C93" s="180">
        <f t="shared" ref="C93:K93" ca="1" si="69">C92/C55*100</f>
        <v>-7.145673619254603E-6</v>
      </c>
      <c r="D93" s="180">
        <f ca="1">D92/D55*100</f>
        <v>-1.0018845762549602E-4</v>
      </c>
      <c r="E93" s="180">
        <f t="shared" ca="1" si="69"/>
        <v>2.2511724662143738E-4</v>
      </c>
      <c r="F93" s="180" t="e">
        <f t="shared" ref="F93" ca="1" si="70">F92/F55*100</f>
        <v>#DIV/0!</v>
      </c>
      <c r="G93" s="180">
        <f t="shared" ca="1" si="69"/>
        <v>4.380936678575084E-5</v>
      </c>
      <c r="H93" s="180" t="e">
        <f t="shared" ref="H93" ca="1" si="71">H92/H55*100</f>
        <v>#DIV/0!</v>
      </c>
      <c r="I93" s="180">
        <f t="shared" ca="1" si="69"/>
        <v>6.4503885163312089E-5</v>
      </c>
      <c r="J93" s="180">
        <f t="shared" ref="J93" ca="1" si="72">J92/J55*100</f>
        <v>0</v>
      </c>
      <c r="K93" s="180">
        <f t="shared" ca="1" si="69"/>
        <v>-2.8648570552020764E-4</v>
      </c>
    </row>
    <row r="94" spans="1:17">
      <c r="B94" s="152" t="s">
        <v>351</v>
      </c>
      <c r="C94" s="144">
        <f ca="1">SUM(D94:L94)</f>
        <v>-420.62175602279603</v>
      </c>
      <c r="D94" s="144">
        <f ca="1">D59-'Pres &amp; Prop Rev'!D204-D92</f>
        <v>1293.4091185331345</v>
      </c>
      <c r="E94" s="144">
        <f ca="1">E59-'Pres &amp; Prop Rev'!E204-E92</f>
        <v>-1288.3265294283628</v>
      </c>
      <c r="F94" s="144">
        <f ca="1">F59-'Pres &amp; Prop Rev'!F204-F92</f>
        <v>0</v>
      </c>
      <c r="G94" s="144">
        <f ca="1">G59-'Pres &amp; Prop Rev'!G204-G92</f>
        <v>-422.56059056520462</v>
      </c>
      <c r="H94" s="144">
        <f ca="1">H59-'Pres &amp; Prop Rev'!H204-H92</f>
        <v>0</v>
      </c>
      <c r="I94" s="144">
        <f ca="1">I59-'Pres &amp; Prop Rev'!I204-I92</f>
        <v>1332.4679912924767</v>
      </c>
      <c r="J94" s="144">
        <f ca="1">J59-'Pres &amp; Prop Rev'!J204-J92</f>
        <v>-1575.5769999995828</v>
      </c>
      <c r="K94" s="144">
        <f ca="1">K59-'Pres &amp; Prop Rev'!K204-K92</f>
        <v>239.96525414474308</v>
      </c>
      <c r="L94" s="144"/>
    </row>
    <row r="95" spans="1:17">
      <c r="A95" s="221" t="str">
        <f>IF(Base1_Billing2=2,"MAKE SURE TO CHANGE Base1_Billing2 to '1' before designing Base Rates","")</f>
        <v/>
      </c>
      <c r="B95" s="152"/>
      <c r="C95" s="144"/>
      <c r="D95" s="144"/>
      <c r="E95" s="144"/>
      <c r="F95" s="144"/>
      <c r="G95" s="144"/>
      <c r="H95" s="144"/>
      <c r="I95" s="144"/>
      <c r="J95" s="144"/>
      <c r="K95" s="144"/>
      <c r="L95" s="144"/>
    </row>
    <row r="96" spans="1:17">
      <c r="B96" s="182" t="s">
        <v>339</v>
      </c>
      <c r="C96" s="208">
        <f ca="1">SUM(D96:L96)</f>
        <v>537294832.56845546</v>
      </c>
      <c r="D96" s="144">
        <f t="shared" ref="D96:K96" ca="1" si="73">D59</f>
        <v>243283384.82911858</v>
      </c>
      <c r="E96" s="144">
        <f t="shared" ca="1" si="73"/>
        <v>79225774.373470604</v>
      </c>
      <c r="F96" s="144">
        <f t="shared" ca="1" si="73"/>
        <v>0</v>
      </c>
      <c r="G96" s="144">
        <f t="shared" ca="1" si="73"/>
        <v>135690077.12940943</v>
      </c>
      <c r="H96" s="144">
        <f t="shared" ca="1" si="73"/>
        <v>0</v>
      </c>
      <c r="I96" s="144">
        <f t="shared" ca="1" si="73"/>
        <v>45108579.451791294</v>
      </c>
      <c r="J96" s="144">
        <f ca="1">J59</f>
        <v>21357310.439499997</v>
      </c>
      <c r="K96" s="144">
        <f t="shared" ca="1" si="73"/>
        <v>12629706.345165567</v>
      </c>
      <c r="L96" s="144"/>
    </row>
    <row r="97" spans="2:23">
      <c r="B97" s="182" t="s">
        <v>340</v>
      </c>
      <c r="C97" s="208">
        <f ca="1">SUM(D97:L97)</f>
        <v>537295653.19029999</v>
      </c>
      <c r="D97" s="225">
        <f ca="1">'Pres &amp; Prop Rev'!D204</f>
        <v>243284491.42000002</v>
      </c>
      <c r="E97" s="225">
        <f ca="1">'Pres &amp; Prop Rev'!E204</f>
        <v>79225662.700000003</v>
      </c>
      <c r="F97" s="225">
        <f ca="1">'Pres &amp; Prop Rev'!F204</f>
        <v>0</v>
      </c>
      <c r="G97" s="225">
        <f ca="1">'Pres &amp; Prop Rev'!G204</f>
        <v>135689899.69</v>
      </c>
      <c r="H97" s="225">
        <f ca="1">'Pres &amp; Prop Rev'!H204</f>
        <v>0</v>
      </c>
      <c r="I97" s="225">
        <f ca="1">'Pres &amp; Prop Rev'!I204</f>
        <v>45106846.983800001</v>
      </c>
      <c r="J97" s="225">
        <f ca="1">'Pres &amp; Prop Rev'!J204</f>
        <v>21358886.016499996</v>
      </c>
      <c r="K97" s="225">
        <f ca="1">'Pres &amp; Prop Rev'!K204</f>
        <v>12629866.379999999</v>
      </c>
      <c r="L97" s="225"/>
    </row>
    <row r="98" spans="2:23">
      <c r="B98" s="152"/>
      <c r="C98" s="227">
        <f ca="1">SUM(D98:K98)</f>
        <v>820.62184453941882</v>
      </c>
      <c r="D98" s="226">
        <f t="shared" ref="D98:K98" ca="1" si="74">D97-D96</f>
        <v>1106.5908814370632</v>
      </c>
      <c r="E98" s="226">
        <f t="shared" ca="1" si="74"/>
        <v>-111.67347060143948</v>
      </c>
      <c r="F98" s="226">
        <f t="shared" ca="1" si="74"/>
        <v>0</v>
      </c>
      <c r="G98" s="226">
        <f t="shared" ca="1" si="74"/>
        <v>-177.43940943479538</v>
      </c>
      <c r="H98" s="226">
        <f t="shared" ca="1" si="74"/>
        <v>0</v>
      </c>
      <c r="I98" s="226">
        <f t="shared" ca="1" si="74"/>
        <v>-1732.4679912924767</v>
      </c>
      <c r="J98" s="226">
        <f t="shared" ca="1" si="74"/>
        <v>1575.5769999995828</v>
      </c>
      <c r="K98" s="226">
        <f t="shared" ca="1" si="74"/>
        <v>160.03483443148434</v>
      </c>
      <c r="L98" s="226"/>
    </row>
    <row r="99" spans="2:23">
      <c r="B99" s="79" t="s">
        <v>265</v>
      </c>
      <c r="C99" s="79"/>
    </row>
    <row r="100" spans="2:23">
      <c r="B100" s="143" t="s">
        <v>266</v>
      </c>
      <c r="C100" s="157">
        <f ca="1">'Pres &amp; Prop Rev'!C164/'Pres &amp; Prop Rev'!C111-1</f>
        <v>0</v>
      </c>
      <c r="D100" s="157">
        <f ca="1">'Pres &amp; Prop Rev'!D164/'Pres &amp; Prop Rev'!D111-1</f>
        <v>0</v>
      </c>
      <c r="E100" s="157">
        <f ca="1">'Pres &amp; Prop Rev'!E164/'Pres &amp; Prop Rev'!E111-1</f>
        <v>0</v>
      </c>
      <c r="F100" s="157" t="e">
        <f ca="1">'Pres &amp; Prop Rev'!F164/'Pres &amp; Prop Rev'!F111-1</f>
        <v>#DIV/0!</v>
      </c>
      <c r="G100" s="157" t="e">
        <f>'Pres &amp; Prop Rev'!G164/'Pres &amp; Prop Rev'!G111-1</f>
        <v>#DIV/0!</v>
      </c>
      <c r="H100" s="157" t="e">
        <f ca="1">'Pres &amp; Prop Rev'!H164/'Pres &amp; Prop Rev'!H111-1</f>
        <v>#DIV/0!</v>
      </c>
      <c r="I100" s="157" t="e">
        <f>'Pres &amp; Prop Rev'!I164/'Pres &amp; Prop Rev'!I111-1</f>
        <v>#DIV/0!</v>
      </c>
      <c r="J100" s="157" t="e">
        <f>'Pres &amp; Prop Rev'!J164/'Pres &amp; Prop Rev'!J111-1</f>
        <v>#DIV/0!</v>
      </c>
      <c r="K100" s="157">
        <f ca="1">'Pres &amp; Prop Rev'!K164/'Pres &amp; Prop Rev'!K111-1</f>
        <v>0</v>
      </c>
      <c r="L100" s="157"/>
    </row>
    <row r="101" spans="2:23">
      <c r="B101" s="143" t="s">
        <v>267</v>
      </c>
      <c r="C101" s="157">
        <f ca="1">SUM('Pres &amp; Prop Rev'!C170:C171)/SUM('Pres &amp; Prop Rev'!C117:C118)-1</f>
        <v>3.5332847758695607E-11</v>
      </c>
      <c r="D101" s="157" t="e">
        <f>SUM('Pres &amp; Prop Rev'!D170:D171)/SUM('Pres &amp; Prop Rev'!D117:D118)-1</f>
        <v>#DIV/0!</v>
      </c>
      <c r="E101" s="157">
        <f ca="1">SUM('Pres &amp; Prop Rev'!E170:E171)/SUM('Pres &amp; Prop Rev'!E117:E118)-1</f>
        <v>5.0142867635827315E-10</v>
      </c>
      <c r="F101" s="157" t="e">
        <f>SUM('Pres &amp; Prop Rev'!F170:F171)/SUM('Pres &amp; Prop Rev'!F117:F118)-1</f>
        <v>#DIV/0!</v>
      </c>
      <c r="G101" s="157">
        <f ca="1">SUM('Pres &amp; Prop Rev'!G170:G171)/SUM('Pres &amp; Prop Rev'!G117:G118)-1</f>
        <v>-2.4691471089965944E-11</v>
      </c>
      <c r="H101" s="157" t="e">
        <f>SUM('Pres &amp; Prop Rev'!H170:H171)/SUM('Pres &amp; Prop Rev'!H117:H118)-1</f>
        <v>#DIV/0!</v>
      </c>
      <c r="I101" s="157">
        <f ca="1">SUM('Pres &amp; Prop Rev'!I170:I171)/SUM('Pres &amp; Prop Rev'!I117:I118)-1</f>
        <v>3.2572455843649095E-10</v>
      </c>
      <c r="J101" s="157">
        <f ca="1">SUM('Pres &amp; Prop Rev'!J170:J171)/SUM('Pres &amp; Prop Rev'!J117:J118)-1</f>
        <v>-4.9227955045694216E-10</v>
      </c>
      <c r="K101" s="157" t="e">
        <f>SUM('Pres &amp; Prop Rev'!K170:K171)/SUM('Pres &amp; Prop Rev'!K117:K118)-1</f>
        <v>#DIV/0!</v>
      </c>
    </row>
    <row r="102" spans="2:23">
      <c r="B102" s="143" t="s">
        <v>251</v>
      </c>
      <c r="C102" s="157" t="e">
        <f ca="1">'Pres &amp; Prop Rev'!C181/'Pres &amp; Prop Rev'!C128-1</f>
        <v>#DIV/0!</v>
      </c>
      <c r="D102" s="157" t="e">
        <f ca="1">'Pres &amp; Prop Rev'!D181/'Pres &amp; Prop Rev'!D128-1</f>
        <v>#DIV/0!</v>
      </c>
      <c r="E102" s="157" t="e">
        <f ca="1">'Pres &amp; Prop Rev'!E181/'Pres &amp; Prop Rev'!E128-1</f>
        <v>#DIV/0!</v>
      </c>
      <c r="F102" s="157" t="e">
        <f>'Pres &amp; Prop Rev'!F181/'Pres &amp; Prop Rev'!F128-1</f>
        <v>#DIV/0!</v>
      </c>
      <c r="G102" s="157" t="e">
        <f ca="1">'Pres &amp; Prop Rev'!G181/'Pres &amp; Prop Rev'!G128-1</f>
        <v>#DIV/0!</v>
      </c>
      <c r="H102" s="157" t="e">
        <f>'Pres &amp; Prop Rev'!H181/'Pres &amp; Prop Rev'!H128-1</f>
        <v>#DIV/0!</v>
      </c>
      <c r="I102" s="157" t="e">
        <f>'Pres &amp; Prop Rev'!I181/'Pres &amp; Prop Rev'!I128-1</f>
        <v>#DIV/0!</v>
      </c>
      <c r="J102" s="157" t="e">
        <f>'Pres &amp; Prop Rev'!J181/'Pres &amp; Prop Rev'!J128-1</f>
        <v>#DIV/0!</v>
      </c>
      <c r="K102" s="157" t="e">
        <f ca="1">'Pres &amp; Prop Rev'!K181/'Pres &amp; Prop Rev'!K128-1</f>
        <v>#DIV/0!</v>
      </c>
    </row>
    <row r="103" spans="2:23">
      <c r="B103" s="143" t="s">
        <v>252</v>
      </c>
      <c r="C103" s="157">
        <f ca="1">'Pres &amp; Prop Rev'!C202/'Pres &amp; Prop Rev'!C149-1</f>
        <v>4.5799643298321424E-2</v>
      </c>
      <c r="D103" s="157">
        <f ca="1">'Pres &amp; Prop Rev'!D202/'Pres &amp; Prop Rev'!D149-1</f>
        <v>5.1357429721324843E-2</v>
      </c>
      <c r="E103" s="157">
        <f ca="1">'Pres &amp; Prop Rev'!E202/'Pres &amp; Prop Rev'!E149-1</f>
        <v>2.1324667051129564E-2</v>
      </c>
      <c r="F103" s="157" t="e">
        <f>'Pres &amp; Prop Rev'!F202/'Pres &amp; Prop Rev'!F149-1</f>
        <v>#DIV/0!</v>
      </c>
      <c r="G103" s="157">
        <f ca="1">'Pres &amp; Prop Rev'!G202/'Pres &amp; Prop Rev'!G149-1</f>
        <v>2.3753497230902587E-2</v>
      </c>
      <c r="H103" s="157" t="e">
        <f>'Pres &amp; Prop Rev'!H202/'Pres &amp; Prop Rev'!H149-1</f>
        <v>#DIV/0!</v>
      </c>
      <c r="I103" s="157" t="e">
        <f>'Pres &amp; Prop Rev'!I202/'Pres &amp; Prop Rev'!I149-1</f>
        <v>#DIV/0!</v>
      </c>
      <c r="J103" s="157" t="e">
        <f>'Pres &amp; Prop Rev'!J202/'Pres &amp; Prop Rev'!J149-1</f>
        <v>#DIV/0!</v>
      </c>
      <c r="K103" s="157">
        <f ca="1">'Pres &amp; Prop Rev'!K202/'Pres &amp; Prop Rev'!K149-1</f>
        <v>3.4411800505127488E-2</v>
      </c>
    </row>
    <row r="104" spans="2:23">
      <c r="B104" s="143" t="s">
        <v>268</v>
      </c>
      <c r="C104" s="157">
        <f ca="1">SUM('Pres &amp; Prop Rev'!C166:C169)/SUM('Pres &amp; Prop Rev'!C113:C116)-1</f>
        <v>3.0459224980441402E-2</v>
      </c>
      <c r="D104" s="157">
        <f ca="1">SUM('Pres &amp; Prop Rev'!D166:D169)/SUM('Pres &amp; Prop Rev'!D113:D116)-1</f>
        <v>5.1347378171163305E-2</v>
      </c>
      <c r="E104" s="157">
        <f ca="1">SUM('Pres &amp; Prop Rev'!E166:E169)/SUM('Pres &amp; Prop Rev'!E113:E116)-1</f>
        <v>2.1372575474287725E-2</v>
      </c>
      <c r="F104" s="157" t="e">
        <f ca="1">SUM('Pres &amp; Prop Rev'!F166:F169)/SUM('Pres &amp; Prop Rev'!F113:F116)-1</f>
        <v>#DIV/0!</v>
      </c>
      <c r="G104" s="157">
        <f ca="1">SUM('Pres &amp; Prop Rev'!G166:G169)/SUM('Pres &amp; Prop Rev'!G113:G116)-1</f>
        <v>2.3753500556957352E-2</v>
      </c>
      <c r="H104" s="157" t="e">
        <f ca="1">SUM('Pres &amp; Prop Rev'!H166:H169)/SUM('Pres &amp; Prop Rev'!H113:H116)-1</f>
        <v>#DIV/0!</v>
      </c>
      <c r="I104" s="157">
        <f ca="1">SUM('Pres &amp; Prop Rev'!I166:I169)/SUM('Pres &amp; Prop Rev'!I113:I116)-1</f>
        <v>4.3598744500437325E-2</v>
      </c>
      <c r="J104" s="157">
        <f ca="1">SUM('Pres &amp; Prop Rev'!J166:J169)/SUM('Pres &amp; Prop Rev'!J113:J116)-1</f>
        <v>-0.15301733742162782</v>
      </c>
      <c r="K104" s="157">
        <f ca="1">SUM('Pres &amp; Prop Rev'!K166:K169)/SUM('Pres &amp; Prop Rev'!K113:K116)-1</f>
        <v>3.4410956126950776E-2</v>
      </c>
    </row>
    <row r="105" spans="2:23">
      <c r="B105" s="142" t="s">
        <v>269</v>
      </c>
      <c r="C105" s="181">
        <f ca="1">'Pres &amp; Prop Rev'!C208</f>
        <v>2.5592552352828625E-2</v>
      </c>
      <c r="D105" s="181">
        <f ca="1">'Pres &amp; Prop Rev'!D208</f>
        <v>4.6141760025989534E-2</v>
      </c>
      <c r="E105" s="181">
        <f ca="1">'Pres &amp; Prop Rev'!E208</f>
        <v>1.8377204973204057E-2</v>
      </c>
      <c r="F105" s="181" t="e">
        <f ca="1">'Pres &amp; Prop Rev'!F208</f>
        <v>#DIV/0!</v>
      </c>
      <c r="G105" s="181">
        <f ca="1">'Pres &amp; Prop Rev'!G208</f>
        <v>1.8189706309763951E-2</v>
      </c>
      <c r="H105" s="181" t="e">
        <f ca="1">'Pres &amp; Prop Rev'!H208</f>
        <v>#DIV/0!</v>
      </c>
      <c r="I105" s="181">
        <f ca="1">'Pres &amp; Prop Rev'!I208</f>
        <v>3.1279674963188349E-2</v>
      </c>
      <c r="J105" s="181">
        <f ca="1">'Pres &amp; Prop Rev'!J208</f>
        <v>-0.12342551534288478</v>
      </c>
      <c r="K105" s="181">
        <f ca="1">'Pres &amp; Prop Rev'!K208</f>
        <v>3.2751262812419565E-2</v>
      </c>
    </row>
    <row r="107" spans="2:23">
      <c r="B107" t="s">
        <v>270</v>
      </c>
      <c r="D107" s="172">
        <f t="shared" ref="D107:K107" si="75">D55/D56</f>
        <v>914.47603693009069</v>
      </c>
      <c r="E107" s="172">
        <f t="shared" si="75"/>
        <v>1587.2806693602106</v>
      </c>
      <c r="F107" s="172" t="e">
        <f t="shared" si="75"/>
        <v>#DIV/0!</v>
      </c>
      <c r="G107" s="172">
        <f t="shared" si="75"/>
        <v>59699.669859945076</v>
      </c>
      <c r="H107" s="172" t="e">
        <f t="shared" si="75"/>
        <v>#DIV/0!</v>
      </c>
      <c r="I107" s="172">
        <f t="shared" si="75"/>
        <v>2460784.467916667</v>
      </c>
      <c r="J107" s="172">
        <f t="shared" si="75"/>
        <v>37591620.666666664</v>
      </c>
      <c r="K107" s="172">
        <f t="shared" si="75"/>
        <v>4734.268718364302</v>
      </c>
    </row>
    <row r="108" spans="2:23">
      <c r="B108" s="168" t="s">
        <v>271</v>
      </c>
      <c r="C108" s="176" t="str">
        <f>INDEX($D$2:$L$2,N108)</f>
        <v>SCH. 1,2</v>
      </c>
      <c r="D108" s="173"/>
      <c r="E108" s="168"/>
      <c r="F108" s="176" t="str">
        <f>INDEX($D$2:$L$2,O108)</f>
        <v>SCH. 11,12</v>
      </c>
      <c r="G108" s="173"/>
      <c r="H108" s="173"/>
      <c r="I108" s="173"/>
      <c r="J108" s="173"/>
      <c r="K108" s="168"/>
      <c r="L108" s="179"/>
      <c r="M108" s="179"/>
      <c r="N108" s="175">
        <v>1</v>
      </c>
      <c r="O108" s="175">
        <v>2</v>
      </c>
    </row>
    <row r="109" spans="2:23">
      <c r="B109" s="221" t="str">
        <f>IF(Base1_Billing2=2,"BILLING RATES","BASE RATES")</f>
        <v>BASE RATES</v>
      </c>
      <c r="C109" s="58" t="s">
        <v>272</v>
      </c>
      <c r="D109" s="58" t="s">
        <v>273</v>
      </c>
      <c r="E109" s="58" t="s">
        <v>278</v>
      </c>
      <c r="F109" s="58" t="s">
        <v>272</v>
      </c>
      <c r="G109" s="58" t="s">
        <v>273</v>
      </c>
      <c r="H109" s="58" t="s">
        <v>278</v>
      </c>
      <c r="I109" s="58"/>
      <c r="J109" s="58"/>
      <c r="P109" s="755"/>
      <c r="R109" s="755"/>
      <c r="S109"/>
      <c r="T109" s="755"/>
      <c r="U109"/>
      <c r="W109"/>
    </row>
    <row r="110" spans="2:23">
      <c r="B110" s="174">
        <v>100</v>
      </c>
      <c r="C110" s="144"/>
      <c r="D110" s="144"/>
      <c r="E110" s="157"/>
      <c r="F110" s="144"/>
      <c r="G110" s="144"/>
      <c r="H110" s="157"/>
      <c r="I110" s="157"/>
      <c r="J110" s="157"/>
      <c r="P110" s="755"/>
      <c r="R110" s="755"/>
      <c r="S110"/>
      <c r="T110" s="755"/>
      <c r="U110"/>
      <c r="W110"/>
    </row>
    <row r="111" spans="2:23">
      <c r="B111" s="174">
        <v>200</v>
      </c>
      <c r="C111" s="144"/>
      <c r="D111" s="144"/>
      <c r="E111" s="157"/>
      <c r="F111" s="144"/>
      <c r="G111" s="144"/>
      <c r="H111" s="157"/>
      <c r="I111" s="157"/>
      <c r="J111" s="157"/>
      <c r="P111" s="755"/>
      <c r="R111" s="755"/>
      <c r="S111"/>
      <c r="T111" s="755"/>
      <c r="U111"/>
      <c r="W111"/>
    </row>
    <row r="112" spans="2:23">
      <c r="B112" s="174">
        <v>300</v>
      </c>
      <c r="C112" s="144"/>
      <c r="D112" s="144"/>
      <c r="E112" s="157"/>
      <c r="F112" s="144"/>
      <c r="G112" s="144"/>
      <c r="H112" s="157"/>
      <c r="I112" s="157"/>
      <c r="J112" s="157"/>
      <c r="P112" s="755"/>
      <c r="R112" s="755"/>
      <c r="S112"/>
      <c r="T112" s="755"/>
      <c r="U112"/>
      <c r="W112"/>
    </row>
    <row r="113" spans="2:23">
      <c r="B113" s="174">
        <v>400</v>
      </c>
      <c r="C113" s="144"/>
      <c r="D113" s="144"/>
      <c r="E113" s="157"/>
      <c r="F113" s="144"/>
      <c r="G113" s="144"/>
      <c r="H113" s="157"/>
      <c r="I113" s="157"/>
      <c r="J113" s="157"/>
      <c r="P113" s="755"/>
      <c r="R113" s="755"/>
      <c r="S113"/>
      <c r="T113" s="755"/>
      <c r="U113"/>
      <c r="W113"/>
    </row>
    <row r="114" spans="2:23">
      <c r="B114" s="174">
        <v>500</v>
      </c>
      <c r="C114" s="144"/>
      <c r="D114" s="144"/>
      <c r="E114" s="157"/>
      <c r="F114" s="144"/>
      <c r="G114" s="144"/>
      <c r="H114" s="157"/>
      <c r="I114" s="157"/>
      <c r="J114" s="157"/>
      <c r="P114" s="755"/>
      <c r="R114" s="755"/>
      <c r="S114"/>
      <c r="T114" s="755"/>
      <c r="U114"/>
      <c r="W114"/>
    </row>
    <row r="115" spans="2:23">
      <c r="B115" s="174">
        <v>600</v>
      </c>
      <c r="C115" s="144"/>
      <c r="D115" s="144"/>
      <c r="E115" s="157"/>
      <c r="F115" s="144"/>
      <c r="G115" s="144"/>
      <c r="H115" s="157"/>
      <c r="I115" s="157"/>
      <c r="J115" s="157"/>
      <c r="P115" s="755"/>
      <c r="R115" s="755"/>
      <c r="S115"/>
      <c r="T115" s="755"/>
      <c r="U115"/>
      <c r="W115"/>
    </row>
    <row r="116" spans="2:23">
      <c r="B116" s="174">
        <v>700</v>
      </c>
      <c r="C116" s="144"/>
      <c r="D116" s="144"/>
      <c r="E116" s="157"/>
      <c r="F116" s="144"/>
      <c r="G116" s="144"/>
      <c r="H116" s="157"/>
      <c r="I116" s="157"/>
      <c r="J116" s="157"/>
      <c r="P116" s="755"/>
      <c r="R116" s="755"/>
      <c r="S116"/>
      <c r="T116" s="755"/>
      <c r="U116"/>
      <c r="W116"/>
    </row>
    <row r="117" spans="2:23">
      <c r="B117" s="174">
        <v>800</v>
      </c>
      <c r="C117" s="144"/>
      <c r="D117" s="144"/>
      <c r="E117" s="157"/>
      <c r="F117" s="144"/>
      <c r="G117" s="144"/>
      <c r="H117" s="157"/>
      <c r="I117" s="157"/>
      <c r="J117" s="157"/>
      <c r="P117" s="755"/>
      <c r="R117" s="755"/>
      <c r="S117"/>
      <c r="T117" s="755"/>
      <c r="U117"/>
      <c r="W117"/>
    </row>
    <row r="118" spans="2:23">
      <c r="B118" s="174">
        <v>900</v>
      </c>
      <c r="C118" s="144"/>
      <c r="D118" s="144"/>
      <c r="E118" s="157"/>
      <c r="F118" s="144"/>
      <c r="G118" s="144"/>
      <c r="H118" s="157"/>
      <c r="I118" s="157"/>
      <c r="J118" s="157"/>
      <c r="P118" s="755"/>
      <c r="R118" s="755"/>
      <c r="S118"/>
      <c r="T118" s="755"/>
      <c r="U118"/>
      <c r="W118"/>
    </row>
    <row r="119" spans="2:23">
      <c r="B119" s="174">
        <v>1000</v>
      </c>
      <c r="C119" s="53">
        <f>ROUND(D14+600*D15/100+400*D16/100,2)</f>
        <v>91.66</v>
      </c>
      <c r="D119" s="53">
        <f>ROUND(D36+600*D37/100+400*D38/100,2)</f>
        <v>96.09</v>
      </c>
      <c r="E119" s="313">
        <f>D119/C119-1</f>
        <v>4.8330787693650512E-2</v>
      </c>
      <c r="F119" s="53">
        <f>D119-C119</f>
        <v>4.4300000000000068</v>
      </c>
      <c r="G119" s="144"/>
      <c r="H119" s="157"/>
      <c r="I119" s="157"/>
      <c r="J119" s="157"/>
      <c r="P119" s="755"/>
      <c r="R119" s="755"/>
      <c r="S119"/>
      <c r="T119" s="755"/>
      <c r="U119"/>
      <c r="W119"/>
    </row>
    <row r="120" spans="2:23">
      <c r="B120" s="174">
        <v>1100</v>
      </c>
      <c r="C120" s="53"/>
      <c r="D120" s="53"/>
      <c r="E120" s="313"/>
      <c r="F120" s="53"/>
      <c r="G120" s="144"/>
      <c r="H120" s="157"/>
      <c r="I120" s="157"/>
      <c r="J120" s="157"/>
      <c r="P120" s="755"/>
      <c r="R120" s="755"/>
      <c r="S120"/>
      <c r="T120" s="755"/>
      <c r="U120"/>
      <c r="W120"/>
    </row>
    <row r="121" spans="2:23">
      <c r="B121" s="174">
        <v>1200</v>
      </c>
      <c r="C121" s="144"/>
      <c r="D121" s="144"/>
      <c r="E121" s="157"/>
      <c r="F121" s="144"/>
      <c r="G121" s="144"/>
      <c r="H121" s="157"/>
      <c r="I121" s="157"/>
      <c r="J121" s="157"/>
      <c r="P121" s="755"/>
      <c r="R121" s="755"/>
      <c r="S121"/>
      <c r="T121" s="755"/>
      <c r="U121"/>
      <c r="W121"/>
    </row>
    <row r="122" spans="2:23">
      <c r="B122" s="174">
        <v>1300</v>
      </c>
      <c r="C122" s="144"/>
      <c r="D122" s="144"/>
      <c r="E122" s="157"/>
      <c r="F122" s="144"/>
      <c r="G122" s="144"/>
      <c r="H122" s="157"/>
      <c r="I122" s="157"/>
      <c r="J122" s="157"/>
      <c r="P122" s="755"/>
      <c r="R122" s="755"/>
      <c r="S122"/>
      <c r="T122" s="755"/>
      <c r="U122"/>
      <c r="W122"/>
    </row>
    <row r="123" spans="2:23">
      <c r="B123" s="174">
        <v>1400</v>
      </c>
      <c r="C123" s="144"/>
      <c r="D123" s="144"/>
      <c r="E123" s="157"/>
      <c r="F123" s="144"/>
      <c r="G123" s="144"/>
      <c r="H123" s="157"/>
      <c r="I123" s="157"/>
      <c r="J123" s="157"/>
      <c r="P123" s="755"/>
      <c r="R123" s="755"/>
      <c r="S123"/>
      <c r="T123" s="755"/>
      <c r="U123"/>
      <c r="W123"/>
    </row>
    <row r="124" spans="2:23">
      <c r="B124" s="174">
        <v>1500</v>
      </c>
      <c r="C124" s="144"/>
      <c r="D124" s="144"/>
      <c r="E124" s="157"/>
      <c r="F124" s="144"/>
      <c r="G124" s="144"/>
      <c r="H124" s="157"/>
      <c r="I124" s="157"/>
      <c r="J124" s="157"/>
      <c r="P124" s="755"/>
      <c r="R124" s="755"/>
      <c r="S124"/>
      <c r="T124" s="755"/>
      <c r="U124"/>
      <c r="W124"/>
    </row>
    <row r="125" spans="2:23">
      <c r="D125">
        <v>2425727000</v>
      </c>
      <c r="E125">
        <f>395341000+52692000</f>
        <v>448033000</v>
      </c>
      <c r="F125"/>
      <c r="H125"/>
      <c r="J125"/>
      <c r="P125" s="755"/>
      <c r="R125" s="755"/>
      <c r="S125"/>
      <c r="T125" s="755"/>
      <c r="U125"/>
      <c r="W125"/>
    </row>
    <row r="126" spans="2:23">
      <c r="D126">
        <f>205474*12</f>
        <v>2465688</v>
      </c>
      <c r="E126">
        <f>(19967+8691)*12</f>
        <v>343896</v>
      </c>
      <c r="F126"/>
      <c r="H126"/>
      <c r="J126"/>
      <c r="P126" s="755"/>
      <c r="R126" s="755"/>
      <c r="S126"/>
      <c r="T126" s="755"/>
      <c r="U126"/>
      <c r="W126"/>
    </row>
    <row r="127" spans="2:23">
      <c r="D127">
        <f>D125/D126</f>
        <v>983.79316442307379</v>
      </c>
      <c r="E127" s="399">
        <f>E125/E126</f>
        <v>1302.8153860469445</v>
      </c>
      <c r="F127"/>
      <c r="H127"/>
      <c r="J127"/>
      <c r="P127" s="755"/>
      <c r="R127" s="755"/>
      <c r="S127"/>
      <c r="T127" s="755"/>
      <c r="U127"/>
      <c r="W127"/>
    </row>
    <row r="128" spans="2:23">
      <c r="F128"/>
      <c r="H128"/>
      <c r="J128"/>
      <c r="P128" s="755"/>
      <c r="R128" s="755"/>
      <c r="S128"/>
      <c r="T128" s="755"/>
      <c r="U128"/>
      <c r="W128"/>
    </row>
    <row r="129" spans="6:23">
      <c r="F129"/>
      <c r="H129"/>
      <c r="J129"/>
      <c r="P129" s="755"/>
      <c r="R129" s="755"/>
      <c r="S129"/>
      <c r="T129" s="755"/>
      <c r="U129"/>
      <c r="W129"/>
    </row>
    <row r="130" spans="6:23">
      <c r="F130"/>
      <c r="H130"/>
      <c r="J130"/>
      <c r="P130" s="755"/>
      <c r="R130" s="755"/>
      <c r="S130"/>
      <c r="T130" s="755"/>
      <c r="U130"/>
      <c r="W130"/>
    </row>
    <row r="131" spans="6:23">
      <c r="G131" s="755"/>
      <c r="J131"/>
      <c r="Q131" s="755"/>
      <c r="W131"/>
    </row>
    <row r="132" spans="6:23">
      <c r="H132"/>
      <c r="I132" s="755"/>
      <c r="J132"/>
      <c r="R132" s="755"/>
      <c r="S132"/>
      <c r="T132" s="755"/>
      <c r="U132"/>
      <c r="V132" s="755"/>
      <c r="W132"/>
    </row>
    <row r="133" spans="6:23">
      <c r="H133"/>
      <c r="I133" s="755"/>
      <c r="J133"/>
      <c r="R133" s="755"/>
      <c r="S133"/>
      <c r="T133" s="755"/>
      <c r="U133"/>
      <c r="V133" s="755"/>
      <c r="W133"/>
    </row>
    <row r="134" spans="6:23">
      <c r="H134"/>
      <c r="I134" s="755"/>
      <c r="J134"/>
      <c r="R134" s="755"/>
      <c r="S134"/>
      <c r="T134" s="755"/>
      <c r="U134"/>
      <c r="V134" s="755"/>
      <c r="W134"/>
    </row>
    <row r="135" spans="6:23">
      <c r="H135"/>
      <c r="I135" s="755"/>
      <c r="J135"/>
      <c r="R135" s="755"/>
      <c r="S135"/>
      <c r="T135" s="755"/>
      <c r="U135"/>
      <c r="V135" s="755"/>
      <c r="W135"/>
    </row>
    <row r="136" spans="6:23">
      <c r="H136"/>
      <c r="I136" s="755"/>
      <c r="J136"/>
      <c r="R136" s="755"/>
      <c r="S136"/>
      <c r="T136" s="755"/>
      <c r="U136"/>
      <c r="V136" s="755"/>
      <c r="W136"/>
    </row>
  </sheetData>
  <phoneticPr fontId="17" type="noConversion"/>
  <conditionalFormatting sqref="D14:E14 D36:E36 D18:E20 L15:L17 D40:E42 L37:L39 G40:G42 G18:G20 G36 G14 I14 I36 I18:I20 I40:I42 K40:L42 K18:L20 K36:L36 K14:L14">
    <cfRule type="expression" dxfId="60" priority="38" stopIfTrue="1">
      <formula>D14-D4&lt;0</formula>
    </cfRule>
  </conditionalFormatting>
  <conditionalFormatting sqref="D62:E62 G66 E69 G69 G62 I62 I69 I66 K69 K62">
    <cfRule type="expression" dxfId="59" priority="39" stopIfTrue="1">
      <formula>ABS(D62-D61)&gt;0.001</formula>
    </cfRule>
  </conditionalFormatting>
  <conditionalFormatting sqref="D85:E87 G85:G87 I85:I87 K85:L87">
    <cfRule type="expression" dxfId="58" priority="40" stopIfTrue="1">
      <formula>ABS(D85-D74)&gt;0.000001</formula>
    </cfRule>
  </conditionalFormatting>
  <conditionalFormatting sqref="L94:L95">
    <cfRule type="expression" dxfId="57" priority="41" stopIfTrue="1">
      <formula>ABS(L94)&gt;0.1</formula>
    </cfRule>
  </conditionalFormatting>
  <conditionalFormatting sqref="D92:E92 G92 I92 K92:L92">
    <cfRule type="expression" dxfId="56" priority="42" stopIfTrue="1">
      <formula>ABS(D92)&gt;1000</formula>
    </cfRule>
  </conditionalFormatting>
  <conditionalFormatting sqref="C95:E95 G95 I95 K95">
    <cfRule type="expression" dxfId="55" priority="43" stopIfTrue="1">
      <formula>ABS(C95)&gt;4000</formula>
    </cfRule>
  </conditionalFormatting>
  <conditionalFormatting sqref="D15:E17 G15:G17 I15:I17 K15:K17">
    <cfRule type="expression" dxfId="54" priority="37" stopIfTrue="1">
      <formula>D15-D5&lt;0</formula>
    </cfRule>
  </conditionalFormatting>
  <conditionalFormatting sqref="F14 F36 F18:F20 F40:F42">
    <cfRule type="expression" dxfId="53" priority="35" stopIfTrue="1">
      <formula>F14-F4&lt;0</formula>
    </cfRule>
  </conditionalFormatting>
  <conditionalFormatting sqref="F15:F17">
    <cfRule type="expression" dxfId="52" priority="34" stopIfTrue="1">
      <formula>F15-F5&lt;0</formula>
    </cfRule>
  </conditionalFormatting>
  <conditionalFormatting sqref="H40:H42 H18:H20 H36 H14">
    <cfRule type="expression" dxfId="51" priority="32" stopIfTrue="1">
      <formula>H14-H4&lt;0</formula>
    </cfRule>
  </conditionalFormatting>
  <conditionalFormatting sqref="H15:H17">
    <cfRule type="expression" dxfId="50" priority="31" stopIfTrue="1">
      <formula>H15-H5&lt;0</formula>
    </cfRule>
  </conditionalFormatting>
  <conditionalFormatting sqref="J14 J36 J18:J20 J40:J42">
    <cfRule type="expression" dxfId="49" priority="29" stopIfTrue="1">
      <formula>J14-J4&lt;0</formula>
    </cfRule>
  </conditionalFormatting>
  <conditionalFormatting sqref="J15:J17">
    <cfRule type="expression" dxfId="48" priority="28" stopIfTrue="1">
      <formula>J15-J5&lt;0</formula>
    </cfRule>
  </conditionalFormatting>
  <conditionalFormatting sqref="F62">
    <cfRule type="expression" dxfId="47" priority="23" stopIfTrue="1">
      <formula>ABS(F62-F61)&gt;0.001</formula>
    </cfRule>
  </conditionalFormatting>
  <conditionalFormatting sqref="F85:F87">
    <cfRule type="expression" dxfId="46" priority="24" stopIfTrue="1">
      <formula>ABS(F85-F74)&gt;0.000001</formula>
    </cfRule>
  </conditionalFormatting>
  <conditionalFormatting sqref="F92">
    <cfRule type="expression" dxfId="45" priority="25" stopIfTrue="1">
      <formula>ABS(F92)&gt;1000</formula>
    </cfRule>
  </conditionalFormatting>
  <conditionalFormatting sqref="F95">
    <cfRule type="expression" dxfId="44" priority="26" stopIfTrue="1">
      <formula>ABS(F95)&gt;4000</formula>
    </cfRule>
  </conditionalFormatting>
  <conditionalFormatting sqref="H62">
    <cfRule type="expression" dxfId="43" priority="19" stopIfTrue="1">
      <formula>ABS(H62-H61)&gt;0.001</formula>
    </cfRule>
  </conditionalFormatting>
  <conditionalFormatting sqref="H85:H87">
    <cfRule type="expression" dxfId="42" priority="20" stopIfTrue="1">
      <formula>ABS(H85-H74)&gt;0.000001</formula>
    </cfRule>
  </conditionalFormatting>
  <conditionalFormatting sqref="H92">
    <cfRule type="expression" dxfId="41" priority="21" stopIfTrue="1">
      <formula>ABS(H92)&gt;1000</formula>
    </cfRule>
  </conditionalFormatting>
  <conditionalFormatting sqref="H95">
    <cfRule type="expression" dxfId="40" priority="22" stopIfTrue="1">
      <formula>ABS(H95)&gt;4000</formula>
    </cfRule>
  </conditionalFormatting>
  <conditionalFormatting sqref="J62 J69 J66">
    <cfRule type="expression" dxfId="39" priority="15" stopIfTrue="1">
      <formula>ABS(J62-J61)&gt;0.001</formula>
    </cfRule>
  </conditionalFormatting>
  <conditionalFormatting sqref="J85:J87">
    <cfRule type="expression" dxfId="38" priority="16" stopIfTrue="1">
      <formula>ABS(J85-J74)&gt;0.000001</formula>
    </cfRule>
  </conditionalFormatting>
  <conditionalFormatting sqref="J92">
    <cfRule type="expression" dxfId="37" priority="17" stopIfTrue="1">
      <formula>ABS(J92)&gt;1000</formula>
    </cfRule>
  </conditionalFormatting>
  <conditionalFormatting sqref="J95">
    <cfRule type="expression" dxfId="36" priority="18" stopIfTrue="1">
      <formula>ABS(J95)&gt;4000</formula>
    </cfRule>
  </conditionalFormatting>
  <conditionalFormatting sqref="K37:K39">
    <cfRule type="expression" dxfId="35" priority="9" stopIfTrue="1">
      <formula>K37-K27&lt;0</formula>
    </cfRule>
  </conditionalFormatting>
  <conditionalFormatting sqref="J37:J39">
    <cfRule type="expression" dxfId="34" priority="8" stopIfTrue="1">
      <formula>J37-J27&lt;0</formula>
    </cfRule>
  </conditionalFormatting>
  <conditionalFormatting sqref="I37:I39">
    <cfRule type="expression" dxfId="33" priority="7" stopIfTrue="1">
      <formula>I37-I27&lt;0</formula>
    </cfRule>
  </conditionalFormatting>
  <conditionalFormatting sqref="H37:H39">
    <cfRule type="expression" dxfId="32" priority="6" stopIfTrue="1">
      <formula>H37-H27&lt;0</formula>
    </cfRule>
  </conditionalFormatting>
  <conditionalFormatting sqref="G37:G39">
    <cfRule type="expression" dxfId="31" priority="4" stopIfTrue="1">
      <formula>G37-G27&lt;0</formula>
    </cfRule>
  </conditionalFormatting>
  <conditionalFormatting sqref="F37:F39">
    <cfRule type="expression" dxfId="30" priority="3" stopIfTrue="1">
      <formula>F37-F27&lt;0</formula>
    </cfRule>
  </conditionalFormatting>
  <conditionalFormatting sqref="E37:E39">
    <cfRule type="expression" dxfId="29" priority="2" stopIfTrue="1">
      <formula>E37-E27&lt;0</formula>
    </cfRule>
  </conditionalFormatting>
  <conditionalFormatting sqref="D37:D39">
    <cfRule type="expression" dxfId="28" priority="1" stopIfTrue="1">
      <formula>D37-D27&lt;0</formula>
    </cfRule>
  </conditionalFormatting>
  <pageMargins left="0.25" right="0.25" top="0.5" bottom="0.5" header="0.5" footer="0.25"/>
  <pageSetup scale="71" orientation="landscape" r:id="rId1"/>
  <headerFooter alignWithMargins="0">
    <oddFooter>&amp;L&amp;F</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92D050"/>
    <pageSetUpPr fitToPage="1"/>
  </sheetPr>
  <dimension ref="A1:AF108"/>
  <sheetViews>
    <sheetView showGridLines="0" view="pageBreakPreview" zoomScaleNormal="100" zoomScaleSheetLayoutView="100" workbookViewId="0">
      <selection activeCell="R36" sqref="R36"/>
    </sheetView>
  </sheetViews>
  <sheetFormatPr defaultColWidth="11.42578125" defaultRowHeight="12.75"/>
  <cols>
    <col min="1" max="1" width="5" style="213" customWidth="1"/>
    <col min="2" max="2" width="42.140625" style="44" customWidth="1"/>
    <col min="3" max="3" width="8.7109375" style="213" customWidth="1"/>
    <col min="4" max="6" width="12.42578125" style="364" customWidth="1"/>
    <col min="7" max="7" width="9.7109375" style="364" customWidth="1"/>
    <col min="8" max="8" width="15" style="364" bestFit="1" customWidth="1"/>
    <col min="9" max="9" width="10.42578125" style="204" bestFit="1" customWidth="1"/>
    <col min="10" max="10" width="14.42578125" style="204" hidden="1" customWidth="1"/>
    <col min="11" max="11" width="12.28515625" style="44" customWidth="1"/>
    <col min="12" max="12" width="15" style="422" hidden="1" customWidth="1"/>
    <col min="13" max="13" width="12.28515625" style="422" hidden="1" customWidth="1"/>
    <col min="14" max="14" width="13.28515625" style="44" bestFit="1" customWidth="1"/>
    <col min="15" max="15" width="13.28515625" style="422" customWidth="1"/>
    <col min="16" max="16" width="15" style="422" customWidth="1"/>
    <col min="17" max="17" width="15" style="422" hidden="1" customWidth="1"/>
    <col min="18" max="18" width="10.140625" style="422" customWidth="1"/>
    <col min="19" max="19" width="9.7109375" style="44" customWidth="1"/>
    <col min="20" max="20" width="12.28515625" style="422" hidden="1" customWidth="1"/>
    <col min="21" max="21" width="8.28515625" style="44" hidden="1" customWidth="1"/>
    <col min="22" max="22" width="10.7109375" style="116" bestFit="1" customWidth="1"/>
    <col min="23" max="23" width="9.28515625" style="44" bestFit="1" customWidth="1"/>
    <col min="24" max="24" width="1.7109375" style="44" customWidth="1"/>
    <col min="25" max="25" width="11.42578125" style="44" customWidth="1"/>
    <col min="26" max="26" width="13.42578125" style="44" customWidth="1"/>
    <col min="27" max="16384" width="11.42578125" style="44"/>
  </cols>
  <sheetData>
    <row r="1" spans="1:32" s="213" customFormat="1">
      <c r="A1" s="916" t="s">
        <v>101</v>
      </c>
      <c r="B1" s="916"/>
      <c r="C1" s="916"/>
      <c r="D1" s="916"/>
      <c r="E1" s="916"/>
      <c r="F1" s="916"/>
      <c r="G1" s="916"/>
      <c r="H1" s="916"/>
      <c r="I1" s="916"/>
      <c r="J1" s="916"/>
      <c r="K1" s="916"/>
      <c r="L1" s="916"/>
      <c r="M1" s="916"/>
      <c r="N1" s="916"/>
      <c r="O1" s="916"/>
      <c r="P1" s="916"/>
      <c r="Q1" s="916"/>
      <c r="R1" s="916"/>
      <c r="S1" s="916"/>
      <c r="T1" s="916"/>
      <c r="U1" s="916"/>
      <c r="V1" s="916"/>
      <c r="W1" s="916"/>
      <c r="X1" s="44"/>
      <c r="Z1" s="917" t="s">
        <v>347</v>
      </c>
      <c r="AA1" s="917"/>
    </row>
    <row r="2" spans="1:32" s="213" customFormat="1">
      <c r="A2" s="916" t="s">
        <v>404</v>
      </c>
      <c r="B2" s="916"/>
      <c r="C2" s="916"/>
      <c r="D2" s="916"/>
      <c r="E2" s="916"/>
      <c r="F2" s="916"/>
      <c r="G2" s="916"/>
      <c r="H2" s="916"/>
      <c r="I2" s="916"/>
      <c r="J2" s="916"/>
      <c r="K2" s="916"/>
      <c r="L2" s="916"/>
      <c r="M2" s="916"/>
      <c r="N2" s="916"/>
      <c r="O2" s="916"/>
      <c r="P2" s="916"/>
      <c r="Q2" s="916"/>
      <c r="R2" s="916"/>
      <c r="S2" s="916"/>
      <c r="T2" s="916"/>
      <c r="U2" s="916"/>
      <c r="V2" s="916"/>
      <c r="W2" s="916"/>
      <c r="X2" s="44"/>
      <c r="Z2" s="917"/>
      <c r="AA2" s="917"/>
    </row>
    <row r="3" spans="1:32" s="213" customFormat="1">
      <c r="A3" s="916" t="s">
        <v>307</v>
      </c>
      <c r="B3" s="916"/>
      <c r="C3" s="916"/>
      <c r="D3" s="916"/>
      <c r="E3" s="916"/>
      <c r="F3" s="916"/>
      <c r="G3" s="916"/>
      <c r="H3" s="916"/>
      <c r="I3" s="916"/>
      <c r="J3" s="916"/>
      <c r="K3" s="916"/>
      <c r="L3" s="916"/>
      <c r="M3" s="916"/>
      <c r="N3" s="916"/>
      <c r="O3" s="916"/>
      <c r="P3" s="916"/>
      <c r="Q3" s="916"/>
      <c r="R3" s="916"/>
      <c r="S3" s="916"/>
      <c r="T3" s="916"/>
      <c r="U3" s="916"/>
      <c r="V3" s="916"/>
      <c r="W3" s="916"/>
      <c r="X3" s="44"/>
      <c r="Z3" s="917"/>
      <c r="AA3" s="917"/>
    </row>
    <row r="4" spans="1:32" s="213" customFormat="1">
      <c r="A4" s="916" t="s">
        <v>910</v>
      </c>
      <c r="B4" s="916"/>
      <c r="C4" s="916"/>
      <c r="D4" s="916"/>
      <c r="E4" s="916"/>
      <c r="F4" s="916"/>
      <c r="G4" s="916"/>
      <c r="H4" s="916"/>
      <c r="I4" s="916"/>
      <c r="J4" s="916"/>
      <c r="K4" s="916"/>
      <c r="L4" s="916"/>
      <c r="M4" s="916"/>
      <c r="N4" s="916"/>
      <c r="O4" s="916"/>
      <c r="P4" s="916"/>
      <c r="Q4" s="916"/>
      <c r="R4" s="916"/>
      <c r="S4" s="916"/>
      <c r="T4" s="916"/>
      <c r="U4" s="916"/>
      <c r="V4" s="916"/>
      <c r="W4" s="916"/>
      <c r="X4" s="44"/>
    </row>
    <row r="5" spans="1:32" s="213" customFormat="1">
      <c r="A5" s="916" t="s">
        <v>308</v>
      </c>
      <c r="B5" s="916"/>
      <c r="C5" s="916"/>
      <c r="D5" s="916"/>
      <c r="E5" s="916"/>
      <c r="F5" s="916"/>
      <c r="G5" s="916"/>
      <c r="H5" s="916"/>
      <c r="I5" s="916"/>
      <c r="J5" s="916"/>
      <c r="K5" s="916"/>
      <c r="L5" s="916"/>
      <c r="M5" s="916"/>
      <c r="N5" s="916"/>
      <c r="O5" s="916"/>
      <c r="P5" s="916"/>
      <c r="Q5" s="916"/>
      <c r="R5" s="916"/>
      <c r="S5" s="916"/>
      <c r="T5" s="916"/>
      <c r="U5" s="916"/>
      <c r="V5" s="916"/>
      <c r="W5" s="916"/>
      <c r="X5" s="44"/>
    </row>
    <row r="6" spans="1:32" s="213" customFormat="1">
      <c r="C6" s="44"/>
      <c r="D6" s="359"/>
      <c r="E6" s="359"/>
      <c r="F6" s="359"/>
      <c r="G6" s="348"/>
      <c r="H6" s="348"/>
      <c r="I6" s="200"/>
      <c r="J6" s="200"/>
      <c r="L6" s="569"/>
      <c r="M6" s="569"/>
      <c r="O6" s="569"/>
      <c r="P6" s="569"/>
      <c r="Q6" s="569"/>
      <c r="R6" s="569"/>
      <c r="W6" s="349"/>
      <c r="X6" s="44"/>
    </row>
    <row r="7" spans="1:32" s="213" customFormat="1" ht="15.75">
      <c r="A7" s="595"/>
      <c r="C7" s="44"/>
      <c r="D7" s="359"/>
      <c r="E7" s="359"/>
      <c r="F7" s="359"/>
      <c r="G7" s="348"/>
      <c r="H7" s="348"/>
      <c r="I7" s="200"/>
      <c r="J7" s="200"/>
      <c r="L7" s="569"/>
      <c r="M7" s="569"/>
      <c r="O7" s="569"/>
      <c r="P7" s="569"/>
      <c r="Q7" s="569"/>
      <c r="R7" s="569"/>
      <c r="W7" s="349"/>
      <c r="X7" s="44"/>
    </row>
    <row r="8" spans="1:32" s="569" customFormat="1" ht="15.75">
      <c r="A8" s="595"/>
      <c r="C8" s="422"/>
      <c r="D8" s="359"/>
      <c r="E8" s="359"/>
      <c r="F8" s="359"/>
      <c r="G8" s="594"/>
      <c r="H8" s="594"/>
      <c r="I8" s="200"/>
      <c r="J8" s="200"/>
      <c r="W8" s="582"/>
      <c r="X8" s="422"/>
    </row>
    <row r="9" spans="1:32" s="569" customFormat="1" ht="15.75">
      <c r="A9" s="595"/>
      <c r="C9" s="422"/>
      <c r="D9" s="359"/>
      <c r="E9" s="359"/>
      <c r="F9" s="359"/>
      <c r="G9" s="594"/>
      <c r="H9" s="594"/>
      <c r="I9" s="200"/>
      <c r="J9" s="200"/>
      <c r="W9" s="582"/>
      <c r="X9" s="422"/>
    </row>
    <row r="10" spans="1:32" s="213" customFormat="1">
      <c r="C10" s="360"/>
      <c r="D10" s="359" t="s">
        <v>229</v>
      </c>
      <c r="E10" s="359" t="s">
        <v>953</v>
      </c>
      <c r="F10" s="359" t="s">
        <v>229</v>
      </c>
      <c r="G10" s="361" t="s">
        <v>1035</v>
      </c>
      <c r="H10" s="359" t="s">
        <v>229</v>
      </c>
      <c r="I10" s="201" t="s">
        <v>283</v>
      </c>
      <c r="J10" s="201" t="s">
        <v>229</v>
      </c>
      <c r="K10" s="213" t="s">
        <v>309</v>
      </c>
      <c r="L10" s="569"/>
      <c r="M10" s="569" t="s">
        <v>743</v>
      </c>
      <c r="N10" s="213" t="s">
        <v>876</v>
      </c>
      <c r="O10" s="569" t="s">
        <v>871</v>
      </c>
      <c r="P10" s="654" t="s">
        <v>921</v>
      </c>
      <c r="Q10" s="654" t="s">
        <v>871</v>
      </c>
      <c r="R10" s="654"/>
      <c r="S10" s="349" t="s">
        <v>315</v>
      </c>
      <c r="T10" s="509"/>
      <c r="W10" s="349" t="s">
        <v>310</v>
      </c>
      <c r="X10" s="44"/>
      <c r="AA10" s="509" t="s">
        <v>310</v>
      </c>
      <c r="AB10" s="213" t="s">
        <v>309</v>
      </c>
    </row>
    <row r="11" spans="1:32" s="213" customFormat="1">
      <c r="C11" s="360"/>
      <c r="D11" s="213" t="s">
        <v>106</v>
      </c>
      <c r="E11" s="359" t="s">
        <v>988</v>
      </c>
      <c r="F11" s="569" t="s">
        <v>106</v>
      </c>
      <c r="G11" s="359" t="s">
        <v>1036</v>
      </c>
      <c r="H11" s="213" t="s">
        <v>106</v>
      </c>
      <c r="I11" s="199" t="s">
        <v>285</v>
      </c>
      <c r="J11" s="200" t="s">
        <v>315</v>
      </c>
      <c r="K11" s="213" t="s">
        <v>106</v>
      </c>
      <c r="L11" s="569" t="s">
        <v>804</v>
      </c>
      <c r="M11" s="569" t="s">
        <v>106</v>
      </c>
      <c r="N11" s="359" t="s">
        <v>275</v>
      </c>
      <c r="O11" s="359" t="s">
        <v>865</v>
      </c>
      <c r="P11" s="359" t="s">
        <v>920</v>
      </c>
      <c r="Q11" s="359" t="s">
        <v>865</v>
      </c>
      <c r="R11" s="719" t="s">
        <v>66</v>
      </c>
      <c r="S11" s="349" t="s">
        <v>292</v>
      </c>
      <c r="T11" s="213" t="s">
        <v>552</v>
      </c>
      <c r="U11" s="213" t="s">
        <v>571</v>
      </c>
      <c r="V11" s="359" t="s">
        <v>286</v>
      </c>
      <c r="W11" s="349" t="s">
        <v>292</v>
      </c>
      <c r="AA11" s="509" t="s">
        <v>292</v>
      </c>
      <c r="AB11" s="213" t="s">
        <v>106</v>
      </c>
    </row>
    <row r="12" spans="1:32" s="213" customFormat="1">
      <c r="B12" s="213" t="s">
        <v>287</v>
      </c>
      <c r="C12" s="213" t="s">
        <v>311</v>
      </c>
      <c r="D12" s="359" t="s">
        <v>312</v>
      </c>
      <c r="E12" s="359" t="s">
        <v>989</v>
      </c>
      <c r="F12" s="359" t="s">
        <v>990</v>
      </c>
      <c r="G12" s="359" t="s">
        <v>313</v>
      </c>
      <c r="H12" s="359" t="s">
        <v>314</v>
      </c>
      <c r="I12" s="200" t="s">
        <v>315</v>
      </c>
      <c r="J12" s="200" t="s">
        <v>810</v>
      </c>
      <c r="K12" s="213" t="s">
        <v>316</v>
      </c>
      <c r="L12" s="569" t="s">
        <v>742</v>
      </c>
      <c r="M12" s="569" t="s">
        <v>316</v>
      </c>
      <c r="N12" s="359" t="s">
        <v>313</v>
      </c>
      <c r="O12" s="359" t="s">
        <v>325</v>
      </c>
      <c r="P12" s="359" t="s">
        <v>325</v>
      </c>
      <c r="Q12" s="359" t="s">
        <v>325</v>
      </c>
      <c r="R12" s="719" t="s">
        <v>875</v>
      </c>
      <c r="S12" s="349" t="s">
        <v>317</v>
      </c>
      <c r="T12" s="213" t="s">
        <v>553</v>
      </c>
      <c r="U12" s="213" t="s">
        <v>570</v>
      </c>
      <c r="V12" s="359" t="s">
        <v>313</v>
      </c>
      <c r="W12" s="349" t="s">
        <v>317</v>
      </c>
      <c r="AA12" s="509" t="s">
        <v>550</v>
      </c>
      <c r="AB12" s="213" t="s">
        <v>551</v>
      </c>
    </row>
    <row r="13" spans="1:32" s="346" customFormat="1">
      <c r="A13" s="346" t="s">
        <v>289</v>
      </c>
      <c r="B13" s="346" t="s">
        <v>290</v>
      </c>
      <c r="C13" s="346" t="s">
        <v>291</v>
      </c>
      <c r="D13" s="362" t="s">
        <v>318</v>
      </c>
      <c r="E13" s="362" t="s">
        <v>987</v>
      </c>
      <c r="F13" s="362" t="s">
        <v>987</v>
      </c>
      <c r="G13" s="362" t="s">
        <v>292</v>
      </c>
      <c r="H13" s="362" t="s">
        <v>318</v>
      </c>
      <c r="I13" s="202" t="s">
        <v>292</v>
      </c>
      <c r="J13" s="202" t="s">
        <v>1003</v>
      </c>
      <c r="K13" s="346" t="s">
        <v>440</v>
      </c>
      <c r="L13" s="346" t="s">
        <v>810</v>
      </c>
      <c r="M13" s="346" t="s">
        <v>440</v>
      </c>
      <c r="N13" s="362" t="s">
        <v>292</v>
      </c>
      <c r="O13" s="362" t="s">
        <v>749</v>
      </c>
      <c r="P13" s="362" t="s">
        <v>940</v>
      </c>
      <c r="Q13" s="362" t="s">
        <v>749</v>
      </c>
      <c r="R13" s="720" t="s">
        <v>455</v>
      </c>
      <c r="S13" s="203" t="s">
        <v>106</v>
      </c>
      <c r="T13" s="346" t="s">
        <v>412</v>
      </c>
      <c r="U13" s="346" t="s">
        <v>292</v>
      </c>
      <c r="V13" s="346" t="s">
        <v>292</v>
      </c>
      <c r="W13" s="203" t="s">
        <v>106</v>
      </c>
      <c r="X13" s="44"/>
      <c r="Y13" s="213"/>
      <c r="Z13" s="213"/>
      <c r="AA13" s="203" t="s">
        <v>106</v>
      </c>
      <c r="AB13" s="346" t="s">
        <v>440</v>
      </c>
      <c r="AC13" s="213"/>
      <c r="AD13" s="213" t="s">
        <v>751</v>
      </c>
      <c r="AE13" s="213" t="s">
        <v>570</v>
      </c>
      <c r="AF13" s="213" t="s">
        <v>865</v>
      </c>
    </row>
    <row r="14" spans="1:32" s="213" customFormat="1">
      <c r="B14" s="213" t="s">
        <v>293</v>
      </c>
      <c r="C14" s="213" t="s">
        <v>294</v>
      </c>
      <c r="D14" s="359" t="s">
        <v>295</v>
      </c>
      <c r="E14" s="569" t="s">
        <v>296</v>
      </c>
      <c r="F14" s="569" t="s">
        <v>297</v>
      </c>
      <c r="G14" s="213" t="s">
        <v>298</v>
      </c>
      <c r="H14" s="213" t="s">
        <v>299</v>
      </c>
      <c r="I14" s="200" t="s">
        <v>319</v>
      </c>
      <c r="J14" s="569" t="s">
        <v>320</v>
      </c>
      <c r="K14" s="213" t="s">
        <v>320</v>
      </c>
      <c r="L14" s="569" t="s">
        <v>319</v>
      </c>
      <c r="M14" s="569" t="s">
        <v>319</v>
      </c>
      <c r="N14" s="213" t="s">
        <v>379</v>
      </c>
      <c r="O14" s="569" t="s">
        <v>427</v>
      </c>
      <c r="P14" s="569" t="s">
        <v>1052</v>
      </c>
      <c r="Q14" s="569" t="s">
        <v>427</v>
      </c>
      <c r="R14" s="582" t="s">
        <v>1053</v>
      </c>
      <c r="S14" s="375" t="s">
        <v>1054</v>
      </c>
      <c r="T14" s="213" t="s">
        <v>379</v>
      </c>
      <c r="U14" s="213" t="s">
        <v>427</v>
      </c>
      <c r="V14" s="569" t="s">
        <v>379</v>
      </c>
      <c r="W14" s="582" t="s">
        <v>427</v>
      </c>
      <c r="X14" s="44"/>
      <c r="Y14" s="344" t="str">
        <f>"col (m) source"</f>
        <v>col (m) source</v>
      </c>
    </row>
    <row r="15" spans="1:32">
      <c r="D15" s="363" t="str">
        <f>IF(Base1_Billing2&lt;&gt;1,"ERROR","")</f>
        <v/>
      </c>
      <c r="E15" s="204"/>
      <c r="F15" s="204"/>
      <c r="R15" s="116"/>
      <c r="V15" s="44"/>
      <c r="W15" s="116"/>
    </row>
    <row r="16" spans="1:32">
      <c r="A16" s="213">
        <v>1</v>
      </c>
      <c r="B16" s="44" t="s">
        <v>300</v>
      </c>
      <c r="C16" s="396" t="s">
        <v>686</v>
      </c>
      <c r="D16" s="359">
        <f ca="1">'Pres &amp; Prop Rev'!$D$152/1000</f>
        <v>232554.03877000001</v>
      </c>
      <c r="E16" s="638">
        <f ca="1">'IEP Adj RB'!H15</f>
        <v>1658.9277472559002</v>
      </c>
      <c r="F16" s="638">
        <f ca="1">D16+E16</f>
        <v>234212.9665172559</v>
      </c>
      <c r="G16" s="359">
        <f ca="1">'Pres &amp; Prop Rev'!$D$207/1000-E16-1.5</f>
        <v>9070.0249027441059</v>
      </c>
      <c r="H16" s="359">
        <f ca="1">F16+G16</f>
        <v>243282.99142000001</v>
      </c>
      <c r="I16" s="341">
        <f ca="1">(G16+E16)/D16</f>
        <v>4.6135309912252814E-2</v>
      </c>
      <c r="J16" s="341">
        <f ca="1">E16/H16</f>
        <v>6.8189220198791164E-3</v>
      </c>
      <c r="K16" s="638">
        <f>223762.60688-138</f>
        <v>223624.60688000001</v>
      </c>
      <c r="L16" s="347">
        <v>0</v>
      </c>
      <c r="M16" s="638">
        <f>K16+L16</f>
        <v>223624.60688000001</v>
      </c>
      <c r="N16" s="347">
        <f ca="1">G16+E16</f>
        <v>10728.952650000007</v>
      </c>
      <c r="O16" s="347">
        <f>LIRAP!F12/1000</f>
        <v>287.45826297972002</v>
      </c>
      <c r="P16" s="347">
        <f ca="1">-G16-E16-O16</f>
        <v>-11016.410912979727</v>
      </c>
      <c r="Q16" s="347">
        <v>0</v>
      </c>
      <c r="R16" s="721">
        <f ca="1">N16+O16+P16+Q16</f>
        <v>0</v>
      </c>
      <c r="S16" s="342">
        <f ca="1">(N16+O16+P16+Q16)/M16</f>
        <v>0</v>
      </c>
      <c r="T16" s="368" t="e">
        <f>#REF!/1000</f>
        <v>#REF!</v>
      </c>
      <c r="U16" s="364">
        <f>('Pres &amp; Prop Rev'!D23*(0))/1000</f>
        <v>0</v>
      </c>
      <c r="V16" s="359">
        <f ca="1">G16+U16</f>
        <v>9070.0249027441059</v>
      </c>
      <c r="W16" s="181">
        <f ca="1">(V16)/K16</f>
        <v>4.0559154152526714E-2</v>
      </c>
      <c r="Y16" s="44" t="s">
        <v>383</v>
      </c>
      <c r="AA16" s="181">
        <f ca="1">(G16+U16)/D16</f>
        <v>3.9001794811719087E-2</v>
      </c>
      <c r="AB16" s="364">
        <f ca="1">N16+M16+P16+Q16</f>
        <v>223337.14861702031</v>
      </c>
      <c r="AD16" s="519">
        <f ca="1">N16/M16</f>
        <v>4.7977513743634251E-2</v>
      </c>
      <c r="AE16" s="519">
        <f ca="1">P16/M16</f>
        <v>-4.9262963797589959E-2</v>
      </c>
      <c r="AF16" s="519">
        <f>Q16/M16</f>
        <v>0</v>
      </c>
    </row>
    <row r="17" spans="1:32">
      <c r="D17" s="359"/>
      <c r="E17" s="638"/>
      <c r="F17" s="638"/>
      <c r="G17" s="359"/>
      <c r="H17" s="359"/>
      <c r="I17" s="341"/>
      <c r="J17" s="341"/>
      <c r="K17" s="638"/>
      <c r="L17" s="347"/>
      <c r="M17" s="638"/>
      <c r="N17" s="347"/>
      <c r="O17" s="347"/>
      <c r="P17" s="347"/>
      <c r="Q17" s="347"/>
      <c r="R17" s="721"/>
      <c r="S17" s="342"/>
      <c r="T17" s="368"/>
      <c r="U17" s="364"/>
      <c r="V17" s="359"/>
      <c r="W17" s="181"/>
      <c r="AB17" s="364"/>
      <c r="AD17" s="519"/>
      <c r="AE17" s="519"/>
      <c r="AF17" s="519"/>
    </row>
    <row r="18" spans="1:32">
      <c r="A18" s="213">
        <v>2</v>
      </c>
      <c r="B18" s="44" t="s">
        <v>301</v>
      </c>
      <c r="C18" s="396" t="s">
        <v>460</v>
      </c>
      <c r="D18" s="359">
        <f ca="1">'Pres &amp; Prop Rev'!$E$152/1000</f>
        <v>77795.989848461526</v>
      </c>
      <c r="E18" s="638">
        <f ca="1">'IEP Adj RB'!H17</f>
        <v>386.0534554166162</v>
      </c>
      <c r="F18" s="638">
        <f t="shared" ref="F18:F32" ca="1" si="0">D18+E18</f>
        <v>78182.043303878148</v>
      </c>
      <c r="G18" s="368">
        <f ca="1">'Pres &amp; Prop Rev'!$E$207/1000-E18</f>
        <v>1043.6193961218632</v>
      </c>
      <c r="H18" s="359">
        <f ca="1">F18+G18</f>
        <v>79225.662700000015</v>
      </c>
      <c r="I18" s="341">
        <f t="shared" ref="I18:I34" ca="1" si="1">(G18+E18)/D18</f>
        <v>1.8377204973204057E-2</v>
      </c>
      <c r="J18" s="341">
        <f ca="1">E18/H18</f>
        <v>4.8728334009456777E-3</v>
      </c>
      <c r="K18" s="638">
        <f>83243.8176784615-236</f>
        <v>83007.817678461506</v>
      </c>
      <c r="L18" s="347">
        <v>0</v>
      </c>
      <c r="M18" s="638">
        <f t="shared" ref="M18:M34" si="2">K18+L18</f>
        <v>83007.817678461506</v>
      </c>
      <c r="N18" s="347">
        <f ca="1">G18+E18</f>
        <v>1429.6728515384793</v>
      </c>
      <c r="O18" s="347">
        <f>LIRAP!F14/1000</f>
        <v>105.72268610111999</v>
      </c>
      <c r="P18" s="347">
        <f ca="1">-G18-E18-O18</f>
        <v>-1535.3955376395993</v>
      </c>
      <c r="Q18" s="347">
        <v>0</v>
      </c>
      <c r="R18" s="721">
        <f t="shared" ref="R18:R34" ca="1" si="3">N18+O18+P18+Q18</f>
        <v>0</v>
      </c>
      <c r="S18" s="342">
        <f t="shared" ref="S18:S34" ca="1" si="4">(N18+O18+P18+Q18)/M18</f>
        <v>0</v>
      </c>
      <c r="T18" s="368" t="e">
        <f>#REF!/1000</f>
        <v>#REF!</v>
      </c>
      <c r="U18" s="364">
        <f>('Pres &amp; Prop Rev'!E23*(0))/1000</f>
        <v>0</v>
      </c>
      <c r="V18" s="359">
        <f ca="1">G18+U18</f>
        <v>1043.6193961218632</v>
      </c>
      <c r="W18" s="181">
        <f ca="1">(V18)/K18</f>
        <v>1.2572543470115308E-2</v>
      </c>
      <c r="Y18" s="44" t="s">
        <v>384</v>
      </c>
      <c r="AA18" s="181">
        <f ca="1">(G18+U18)/D18</f>
        <v>1.3414822514048925E-2</v>
      </c>
      <c r="AB18" s="364">
        <f ca="1">N18+M18+P18+Q18</f>
        <v>82902.094992360377</v>
      </c>
      <c r="AD18" s="519">
        <f ca="1">N18/M18</f>
        <v>1.7223351866404318E-2</v>
      </c>
      <c r="AE18" s="519">
        <f ca="1">P18/M18</f>
        <v>-1.8496999205389265E-2</v>
      </c>
      <c r="AF18" s="519">
        <f>Q18/M18</f>
        <v>0</v>
      </c>
    </row>
    <row r="19" spans="1:32" s="422" customFormat="1">
      <c r="A19" s="569"/>
      <c r="C19" s="396"/>
      <c r="D19" s="359"/>
      <c r="E19" s="638"/>
      <c r="F19" s="638"/>
      <c r="G19" s="368"/>
      <c r="H19" s="359"/>
      <c r="I19" s="341"/>
      <c r="J19" s="341"/>
      <c r="K19" s="638"/>
      <c r="L19" s="347"/>
      <c r="M19" s="638"/>
      <c r="N19" s="347"/>
      <c r="O19" s="347"/>
      <c r="P19" s="347"/>
      <c r="Q19" s="347"/>
      <c r="R19" s="721"/>
      <c r="S19" s="342"/>
      <c r="T19" s="368"/>
      <c r="U19" s="364"/>
      <c r="V19" s="359"/>
      <c r="W19" s="181"/>
      <c r="AA19" s="181"/>
      <c r="AB19" s="364"/>
      <c r="AD19" s="519"/>
      <c r="AE19" s="519"/>
      <c r="AF19" s="519"/>
    </row>
    <row r="20" spans="1:32" s="422" customFormat="1" hidden="1">
      <c r="A20" s="569">
        <v>3</v>
      </c>
      <c r="B20" s="422" t="s">
        <v>967</v>
      </c>
      <c r="C20" s="397">
        <v>13</v>
      </c>
      <c r="D20" s="359">
        <f ca="1">'Pres &amp; Prop Rev'!$F$152/1000</f>
        <v>0</v>
      </c>
      <c r="E20" s="638">
        <f t="shared" ref="E20:E24" ca="1" si="5">-(D20/($D$34-$D$28))*$E$28</f>
        <v>0</v>
      </c>
      <c r="F20" s="638">
        <f t="shared" ca="1" si="0"/>
        <v>0</v>
      </c>
      <c r="G20" s="359">
        <f ca="1">'Pres &amp; Prop Rev'!$F$207/1000</f>
        <v>0</v>
      </c>
      <c r="H20" s="359">
        <f t="shared" ref="H20:H32" ca="1" si="6">F20+G20</f>
        <v>0</v>
      </c>
      <c r="I20" s="341" t="e">
        <f t="shared" ca="1" si="1"/>
        <v>#DIV/0!</v>
      </c>
      <c r="J20" s="341">
        <f ca="1">IF(H20=0,J18,E20/H20)</f>
        <v>4.8728334009456777E-3</v>
      </c>
      <c r="K20" s="638">
        <v>0</v>
      </c>
      <c r="L20" s="347">
        <v>0</v>
      </c>
      <c r="M20" s="638">
        <f t="shared" ref="M20" si="7">K20+L20</f>
        <v>0</v>
      </c>
      <c r="N20" s="347">
        <f ca="1">G20+E20</f>
        <v>0</v>
      </c>
      <c r="O20" s="347">
        <v>0</v>
      </c>
      <c r="P20" s="347">
        <f t="shared" ref="P20:P25" ca="1" si="8">-G20-E20</f>
        <v>0</v>
      </c>
      <c r="Q20" s="347">
        <v>0</v>
      </c>
      <c r="R20" s="721">
        <f t="shared" ref="R20" ca="1" si="9">N20+O20+P20+Q20</f>
        <v>0</v>
      </c>
      <c r="S20" s="342">
        <f>IF(M20=0,0,(N20+O20+P20+Q20)/M20)</f>
        <v>0</v>
      </c>
      <c r="T20" s="368" t="e">
        <f>#REF!/1000</f>
        <v>#REF!</v>
      </c>
      <c r="U20" s="364">
        <f>('Pres &amp; Prop Rev'!G21*(0))/1000</f>
        <v>0</v>
      </c>
      <c r="V20" s="359">
        <f ca="1">G20+U20</f>
        <v>0</v>
      </c>
      <c r="W20" s="181">
        <f>IF(K20=0,0,(V20)/K20)</f>
        <v>0</v>
      </c>
      <c r="Y20" s="422" t="s">
        <v>384</v>
      </c>
      <c r="AA20" s="181">
        <f ca="1">IF(D20=0,0,(G20+U20)/D20)</f>
        <v>0</v>
      </c>
      <c r="AB20" s="364">
        <f ca="1">N20+M20+P20+Q20</f>
        <v>0</v>
      </c>
      <c r="AD20" s="519">
        <f>IF(M20=0,0,N20/M20)</f>
        <v>0</v>
      </c>
      <c r="AE20" s="519">
        <f>IF(M20=0,0,P20/M20)</f>
        <v>0</v>
      </c>
      <c r="AF20" s="519">
        <f>IF(M20=0,0,Q20/M20)</f>
        <v>0</v>
      </c>
    </row>
    <row r="21" spans="1:32" hidden="1">
      <c r="D21" s="359"/>
      <c r="E21" s="638"/>
      <c r="F21" s="638"/>
      <c r="G21" s="359"/>
      <c r="H21" s="359"/>
      <c r="I21" s="341" t="e">
        <f t="shared" si="1"/>
        <v>#DIV/0!</v>
      </c>
      <c r="J21" s="341"/>
      <c r="K21" s="638"/>
      <c r="L21" s="347"/>
      <c r="M21" s="638"/>
      <c r="N21" s="347"/>
      <c r="O21" s="347"/>
      <c r="P21" s="347">
        <f t="shared" si="8"/>
        <v>0</v>
      </c>
      <c r="Q21" s="347"/>
      <c r="R21" s="721"/>
      <c r="S21" s="342"/>
      <c r="T21" s="368"/>
      <c r="U21" s="364"/>
      <c r="V21" s="359"/>
      <c r="W21" s="181"/>
      <c r="AB21" s="364"/>
      <c r="AD21" s="519"/>
      <c r="AE21" s="519"/>
      <c r="AF21" s="519"/>
    </row>
    <row r="22" spans="1:32">
      <c r="A22" s="213">
        <v>3</v>
      </c>
      <c r="B22" s="44" t="s">
        <v>302</v>
      </c>
      <c r="C22" s="397" t="s">
        <v>461</v>
      </c>
      <c r="D22" s="359">
        <f ca="1">'Pres &amp; Prop Rev'!$G$152/1000</f>
        <v>133265.83332076925</v>
      </c>
      <c r="E22" s="638">
        <f ca="1">'IEP Adj RB'!H19</f>
        <v>638.41850459413854</v>
      </c>
      <c r="F22" s="638">
        <f t="shared" ca="1" si="0"/>
        <v>133904.25182536338</v>
      </c>
      <c r="G22" s="359">
        <f ca="1">'Pres &amp; Prop Rev'!$G$207/1000-E22</f>
        <v>1785.6478646366086</v>
      </c>
      <c r="H22" s="359">
        <f t="shared" ca="1" si="6"/>
        <v>135689.89968999999</v>
      </c>
      <c r="I22" s="341">
        <f t="shared" ca="1" si="1"/>
        <v>1.8189706309763951E-2</v>
      </c>
      <c r="J22" s="341">
        <f ca="1">E22/H22</f>
        <v>4.7049817713233112E-3</v>
      </c>
      <c r="K22" s="638">
        <f>143634.294480769-128</f>
        <v>143506.29448076899</v>
      </c>
      <c r="L22" s="347">
        <v>0</v>
      </c>
      <c r="M22" s="638">
        <f t="shared" si="2"/>
        <v>143506.29448076899</v>
      </c>
      <c r="N22" s="347">
        <f ca="1">G22+E22</f>
        <v>2424.0663692307471</v>
      </c>
      <c r="O22" s="347">
        <f>LIRAP!F16/1000</f>
        <v>178.04411641340997</v>
      </c>
      <c r="P22" s="347">
        <f ca="1">-G22-E22-O22</f>
        <v>-2602.1104856441571</v>
      </c>
      <c r="Q22" s="347">
        <v>0</v>
      </c>
      <c r="R22" s="721">
        <f t="shared" ca="1" si="3"/>
        <v>0</v>
      </c>
      <c r="S22" s="342">
        <f t="shared" ca="1" si="4"/>
        <v>0</v>
      </c>
      <c r="T22" s="368" t="e">
        <f>#REF!/1000</f>
        <v>#REF!</v>
      </c>
      <c r="U22" s="364">
        <f>('Pres &amp; Prop Rev'!G23*(0))/1000</f>
        <v>0</v>
      </c>
      <c r="V22" s="359">
        <f ca="1">G22+U22</f>
        <v>1785.6478646366086</v>
      </c>
      <c r="W22" s="181">
        <f ca="1">(V22)/K22</f>
        <v>1.2442993327208374E-2</v>
      </c>
      <c r="Y22" s="44" t="s">
        <v>384</v>
      </c>
      <c r="AA22" s="181">
        <f ca="1">(G22+U22)/D22</f>
        <v>1.3399142301827474E-2</v>
      </c>
      <c r="AB22" s="364">
        <f ca="1">N22+M22+P22+Q22</f>
        <v>143328.25036435557</v>
      </c>
      <c r="AD22" s="519">
        <f ca="1">N22/M22</f>
        <v>1.6891707628584832E-2</v>
      </c>
      <c r="AE22" s="519">
        <f ca="1">P22/M22</f>
        <v>-1.8132378757733592E-2</v>
      </c>
      <c r="AF22" s="519">
        <f>Q22/M22</f>
        <v>0</v>
      </c>
    </row>
    <row r="23" spans="1:32" s="422" customFormat="1">
      <c r="A23" s="569"/>
      <c r="C23" s="397"/>
      <c r="D23" s="359"/>
      <c r="E23" s="638"/>
      <c r="F23" s="638"/>
      <c r="G23" s="359"/>
      <c r="H23" s="359"/>
      <c r="I23" s="341"/>
      <c r="J23" s="341"/>
      <c r="K23" s="638"/>
      <c r="L23" s="347"/>
      <c r="M23" s="638"/>
      <c r="N23" s="347"/>
      <c r="O23" s="347"/>
      <c r="P23" s="347"/>
      <c r="Q23" s="347"/>
      <c r="R23" s="721"/>
      <c r="S23" s="342"/>
      <c r="T23" s="368"/>
      <c r="U23" s="364"/>
      <c r="V23" s="359"/>
      <c r="W23" s="181"/>
      <c r="AA23" s="181"/>
      <c r="AB23" s="364"/>
      <c r="AD23" s="519"/>
      <c r="AE23" s="519"/>
      <c r="AF23" s="519"/>
    </row>
    <row r="24" spans="1:32" s="422" customFormat="1" hidden="1">
      <c r="A24" s="569">
        <v>5</v>
      </c>
      <c r="B24" s="422" t="s">
        <v>966</v>
      </c>
      <c r="C24" s="397">
        <v>23</v>
      </c>
      <c r="D24" s="359">
        <f ca="1">'Pres &amp; Prop Rev'!$H$152/1000</f>
        <v>0</v>
      </c>
      <c r="E24" s="638">
        <f t="shared" ca="1" si="5"/>
        <v>0</v>
      </c>
      <c r="F24" s="638">
        <f t="shared" ca="1" si="0"/>
        <v>0</v>
      </c>
      <c r="G24" s="359">
        <f ca="1">'Pres &amp; Prop Rev'!$H$207/1000</f>
        <v>0</v>
      </c>
      <c r="H24" s="359">
        <f t="shared" ca="1" si="6"/>
        <v>0</v>
      </c>
      <c r="I24" s="341" t="e">
        <f t="shared" ca="1" si="1"/>
        <v>#DIV/0!</v>
      </c>
      <c r="J24" s="341">
        <f ca="1">IF(H24=0,J22,E24/H24)</f>
        <v>4.7049817713233112E-3</v>
      </c>
      <c r="K24" s="638">
        <v>0</v>
      </c>
      <c r="L24" s="347">
        <v>0</v>
      </c>
      <c r="M24" s="638">
        <f t="shared" ref="M24" si="10">K24+L24</f>
        <v>0</v>
      </c>
      <c r="N24" s="347">
        <f ca="1">G24+E24</f>
        <v>0</v>
      </c>
      <c r="O24" s="347">
        <v>0</v>
      </c>
      <c r="P24" s="347">
        <f t="shared" ca="1" si="8"/>
        <v>0</v>
      </c>
      <c r="Q24" s="347">
        <v>0</v>
      </c>
      <c r="R24" s="721">
        <f t="shared" ref="R24" ca="1" si="11">N24+O24+P24+Q24</f>
        <v>0</v>
      </c>
      <c r="S24" s="342">
        <f>IF(M24=0,0,(N24+O24+P24+Q24)/M24)</f>
        <v>0</v>
      </c>
      <c r="T24" s="368" t="e">
        <f>#REF!/1000</f>
        <v>#REF!</v>
      </c>
      <c r="U24" s="364">
        <f>('Pres &amp; Prop Rev'!G25*(0))/1000</f>
        <v>0</v>
      </c>
      <c r="V24" s="359">
        <f ca="1">G24+U24</f>
        <v>0</v>
      </c>
      <c r="W24" s="181">
        <f>IF(K24=0,0,(V24)/K24)</f>
        <v>0</v>
      </c>
      <c r="Y24" s="422" t="s">
        <v>384</v>
      </c>
      <c r="AA24" s="181">
        <f ca="1">IF(D24=0,0,(G24+U24)/D24)</f>
        <v>0</v>
      </c>
      <c r="AB24" s="364">
        <f ca="1">N24+M24+P24+Q24</f>
        <v>0</v>
      </c>
      <c r="AD24" s="519">
        <f>IF(M24=0,0,N24/M24)</f>
        <v>0</v>
      </c>
      <c r="AE24" s="519">
        <f>IF(M24=0,0,P24/M24)</f>
        <v>0</v>
      </c>
      <c r="AF24" s="519">
        <f>IF(M24=0,0,Q24/M24)</f>
        <v>0</v>
      </c>
    </row>
    <row r="25" spans="1:32" hidden="1">
      <c r="D25" s="359"/>
      <c r="E25" s="638"/>
      <c r="F25" s="638"/>
      <c r="G25" s="359"/>
      <c r="H25" s="359"/>
      <c r="I25" s="341" t="e">
        <f t="shared" si="1"/>
        <v>#DIV/0!</v>
      </c>
      <c r="J25" s="341"/>
      <c r="K25" s="638"/>
      <c r="L25" s="347"/>
      <c r="M25" s="638"/>
      <c r="N25" s="347"/>
      <c r="O25" s="347"/>
      <c r="P25" s="347">
        <f t="shared" si="8"/>
        <v>0</v>
      </c>
      <c r="Q25" s="347"/>
      <c r="R25" s="721"/>
      <c r="S25" s="342"/>
      <c r="T25" s="368"/>
      <c r="U25" s="364"/>
      <c r="V25" s="359"/>
      <c r="W25" s="181"/>
      <c r="AB25" s="364"/>
      <c r="AD25" s="519"/>
      <c r="AE25" s="519"/>
      <c r="AF25" s="519"/>
    </row>
    <row r="26" spans="1:32">
      <c r="A26" s="213">
        <v>4</v>
      </c>
      <c r="B26" s="44" t="s">
        <v>321</v>
      </c>
      <c r="C26" s="213">
        <v>25</v>
      </c>
      <c r="D26" s="359">
        <f ca="1">'Pres &amp; Prop Rev'!$I$152/1000</f>
        <v>43738.714219699999</v>
      </c>
      <c r="E26" s="638">
        <f ca="1">'IEP Adj RB'!H21</f>
        <v>197.92949567800306</v>
      </c>
      <c r="F26" s="638">
        <f t="shared" ca="1" si="0"/>
        <v>43936.643715377999</v>
      </c>
      <c r="G26" s="359">
        <f ca="1">'Pres &amp; Prop Rev'!$I$207/1000-E26+2</f>
        <v>1172.2032684219971</v>
      </c>
      <c r="H26" s="359">
        <f t="shared" ca="1" si="6"/>
        <v>45108.846983799995</v>
      </c>
      <c r="I26" s="341">
        <f t="shared" ca="1" si="1"/>
        <v>3.1325401044434223E-2</v>
      </c>
      <c r="J26" s="341">
        <f ca="1">E26/H26</f>
        <v>4.3878198826293605E-3</v>
      </c>
      <c r="K26" s="638">
        <v>43474.397949699996</v>
      </c>
      <c r="L26" s="347">
        <v>0</v>
      </c>
      <c r="M26" s="638">
        <f t="shared" si="2"/>
        <v>43474.397949699996</v>
      </c>
      <c r="N26" s="347">
        <f ca="1">G26+E26</f>
        <v>1370.1327641000003</v>
      </c>
      <c r="O26" s="347">
        <f>LIRAP!F18/1000</f>
        <v>49.276783945199995</v>
      </c>
      <c r="P26" s="347">
        <f ca="1">-G26-E26-O26</f>
        <v>-1419.4095480452002</v>
      </c>
      <c r="Q26" s="347">
        <v>0</v>
      </c>
      <c r="R26" s="721">
        <f t="shared" ca="1" si="3"/>
        <v>0</v>
      </c>
      <c r="S26" s="342">
        <f t="shared" ca="1" si="4"/>
        <v>0</v>
      </c>
      <c r="T26" s="368" t="e">
        <f>#REF!/1000</f>
        <v>#REF!</v>
      </c>
      <c r="U26" s="364">
        <f>('Pres &amp; Prop Rev'!I23*(0))/1000</f>
        <v>0</v>
      </c>
      <c r="V26" s="359">
        <f ca="1">G26+U26</f>
        <v>1172.2032684219971</v>
      </c>
      <c r="W26" s="181">
        <f ca="1">(V26)/K26</f>
        <v>2.6963070765884778E-2</v>
      </c>
      <c r="Y26" s="44" t="s">
        <v>383</v>
      </c>
      <c r="AA26" s="181">
        <f ca="1">(G26+U26)/D26</f>
        <v>2.680013094427075E-2</v>
      </c>
      <c r="AB26" s="364">
        <f ca="1">N26+M26+P26+Q26</f>
        <v>43425.121165754797</v>
      </c>
      <c r="AD26" s="519">
        <f ca="1">N26/M26</f>
        <v>3.1515853668295714E-2</v>
      </c>
      <c r="AE26" s="519">
        <f ca="1">P26/M26</f>
        <v>-3.2649320404332251E-2</v>
      </c>
      <c r="AF26" s="519">
        <f>Q26/M26</f>
        <v>0</v>
      </c>
    </row>
    <row r="27" spans="1:32" s="422" customFormat="1">
      <c r="A27" s="569"/>
      <c r="C27" s="569"/>
      <c r="D27" s="359"/>
      <c r="E27" s="638"/>
      <c r="F27" s="638"/>
      <c r="G27" s="359"/>
      <c r="H27" s="359"/>
      <c r="I27" s="341"/>
      <c r="J27" s="341"/>
      <c r="K27" s="638"/>
      <c r="L27" s="347"/>
      <c r="M27" s="638"/>
      <c r="N27" s="347"/>
      <c r="O27" s="347"/>
      <c r="P27" s="347"/>
      <c r="Q27" s="347"/>
      <c r="R27" s="721"/>
      <c r="S27" s="342"/>
      <c r="T27" s="368"/>
      <c r="U27" s="364"/>
      <c r="V27" s="359"/>
      <c r="W27" s="181"/>
      <c r="AA27" s="181"/>
      <c r="AB27" s="364"/>
      <c r="AD27" s="519"/>
      <c r="AE27" s="519"/>
      <c r="AF27" s="519"/>
    </row>
    <row r="28" spans="1:32" s="422" customFormat="1">
      <c r="A28" s="569">
        <v>5</v>
      </c>
      <c r="B28" s="422" t="s">
        <v>968</v>
      </c>
      <c r="C28" s="569" t="s">
        <v>952</v>
      </c>
      <c r="D28" s="359">
        <f ca="1">'Pres &amp; Prop Rev'!$J$152/1000</f>
        <v>24366.310439499997</v>
      </c>
      <c r="E28" s="638">
        <f>'IEP Adj RB'!H23</f>
        <v>-3009</v>
      </c>
      <c r="F28" s="638">
        <f t="shared" ca="1" si="0"/>
        <v>21357.310439499997</v>
      </c>
      <c r="G28" s="359">
        <f ca="1">'Pres &amp; Prop Rev'!$J$207/1000-E28-2+0.42442</f>
        <v>-3.0000003881092141E-6</v>
      </c>
      <c r="H28" s="359">
        <f ca="1">F28+G28</f>
        <v>21357.310436499996</v>
      </c>
      <c r="I28" s="341">
        <f t="shared" ca="1" si="1"/>
        <v>-0.12349017757412049</v>
      </c>
      <c r="J28" s="341">
        <f ca="1">E28/H28</f>
        <v>-0.14088852662166532</v>
      </c>
      <c r="K28" s="638">
        <v>23824.286189499995</v>
      </c>
      <c r="L28" s="347">
        <v>0</v>
      </c>
      <c r="M28" s="638">
        <f t="shared" ref="M28" si="12">K28+L28</f>
        <v>23824.286189499995</v>
      </c>
      <c r="N28" s="347">
        <f ca="1">G28+E28</f>
        <v>-3009.0000030000006</v>
      </c>
      <c r="O28" s="347">
        <f>LIRAP!F20/1000</f>
        <v>5.7600000000000007</v>
      </c>
      <c r="P28" s="347">
        <f>'Rate Spread GRC'!N46/1000</f>
        <v>-163.49999999999946</v>
      </c>
      <c r="Q28" s="347">
        <v>0</v>
      </c>
      <c r="R28" s="721">
        <f t="shared" ref="R28" ca="1" si="13">N28+O28+P28+Q28</f>
        <v>-3166.7400029999999</v>
      </c>
      <c r="S28" s="342">
        <f ca="1">IF(M28=0,0,(N28+O28+P28+Q28)/M28)</f>
        <v>-0.13292066665970742</v>
      </c>
      <c r="T28" s="368" t="e">
        <f>#REF!/1000</f>
        <v>#REF!</v>
      </c>
      <c r="U28" s="364">
        <f>('Pres &amp; Prop Rev'!I25*(0))/1000</f>
        <v>0</v>
      </c>
      <c r="V28" s="359">
        <f ca="1">G28+U28</f>
        <v>-3.0000003881092141E-6</v>
      </c>
      <c r="W28" s="181">
        <f ca="1">IF(K28=0,0,(V28)/K28)</f>
        <v>-1.2592194218315742E-10</v>
      </c>
      <c r="Y28" s="422" t="s">
        <v>383</v>
      </c>
      <c r="AA28" s="181">
        <f ca="1">IF(D28=0,0,(G28+U28)/D28)</f>
        <v>-1.231208309340893E-10</v>
      </c>
      <c r="AB28" s="364">
        <f ca="1">N28+M28+P28+Q28</f>
        <v>20651.786186499994</v>
      </c>
      <c r="AD28" s="519">
        <f ca="1">IF(M28=0,0,N28/M28)</f>
        <v>-0.12629969179627082</v>
      </c>
      <c r="AE28" s="519">
        <f>IF(M28=0,0,P28/M28)</f>
        <v>-6.862744961150539E-3</v>
      </c>
      <c r="AF28" s="519">
        <f>IF(M28=0,0,Q28/M28)</f>
        <v>0</v>
      </c>
    </row>
    <row r="29" spans="1:32">
      <c r="D29" s="359"/>
      <c r="E29" s="638"/>
      <c r="F29" s="638"/>
      <c r="G29" s="359"/>
      <c r="H29" s="359"/>
      <c r="I29" s="341"/>
      <c r="J29" s="341"/>
      <c r="K29" s="638"/>
      <c r="L29" s="347"/>
      <c r="M29" s="638"/>
      <c r="N29" s="347"/>
      <c r="O29" s="347"/>
      <c r="P29" s="347"/>
      <c r="Q29" s="347"/>
      <c r="R29" s="721"/>
      <c r="S29" s="342"/>
      <c r="T29" s="368"/>
      <c r="U29" s="364"/>
      <c r="V29" s="359"/>
      <c r="W29" s="181"/>
      <c r="AB29" s="364"/>
      <c r="AD29" s="519"/>
      <c r="AE29" s="519"/>
      <c r="AF29" s="519"/>
    </row>
    <row r="30" spans="1:32">
      <c r="A30" s="213">
        <v>6</v>
      </c>
      <c r="B30" s="44" t="s">
        <v>303</v>
      </c>
      <c r="C30" s="397" t="s">
        <v>462</v>
      </c>
      <c r="D30" s="359">
        <f ca="1">'Pres &amp; Prop Rev'!$K$152/1000</f>
        <v>12229.340050000001</v>
      </c>
      <c r="E30" s="638">
        <f ca="1">'IEP Adj RB'!H25</f>
        <v>72.74106519867172</v>
      </c>
      <c r="F30" s="638">
        <f ca="1">D30+E30</f>
        <v>12302.081115198673</v>
      </c>
      <c r="G30" s="359">
        <f ca="1">'Pres &amp; Prop Rev'!$K$207/1000-E30</f>
        <v>327.78526480132649</v>
      </c>
      <c r="H30" s="359">
        <f t="shared" ca="1" si="6"/>
        <v>12629.866379999999</v>
      </c>
      <c r="I30" s="341">
        <f t="shared" ca="1" si="1"/>
        <v>3.2751262812419565E-2</v>
      </c>
      <c r="J30" s="341">
        <f ca="1">E30/H30</f>
        <v>5.7594485175124811E-3</v>
      </c>
      <c r="K30" s="638">
        <f>13243.00341-33</f>
        <v>13210.003409999999</v>
      </c>
      <c r="L30" s="347">
        <v>0</v>
      </c>
      <c r="M30" s="638">
        <f t="shared" si="2"/>
        <v>13210.003409999999</v>
      </c>
      <c r="N30" s="347">
        <f ca="1">G30+E30</f>
        <v>400.52632999999821</v>
      </c>
      <c r="O30" s="347">
        <f>LIRAP!F22/1000</f>
        <v>15.358535834620001</v>
      </c>
      <c r="P30" s="347">
        <f ca="1">-G30-E30-O30</f>
        <v>-415.88486583461821</v>
      </c>
      <c r="Q30" s="347">
        <v>0</v>
      </c>
      <c r="R30" s="721">
        <f t="shared" ca="1" si="3"/>
        <v>0</v>
      </c>
      <c r="S30" s="342">
        <f t="shared" ca="1" si="4"/>
        <v>0</v>
      </c>
      <c r="T30" s="368" t="e">
        <f>#REF!/1000</f>
        <v>#REF!</v>
      </c>
      <c r="U30" s="364">
        <f>('Pres &amp; Prop Rev'!K23*(0))/1000</f>
        <v>0</v>
      </c>
      <c r="V30" s="359">
        <f ca="1">G30+U30</f>
        <v>327.78526480132649</v>
      </c>
      <c r="W30" s="181">
        <f ca="1">(V30)/K30</f>
        <v>2.4813412580438274E-2</v>
      </c>
      <c r="Y30" s="44" t="s">
        <v>384</v>
      </c>
      <c r="AA30" s="181">
        <f ca="1">(G30+U30)/D30</f>
        <v>2.6803185082855431E-2</v>
      </c>
      <c r="AB30" s="364">
        <f ca="1">N30+M30+P30+Q30</f>
        <v>13194.64487416538</v>
      </c>
      <c r="AD30" s="519">
        <f ca="1">N30/M30</f>
        <v>3.0319926314083989E-2</v>
      </c>
      <c r="AE30" s="519">
        <f ca="1">P30/M30</f>
        <v>-3.148257066457625E-2</v>
      </c>
      <c r="AF30" s="519">
        <f>Q30/M30</f>
        <v>0</v>
      </c>
    </row>
    <row r="31" spans="1:32">
      <c r="D31" s="359"/>
      <c r="E31" s="638"/>
      <c r="F31" s="638"/>
      <c r="G31" s="359"/>
      <c r="H31" s="359"/>
      <c r="I31" s="341"/>
      <c r="J31" s="341"/>
      <c r="K31" s="638"/>
      <c r="L31" s="347"/>
      <c r="M31" s="638"/>
      <c r="N31" s="347"/>
      <c r="O31" s="347"/>
      <c r="P31" s="347"/>
      <c r="Q31" s="347"/>
      <c r="R31" s="721"/>
      <c r="S31" s="342"/>
      <c r="T31" s="368"/>
      <c r="U31" s="364"/>
      <c r="V31" s="359"/>
      <c r="W31" s="181"/>
      <c r="AB31" s="364"/>
      <c r="AD31" s="519"/>
      <c r="AE31" s="519"/>
      <c r="AF31" s="519"/>
    </row>
    <row r="32" spans="1:32">
      <c r="A32" s="213">
        <v>7</v>
      </c>
      <c r="B32" s="44" t="s">
        <v>304</v>
      </c>
      <c r="C32" s="213" t="s">
        <v>352</v>
      </c>
      <c r="D32" s="365">
        <f>'Pres &amp; Prop Rev'!$L$152/1000</f>
        <v>6628.6650019919989</v>
      </c>
      <c r="E32" s="638">
        <f>'IEP Adj RB'!H27</f>
        <v>55.129400350238143</v>
      </c>
      <c r="F32" s="638">
        <f t="shared" si="0"/>
        <v>6683.7944023422369</v>
      </c>
      <c r="G32" s="366">
        <f>'Pres &amp; Prop Rev'!$L$207/1000-E32</f>
        <v>178.3121196497614</v>
      </c>
      <c r="H32" s="359">
        <f t="shared" si="6"/>
        <v>6862.1065219919983</v>
      </c>
      <c r="I32" s="341">
        <f t="shared" si="1"/>
        <v>3.5216973542915107E-2</v>
      </c>
      <c r="J32" s="341">
        <f>E32/H32</f>
        <v>8.0338887444484971E-3</v>
      </c>
      <c r="K32" s="365">
        <f>6628.665001992+188</f>
        <v>6816.6650019919998</v>
      </c>
      <c r="L32" s="645">
        <v>0</v>
      </c>
      <c r="M32" s="646">
        <f>K32+L32</f>
        <v>6816.6650019919998</v>
      </c>
      <c r="N32" s="645">
        <f>G32+E32</f>
        <v>233.44151999999954</v>
      </c>
      <c r="O32" s="645">
        <f>LIRAP!F24/1000</f>
        <v>8.9206000000000003</v>
      </c>
      <c r="P32" s="347">
        <f>-G32-E32-O32</f>
        <v>-242.36211999999955</v>
      </c>
      <c r="Q32" s="645">
        <v>0</v>
      </c>
      <c r="R32" s="721">
        <f t="shared" si="3"/>
        <v>0</v>
      </c>
      <c r="S32" s="342">
        <f t="shared" si="4"/>
        <v>0</v>
      </c>
      <c r="T32" s="510" t="e">
        <f>#REF!/1000</f>
        <v>#REF!</v>
      </c>
      <c r="U32" s="367">
        <f>('Pres &amp; Prop Rev'!L23*(0))/1000</f>
        <v>0</v>
      </c>
      <c r="V32" s="366">
        <f>G32+U32</f>
        <v>178.3121196497614</v>
      </c>
      <c r="W32" s="181">
        <f>(V32)/K32</f>
        <v>2.6158263549353553E-2</v>
      </c>
      <c r="Y32" s="44" t="s">
        <v>383</v>
      </c>
      <c r="AA32" s="181">
        <f>(G32+U32)/D32</f>
        <v>2.6900155551106645E-2</v>
      </c>
      <c r="AB32" s="364">
        <f>N32+M32+P32+Q32</f>
        <v>6807.7444019919994</v>
      </c>
      <c r="AD32" s="519">
        <f>N32/M32</f>
        <v>3.4245708118527479E-2</v>
      </c>
      <c r="AE32" s="519">
        <f>P32/M32</f>
        <v>-3.5554353914879974E-2</v>
      </c>
      <c r="AF32" s="519">
        <f>Q32/M32</f>
        <v>0</v>
      </c>
    </row>
    <row r="33" spans="1:32">
      <c r="D33" s="359"/>
      <c r="E33" s="368"/>
      <c r="F33" s="368"/>
      <c r="G33" s="359"/>
      <c r="H33" s="359"/>
      <c r="I33" s="341"/>
      <c r="J33" s="368"/>
      <c r="K33" s="368"/>
      <c r="L33" s="347"/>
      <c r="M33" s="638"/>
      <c r="N33" s="347"/>
      <c r="O33" s="347"/>
      <c r="P33" s="347"/>
      <c r="Q33" s="347"/>
      <c r="R33" s="721"/>
      <c r="S33" s="342"/>
      <c r="T33" s="368"/>
      <c r="U33" s="369"/>
      <c r="V33" s="359"/>
      <c r="W33" s="181"/>
      <c r="AD33" s="519"/>
      <c r="AE33" s="519"/>
      <c r="AF33" s="519"/>
    </row>
    <row r="34" spans="1:32">
      <c r="A34" s="213">
        <v>8</v>
      </c>
      <c r="B34" s="370" t="s">
        <v>66</v>
      </c>
      <c r="D34" s="359">
        <f ca="1">SUM(D16:D32)</f>
        <v>530578.89165042283</v>
      </c>
      <c r="E34" s="359">
        <f ca="1">SUM(E16:E32)</f>
        <v>0.19966849356779903</v>
      </c>
      <c r="F34" s="359">
        <f ca="1">SUM(F16:F32)</f>
        <v>530579.09131891641</v>
      </c>
      <c r="G34" s="359">
        <f ca="1">SUM(G16:G32)</f>
        <v>13577.592813375662</v>
      </c>
      <c r="H34" s="359">
        <f ca="1">SUM(H16:H32)</f>
        <v>544156.68413229205</v>
      </c>
      <c r="I34" s="341">
        <f t="shared" ca="1" si="1"/>
        <v>2.5590525170788539E-2</v>
      </c>
      <c r="J34" s="341"/>
      <c r="K34" s="359">
        <f>SUM(K16:K32)</f>
        <v>537464.07159042254</v>
      </c>
      <c r="L34" s="347">
        <f>SUM(L16:L32)</f>
        <v>0</v>
      </c>
      <c r="M34" s="638">
        <f t="shared" si="2"/>
        <v>537464.07159042254</v>
      </c>
      <c r="N34" s="347">
        <f ca="1">G34</f>
        <v>13577.592813375662</v>
      </c>
      <c r="O34" s="347">
        <f>SUM(O16:O32)</f>
        <v>650.54098527407007</v>
      </c>
      <c r="P34" s="347">
        <f ca="1">SUM(P16:P32)</f>
        <v>-17395.073470143299</v>
      </c>
      <c r="Q34" s="347">
        <f>SUM(Q16:Q32)</f>
        <v>0</v>
      </c>
      <c r="R34" s="721">
        <f t="shared" ca="1" si="3"/>
        <v>-3166.9396714935665</v>
      </c>
      <c r="S34" s="342">
        <f t="shared" ca="1" si="4"/>
        <v>-5.8923746514296313E-3</v>
      </c>
      <c r="T34" s="368" t="e">
        <f>SUM(T16:T33)</f>
        <v>#REF!</v>
      </c>
      <c r="U34" s="364">
        <f>SUM(U16:U32)</f>
        <v>0</v>
      </c>
      <c r="V34" s="359">
        <f ca="1">G34+U34</f>
        <v>13577.592813375662</v>
      </c>
      <c r="W34" s="181">
        <f ca="1">(V34)/K34</f>
        <v>2.5262326415973983E-2</v>
      </c>
      <c r="Y34" s="44" t="s">
        <v>384</v>
      </c>
      <c r="AA34" s="181">
        <f ca="1">(G34+U34)/D34</f>
        <v>2.5590148848818876E-2</v>
      </c>
      <c r="AB34" s="364">
        <f ca="1">G34+K34+U34</f>
        <v>551041.66440379818</v>
      </c>
      <c r="AD34" s="519">
        <f ca="1">N34/M34</f>
        <v>2.5262326415973983E-2</v>
      </c>
      <c r="AE34" s="519">
        <f ca="1">P34/M34</f>
        <v>-3.2365090783964649E-2</v>
      </c>
      <c r="AF34" s="519">
        <f>Q34/M34</f>
        <v>0</v>
      </c>
    </row>
    <row r="35" spans="1:32">
      <c r="B35" s="213"/>
      <c r="D35" s="371">
        <f ca="1">ROUND(D34-'Pres &amp; Prop Rev'!C205/1000,0)</f>
        <v>0</v>
      </c>
      <c r="E35" s="204"/>
      <c r="F35" s="204"/>
      <c r="G35" s="371"/>
      <c r="H35" s="371"/>
      <c r="K35" s="353"/>
      <c r="L35" s="353"/>
      <c r="M35" s="353"/>
      <c r="N35" s="353"/>
      <c r="O35" s="353"/>
      <c r="P35" s="353"/>
      <c r="Q35" s="353"/>
      <c r="R35" s="353"/>
      <c r="U35" s="353"/>
      <c r="V35" s="353"/>
      <c r="W35" s="353"/>
    </row>
    <row r="36" spans="1:32">
      <c r="B36" s="213"/>
      <c r="D36" s="672"/>
      <c r="E36" s="672"/>
      <c r="F36" s="672"/>
      <c r="G36" s="353"/>
      <c r="T36" s="519"/>
      <c r="U36" s="519"/>
      <c r="V36" s="353"/>
      <c r="W36" s="116"/>
    </row>
    <row r="37" spans="1:32">
      <c r="A37" s="44"/>
      <c r="P37" s="392"/>
    </row>
    <row r="39" spans="1:32">
      <c r="A39" s="422" t="s">
        <v>862</v>
      </c>
      <c r="P39" s="519"/>
    </row>
    <row r="40" spans="1:32">
      <c r="A40" s="345" t="s">
        <v>937</v>
      </c>
    </row>
    <row r="41" spans="1:32" s="422" customFormat="1">
      <c r="A41" s="345"/>
      <c r="C41" s="213"/>
      <c r="D41" s="364"/>
      <c r="E41" s="364"/>
      <c r="F41" s="364"/>
      <c r="G41" s="364"/>
      <c r="H41" s="364"/>
      <c r="I41" s="204"/>
      <c r="J41" s="204"/>
      <c r="V41" s="116"/>
    </row>
    <row r="42" spans="1:32">
      <c r="A42" s="422" t="s">
        <v>863</v>
      </c>
    </row>
    <row r="43" spans="1:32">
      <c r="A43" s="345" t="s">
        <v>938</v>
      </c>
    </row>
    <row r="44" spans="1:32">
      <c r="J44" s="422"/>
      <c r="N44" s="422"/>
      <c r="P44" s="44"/>
      <c r="R44" s="44"/>
      <c r="S44" s="116"/>
      <c r="T44" s="44"/>
      <c r="V44" s="44"/>
    </row>
    <row r="45" spans="1:32">
      <c r="J45" s="422"/>
      <c r="N45" s="422"/>
      <c r="P45" s="44"/>
      <c r="R45" s="44"/>
      <c r="S45" s="116"/>
      <c r="T45" s="44"/>
      <c r="V45" s="44"/>
    </row>
    <row r="46" spans="1:32">
      <c r="B46" s="79" t="s">
        <v>389</v>
      </c>
      <c r="H46" s="359"/>
      <c r="J46" s="359"/>
      <c r="K46" s="359"/>
      <c r="L46" s="359"/>
      <c r="M46" s="359"/>
      <c r="N46" s="359"/>
      <c r="O46" s="359"/>
      <c r="P46" s="359"/>
      <c r="Q46" s="359"/>
      <c r="R46" s="44"/>
      <c r="S46" s="116"/>
      <c r="T46" s="44"/>
      <c r="V46" s="44"/>
    </row>
    <row r="47" spans="1:32">
      <c r="H47" s="359" t="s">
        <v>425</v>
      </c>
      <c r="I47" s="79"/>
      <c r="J47" s="359"/>
      <c r="K47" s="359" t="s">
        <v>454</v>
      </c>
      <c r="L47" s="359"/>
      <c r="M47" s="359"/>
      <c r="N47" s="359"/>
      <c r="O47" s="359"/>
      <c r="P47" s="116"/>
      <c r="Q47" s="116"/>
      <c r="R47" s="44"/>
      <c r="T47" s="44"/>
      <c r="V47" s="44"/>
    </row>
    <row r="48" spans="1:32">
      <c r="H48" s="366" t="s">
        <v>453</v>
      </c>
      <c r="I48" s="79"/>
      <c r="J48" s="361"/>
      <c r="K48" s="366" t="s">
        <v>455</v>
      </c>
      <c r="L48" s="366"/>
      <c r="M48" s="366"/>
      <c r="N48" s="366"/>
      <c r="O48" s="366"/>
      <c r="P48" s="116"/>
      <c r="Q48" s="116"/>
      <c r="R48" s="44"/>
      <c r="T48" s="44"/>
      <c r="V48" s="44"/>
    </row>
    <row r="49" spans="1:22">
      <c r="B49" s="321" t="s">
        <v>386</v>
      </c>
      <c r="H49" s="178">
        <f>'REVRUNS 12ME1219'!P119</f>
        <v>61017333.256999999</v>
      </c>
      <c r="I49" s="44"/>
      <c r="J49" s="503"/>
      <c r="K49" s="59">
        <f>H49*-0.00386/1000</f>
        <v>-235.52690637201999</v>
      </c>
      <c r="L49" s="515"/>
      <c r="M49" s="515"/>
      <c r="N49" s="515"/>
      <c r="O49" s="515"/>
      <c r="P49" s="601"/>
      <c r="Q49" s="116"/>
      <c r="R49" s="44"/>
      <c r="T49" s="44"/>
      <c r="V49" s="44"/>
    </row>
    <row r="50" spans="1:22">
      <c r="B50" s="321" t="s">
        <v>387</v>
      </c>
      <c r="H50" s="178">
        <f>'REVRUNS 12ME1219'!P164</f>
        <v>33141700.520000003</v>
      </c>
      <c r="I50" s="44"/>
      <c r="J50" s="503"/>
      <c r="K50" s="515">
        <f t="shared" ref="K50:K52" si="14">H50*-0.00386/1000</f>
        <v>-127.92696400720001</v>
      </c>
      <c r="L50" s="515"/>
      <c r="M50" s="515"/>
      <c r="N50" s="515"/>
      <c r="O50" s="515"/>
      <c r="P50" s="116"/>
      <c r="Q50" s="116"/>
      <c r="R50" s="44"/>
      <c r="T50" s="44"/>
      <c r="V50" s="44"/>
    </row>
    <row r="51" spans="1:22">
      <c r="B51" s="321" t="s">
        <v>388</v>
      </c>
      <c r="H51" s="279">
        <f>'REVRUNS 12ME1219'!P249</f>
        <v>8612374.1720000003</v>
      </c>
      <c r="I51" s="357"/>
      <c r="J51" s="503"/>
      <c r="K51" s="515">
        <f t="shared" si="14"/>
        <v>-33.243764303920003</v>
      </c>
      <c r="L51" s="431"/>
      <c r="M51" s="431"/>
      <c r="N51" s="431"/>
      <c r="O51" s="431"/>
      <c r="P51" s="116"/>
      <c r="Q51" s="116"/>
      <c r="R51" s="44"/>
      <c r="T51" s="44"/>
      <c r="V51" s="44"/>
    </row>
    <row r="52" spans="1:22" s="422" customFormat="1">
      <c r="A52" s="213"/>
      <c r="B52" s="321" t="s">
        <v>622</v>
      </c>
      <c r="C52" s="213"/>
      <c r="D52" s="364"/>
      <c r="E52" s="364"/>
      <c r="F52" s="364"/>
      <c r="G52" s="364"/>
      <c r="H52" s="279">
        <f>'REVRUNS 12ME1219'!P313</f>
        <v>2499245.1762899999</v>
      </c>
      <c r="J52" s="503"/>
      <c r="K52" s="515">
        <f t="shared" si="14"/>
        <v>-9.6470863804793989</v>
      </c>
      <c r="L52" s="431"/>
      <c r="M52" s="431"/>
      <c r="N52" s="431"/>
      <c r="O52" s="431"/>
      <c r="P52" s="116"/>
      <c r="Q52" s="116"/>
    </row>
    <row r="53" spans="1:22">
      <c r="B53" s="321" t="s">
        <v>66</v>
      </c>
      <c r="C53" s="44"/>
      <c r="D53" s="44"/>
      <c r="E53" s="422"/>
      <c r="F53" s="422"/>
      <c r="G53" s="44"/>
      <c r="H53" s="48">
        <f>SUM(H49:H52)</f>
        <v>105270653.12529002</v>
      </c>
      <c r="J53" s="422"/>
      <c r="K53" s="391">
        <f>SUM(K49:K52)</f>
        <v>-406.34472106361937</v>
      </c>
      <c r="L53" s="391"/>
      <c r="M53" s="391"/>
      <c r="N53" s="391"/>
      <c r="O53" s="391"/>
      <c r="P53" s="44" t="s">
        <v>991</v>
      </c>
      <c r="R53" s="44"/>
      <c r="T53" s="44"/>
      <c r="V53" s="44"/>
    </row>
    <row r="54" spans="1:22" s="422" customFormat="1">
      <c r="A54" s="569"/>
      <c r="B54" s="321"/>
      <c r="H54" s="48"/>
      <c r="I54" s="204"/>
      <c r="K54" s="391"/>
      <c r="L54" s="391"/>
      <c r="M54" s="391"/>
      <c r="N54" s="391"/>
      <c r="O54" s="391"/>
    </row>
    <row r="55" spans="1:22" s="422" customFormat="1">
      <c r="A55" s="569"/>
      <c r="B55" s="321" t="s">
        <v>624</v>
      </c>
      <c r="H55" s="48"/>
      <c r="I55" s="204"/>
      <c r="J55" s="361"/>
      <c r="K55" s="391"/>
      <c r="L55" s="391"/>
      <c r="M55" s="391"/>
      <c r="N55" s="391"/>
      <c r="O55" s="391"/>
    </row>
    <row r="56" spans="1:22" s="422" customFormat="1">
      <c r="A56" s="569"/>
      <c r="B56" s="321" t="s">
        <v>623</v>
      </c>
      <c r="C56" s="569"/>
      <c r="D56" s="364"/>
      <c r="E56" s="364"/>
      <c r="F56" s="364"/>
      <c r="G56" s="364"/>
      <c r="H56" s="279">
        <f>'REVRUNS 12ME1219'!P341</f>
        <v>17961923.65997</v>
      </c>
      <c r="J56" s="503"/>
      <c r="K56" s="431">
        <f>H56*-0.00018/1000</f>
        <v>-3.2331462587946005</v>
      </c>
      <c r="L56" s="431"/>
      <c r="M56" s="431"/>
      <c r="N56" s="431"/>
      <c r="O56" s="431"/>
    </row>
    <row r="57" spans="1:22" s="422" customFormat="1">
      <c r="A57" s="569"/>
      <c r="B57" s="321"/>
      <c r="C57" s="569"/>
      <c r="D57" s="364"/>
      <c r="E57" s="364"/>
      <c r="F57" s="364"/>
      <c r="G57" s="364"/>
      <c r="H57" s="279"/>
      <c r="J57" s="503"/>
      <c r="K57" s="431"/>
      <c r="L57" s="431"/>
      <c r="M57" s="431"/>
      <c r="N57" s="431"/>
      <c r="O57" s="431"/>
    </row>
    <row r="58" spans="1:22" s="422" customFormat="1">
      <c r="A58" s="569"/>
      <c r="B58" s="321" t="s">
        <v>915</v>
      </c>
      <c r="H58" s="48"/>
      <c r="I58" s="204"/>
      <c r="J58" s="361"/>
      <c r="K58" s="391"/>
      <c r="L58" s="431"/>
      <c r="M58" s="431"/>
      <c r="N58" s="431"/>
      <c r="O58" s="431"/>
    </row>
    <row r="59" spans="1:22" s="422" customFormat="1">
      <c r="A59" s="569"/>
      <c r="B59" s="321" t="s">
        <v>623</v>
      </c>
      <c r="C59" s="569"/>
      <c r="D59" s="364"/>
      <c r="E59" s="364"/>
      <c r="F59" s="364"/>
      <c r="G59" s="364"/>
      <c r="H59" s="431">
        <f>'Lighting summary'!D19</f>
        <v>6628665.0019919993</v>
      </c>
      <c r="J59" s="503"/>
      <c r="K59" s="431">
        <f>H59*0.0166/1000</f>
        <v>110.03583903306719</v>
      </c>
      <c r="L59" s="431"/>
      <c r="M59" s="431"/>
      <c r="N59" s="431"/>
      <c r="O59" s="431"/>
    </row>
    <row r="60" spans="1:22" s="422" customFormat="1">
      <c r="A60" s="569"/>
      <c r="B60" s="321"/>
      <c r="C60" s="569"/>
      <c r="D60" s="364"/>
      <c r="E60" s="364"/>
      <c r="F60" s="364"/>
      <c r="G60" s="364"/>
      <c r="H60" s="279"/>
      <c r="J60" s="503"/>
      <c r="K60" s="431"/>
      <c r="L60" s="431"/>
      <c r="M60" s="431"/>
      <c r="N60" s="431"/>
      <c r="O60" s="431"/>
    </row>
    <row r="61" spans="1:22" s="422" customFormat="1">
      <c r="A61" s="569"/>
      <c r="B61" s="321" t="s">
        <v>913</v>
      </c>
      <c r="H61" s="48"/>
      <c r="I61" s="204"/>
      <c r="J61" s="361"/>
      <c r="K61" s="391"/>
      <c r="L61" s="431"/>
      <c r="M61" s="431"/>
      <c r="N61" s="431"/>
      <c r="O61" s="431"/>
    </row>
    <row r="62" spans="1:22" s="422" customFormat="1">
      <c r="A62" s="569"/>
      <c r="B62" s="321" t="s">
        <v>623</v>
      </c>
      <c r="C62" s="569"/>
      <c r="D62" s="364"/>
      <c r="E62" s="364"/>
      <c r="F62" s="364"/>
      <c r="G62" s="364"/>
      <c r="H62" s="279">
        <f>'REVRUNS 12ME1219'!P341</f>
        <v>17961923.65997</v>
      </c>
      <c r="J62" s="503"/>
      <c r="K62" s="431">
        <f>H62*-0.0061/1000</f>
        <v>-109.56773432581701</v>
      </c>
      <c r="L62" s="431"/>
      <c r="M62" s="431"/>
      <c r="N62" s="431"/>
      <c r="O62" s="431"/>
    </row>
    <row r="63" spans="1:22" s="422" customFormat="1">
      <c r="A63" s="569"/>
      <c r="B63" s="321"/>
      <c r="C63" s="569"/>
      <c r="D63" s="364"/>
      <c r="E63" s="364"/>
      <c r="F63" s="364"/>
      <c r="G63" s="364"/>
      <c r="H63" s="279"/>
      <c r="J63" s="503"/>
      <c r="K63" s="431"/>
      <c r="L63" s="431"/>
      <c r="M63" s="431"/>
      <c r="N63" s="431"/>
      <c r="O63" s="431"/>
    </row>
    <row r="64" spans="1:22" s="422" customFormat="1">
      <c r="A64" s="569"/>
      <c r="B64" s="321" t="s">
        <v>914</v>
      </c>
      <c r="H64" s="48"/>
      <c r="I64" s="204"/>
      <c r="J64" s="361"/>
      <c r="K64" s="391"/>
      <c r="L64" s="391"/>
      <c r="M64" s="431"/>
      <c r="N64" s="431"/>
      <c r="O64" s="431"/>
    </row>
    <row r="65" spans="1:23" s="422" customFormat="1">
      <c r="A65" s="569"/>
      <c r="B65" s="321" t="s">
        <v>623</v>
      </c>
      <c r="C65" s="569"/>
      <c r="D65" s="364"/>
      <c r="E65" s="364"/>
      <c r="F65" s="364"/>
      <c r="G65" s="364"/>
      <c r="H65" s="279">
        <f>'REVRUNS 12ME1219'!P341</f>
        <v>17961923.65997</v>
      </c>
      <c r="J65" s="503"/>
      <c r="K65" s="431">
        <f>H65*0</f>
        <v>0</v>
      </c>
      <c r="L65" s="431"/>
      <c r="M65" s="431"/>
      <c r="N65" s="431"/>
      <c r="O65" s="431"/>
    </row>
    <row r="66" spans="1:23" s="422" customFormat="1">
      <c r="A66" s="569"/>
      <c r="B66" s="321"/>
      <c r="C66" s="569"/>
      <c r="D66" s="364"/>
      <c r="E66" s="364"/>
      <c r="F66" s="364"/>
      <c r="G66" s="364"/>
      <c r="H66" s="279"/>
      <c r="J66" s="503"/>
      <c r="K66" s="431"/>
      <c r="L66" s="431"/>
      <c r="M66" s="431"/>
      <c r="N66" s="431"/>
      <c r="O66" s="431"/>
    </row>
    <row r="67" spans="1:23" s="422" customFormat="1">
      <c r="A67" s="569"/>
      <c r="B67" s="321" t="s">
        <v>635</v>
      </c>
      <c r="H67" s="48"/>
      <c r="I67" s="204"/>
      <c r="J67" s="361"/>
      <c r="K67" s="391"/>
      <c r="L67" s="391"/>
      <c r="M67" s="391"/>
      <c r="N67" s="391"/>
      <c r="O67" s="391"/>
    </row>
    <row r="68" spans="1:23" s="422" customFormat="1">
      <c r="A68" s="569"/>
      <c r="B68" s="321" t="s">
        <v>623</v>
      </c>
      <c r="C68" s="569"/>
      <c r="D68" s="364"/>
      <c r="E68" s="364"/>
      <c r="F68" s="364"/>
      <c r="G68" s="364"/>
      <c r="H68" s="279">
        <f>'REVRUNS 12ME1219'!P341</f>
        <v>17961923.65997</v>
      </c>
      <c r="J68" s="503"/>
      <c r="K68" s="431">
        <f>H68*0.01118/1000</f>
        <v>200.8143065184646</v>
      </c>
      <c r="L68" s="431"/>
      <c r="M68" s="431"/>
      <c r="N68" s="431"/>
      <c r="O68" s="431"/>
    </row>
    <row r="69" spans="1:23">
      <c r="J69" s="422"/>
      <c r="N69" s="422"/>
      <c r="P69" s="116"/>
      <c r="Q69" s="116"/>
      <c r="R69" s="44"/>
      <c r="T69" s="422" t="s">
        <v>514</v>
      </c>
      <c r="V69" s="44"/>
    </row>
    <row r="70" spans="1:23">
      <c r="J70" s="361"/>
      <c r="N70" s="422"/>
      <c r="P70" s="44"/>
      <c r="R70" s="44"/>
      <c r="S70" s="116"/>
      <c r="T70" s="44"/>
      <c r="V70" s="44"/>
    </row>
    <row r="71" spans="1:23">
      <c r="B71" s="321" t="s">
        <v>714</v>
      </c>
      <c r="H71" s="48">
        <f>'REVRUNS 12ME1219'!P89</f>
        <v>4501964.0179999992</v>
      </c>
      <c r="J71" s="503"/>
      <c r="K71" s="515">
        <f>H71*-0.03064/1000</f>
        <v>-137.94017751151998</v>
      </c>
      <c r="L71" s="515"/>
      <c r="M71" s="515"/>
      <c r="N71" s="515"/>
      <c r="O71" s="515"/>
      <c r="P71" s="44"/>
      <c r="R71" s="392">
        <v>0</v>
      </c>
      <c r="S71" s="116">
        <v>1</v>
      </c>
      <c r="T71" s="393">
        <f ca="1">-D16*$R$72</f>
        <v>0</v>
      </c>
      <c r="V71" s="209">
        <f>0/'Pres &amp; Prop Rev'!D23</f>
        <v>0</v>
      </c>
      <c r="W71" s="211">
        <f ca="1">(D16/$D$34)*$T$77</f>
        <v>0</v>
      </c>
    </row>
    <row r="72" spans="1:23">
      <c r="J72" s="422"/>
      <c r="N72" s="422"/>
      <c r="P72" s="44"/>
      <c r="R72" s="394">
        <f ca="1">R71/D34</f>
        <v>0</v>
      </c>
      <c r="S72" s="116">
        <v>11</v>
      </c>
      <c r="T72" s="393">
        <f ca="1">-D18*R72</f>
        <v>0</v>
      </c>
      <c r="V72" s="44"/>
      <c r="W72" s="211">
        <f ca="1">(D18/$D$34)*$T$77</f>
        <v>0</v>
      </c>
    </row>
    <row r="73" spans="1:23">
      <c r="J73" s="422"/>
      <c r="N73" s="422"/>
      <c r="P73" s="44"/>
      <c r="R73" s="44"/>
      <c r="S73" s="116">
        <v>21</v>
      </c>
      <c r="T73" s="393">
        <f ca="1">-D22*R72</f>
        <v>0</v>
      </c>
      <c r="V73" s="44"/>
      <c r="W73" s="211">
        <f ca="1">(D22/$D$34)*$T$77</f>
        <v>0</v>
      </c>
    </row>
    <row r="74" spans="1:23">
      <c r="J74" s="422"/>
      <c r="N74" s="422"/>
      <c r="P74" s="44"/>
      <c r="R74" s="44"/>
      <c r="S74" s="116">
        <v>25</v>
      </c>
      <c r="T74" s="393">
        <f ca="1">-D26*R72</f>
        <v>0</v>
      </c>
      <c r="V74" s="44"/>
      <c r="W74" s="211">
        <f ca="1">(D26/$D$34)*$T$77</f>
        <v>0</v>
      </c>
    </row>
    <row r="75" spans="1:23">
      <c r="B75" s="321" t="s">
        <v>735</v>
      </c>
      <c r="J75" s="422"/>
      <c r="K75" s="391">
        <f>K52+K56+K68+K65+K62+K59</f>
        <v>188.40217858644078</v>
      </c>
      <c r="L75" s="391"/>
      <c r="M75" s="391"/>
      <c r="N75" s="391"/>
      <c r="O75" s="391"/>
      <c r="P75" s="44"/>
      <c r="R75" s="44"/>
      <c r="S75" s="116">
        <v>31</v>
      </c>
      <c r="T75" s="393">
        <f ca="1">-D30*R72</f>
        <v>0</v>
      </c>
      <c r="V75" s="44"/>
      <c r="W75" s="211">
        <f ca="1">(D30/$D$34)*$T$77</f>
        <v>0</v>
      </c>
    </row>
    <row r="76" spans="1:23">
      <c r="J76" s="422"/>
      <c r="N76" s="422"/>
      <c r="P76" s="44"/>
      <c r="R76" s="44"/>
      <c r="S76" s="70" t="s">
        <v>352</v>
      </c>
      <c r="T76" s="393">
        <f ca="1">-D32*R72</f>
        <v>0</v>
      </c>
      <c r="V76" s="44"/>
      <c r="W76" s="211">
        <f ca="1">(D32/$D$34)*$T$77</f>
        <v>0</v>
      </c>
    </row>
    <row r="77" spans="1:23">
      <c r="J77" s="422"/>
      <c r="N77" s="422"/>
      <c r="P77" s="44"/>
      <c r="R77" s="44"/>
      <c r="S77" s="116"/>
      <c r="T77" s="393">
        <f ca="1">SUM(T71:T76)</f>
        <v>0</v>
      </c>
      <c r="V77" s="44"/>
      <c r="W77" s="211">
        <f ca="1">SUM(W71:W76)</f>
        <v>0</v>
      </c>
    </row>
    <row r="78" spans="1:23">
      <c r="J78" s="422"/>
      <c r="N78" s="422"/>
      <c r="P78" s="44"/>
      <c r="R78" s="44"/>
      <c r="S78" s="116"/>
      <c r="T78" s="44"/>
      <c r="V78" s="44"/>
    </row>
    <row r="79" spans="1:23">
      <c r="J79" s="422"/>
      <c r="N79" s="422"/>
      <c r="P79" s="44"/>
      <c r="R79" s="44"/>
      <c r="S79" s="116"/>
      <c r="T79" s="44"/>
      <c r="V79" s="44"/>
    </row>
    <row r="80" spans="1:23">
      <c r="J80" s="422"/>
      <c r="N80" s="422"/>
      <c r="P80" s="44"/>
      <c r="R80" s="44"/>
      <c r="S80" s="116"/>
      <c r="T80" s="44"/>
      <c r="V80" s="44"/>
    </row>
    <row r="81" spans="10:22">
      <c r="J81" s="422"/>
      <c r="N81" s="422"/>
      <c r="P81" s="44"/>
      <c r="R81" s="44"/>
      <c r="S81" s="116"/>
      <c r="T81" s="44"/>
      <c r="V81" s="44"/>
    </row>
    <row r="82" spans="10:22">
      <c r="J82" s="422"/>
      <c r="N82" s="422"/>
      <c r="P82" s="44"/>
      <c r="R82" s="44"/>
      <c r="S82" s="116"/>
      <c r="T82" s="44"/>
      <c r="V82" s="44"/>
    </row>
    <row r="83" spans="10:22">
      <c r="J83" s="422"/>
      <c r="N83" s="422"/>
      <c r="P83" s="44"/>
      <c r="R83" s="44"/>
      <c r="S83" s="116"/>
      <c r="T83" s="44"/>
      <c r="V83" s="44"/>
    </row>
    <row r="84" spans="10:22">
      <c r="J84" s="422"/>
      <c r="N84" s="422"/>
      <c r="P84" s="44"/>
      <c r="R84" s="44"/>
      <c r="S84" s="116"/>
      <c r="T84" s="44"/>
      <c r="V84" s="44"/>
    </row>
    <row r="85" spans="10:22">
      <c r="J85" s="422"/>
      <c r="N85" s="422"/>
      <c r="P85" s="44"/>
      <c r="R85" s="44"/>
      <c r="S85" s="116"/>
      <c r="T85" s="44"/>
      <c r="V85" s="44"/>
    </row>
    <row r="86" spans="10:22">
      <c r="J86" s="422"/>
      <c r="N86" s="422"/>
      <c r="P86" s="44"/>
      <c r="R86" s="44"/>
      <c r="S86" s="116"/>
      <c r="T86" s="44"/>
      <c r="V86" s="44"/>
    </row>
    <row r="87" spans="10:22">
      <c r="J87" s="422"/>
      <c r="N87" s="422"/>
      <c r="P87" s="44"/>
      <c r="R87" s="44"/>
      <c r="S87" s="116"/>
      <c r="T87" s="44"/>
      <c r="V87" s="44"/>
    </row>
    <row r="88" spans="10:22">
      <c r="J88" s="422"/>
      <c r="N88" s="422"/>
      <c r="P88" s="44"/>
      <c r="R88" s="44"/>
      <c r="S88" s="116"/>
      <c r="T88" s="44"/>
      <c r="V88" s="44"/>
    </row>
    <row r="89" spans="10:22">
      <c r="J89" s="422"/>
      <c r="N89" s="422"/>
      <c r="P89" s="44"/>
      <c r="R89" s="44"/>
      <c r="S89" s="116"/>
      <c r="T89" s="44"/>
      <c r="V89" s="44"/>
    </row>
    <row r="90" spans="10:22">
      <c r="J90" s="422"/>
      <c r="N90" s="422"/>
      <c r="P90" s="44"/>
      <c r="R90" s="44"/>
      <c r="S90" s="116"/>
      <c r="T90" s="44"/>
      <c r="V90" s="44"/>
    </row>
    <row r="91" spans="10:22">
      <c r="J91" s="422"/>
      <c r="N91" s="422"/>
      <c r="P91" s="44"/>
      <c r="R91" s="44"/>
      <c r="S91" s="116"/>
      <c r="T91" s="44"/>
      <c r="V91" s="44"/>
    </row>
    <row r="92" spans="10:22">
      <c r="J92" s="422"/>
      <c r="N92" s="422"/>
      <c r="P92" s="44"/>
      <c r="R92" s="44"/>
      <c r="S92" s="116"/>
      <c r="T92" s="44"/>
      <c r="V92" s="44"/>
    </row>
    <row r="93" spans="10:22">
      <c r="J93" s="422"/>
      <c r="N93" s="422"/>
      <c r="P93" s="44"/>
      <c r="R93" s="44"/>
      <c r="S93" s="116"/>
      <c r="T93" s="44"/>
      <c r="V93" s="44"/>
    </row>
    <row r="94" spans="10:22">
      <c r="J94" s="422"/>
      <c r="N94" s="422"/>
      <c r="P94" s="44"/>
      <c r="R94" s="44"/>
      <c r="S94" s="116"/>
      <c r="T94" s="44"/>
      <c r="V94" s="44"/>
    </row>
    <row r="95" spans="10:22">
      <c r="J95" s="422"/>
      <c r="N95" s="422"/>
      <c r="P95" s="44"/>
      <c r="R95" s="44"/>
      <c r="S95" s="116"/>
      <c r="T95" s="44"/>
      <c r="V95" s="44"/>
    </row>
    <row r="96" spans="10:22">
      <c r="J96" s="422"/>
      <c r="N96" s="422"/>
      <c r="P96" s="44"/>
      <c r="R96" s="44"/>
      <c r="S96" s="116"/>
      <c r="T96" s="44"/>
      <c r="V96" s="44"/>
    </row>
    <row r="97" spans="2:22">
      <c r="J97" s="422"/>
      <c r="N97" s="422"/>
      <c r="P97" s="44"/>
      <c r="R97" s="44"/>
      <c r="S97" s="116"/>
      <c r="T97" s="44"/>
      <c r="V97" s="44"/>
    </row>
    <row r="108" spans="2:22">
      <c r="B108" s="422"/>
    </row>
  </sheetData>
  <mergeCells count="6">
    <mergeCell ref="A5:W5"/>
    <mergeCell ref="Z1:AA3"/>
    <mergeCell ref="A1:W1"/>
    <mergeCell ref="A2:W2"/>
    <mergeCell ref="A3:W3"/>
    <mergeCell ref="A4:W4"/>
  </mergeCells>
  <phoneticPr fontId="0" type="noConversion"/>
  <conditionalFormatting sqref="D35:H35">
    <cfRule type="cellIs" dxfId="27" priority="1" stopIfTrue="1" operator="notEqual">
      <formula>0</formula>
    </cfRule>
  </conditionalFormatting>
  <pageMargins left="0.5" right="0.5" top="1" bottom="1" header="0.5" footer="0.5"/>
  <pageSetup scale="64" orientation="landscape" r:id="rId1"/>
  <headerFooter alignWithMargins="0">
    <oddHeader>&amp;RJDM-4</oddHeader>
    <oddFooter>&amp;RPage 1 of 3</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tabColor rgb="FF92D050"/>
    <pageSetUpPr fitToPage="1"/>
  </sheetPr>
  <dimension ref="A1:Y95"/>
  <sheetViews>
    <sheetView showGridLines="0" view="pageBreakPreview" zoomScale="115" zoomScaleNormal="85" zoomScaleSheetLayoutView="115" workbookViewId="0">
      <pane xSplit="3" ySplit="12" topLeftCell="D70" activePane="bottomRight" state="frozen"/>
      <selection activeCell="M469" sqref="M469"/>
      <selection pane="topRight" activeCell="M469" sqref="M469"/>
      <selection pane="bottomLeft" activeCell="M469" sqref="M469"/>
      <selection pane="bottomRight" activeCell="X76" sqref="X76"/>
    </sheetView>
  </sheetViews>
  <sheetFormatPr defaultColWidth="9.28515625" defaultRowHeight="12.75"/>
  <cols>
    <col min="1" max="2" width="9.28515625" style="44"/>
    <col min="3" max="3" width="8.7109375" style="44" customWidth="1"/>
    <col min="4" max="4" width="10.28515625" style="44" customWidth="1"/>
    <col min="5" max="5" width="10.7109375" style="44" customWidth="1"/>
    <col min="6" max="6" width="10.28515625" style="44" customWidth="1"/>
    <col min="7" max="7" width="9.5703125" style="116" hidden="1" customWidth="1"/>
    <col min="8" max="8" width="10.28515625" style="422" hidden="1" customWidth="1"/>
    <col min="9" max="9" width="1.7109375" style="44" customWidth="1"/>
    <col min="10" max="10" width="11.7109375" style="116" customWidth="1"/>
    <col min="11" max="11" width="15.28515625" style="116" customWidth="1"/>
    <col min="12" max="12" width="11.28515625" style="116" customWidth="1"/>
    <col min="13" max="13" width="11.7109375" style="116" customWidth="1"/>
    <col min="14" max="14" width="13" style="116" customWidth="1"/>
    <col min="15" max="16" width="13.5703125" style="116" hidden="1" customWidth="1"/>
    <col min="17" max="17" width="17.5703125" style="116" hidden="1" customWidth="1"/>
    <col min="18" max="20" width="9.28515625" style="44"/>
    <col min="21" max="21" width="11.7109375" style="44" bestFit="1" customWidth="1"/>
    <col min="22" max="22" width="11.42578125" style="44" bestFit="1" customWidth="1"/>
    <col min="23" max="23" width="10.28515625" style="44" bestFit="1" customWidth="1"/>
    <col min="24" max="24" width="14.5703125" style="357" bestFit="1" customWidth="1"/>
    <col min="25" max="25" width="9.28515625" style="357" bestFit="1" customWidth="1"/>
    <col min="26" max="16384" width="9.28515625" style="44"/>
  </cols>
  <sheetData>
    <row r="1" spans="1:25">
      <c r="A1" s="137" t="s">
        <v>101</v>
      </c>
      <c r="B1" s="351"/>
      <c r="C1" s="351"/>
      <c r="D1" s="351"/>
      <c r="E1" s="351"/>
      <c r="F1" s="351"/>
      <c r="G1" s="137"/>
      <c r="H1" s="351"/>
      <c r="I1" s="351"/>
      <c r="J1" s="137"/>
      <c r="K1" s="137"/>
      <c r="L1" s="137"/>
      <c r="M1" s="137"/>
      <c r="N1" s="137"/>
      <c r="O1" s="137"/>
      <c r="P1" s="137"/>
      <c r="Q1" s="137"/>
      <c r="S1" s="44" t="s">
        <v>346</v>
      </c>
    </row>
    <row r="2" spans="1:25">
      <c r="A2" s="137" t="s">
        <v>404</v>
      </c>
      <c r="B2" s="351"/>
      <c r="C2" s="351"/>
      <c r="D2" s="351"/>
      <c r="E2" s="351"/>
      <c r="F2" s="351"/>
      <c r="G2" s="137"/>
      <c r="H2" s="351"/>
      <c r="I2" s="351"/>
      <c r="J2" s="137"/>
      <c r="K2" s="137"/>
      <c r="L2" s="137"/>
      <c r="M2" s="137"/>
      <c r="N2" s="137"/>
      <c r="O2" s="137"/>
      <c r="P2" s="137"/>
      <c r="Q2" s="137"/>
    </row>
    <row r="3" spans="1:25">
      <c r="A3" s="137" t="s">
        <v>322</v>
      </c>
      <c r="B3" s="351"/>
      <c r="C3" s="351"/>
      <c r="D3" s="351"/>
      <c r="E3" s="351"/>
      <c r="F3" s="351"/>
      <c r="G3" s="137"/>
      <c r="H3" s="351"/>
      <c r="I3" s="351"/>
      <c r="J3" s="137"/>
      <c r="K3" s="137"/>
      <c r="L3" s="137"/>
      <c r="M3" s="137"/>
      <c r="N3" s="137"/>
      <c r="O3" s="137"/>
      <c r="P3" s="137"/>
      <c r="Q3" s="137"/>
    </row>
    <row r="4" spans="1:25">
      <c r="F4" s="349"/>
      <c r="H4" s="582"/>
    </row>
    <row r="6" spans="1:25" ht="15.75">
      <c r="A6" s="595"/>
    </row>
    <row r="7" spans="1:25" s="422" customFormat="1" ht="15.75">
      <c r="A7" s="595"/>
      <c r="G7" s="116"/>
      <c r="J7" s="116"/>
      <c r="K7" s="116"/>
      <c r="L7" s="116"/>
      <c r="M7" s="116"/>
      <c r="N7" s="116"/>
      <c r="O7" s="116"/>
      <c r="P7" s="116"/>
      <c r="Q7" s="116"/>
      <c r="X7" s="357"/>
      <c r="Y7" s="357"/>
    </row>
    <row r="8" spans="1:25" s="422" customFormat="1" ht="15.75">
      <c r="A8" s="595"/>
      <c r="G8" s="116"/>
      <c r="J8" s="116"/>
      <c r="K8" s="116"/>
      <c r="L8" s="116"/>
      <c r="M8" s="116"/>
      <c r="N8" s="116"/>
      <c r="O8" s="116"/>
      <c r="P8" s="116"/>
      <c r="Q8" s="116"/>
      <c r="X8" s="357"/>
      <c r="Y8" s="357"/>
    </row>
    <row r="9" spans="1:25">
      <c r="D9" s="213"/>
      <c r="E9" s="213"/>
      <c r="F9" s="213"/>
      <c r="G9" s="582" t="s">
        <v>804</v>
      </c>
      <c r="H9" s="569"/>
      <c r="I9" s="213"/>
      <c r="J9" s="349" t="s">
        <v>323</v>
      </c>
      <c r="K9" s="509" t="s">
        <v>869</v>
      </c>
      <c r="L9" s="539" t="s">
        <v>917</v>
      </c>
      <c r="M9" s="349" t="s">
        <v>288</v>
      </c>
      <c r="N9" s="349" t="s">
        <v>288</v>
      </c>
      <c r="O9" s="509" t="s">
        <v>552</v>
      </c>
      <c r="P9" s="509" t="s">
        <v>546</v>
      </c>
      <c r="Q9" s="375" t="s">
        <v>458</v>
      </c>
    </row>
    <row r="10" spans="1:25">
      <c r="D10" s="213" t="s">
        <v>229</v>
      </c>
      <c r="E10" s="213" t="s">
        <v>284</v>
      </c>
      <c r="F10" s="213" t="s">
        <v>324</v>
      </c>
      <c r="G10" s="582" t="s">
        <v>275</v>
      </c>
      <c r="H10" s="569" t="s">
        <v>750</v>
      </c>
      <c r="I10" s="213"/>
      <c r="J10" s="349" t="s">
        <v>325</v>
      </c>
      <c r="K10" s="509" t="s">
        <v>870</v>
      </c>
      <c r="L10" s="539" t="s">
        <v>939</v>
      </c>
      <c r="M10" s="349" t="s">
        <v>326</v>
      </c>
      <c r="N10" s="349" t="s">
        <v>229</v>
      </c>
      <c r="O10" s="509" t="s">
        <v>553</v>
      </c>
      <c r="P10" s="509" t="s">
        <v>547</v>
      </c>
      <c r="Q10" s="375" t="s">
        <v>459</v>
      </c>
      <c r="X10" s="360"/>
    </row>
    <row r="11" spans="1:25">
      <c r="A11" s="918" t="s">
        <v>443</v>
      </c>
      <c r="B11" s="918"/>
      <c r="C11" s="918"/>
      <c r="D11" s="352" t="s">
        <v>327</v>
      </c>
      <c r="E11" s="352" t="s">
        <v>328</v>
      </c>
      <c r="F11" s="352" t="s">
        <v>329</v>
      </c>
      <c r="G11" s="138" t="s">
        <v>749</v>
      </c>
      <c r="H11" s="352" t="s">
        <v>329</v>
      </c>
      <c r="I11" s="352"/>
      <c r="J11" s="138" t="s">
        <v>554</v>
      </c>
      <c r="K11" s="138" t="s">
        <v>292</v>
      </c>
      <c r="L11" s="138" t="s">
        <v>940</v>
      </c>
      <c r="M11" s="138" t="s">
        <v>275</v>
      </c>
      <c r="N11" s="138" t="s">
        <v>275</v>
      </c>
      <c r="O11" s="138" t="s">
        <v>412</v>
      </c>
      <c r="P11" s="138" t="s">
        <v>292</v>
      </c>
      <c r="Q11" s="138" t="s">
        <v>463</v>
      </c>
      <c r="R11" s="309" t="s">
        <v>426</v>
      </c>
      <c r="S11" s="309"/>
      <c r="T11" s="213"/>
      <c r="U11" s="213" t="s">
        <v>284</v>
      </c>
      <c r="V11" s="213" t="s">
        <v>286</v>
      </c>
      <c r="W11" s="213" t="s">
        <v>288</v>
      </c>
      <c r="X11" s="360"/>
    </row>
    <row r="12" spans="1:25">
      <c r="B12" s="213" t="s">
        <v>293</v>
      </c>
      <c r="D12" s="213" t="s">
        <v>294</v>
      </c>
      <c r="E12" s="213" t="s">
        <v>295</v>
      </c>
      <c r="F12" s="213" t="s">
        <v>296</v>
      </c>
      <c r="G12" s="582" t="s">
        <v>297</v>
      </c>
      <c r="H12" s="569" t="s">
        <v>297</v>
      </c>
      <c r="I12" s="213"/>
      <c r="J12" s="349" t="s">
        <v>297</v>
      </c>
      <c r="K12" s="509" t="s">
        <v>298</v>
      </c>
      <c r="L12" s="909" t="s">
        <v>299</v>
      </c>
      <c r="M12" s="909" t="s">
        <v>319</v>
      </c>
      <c r="N12" s="582" t="s">
        <v>320</v>
      </c>
      <c r="O12" s="375" t="s">
        <v>319</v>
      </c>
      <c r="P12" s="509" t="s">
        <v>320</v>
      </c>
      <c r="Q12" s="509" t="s">
        <v>379</v>
      </c>
      <c r="R12" s="213" t="s">
        <v>283</v>
      </c>
      <c r="S12" s="213" t="s">
        <v>425</v>
      </c>
      <c r="T12" s="213"/>
      <c r="U12" s="213" t="s">
        <v>425</v>
      </c>
      <c r="V12" s="213" t="s">
        <v>283</v>
      </c>
      <c r="W12" s="213" t="s">
        <v>425</v>
      </c>
      <c r="X12" s="360"/>
    </row>
    <row r="13" spans="1:25">
      <c r="A13" s="205" t="s">
        <v>330</v>
      </c>
      <c r="U13" s="400"/>
    </row>
    <row r="14" spans="1:25">
      <c r="A14" s="44" t="s">
        <v>266</v>
      </c>
      <c r="D14" s="211">
        <f>'Rate Design'!D4</f>
        <v>9</v>
      </c>
      <c r="E14" s="210">
        <f>F14-D14</f>
        <v>0</v>
      </c>
      <c r="F14" s="211">
        <f>'Rate Design'!D14</f>
        <v>9</v>
      </c>
      <c r="G14" s="206"/>
      <c r="H14" s="211"/>
      <c r="J14" s="206">
        <f>IF(ROUND(M14-F14,5)&lt;&gt;ROUND(N14-D14,5),#VALUE!,N14-D14)</f>
        <v>0</v>
      </c>
      <c r="K14" s="206"/>
      <c r="L14" s="206"/>
      <c r="M14" s="206">
        <f>'Rate Design'!D36</f>
        <v>9</v>
      </c>
      <c r="N14" s="206">
        <f>'Rate Design'!D26</f>
        <v>9</v>
      </c>
      <c r="O14" s="206"/>
      <c r="P14" s="206"/>
      <c r="Q14" s="206">
        <f>N14</f>
        <v>9</v>
      </c>
      <c r="R14" s="353">
        <f>J14/D14</f>
        <v>0</v>
      </c>
      <c r="S14" s="353">
        <f>J14/F14</f>
        <v>0</v>
      </c>
      <c r="T14" s="353"/>
      <c r="U14" s="401"/>
      <c r="V14" s="401"/>
      <c r="X14" s="431"/>
      <c r="Y14" s="431"/>
    </row>
    <row r="15" spans="1:25">
      <c r="A15" s="44" t="s">
        <v>331</v>
      </c>
      <c r="U15" s="401"/>
      <c r="V15" s="401"/>
      <c r="X15" s="431"/>
      <c r="Y15" s="431"/>
    </row>
    <row r="16" spans="1:25">
      <c r="A16" s="321" t="str">
        <f>"First "&amp;TEXT('Rate Design'!Q5,"#,##0")&amp;" kWhs"</f>
        <v>First 800 kWhs</v>
      </c>
      <c r="D16" s="209">
        <f>'Rate Design'!D5/100</f>
        <v>8.1029999999999991E-2</v>
      </c>
      <c r="E16" s="209">
        <f>F16-D16</f>
        <v>-3.6699999999999927E-3</v>
      </c>
      <c r="F16" s="209">
        <f>'Rate Design'!D15/100</f>
        <v>7.7359999999999998E-2</v>
      </c>
      <c r="G16" s="398"/>
      <c r="H16" s="209">
        <f>F16+G16</f>
        <v>7.7359999999999998E-2</v>
      </c>
      <c r="I16" s="209"/>
      <c r="J16" s="207">
        <f>N16-D16</f>
        <v>4.1600000000000109E-3</v>
      </c>
      <c r="K16" s="514">
        <f>LIRAP!E12</f>
        <v>1.2E-4</v>
      </c>
      <c r="L16" s="207">
        <f>-J16-K16</f>
        <v>-4.2800000000000112E-3</v>
      </c>
      <c r="M16" s="207">
        <f>F16+J16+K16+L16</f>
        <v>7.7359999999999998E-2</v>
      </c>
      <c r="N16" s="354">
        <f>'Rate Design'!D27/100</f>
        <v>8.5190000000000002E-2</v>
      </c>
      <c r="O16" s="398" t="e">
        <f>#REF!</f>
        <v>#REF!</v>
      </c>
      <c r="P16" s="398">
        <f>0.00164+0.00083</f>
        <v>2.47E-3</v>
      </c>
      <c r="Q16" s="354" t="e">
        <f>M16+O16+P16</f>
        <v>#REF!</v>
      </c>
      <c r="R16" s="353">
        <f>J16/D16</f>
        <v>5.1339010243119973E-2</v>
      </c>
      <c r="S16" s="353">
        <f>(J16+L16)/F16</f>
        <v>-1.5511892450879047E-3</v>
      </c>
      <c r="U16" s="209">
        <f>D16+E16-F16</f>
        <v>0</v>
      </c>
      <c r="V16" s="209">
        <f>D16+J16-N16</f>
        <v>0</v>
      </c>
      <c r="W16" s="209">
        <f>F16+G16+J16+K16+L16-M16</f>
        <v>0</v>
      </c>
      <c r="X16" s="431"/>
      <c r="Y16" s="431"/>
    </row>
    <row r="17" spans="1:25">
      <c r="A17" s="321" t="str">
        <f>TEXT('Rate Design'!Q5,"#,##0")&amp;" - "&amp;TEXT('Rate Design'!Q6,"#,##0")&amp;" kWhs"</f>
        <v>800 - 1,500 kWhs</v>
      </c>
      <c r="D17" s="209">
        <f>'Rate Design'!D6/100</f>
        <v>9.4269999999999993E-2</v>
      </c>
      <c r="E17" s="209">
        <f>F17-D17</f>
        <v>-3.6699999999999927E-3</v>
      </c>
      <c r="F17" s="209">
        <f>'Rate Design'!D16/100</f>
        <v>9.06E-2</v>
      </c>
      <c r="G17" s="398"/>
      <c r="H17" s="209">
        <f>F17+G17</f>
        <v>9.06E-2</v>
      </c>
      <c r="I17" s="209"/>
      <c r="J17" s="207">
        <f>N17-D17</f>
        <v>4.8399999999999971E-3</v>
      </c>
      <c r="K17" s="514">
        <f>K16</f>
        <v>1.2E-4</v>
      </c>
      <c r="L17" s="207">
        <f t="shared" ref="L17:L18" si="0">-J17-K17</f>
        <v>-4.9599999999999974E-3</v>
      </c>
      <c r="M17" s="207">
        <f t="shared" ref="M17" si="1">F17+J17+K17+L17</f>
        <v>9.06E-2</v>
      </c>
      <c r="N17" s="354">
        <f>'Rate Design'!D28/100</f>
        <v>9.910999999999999E-2</v>
      </c>
      <c r="O17" s="398" t="e">
        <f>O16</f>
        <v>#REF!</v>
      </c>
      <c r="P17" s="398">
        <f>P16</f>
        <v>2.47E-3</v>
      </c>
      <c r="Q17" s="354" t="e">
        <f>M17+O17</f>
        <v>#REF!</v>
      </c>
      <c r="R17" s="353">
        <f>J17/D17</f>
        <v>5.1341890315052485E-2</v>
      </c>
      <c r="S17" s="353">
        <f t="shared" ref="S17:S18" si="2">(J17+L17)/F17</f>
        <v>-1.3245033112582816E-3</v>
      </c>
      <c r="U17" s="209">
        <f>D17+E17-F17</f>
        <v>0</v>
      </c>
      <c r="V17" s="209">
        <f>D17+J17-N17</f>
        <v>0</v>
      </c>
      <c r="W17" s="209">
        <f>F17+G17+J17+K17+L17-M17</f>
        <v>0</v>
      </c>
      <c r="X17" s="431"/>
      <c r="Y17" s="431"/>
    </row>
    <row r="18" spans="1:25">
      <c r="A18" s="321" t="str">
        <f>"All over "&amp;TEXT('Rate Design'!Q6,"#,##0")&amp;" kWhs"</f>
        <v>All over 1,500 kWhs</v>
      </c>
      <c r="D18" s="209">
        <f>'Rate Design'!D7/100</f>
        <v>0.11053</v>
      </c>
      <c r="E18" s="209">
        <f>F18-D18</f>
        <v>-3.6699999999999927E-3</v>
      </c>
      <c r="F18" s="209">
        <f>'Rate Design'!D17/100</f>
        <v>0.10686000000000001</v>
      </c>
      <c r="G18" s="398"/>
      <c r="H18" s="209">
        <f>F18+G18</f>
        <v>0.10686000000000001</v>
      </c>
      <c r="I18" s="209"/>
      <c r="J18" s="207">
        <f>N18-D18</f>
        <v>5.6800000000000045E-3</v>
      </c>
      <c r="K18" s="514">
        <f>K16</f>
        <v>1.2E-4</v>
      </c>
      <c r="L18" s="207">
        <f t="shared" si="0"/>
        <v>-5.8000000000000048E-3</v>
      </c>
      <c r="M18" s="207">
        <f>F18+J18+K18+L18</f>
        <v>0.10686000000000001</v>
      </c>
      <c r="N18" s="354">
        <f>'Rate Design'!D29/100</f>
        <v>0.11621000000000001</v>
      </c>
      <c r="O18" s="398" t="e">
        <f>O16</f>
        <v>#REF!</v>
      </c>
      <c r="P18" s="398">
        <f>P16</f>
        <v>2.47E-3</v>
      </c>
      <c r="Q18" s="354" t="e">
        <f>M18+O18</f>
        <v>#REF!</v>
      </c>
      <c r="R18" s="353">
        <f>J18/D18</f>
        <v>5.1388763231701842E-2</v>
      </c>
      <c r="S18" s="353">
        <f t="shared" si="2"/>
        <v>-1.1229646266142645E-3</v>
      </c>
      <c r="U18" s="209">
        <f>D18+E18-F18</f>
        <v>0</v>
      </c>
      <c r="V18" s="209">
        <f>D18+J18-N18</f>
        <v>0</v>
      </c>
      <c r="W18" s="209">
        <f>F18+G18+J18+K18+L18-M18</f>
        <v>0</v>
      </c>
      <c r="X18" s="431"/>
      <c r="Y18" s="431"/>
    </row>
    <row r="19" spans="1:25">
      <c r="D19" s="209"/>
      <c r="E19" s="209"/>
      <c r="F19" s="209"/>
      <c r="G19" s="207"/>
      <c r="H19" s="209"/>
      <c r="I19" s="209"/>
      <c r="J19" s="207"/>
      <c r="K19" s="207"/>
      <c r="L19" s="207"/>
      <c r="M19" s="207"/>
      <c r="U19" s="209"/>
      <c r="V19" s="209"/>
      <c r="W19" s="209"/>
      <c r="X19" s="431"/>
      <c r="Y19" s="431"/>
    </row>
    <row r="20" spans="1:25">
      <c r="A20" s="205" t="s">
        <v>332</v>
      </c>
      <c r="K20" s="207"/>
      <c r="U20" s="209"/>
      <c r="V20" s="209"/>
      <c r="W20" s="209"/>
      <c r="X20" s="431"/>
      <c r="Y20" s="431"/>
    </row>
    <row r="21" spans="1:25">
      <c r="A21" s="44" t="s">
        <v>266</v>
      </c>
      <c r="D21" s="211">
        <f>'Rate Design'!E4</f>
        <v>20</v>
      </c>
      <c r="E21" s="210">
        <f>F21-D21</f>
        <v>0</v>
      </c>
      <c r="F21" s="211">
        <f>'Rate Design'!E14</f>
        <v>20</v>
      </c>
      <c r="G21" s="206"/>
      <c r="H21" s="211"/>
      <c r="J21" s="206">
        <f>IF(ROUND(M21-F21,5)&lt;&gt;ROUND(N21-D21,5),#VALUE!,N21-D21)</f>
        <v>0</v>
      </c>
      <c r="K21" s="207"/>
      <c r="L21" s="206"/>
      <c r="M21" s="206">
        <f>'Rate Design'!E36</f>
        <v>20</v>
      </c>
      <c r="N21" s="206">
        <f>'Rate Design'!E26</f>
        <v>20</v>
      </c>
      <c r="O21" s="206"/>
      <c r="P21" s="206"/>
      <c r="Q21" s="206">
        <f>N21</f>
        <v>20</v>
      </c>
      <c r="R21" s="353">
        <f>J21/D21</f>
        <v>0</v>
      </c>
      <c r="S21" s="353">
        <f>J21/F21</f>
        <v>0</v>
      </c>
      <c r="U21" s="209"/>
      <c r="V21" s="209"/>
      <c r="W21" s="209"/>
      <c r="X21" s="431"/>
      <c r="Y21" s="431"/>
    </row>
    <row r="22" spans="1:25">
      <c r="A22" s="44" t="s">
        <v>331</v>
      </c>
      <c r="K22" s="207"/>
      <c r="U22" s="209"/>
      <c r="V22" s="209"/>
      <c r="W22" s="209"/>
      <c r="X22" s="431"/>
      <c r="Y22" s="431"/>
    </row>
    <row r="23" spans="1:25">
      <c r="A23" s="321" t="str">
        <f>"First "&amp;TEXT('Rate Design'!R5,"#,##0")&amp;" kWhs"</f>
        <v>First 3,650 kWhs</v>
      </c>
      <c r="D23" s="209">
        <f>'Rate Design'!E5/100</f>
        <v>0.11686000000000001</v>
      </c>
      <c r="E23" s="209">
        <f>F23-D23</f>
        <v>8.7599999999999761E-3</v>
      </c>
      <c r="F23" s="209">
        <f>'Rate Design'!E15/100</f>
        <v>0.12561999999999998</v>
      </c>
      <c r="G23" s="207"/>
      <c r="H23" s="209">
        <f>F23+G23</f>
        <v>0.12561999999999998</v>
      </c>
      <c r="I23" s="209"/>
      <c r="J23" s="207">
        <f>N23-D23</f>
        <v>2.4999999999999883E-3</v>
      </c>
      <c r="K23" s="207">
        <f>LIRAP!E14</f>
        <v>1.7000000000000001E-4</v>
      </c>
      <c r="L23" s="207">
        <f>-J23-K23</f>
        <v>-2.6699999999999884E-3</v>
      </c>
      <c r="M23" s="207">
        <f>F23+J23+K23+L23</f>
        <v>0.12561999999999998</v>
      </c>
      <c r="N23" s="354">
        <f>'Rate Design'!E27/100</f>
        <v>0.11935999999999999</v>
      </c>
      <c r="O23" s="354" t="e">
        <f>O16</f>
        <v>#REF!</v>
      </c>
      <c r="P23" s="354">
        <f>P16</f>
        <v>2.47E-3</v>
      </c>
      <c r="Q23" s="354" t="e">
        <f>M23+O23</f>
        <v>#REF!</v>
      </c>
      <c r="R23" s="353">
        <f>J23/D23</f>
        <v>2.1393119972616705E-2</v>
      </c>
      <c r="S23" s="353">
        <f>(J23+L23)/F23</f>
        <v>-1.3532876930425093E-3</v>
      </c>
      <c r="U23" s="209">
        <f>D23+E23-F23</f>
        <v>0</v>
      </c>
      <c r="V23" s="209">
        <f>D23+J23-N23</f>
        <v>0</v>
      </c>
      <c r="W23" s="209">
        <f>F23+G23+J23+K23+L23-M23</f>
        <v>0</v>
      </c>
      <c r="X23" s="431"/>
      <c r="Y23" s="431"/>
    </row>
    <row r="24" spans="1:25">
      <c r="A24" s="321" t="str">
        <f>"All over "&amp;TEXT('Rate Design'!R5,"#,##0")&amp;" kWhs"</f>
        <v>All over 3,650 kWhs</v>
      </c>
      <c r="D24" s="209">
        <f>'Rate Design'!E6/100</f>
        <v>8.5879999999999998E-2</v>
      </c>
      <c r="E24" s="209">
        <f>F24-D24</f>
        <v>8.75999999999999E-3</v>
      </c>
      <c r="F24" s="209">
        <f>'Rate Design'!E16/100</f>
        <v>9.4639999999999988E-2</v>
      </c>
      <c r="G24" s="207"/>
      <c r="H24" s="209">
        <f>F24+G24</f>
        <v>9.4639999999999988E-2</v>
      </c>
      <c r="I24" s="209"/>
      <c r="J24" s="207">
        <f>N24-D24</f>
        <v>1.8300000000000122E-3</v>
      </c>
      <c r="K24" s="207">
        <f>K23</f>
        <v>1.7000000000000001E-4</v>
      </c>
      <c r="L24" s="207">
        <f>-J24-K24</f>
        <v>-2.0000000000000122E-3</v>
      </c>
      <c r="M24" s="207">
        <f>F24+J24+K24+L24</f>
        <v>9.4639999999999988E-2</v>
      </c>
      <c r="N24" s="354">
        <f>'Rate Design'!E28/100</f>
        <v>8.771000000000001E-2</v>
      </c>
      <c r="O24" s="354" t="e">
        <f>O23</f>
        <v>#REF!</v>
      </c>
      <c r="P24" s="354">
        <f>P23</f>
        <v>2.47E-3</v>
      </c>
      <c r="Q24" s="354" t="e">
        <f>M24+O24</f>
        <v>#REF!</v>
      </c>
      <c r="R24" s="353">
        <f>J24/D24</f>
        <v>2.1308802980903728E-2</v>
      </c>
      <c r="S24" s="353">
        <f>(J24+L24)/F24</f>
        <v>-1.796280642434489E-3</v>
      </c>
      <c r="U24" s="209">
        <f>D24+E24-F24</f>
        <v>0</v>
      </c>
      <c r="V24" s="209">
        <f>D24+J24-N24</f>
        <v>0</v>
      </c>
      <c r="W24" s="209">
        <f>F24+G24+J24+K24+L24-M24</f>
        <v>0</v>
      </c>
      <c r="X24" s="431"/>
      <c r="Y24" s="431"/>
    </row>
    <row r="25" spans="1:25">
      <c r="A25" s="44" t="s">
        <v>333</v>
      </c>
      <c r="K25" s="207"/>
      <c r="U25" s="209"/>
      <c r="V25" s="209"/>
      <c r="W25" s="209"/>
      <c r="X25" s="431"/>
      <c r="Y25" s="431"/>
    </row>
    <row r="26" spans="1:25">
      <c r="A26" s="321" t="str">
        <f>TEXT('Rate Design'!R10,"#,##0")&amp;" kW or less"</f>
        <v>20 kW or less</v>
      </c>
      <c r="D26" s="214" t="s">
        <v>334</v>
      </c>
      <c r="E26" s="213"/>
      <c r="F26" s="214" t="s">
        <v>334</v>
      </c>
      <c r="H26" s="214"/>
      <c r="J26" s="70" t="s">
        <v>334</v>
      </c>
      <c r="K26" s="511"/>
      <c r="N26" s="70" t="s">
        <v>334</v>
      </c>
      <c r="O26" s="70"/>
      <c r="P26" s="70"/>
      <c r="Q26" s="70" t="s">
        <v>334</v>
      </c>
      <c r="U26" s="209"/>
      <c r="V26" s="209"/>
      <c r="W26" s="209"/>
      <c r="X26" s="431"/>
      <c r="Y26" s="431"/>
    </row>
    <row r="27" spans="1:25">
      <c r="A27" s="321" t="str">
        <f>"Over "&amp;TEXT('Rate Design'!R10,"#,##0")&amp;" kW"</f>
        <v>Over 20 kW</v>
      </c>
      <c r="D27" s="212">
        <f>'Rate Design'!E10</f>
        <v>7</v>
      </c>
      <c r="E27" s="212">
        <f>F27-D27</f>
        <v>0</v>
      </c>
      <c r="F27" s="212">
        <f>'Rate Design'!E20</f>
        <v>7</v>
      </c>
      <c r="G27" s="212"/>
      <c r="H27" s="212"/>
      <c r="J27" s="212">
        <f>IF(ROUND(M27-F27,5)&lt;&gt;ROUND(N27-D27,5),#VALUE!,N27-D27)</f>
        <v>0</v>
      </c>
      <c r="K27" s="513"/>
      <c r="L27" s="212"/>
      <c r="M27" s="212">
        <f>'Rate Design'!E42</f>
        <v>7</v>
      </c>
      <c r="N27" s="212">
        <f>'Rate Design'!E32</f>
        <v>7</v>
      </c>
      <c r="O27" s="212"/>
      <c r="P27" s="212"/>
      <c r="Q27" s="212">
        <f>'Rate Design'!E32</f>
        <v>7</v>
      </c>
      <c r="R27" s="353">
        <f>J27/D27</f>
        <v>0</v>
      </c>
      <c r="S27" s="353">
        <f>J27/F27</f>
        <v>0</v>
      </c>
      <c r="U27" s="209"/>
      <c r="V27" s="209"/>
      <c r="W27" s="209"/>
      <c r="X27" s="431"/>
      <c r="Y27" s="431"/>
    </row>
    <row r="28" spans="1:25" s="422" customFormat="1">
      <c r="A28" s="422" t="s">
        <v>607</v>
      </c>
      <c r="D28" s="653" t="s">
        <v>608</v>
      </c>
      <c r="E28" s="212"/>
      <c r="F28" s="212"/>
      <c r="G28" s="212"/>
      <c r="H28" s="212"/>
      <c r="J28" s="591"/>
      <c r="K28" s="513"/>
      <c r="L28" s="212"/>
      <c r="M28" s="653" t="s">
        <v>608</v>
      </c>
      <c r="N28" s="212"/>
      <c r="O28" s="212"/>
      <c r="P28" s="212"/>
      <c r="Q28" s="212"/>
      <c r="R28" s="353"/>
      <c r="S28" s="353"/>
      <c r="U28" s="209"/>
      <c r="V28" s="209"/>
      <c r="W28" s="209"/>
      <c r="X28" s="431"/>
      <c r="Y28" s="431"/>
    </row>
    <row r="29" spans="1:25">
      <c r="D29" s="653" t="s">
        <v>609</v>
      </c>
      <c r="K29" s="207"/>
      <c r="M29" s="653" t="s">
        <v>609</v>
      </c>
      <c r="U29" s="209"/>
      <c r="V29" s="209"/>
      <c r="W29" s="209"/>
      <c r="X29" s="431"/>
      <c r="Y29" s="431"/>
    </row>
    <row r="30" spans="1:25" s="422" customFormat="1" hidden="1">
      <c r="D30" s="592"/>
      <c r="G30" s="116"/>
      <c r="J30" s="116"/>
      <c r="K30" s="207"/>
      <c r="L30" s="116"/>
      <c r="M30" s="592"/>
      <c r="N30" s="116"/>
      <c r="O30" s="116"/>
      <c r="P30" s="116"/>
      <c r="Q30" s="116"/>
      <c r="U30" s="209"/>
      <c r="V30" s="209"/>
      <c r="W30" s="209"/>
      <c r="X30" s="431"/>
      <c r="Y30" s="431"/>
    </row>
    <row r="31" spans="1:25" s="422" customFormat="1" hidden="1">
      <c r="A31" s="529" t="s">
        <v>969</v>
      </c>
      <c r="G31" s="116"/>
      <c r="J31" s="116"/>
      <c r="K31" s="207"/>
      <c r="L31" s="116"/>
      <c r="M31" s="116"/>
      <c r="N31" s="116"/>
      <c r="O31" s="116"/>
      <c r="P31" s="116"/>
      <c r="Q31" s="116"/>
      <c r="U31" s="209"/>
      <c r="V31" s="209"/>
      <c r="W31" s="209"/>
      <c r="X31" s="431"/>
      <c r="Y31" s="431"/>
    </row>
    <row r="32" spans="1:25" s="422" customFormat="1" hidden="1">
      <c r="A32" s="422" t="s">
        <v>266</v>
      </c>
      <c r="D32" s="211">
        <f>'Rate Design'!F4</f>
        <v>20</v>
      </c>
      <c r="E32" s="210">
        <f>F32-D32</f>
        <v>0</v>
      </c>
      <c r="F32" s="211">
        <f>'Rate Design'!F14</f>
        <v>20</v>
      </c>
      <c r="G32" s="206"/>
      <c r="H32" s="211"/>
      <c r="J32" s="206">
        <f>IF(ROUND(M32-F32,5)&lt;&gt;ROUND(N32-D32,5),#VALUE!,N32-D32)</f>
        <v>0</v>
      </c>
      <c r="K32" s="207"/>
      <c r="L32" s="206"/>
      <c r="M32" s="206">
        <f>'Rate Design'!F36</f>
        <v>20</v>
      </c>
      <c r="N32" s="206">
        <f>'Rate Design'!F26</f>
        <v>20</v>
      </c>
      <c r="O32" s="206"/>
      <c r="P32" s="206"/>
      <c r="Q32" s="206">
        <f>N32</f>
        <v>20</v>
      </c>
      <c r="R32" s="353">
        <f>J32/D32</f>
        <v>0</v>
      </c>
      <c r="S32" s="353">
        <f>J32/F32</f>
        <v>0</v>
      </c>
      <c r="U32" s="209"/>
      <c r="V32" s="209"/>
      <c r="W32" s="209"/>
      <c r="X32" s="431"/>
      <c r="Y32" s="431"/>
    </row>
    <row r="33" spans="1:25" s="422" customFormat="1" hidden="1">
      <c r="A33" s="422" t="s">
        <v>331</v>
      </c>
      <c r="G33" s="116"/>
      <c r="J33" s="116"/>
      <c r="K33" s="207"/>
      <c r="L33" s="116"/>
      <c r="M33" s="116"/>
      <c r="N33" s="116"/>
      <c r="O33" s="116"/>
      <c r="P33" s="116"/>
      <c r="Q33" s="116"/>
      <c r="U33" s="209"/>
      <c r="V33" s="209"/>
      <c r="W33" s="209"/>
      <c r="X33" s="431"/>
      <c r="Y33" s="431"/>
    </row>
    <row r="34" spans="1:25" s="422" customFormat="1" hidden="1">
      <c r="A34" s="321" t="s">
        <v>975</v>
      </c>
      <c r="D34" s="209">
        <f>'Rate Design'!F5/100</f>
        <v>0.21108000000000002</v>
      </c>
      <c r="E34" s="209">
        <f>F34-D34</f>
        <v>8.7599999999999623E-3</v>
      </c>
      <c r="F34" s="209">
        <f>'Rate Design'!F15/100</f>
        <v>0.21983999999999998</v>
      </c>
      <c r="G34" s="207"/>
      <c r="H34" s="209">
        <f>F34+G34</f>
        <v>0.21983999999999998</v>
      </c>
      <c r="I34" s="209"/>
      <c r="J34" s="207">
        <f>N34-D34</f>
        <v>0</v>
      </c>
      <c r="K34" s="207">
        <v>0</v>
      </c>
      <c r="L34" s="207">
        <f>-J34</f>
        <v>0</v>
      </c>
      <c r="M34" s="207">
        <f>F34+J34+K34+L34</f>
        <v>0.21983999999999998</v>
      </c>
      <c r="N34" s="354">
        <f>'Rate Design'!F27/100</f>
        <v>0.21108000000000002</v>
      </c>
      <c r="O34" s="354">
        <f>O27</f>
        <v>0</v>
      </c>
      <c r="P34" s="354">
        <f>P27</f>
        <v>0</v>
      </c>
      <c r="Q34" s="354">
        <f>M34+O34</f>
        <v>0.21983999999999998</v>
      </c>
      <c r="R34" s="353">
        <f>J34/D34</f>
        <v>0</v>
      </c>
      <c r="S34" s="353">
        <f>(J34+L34)/F34</f>
        <v>0</v>
      </c>
      <c r="U34" s="209">
        <f>D34+E34-F34</f>
        <v>0</v>
      </c>
      <c r="V34" s="209">
        <f>D34+J34-N34</f>
        <v>0</v>
      </c>
      <c r="W34" s="209">
        <f>F34+G34+J34+K34+L34-M34</f>
        <v>0</v>
      </c>
      <c r="X34" s="431"/>
      <c r="Y34" s="431"/>
    </row>
    <row r="35" spans="1:25" s="422" customFormat="1" hidden="1">
      <c r="A35" s="321" t="s">
        <v>976</v>
      </c>
      <c r="D35" s="209">
        <f>'Rate Design'!F6/100</f>
        <v>8.5879999999999998E-2</v>
      </c>
      <c r="E35" s="209">
        <f>F35-D35</f>
        <v>8.75999999999999E-3</v>
      </c>
      <c r="F35" s="209">
        <f>'Rate Design'!F16/100</f>
        <v>9.4639999999999988E-2</v>
      </c>
      <c r="G35" s="207"/>
      <c r="H35" s="209">
        <f>F35+G35</f>
        <v>9.4639999999999988E-2</v>
      </c>
      <c r="I35" s="209"/>
      <c r="J35" s="207">
        <f>N35-D35</f>
        <v>0</v>
      </c>
      <c r="K35" s="207">
        <f>K34</f>
        <v>0</v>
      </c>
      <c r="L35" s="207">
        <f>-J35</f>
        <v>0</v>
      </c>
      <c r="M35" s="207">
        <f>F35+J35+K35+L35</f>
        <v>9.4639999999999988E-2</v>
      </c>
      <c r="N35" s="354">
        <f>'Rate Design'!F28/100</f>
        <v>8.5879999999999998E-2</v>
      </c>
      <c r="O35" s="354">
        <f>O34</f>
        <v>0</v>
      </c>
      <c r="P35" s="354">
        <f>P34</f>
        <v>0</v>
      </c>
      <c r="Q35" s="354">
        <f>M35+O35</f>
        <v>9.4639999999999988E-2</v>
      </c>
      <c r="R35" s="353">
        <f>J35/D35</f>
        <v>0</v>
      </c>
      <c r="S35" s="353">
        <f>(J35+L35)/F35</f>
        <v>0</v>
      </c>
      <c r="U35" s="209">
        <f>D35+E35-F35</f>
        <v>0</v>
      </c>
      <c r="V35" s="209">
        <f>D35+J35-N35</f>
        <v>0</v>
      </c>
      <c r="W35" s="209">
        <f>F35+G35+J35+K35+L35-M35</f>
        <v>0</v>
      </c>
      <c r="X35" s="431"/>
      <c r="Y35" s="431"/>
    </row>
    <row r="36" spans="1:25" s="422" customFormat="1" hidden="1">
      <c r="A36" s="422" t="s">
        <v>607</v>
      </c>
      <c r="D36" s="653" t="s">
        <v>608</v>
      </c>
      <c r="E36" s="212"/>
      <c r="F36" s="212"/>
      <c r="G36" s="212"/>
      <c r="H36" s="212"/>
      <c r="J36" s="591"/>
      <c r="K36" s="513"/>
      <c r="L36" s="212"/>
      <c r="M36" s="653" t="s">
        <v>608</v>
      </c>
      <c r="N36" s="212"/>
      <c r="O36" s="212"/>
      <c r="P36" s="212"/>
      <c r="Q36" s="212"/>
      <c r="R36" s="353"/>
      <c r="S36" s="353"/>
      <c r="U36" s="209"/>
      <c r="V36" s="209"/>
      <c r="W36" s="209"/>
      <c r="X36" s="431"/>
      <c r="Y36" s="431"/>
    </row>
    <row r="37" spans="1:25" s="422" customFormat="1" hidden="1">
      <c r="D37" s="653" t="s">
        <v>609</v>
      </c>
      <c r="G37" s="116"/>
      <c r="J37" s="116"/>
      <c r="K37" s="207"/>
      <c r="L37" s="116"/>
      <c r="M37" s="653" t="s">
        <v>609</v>
      </c>
      <c r="N37" s="116"/>
      <c r="O37" s="116"/>
      <c r="P37" s="116"/>
      <c r="Q37" s="116"/>
      <c r="U37" s="209"/>
      <c r="V37" s="209"/>
      <c r="W37" s="209"/>
      <c r="X37" s="431"/>
      <c r="Y37" s="431"/>
    </row>
    <row r="38" spans="1:25" s="422" customFormat="1">
      <c r="D38" s="592"/>
      <c r="G38" s="116"/>
      <c r="J38" s="116"/>
      <c r="K38" s="207"/>
      <c r="L38" s="116"/>
      <c r="M38" s="592"/>
      <c r="N38" s="116"/>
      <c r="O38" s="116"/>
      <c r="P38" s="116"/>
      <c r="Q38" s="116"/>
      <c r="U38" s="209"/>
      <c r="V38" s="209"/>
      <c r="W38" s="209"/>
      <c r="X38" s="431"/>
      <c r="Y38" s="431"/>
    </row>
    <row r="39" spans="1:25">
      <c r="A39" s="205" t="s">
        <v>335</v>
      </c>
      <c r="K39" s="207"/>
      <c r="U39" s="209"/>
      <c r="V39" s="209"/>
      <c r="W39" s="209"/>
      <c r="X39" s="431"/>
      <c r="Y39" s="431"/>
    </row>
    <row r="40" spans="1:25">
      <c r="A40" s="44" t="s">
        <v>331</v>
      </c>
      <c r="K40" s="207"/>
      <c r="U40" s="209"/>
      <c r="V40" s="209"/>
      <c r="W40" s="209"/>
      <c r="X40" s="431"/>
      <c r="Y40" s="431"/>
    </row>
    <row r="41" spans="1:25">
      <c r="A41" s="321" t="str">
        <f>"First "&amp;TEXT('Rate Design'!T5,"#,##0")&amp;" kWhs"</f>
        <v>First 250,000 kWhs</v>
      </c>
      <c r="D41" s="209">
        <f>'Rate Design'!G5/100</f>
        <v>7.535E-2</v>
      </c>
      <c r="E41" s="209">
        <f>F41-D41</f>
        <v>7.5699999999999934E-3</v>
      </c>
      <c r="F41" s="209">
        <f>'Rate Design'!G15/100</f>
        <v>8.2919999999999994E-2</v>
      </c>
      <c r="G41" s="207"/>
      <c r="H41" s="209">
        <f>F41+G41</f>
        <v>8.2919999999999994E-2</v>
      </c>
      <c r="I41" s="209"/>
      <c r="J41" s="207">
        <f>N41-D41</f>
        <v>1.7899999999999999E-3</v>
      </c>
      <c r="K41" s="207">
        <f>LIRAP!E16</f>
        <v>1.2999999999999999E-4</v>
      </c>
      <c r="L41" s="207">
        <f>-J41-K41</f>
        <v>-1.9199999999999998E-3</v>
      </c>
      <c r="M41" s="207">
        <f>F41+J41+K41+L41</f>
        <v>8.2919999999999994E-2</v>
      </c>
      <c r="N41" s="354">
        <f>'Rate Design'!G27/100</f>
        <v>7.714E-2</v>
      </c>
      <c r="O41" s="354" t="e">
        <f>O16</f>
        <v>#REF!</v>
      </c>
      <c r="P41" s="354">
        <f>P16</f>
        <v>2.47E-3</v>
      </c>
      <c r="Q41" s="354" t="e">
        <f>M41+O41</f>
        <v>#REF!</v>
      </c>
      <c r="R41" s="353">
        <f>J41/D41</f>
        <v>2.3755806237558061E-2</v>
      </c>
      <c r="S41" s="353">
        <f>(J41+L41)/F41</f>
        <v>-1.567776169802218E-3</v>
      </c>
      <c r="U41" s="209">
        <f>D41+E41-F41</f>
        <v>0</v>
      </c>
      <c r="V41" s="209">
        <f>D41+J41-N41</f>
        <v>0</v>
      </c>
      <c r="W41" s="209">
        <f>F41+G41+J41+K41+L41-M41</f>
        <v>0</v>
      </c>
      <c r="X41" s="431"/>
      <c r="Y41" s="431"/>
    </row>
    <row r="42" spans="1:25">
      <c r="A42" s="321" t="str">
        <f>"All over "&amp;TEXT('Rate Design'!T5,"#,##0")&amp;" kWhs"</f>
        <v>All over 250,000 kWhs</v>
      </c>
      <c r="D42" s="209">
        <f>'Rate Design'!G6/100</f>
        <v>6.7419999999999994E-2</v>
      </c>
      <c r="E42" s="209">
        <f>F42-D42</f>
        <v>7.5700000000000073E-3</v>
      </c>
      <c r="F42" s="209">
        <f>'Rate Design'!G16/100</f>
        <v>7.4990000000000001E-2</v>
      </c>
      <c r="G42" s="207"/>
      <c r="H42" s="209">
        <f>F42+G42</f>
        <v>7.4990000000000001E-2</v>
      </c>
      <c r="I42" s="209"/>
      <c r="J42" s="207">
        <f>N42-D42</f>
        <v>1.6000000000000042E-3</v>
      </c>
      <c r="K42" s="207">
        <f>K41</f>
        <v>1.2999999999999999E-4</v>
      </c>
      <c r="L42" s="207">
        <f>-J42-K42</f>
        <v>-1.7300000000000041E-3</v>
      </c>
      <c r="M42" s="207">
        <f>F42+J42+K42+L42</f>
        <v>7.4990000000000001E-2</v>
      </c>
      <c r="N42" s="354">
        <f>'Rate Design'!G28/100</f>
        <v>6.9019999999999998E-2</v>
      </c>
      <c r="O42" s="354" t="e">
        <f>O41</f>
        <v>#REF!</v>
      </c>
      <c r="P42" s="354">
        <f>P41</f>
        <v>2.47E-3</v>
      </c>
      <c r="Q42" s="354" t="e">
        <f>M42+O42</f>
        <v>#REF!</v>
      </c>
      <c r="R42" s="353">
        <f>J42/D42</f>
        <v>2.3731830317413296E-2</v>
      </c>
      <c r="S42" s="353">
        <f>(J42+L42)/F42</f>
        <v>-1.7335644752633672E-3</v>
      </c>
      <c r="U42" s="209">
        <f>D42+E42-F42</f>
        <v>0</v>
      </c>
      <c r="V42" s="209">
        <f>D42+J42-N42</f>
        <v>0</v>
      </c>
      <c r="W42" s="209">
        <f>F42+G42+J42+K42+L42-M42</f>
        <v>0</v>
      </c>
      <c r="X42" s="431"/>
      <c r="Y42" s="431"/>
    </row>
    <row r="43" spans="1:25">
      <c r="A43" s="44" t="s">
        <v>333</v>
      </c>
      <c r="K43" s="207"/>
      <c r="U43" s="209"/>
      <c r="V43" s="209"/>
      <c r="W43" s="209"/>
      <c r="X43" s="431"/>
      <c r="Y43" s="431"/>
    </row>
    <row r="44" spans="1:25">
      <c r="A44" s="321" t="str">
        <f>TEXT('Rate Design'!T10,"#,##0")&amp;" kW or less"</f>
        <v>50 kW or less</v>
      </c>
      <c r="D44" s="211">
        <f>'Rate Design'!G9</f>
        <v>550</v>
      </c>
      <c r="E44" s="210">
        <f>F44-D44</f>
        <v>0</v>
      </c>
      <c r="F44" s="211">
        <f>'Rate Design'!G19</f>
        <v>550</v>
      </c>
      <c r="G44" s="206"/>
      <c r="H44" s="211"/>
      <c r="J44" s="206">
        <f>IF(ROUND(M44-F44,5)&lt;&gt;ROUND(N44-D44,5),#VALUE!,N44-D44)</f>
        <v>0</v>
      </c>
      <c r="K44" s="207"/>
      <c r="L44" s="206"/>
      <c r="M44" s="206">
        <f>'Rate Design'!G41</f>
        <v>550</v>
      </c>
      <c r="N44" s="206">
        <f>'Rate Design'!G31</f>
        <v>550</v>
      </c>
      <c r="O44" s="206"/>
      <c r="P44" s="206"/>
      <c r="Q44" s="206">
        <f>N44</f>
        <v>550</v>
      </c>
      <c r="R44" s="353">
        <f>J44/D44</f>
        <v>0</v>
      </c>
      <c r="S44" s="353">
        <f>J44/F44</f>
        <v>0</v>
      </c>
      <c r="U44" s="209"/>
      <c r="V44" s="209"/>
      <c r="W44" s="209"/>
      <c r="X44" s="431"/>
      <c r="Y44" s="431"/>
    </row>
    <row r="45" spans="1:25">
      <c r="A45" s="321" t="str">
        <f>"Over "&amp;TEXT('Rate Design'!T10,"#,##0")&amp;" kW"</f>
        <v>Over 50 kW</v>
      </c>
      <c r="D45" s="212">
        <f>'Rate Design'!G10</f>
        <v>7</v>
      </c>
      <c r="E45" s="212">
        <f>F45-D45</f>
        <v>0</v>
      </c>
      <c r="F45" s="212">
        <f>'Rate Design'!G20</f>
        <v>7</v>
      </c>
      <c r="G45" s="212"/>
      <c r="H45" s="212"/>
      <c r="J45" s="212">
        <f>IF(ROUND(M45-F45,5)&lt;&gt;ROUND(N45-D45,5),#VALUE!,N45-D45)</f>
        <v>0</v>
      </c>
      <c r="K45" s="513"/>
      <c r="L45" s="212"/>
      <c r="M45" s="212">
        <f>'Rate Design'!G42</f>
        <v>7</v>
      </c>
      <c r="N45" s="212">
        <f>'Rate Design'!G32</f>
        <v>7</v>
      </c>
      <c r="O45" s="212"/>
      <c r="P45" s="212"/>
      <c r="Q45" s="212">
        <f>'Rate Design'!G32</f>
        <v>7</v>
      </c>
      <c r="R45" s="353">
        <f>J45/D45</f>
        <v>0</v>
      </c>
      <c r="S45" s="353">
        <f>J45/F45</f>
        <v>0</v>
      </c>
      <c r="U45" s="209"/>
      <c r="V45" s="209"/>
      <c r="W45" s="209"/>
      <c r="X45" s="431"/>
      <c r="Y45" s="431"/>
    </row>
    <row r="46" spans="1:25">
      <c r="A46" s="44" t="s">
        <v>97</v>
      </c>
      <c r="D46" s="212">
        <v>0.2</v>
      </c>
      <c r="E46" s="212">
        <f>F46-D46</f>
        <v>0</v>
      </c>
      <c r="F46" s="212">
        <v>0.2</v>
      </c>
      <c r="G46" s="212"/>
      <c r="H46" s="212"/>
      <c r="J46" s="212">
        <f>IF(ROUND(M46-F46,5)&lt;&gt;ROUND(N46-D46,5),#VALUE!,N46-D46)</f>
        <v>0</v>
      </c>
      <c r="K46" s="513"/>
      <c r="L46" s="212"/>
      <c r="M46" s="212">
        <v>0.2</v>
      </c>
      <c r="N46" s="212">
        <v>0.2</v>
      </c>
      <c r="O46" s="212"/>
      <c r="P46" s="212"/>
      <c r="Q46" s="212">
        <v>0.2</v>
      </c>
      <c r="R46" s="353">
        <f>J46/D46</f>
        <v>0</v>
      </c>
      <c r="S46" s="353">
        <f>J46/F46</f>
        <v>0</v>
      </c>
      <c r="U46" s="209"/>
      <c r="V46" s="209"/>
      <c r="W46" s="209"/>
      <c r="X46" s="431"/>
      <c r="Y46" s="431"/>
    </row>
    <row r="47" spans="1:25">
      <c r="D47" s="214"/>
      <c r="E47" s="213"/>
      <c r="F47" s="214"/>
      <c r="G47" s="70"/>
      <c r="H47" s="214"/>
      <c r="J47" s="349"/>
      <c r="K47" s="207"/>
      <c r="L47" s="70"/>
      <c r="M47" s="70"/>
      <c r="U47" s="209"/>
      <c r="V47" s="209"/>
      <c r="W47" s="209"/>
      <c r="X47" s="431"/>
      <c r="Y47" s="431"/>
    </row>
    <row r="48" spans="1:25" s="422" customFormat="1" hidden="1">
      <c r="A48" s="529" t="s">
        <v>970</v>
      </c>
      <c r="G48" s="116"/>
      <c r="J48" s="116"/>
      <c r="K48" s="207"/>
      <c r="L48" s="116"/>
      <c r="M48" s="116"/>
      <c r="N48" s="116"/>
      <c r="O48" s="116"/>
      <c r="P48" s="116"/>
      <c r="Q48" s="116"/>
      <c r="U48" s="209"/>
      <c r="V48" s="209"/>
      <c r="W48" s="209"/>
      <c r="X48" s="431"/>
      <c r="Y48" s="431"/>
    </row>
    <row r="49" spans="1:25" s="422" customFormat="1" hidden="1">
      <c r="A49" s="422" t="s">
        <v>266</v>
      </c>
      <c r="D49" s="805">
        <f>'Rate Design'!H4</f>
        <v>550</v>
      </c>
      <c r="E49" s="210">
        <f>F49-D49</f>
        <v>0</v>
      </c>
      <c r="F49" s="805">
        <f>'Rate Design'!H14</f>
        <v>550</v>
      </c>
      <c r="G49" s="206"/>
      <c r="H49" s="211"/>
      <c r="J49" s="206">
        <f>IF(ROUND(M49-F49,5)&lt;&gt;ROUND(N49-D49,5),#VALUE!,N49-D49)</f>
        <v>0</v>
      </c>
      <c r="K49" s="207"/>
      <c r="L49" s="206"/>
      <c r="M49" s="804">
        <f>'Rate Design'!H36</f>
        <v>550</v>
      </c>
      <c r="N49" s="804">
        <f>'Rate Design'!H26</f>
        <v>550</v>
      </c>
      <c r="O49" s="206"/>
      <c r="P49" s="206"/>
      <c r="Q49" s="206">
        <f>N49</f>
        <v>550</v>
      </c>
      <c r="R49" s="353">
        <f>J49/D49</f>
        <v>0</v>
      </c>
      <c r="S49" s="353">
        <f>J49/F49</f>
        <v>0</v>
      </c>
      <c r="U49" s="209"/>
      <c r="V49" s="209"/>
      <c r="W49" s="209"/>
      <c r="X49" s="431"/>
      <c r="Y49" s="431"/>
    </row>
    <row r="50" spans="1:25" s="422" customFormat="1" hidden="1">
      <c r="A50" s="422" t="s">
        <v>331</v>
      </c>
      <c r="G50" s="116"/>
      <c r="J50" s="116"/>
      <c r="K50" s="207"/>
      <c r="L50" s="116"/>
      <c r="M50" s="116"/>
      <c r="N50" s="116"/>
      <c r="O50" s="116"/>
      <c r="P50" s="116"/>
      <c r="Q50" s="116"/>
      <c r="U50" s="209"/>
      <c r="V50" s="209"/>
      <c r="W50" s="209"/>
      <c r="X50" s="431"/>
      <c r="Y50" s="431"/>
    </row>
    <row r="51" spans="1:25" s="422" customFormat="1" hidden="1">
      <c r="A51" s="321" t="s">
        <v>975</v>
      </c>
      <c r="D51" s="209">
        <f>'Rate Design'!H5/100</f>
        <v>0.16332999999999998</v>
      </c>
      <c r="E51" s="209">
        <f>F51-D51</f>
        <v>7.5699999999999934E-3</v>
      </c>
      <c r="F51" s="209">
        <f>'Rate Design'!H15/100</f>
        <v>0.17089999999999997</v>
      </c>
      <c r="G51" s="207"/>
      <c r="H51" s="209">
        <f>F51+G51</f>
        <v>0.17089999999999997</v>
      </c>
      <c r="I51" s="209"/>
      <c r="J51" s="207">
        <f>N51-D51</f>
        <v>0</v>
      </c>
      <c r="K51" s="207">
        <v>0</v>
      </c>
      <c r="L51" s="207">
        <f>-J51</f>
        <v>0</v>
      </c>
      <c r="M51" s="207">
        <f>F51+J51+K51+L51</f>
        <v>0.17089999999999997</v>
      </c>
      <c r="N51" s="354">
        <f>'Rate Design'!H27/100</f>
        <v>0.16332999999999998</v>
      </c>
      <c r="O51" s="354">
        <f>O25</f>
        <v>0</v>
      </c>
      <c r="P51" s="354">
        <f>P25</f>
        <v>0</v>
      </c>
      <c r="Q51" s="354">
        <f>M51+O51</f>
        <v>0.17089999999999997</v>
      </c>
      <c r="R51" s="353">
        <f>J51/D51</f>
        <v>0</v>
      </c>
      <c r="S51" s="353">
        <f>(J51+L51)/F51</f>
        <v>0</v>
      </c>
      <c r="U51" s="209">
        <f>D51+E51-F51</f>
        <v>0</v>
      </c>
      <c r="V51" s="209">
        <f>D51+J51-N51</f>
        <v>0</v>
      </c>
      <c r="W51" s="209">
        <f>F51+G51+J51+K51+L51-M51</f>
        <v>0</v>
      </c>
      <c r="X51" s="431"/>
      <c r="Y51" s="431"/>
    </row>
    <row r="52" spans="1:25" s="422" customFormat="1" hidden="1">
      <c r="A52" s="321" t="s">
        <v>976</v>
      </c>
      <c r="D52" s="209">
        <f>'Rate Design'!H6/100</f>
        <v>6.7419999999999994E-2</v>
      </c>
      <c r="E52" s="209">
        <f>F52-D52</f>
        <v>7.5700000000000073E-3</v>
      </c>
      <c r="F52" s="209">
        <f>'Rate Design'!H16/100</f>
        <v>7.4990000000000001E-2</v>
      </c>
      <c r="G52" s="207"/>
      <c r="H52" s="209">
        <f>F52+G52</f>
        <v>7.4990000000000001E-2</v>
      </c>
      <c r="I52" s="209"/>
      <c r="J52" s="207">
        <f>N52-D52</f>
        <v>0</v>
      </c>
      <c r="K52" s="207">
        <f>K51</f>
        <v>0</v>
      </c>
      <c r="L52" s="207">
        <f>-J52</f>
        <v>0</v>
      </c>
      <c r="M52" s="207">
        <f>F52+J52+K52+L52</f>
        <v>7.4990000000000001E-2</v>
      </c>
      <c r="N52" s="354">
        <f>'Rate Design'!H28/100</f>
        <v>6.7419999999999994E-2</v>
      </c>
      <c r="O52" s="354">
        <f>O51</f>
        <v>0</v>
      </c>
      <c r="P52" s="354">
        <f>P51</f>
        <v>0</v>
      </c>
      <c r="Q52" s="354">
        <f>M52+O52</f>
        <v>7.4990000000000001E-2</v>
      </c>
      <c r="R52" s="353">
        <f>J52/D52</f>
        <v>0</v>
      </c>
      <c r="S52" s="353">
        <f>(J52+L52)/F52</f>
        <v>0</v>
      </c>
      <c r="U52" s="209">
        <f>D52+E52-F52</f>
        <v>0</v>
      </c>
      <c r="V52" s="209">
        <f>D52+J52-N52</f>
        <v>0</v>
      </c>
      <c r="W52" s="209">
        <f>F52+G52+J52+K52+L52-M52</f>
        <v>0</v>
      </c>
      <c r="X52" s="431"/>
      <c r="Y52" s="431"/>
    </row>
    <row r="53" spans="1:25" s="422" customFormat="1" hidden="1">
      <c r="A53" s="422" t="s">
        <v>97</v>
      </c>
      <c r="D53" s="212">
        <v>0.2</v>
      </c>
      <c r="E53" s="212">
        <f>F53-D53</f>
        <v>0</v>
      </c>
      <c r="F53" s="212">
        <v>0.2</v>
      </c>
      <c r="G53" s="212"/>
      <c r="H53" s="212"/>
      <c r="J53" s="212">
        <f>IF(ROUND(M53-F53,5)&lt;&gt;ROUND(N53-D53,5),#VALUE!,N53-D53)</f>
        <v>0</v>
      </c>
      <c r="K53" s="513"/>
      <c r="L53" s="212"/>
      <c r="M53" s="212">
        <v>0.2</v>
      </c>
      <c r="N53" s="212">
        <v>0.2</v>
      </c>
      <c r="O53" s="212"/>
      <c r="P53" s="212"/>
      <c r="Q53" s="212">
        <v>0.2</v>
      </c>
      <c r="R53" s="353">
        <f>J53/D53</f>
        <v>0</v>
      </c>
      <c r="S53" s="353">
        <f>J53/F53</f>
        <v>0</v>
      </c>
      <c r="U53" s="209"/>
      <c r="V53" s="209"/>
      <c r="W53" s="209"/>
      <c r="X53" s="431"/>
      <c r="Y53" s="431"/>
    </row>
    <row r="54" spans="1:25" s="422" customFormat="1" hidden="1">
      <c r="D54" s="214"/>
      <c r="E54" s="569"/>
      <c r="F54" s="214"/>
      <c r="G54" s="70"/>
      <c r="H54" s="214"/>
      <c r="J54" s="582"/>
      <c r="K54" s="207"/>
      <c r="L54" s="70"/>
      <c r="M54" s="70"/>
      <c r="N54" s="116"/>
      <c r="O54" s="116"/>
      <c r="P54" s="116"/>
      <c r="Q54" s="116"/>
      <c r="U54" s="209"/>
      <c r="V54" s="209"/>
      <c r="W54" s="209"/>
      <c r="X54" s="431"/>
      <c r="Y54" s="431"/>
    </row>
    <row r="55" spans="1:25">
      <c r="A55" s="205" t="s">
        <v>336</v>
      </c>
      <c r="K55" s="207"/>
      <c r="U55" s="209"/>
      <c r="V55" s="209"/>
      <c r="W55" s="209"/>
      <c r="X55" s="431"/>
      <c r="Y55" s="431"/>
    </row>
    <row r="56" spans="1:25">
      <c r="A56" s="44" t="s">
        <v>331</v>
      </c>
      <c r="K56" s="207"/>
      <c r="U56" s="209"/>
      <c r="V56" s="209"/>
      <c r="W56" s="209"/>
      <c r="X56" s="431"/>
      <c r="Y56" s="431"/>
    </row>
    <row r="57" spans="1:25">
      <c r="A57" s="321" t="str">
        <f>"First "&amp;TEXT('Rate Design'!V5,"#,##0")&amp;" kWhs"</f>
        <v>First 500,000 kWhs</v>
      </c>
      <c r="D57" s="209">
        <f>'Rate Design'!I5/100</f>
        <v>5.5050000000000002E-2</v>
      </c>
      <c r="E57" s="209">
        <f>F57-D57</f>
        <v>-4.200000000000037E-4</v>
      </c>
      <c r="F57" s="209">
        <f>'Rate Design'!I15/100</f>
        <v>5.4629999999999998E-2</v>
      </c>
      <c r="G57" s="207"/>
      <c r="H57" s="209">
        <f>F57+G57</f>
        <v>5.4629999999999998E-2</v>
      </c>
      <c r="I57" s="209"/>
      <c r="J57" s="207">
        <f>N57-D57</f>
        <v>2.4199999999999985E-3</v>
      </c>
      <c r="K57" s="207">
        <f>LIRAP!E18</f>
        <v>8.0000000000000007E-5</v>
      </c>
      <c r="L57" s="207">
        <f>-J57-K57</f>
        <v>-2.4999999999999988E-3</v>
      </c>
      <c r="M57" s="207">
        <f>F57+J57+K57+L57</f>
        <v>5.4629999999999998E-2</v>
      </c>
      <c r="N57" s="354">
        <f>'Rate Design'!I27/100</f>
        <v>5.747E-2</v>
      </c>
      <c r="O57" s="354" t="e">
        <f>O16</f>
        <v>#REF!</v>
      </c>
      <c r="P57" s="354">
        <f>P16</f>
        <v>2.47E-3</v>
      </c>
      <c r="Q57" s="354" t="e">
        <f>M57+O57</f>
        <v>#REF!</v>
      </c>
      <c r="R57" s="353">
        <f>J57/D57</f>
        <v>4.3960036330608507E-2</v>
      </c>
      <c r="S57" s="353">
        <f>(J57+L57)/F57</f>
        <v>-1.4643968515467732E-3</v>
      </c>
      <c r="U57" s="209">
        <f>D57+E57-F57</f>
        <v>0</v>
      </c>
      <c r="V57" s="209">
        <f>D57+J57-N57</f>
        <v>0</v>
      </c>
      <c r="W57" s="209">
        <f>F57+G57+J57+K57+L57-M57</f>
        <v>0</v>
      </c>
      <c r="X57" s="431"/>
      <c r="Y57" s="431"/>
    </row>
    <row r="58" spans="1:25">
      <c r="A58" s="321" t="str">
        <f>TEXT('Rate Design'!V27,"#,##0")&amp;" - "&amp;TEXT('Rate Design'!V28,"#,##0")&amp;" kWhs"</f>
        <v>500,000 - 6,000,000 kWhs</v>
      </c>
      <c r="D58" s="209">
        <f>'Rate Design'!I6/100</f>
        <v>4.9530000000000005E-2</v>
      </c>
      <c r="E58" s="209">
        <f>F58-D58</f>
        <v>-4.1999999999999676E-4</v>
      </c>
      <c r="F58" s="209">
        <f>'Rate Design'!I16/100</f>
        <v>4.9110000000000008E-2</v>
      </c>
      <c r="G58" s="207"/>
      <c r="H58" s="209">
        <f>F58+G58</f>
        <v>4.9110000000000008E-2</v>
      </c>
      <c r="I58" s="209"/>
      <c r="J58" s="207">
        <f>N58-D58</f>
        <v>2.1699999999999914E-3</v>
      </c>
      <c r="K58" s="207">
        <f>K57</f>
        <v>8.0000000000000007E-5</v>
      </c>
      <c r="L58" s="207">
        <f>-J58-K58</f>
        <v>-2.2499999999999916E-3</v>
      </c>
      <c r="M58" s="207">
        <f t="shared" ref="M58:M59" si="3">F58+J58+K58+L58</f>
        <v>4.9110000000000001E-2</v>
      </c>
      <c r="N58" s="354">
        <f>'Rate Design'!I28/100</f>
        <v>5.1699999999999996E-2</v>
      </c>
      <c r="O58" s="354" t="e">
        <f>O57</f>
        <v>#REF!</v>
      </c>
      <c r="P58" s="354">
        <f>P57</f>
        <v>2.47E-3</v>
      </c>
      <c r="Q58" s="354" t="e">
        <f>M58+O58</f>
        <v>#REF!</v>
      </c>
      <c r="R58" s="353">
        <f>J58/D58</f>
        <v>4.3811831213405837E-2</v>
      </c>
      <c r="S58" s="353">
        <f t="shared" ref="S58:S59" si="4">(J58+L58)/F58</f>
        <v>-1.6289961311341927E-3</v>
      </c>
      <c r="U58" s="209">
        <f>D58+E58-F58</f>
        <v>0</v>
      </c>
      <c r="V58" s="209">
        <f>D58+J58-N58</f>
        <v>0</v>
      </c>
      <c r="W58" s="209">
        <f>F58+G58+J58+K58+L58-M58</f>
        <v>0</v>
      </c>
      <c r="X58" s="431"/>
      <c r="Y58" s="431"/>
    </row>
    <row r="59" spans="1:25">
      <c r="A59" s="321" t="str">
        <f>"All over "&amp;TEXT('Rate Design'!V28,"#,##0")&amp;" kWhs"</f>
        <v>All over 6,000,000 kWhs</v>
      </c>
      <c r="D59" s="209">
        <f>'Rate Design'!I7/100</f>
        <v>4.2350000000000006E-2</v>
      </c>
      <c r="E59" s="209">
        <f>F59-D59</f>
        <v>-1.349999999999997E-3</v>
      </c>
      <c r="F59" s="209">
        <f>'Rate Design'!I17/100</f>
        <v>4.1000000000000009E-2</v>
      </c>
      <c r="G59" s="207"/>
      <c r="H59" s="209">
        <f>F59+G59</f>
        <v>4.1000000000000009E-2</v>
      </c>
      <c r="I59" s="209"/>
      <c r="J59" s="207">
        <f>N59-D59</f>
        <v>0</v>
      </c>
      <c r="K59" s="207">
        <v>0</v>
      </c>
      <c r="L59" s="207">
        <f t="shared" ref="L59" si="5">-J59</f>
        <v>0</v>
      </c>
      <c r="M59" s="207">
        <f t="shared" si="3"/>
        <v>4.1000000000000009E-2</v>
      </c>
      <c r="N59" s="354">
        <f>'Rate Design'!I29/100</f>
        <v>4.2350000000000006E-2</v>
      </c>
      <c r="O59" s="354" t="e">
        <f>O57</f>
        <v>#REF!</v>
      </c>
      <c r="P59" s="354">
        <f>P57</f>
        <v>2.47E-3</v>
      </c>
      <c r="Q59" s="354" t="e">
        <f>M59+O59</f>
        <v>#REF!</v>
      </c>
      <c r="R59" s="353">
        <f>J59/D59</f>
        <v>0</v>
      </c>
      <c r="S59" s="353">
        <f t="shared" si="4"/>
        <v>0</v>
      </c>
      <c r="U59" s="209">
        <f>D59+E59-F59</f>
        <v>0</v>
      </c>
      <c r="V59" s="209">
        <f>D59+J59-N59</f>
        <v>0</v>
      </c>
      <c r="W59" s="209">
        <f>F59+G59+J59+K59+L59-M59</f>
        <v>0</v>
      </c>
      <c r="X59" s="431"/>
      <c r="Y59" s="431"/>
    </row>
    <row r="60" spans="1:25">
      <c r="A60" s="44" t="s">
        <v>333</v>
      </c>
      <c r="K60" s="207"/>
      <c r="U60" s="209"/>
      <c r="V60" s="209"/>
      <c r="W60" s="209"/>
      <c r="X60" s="431"/>
      <c r="Y60" s="431"/>
    </row>
    <row r="61" spans="1:25">
      <c r="A61" s="321" t="str">
        <f>TEXT('Rate Design'!V10,"#,##0")&amp;" kva or less"</f>
        <v>3,000 kva or less</v>
      </c>
      <c r="D61" s="215">
        <f>'Rate Design'!I9</f>
        <v>30650</v>
      </c>
      <c r="E61" s="215">
        <f>F61-D61</f>
        <v>0</v>
      </c>
      <c r="F61" s="215">
        <f>'Rate Design'!I19</f>
        <v>30650</v>
      </c>
      <c r="G61" s="216"/>
      <c r="H61" s="215"/>
      <c r="I61" s="215"/>
      <c r="J61" s="216">
        <f>IF(ROUND(M61-F61,5)&lt;&gt;ROUND(N61-D61,5),#VALUE!,N61-D61)</f>
        <v>0</v>
      </c>
      <c r="K61" s="207"/>
      <c r="L61" s="216"/>
      <c r="M61" s="216">
        <f>'Rate Design'!I41</f>
        <v>30650</v>
      </c>
      <c r="N61" s="216">
        <f>'Rate Design'!I31</f>
        <v>30650</v>
      </c>
      <c r="O61" s="216"/>
      <c r="P61" s="216"/>
      <c r="Q61" s="216">
        <f>'Rate Design'!I31</f>
        <v>30650</v>
      </c>
      <c r="R61" s="353">
        <f>J61/D61</f>
        <v>0</v>
      </c>
      <c r="S61" s="353">
        <f>J61/F61</f>
        <v>0</v>
      </c>
      <c r="U61" s="209"/>
      <c r="V61" s="209"/>
      <c r="W61" s="209"/>
      <c r="X61" s="431"/>
      <c r="Y61" s="431"/>
    </row>
    <row r="62" spans="1:25">
      <c r="A62" s="321" t="str">
        <f>"Over "&amp;TEXT('Rate Design'!V10,"#,##0")&amp;" kva"</f>
        <v>Over 3,000 kva</v>
      </c>
      <c r="D62" s="217">
        <f>'Rate Design'!I10</f>
        <v>8.3000000000000007</v>
      </c>
      <c r="E62" s="217">
        <f>F62-D62</f>
        <v>0</v>
      </c>
      <c r="F62" s="217">
        <f>'Rate Design'!I20</f>
        <v>8.3000000000000007</v>
      </c>
      <c r="G62" s="217"/>
      <c r="H62" s="217"/>
      <c r="J62" s="217">
        <f>IF(ROUND(M62-F62,5)&lt;&gt;ROUND(N62-D62,5),#VALUE!,N62-D62)</f>
        <v>0</v>
      </c>
      <c r="K62" s="513"/>
      <c r="L62" s="217"/>
      <c r="M62" s="217">
        <f>'Rate Design'!I42</f>
        <v>8.3000000000000007</v>
      </c>
      <c r="N62" s="217">
        <f>'Rate Design'!I32</f>
        <v>8.3000000000000007</v>
      </c>
      <c r="O62" s="217"/>
      <c r="P62" s="217"/>
      <c r="Q62" s="217">
        <f>'Rate Design'!I32</f>
        <v>8.3000000000000007</v>
      </c>
      <c r="R62" s="353">
        <f>J62/D62</f>
        <v>0</v>
      </c>
      <c r="S62" s="353">
        <f>J62/F62</f>
        <v>0</v>
      </c>
      <c r="U62" s="209"/>
      <c r="V62" s="209"/>
      <c r="W62" s="209"/>
      <c r="X62" s="431"/>
      <c r="Y62" s="431"/>
    </row>
    <row r="63" spans="1:25">
      <c r="A63" s="44" t="s">
        <v>357</v>
      </c>
      <c r="G63" s="422"/>
      <c r="J63" s="44"/>
      <c r="K63" s="209"/>
      <c r="L63" s="44"/>
      <c r="M63" s="44"/>
      <c r="N63" s="44"/>
      <c r="O63" s="44"/>
      <c r="P63" s="422"/>
      <c r="Q63" s="44"/>
      <c r="U63" s="209"/>
      <c r="V63" s="209"/>
      <c r="W63" s="209"/>
      <c r="X63" s="431"/>
      <c r="Y63" s="431"/>
    </row>
    <row r="64" spans="1:25">
      <c r="A64" s="321" t="s">
        <v>358</v>
      </c>
      <c r="D64" s="217">
        <v>0.2</v>
      </c>
      <c r="E64" s="212">
        <f>F64-D64</f>
        <v>0</v>
      </c>
      <c r="F64" s="217">
        <v>0.2</v>
      </c>
      <c r="G64" s="212"/>
      <c r="H64" s="212"/>
      <c r="J64" s="212">
        <f>IF(ROUND(M64-F64,5)&lt;&gt;ROUND(N64-D64,5),#VALUE!,N64-D64)</f>
        <v>0</v>
      </c>
      <c r="K64" s="513"/>
      <c r="L64" s="212"/>
      <c r="M64" s="217">
        <v>0.2</v>
      </c>
      <c r="N64" s="217">
        <v>0.2</v>
      </c>
      <c r="O64" s="212"/>
      <c r="P64" s="212"/>
      <c r="Q64" s="212">
        <f>N64</f>
        <v>0.2</v>
      </c>
      <c r="R64" s="353">
        <f>J64/D64</f>
        <v>0</v>
      </c>
      <c r="S64" s="353">
        <f>J64/F64</f>
        <v>0</v>
      </c>
      <c r="U64" s="209"/>
      <c r="V64" s="209"/>
      <c r="W64" s="209"/>
      <c r="X64" s="431"/>
      <c r="Y64" s="431"/>
    </row>
    <row r="65" spans="1:25">
      <c r="A65" s="321" t="s">
        <v>359</v>
      </c>
      <c r="D65" s="217">
        <v>1.52</v>
      </c>
      <c r="E65" s="212">
        <f>F65-D65</f>
        <v>0</v>
      </c>
      <c r="F65" s="217">
        <v>1.52</v>
      </c>
      <c r="G65" s="212"/>
      <c r="H65" s="212"/>
      <c r="J65" s="217">
        <f>IF(ROUND(M65-F65,5)&lt;&gt;ROUND(N65-D65,5),#VALUE!,N65-D65)</f>
        <v>0</v>
      </c>
      <c r="K65" s="513"/>
      <c r="L65" s="212"/>
      <c r="M65" s="217">
        <v>1.52</v>
      </c>
      <c r="N65" s="217">
        <v>1.52</v>
      </c>
      <c r="O65" s="212"/>
      <c r="P65" s="212"/>
      <c r="Q65" s="212">
        <f>N65</f>
        <v>1.52</v>
      </c>
      <c r="R65" s="353">
        <f>J65/D65</f>
        <v>0</v>
      </c>
      <c r="S65" s="353">
        <f>J65/F65</f>
        <v>0</v>
      </c>
      <c r="U65" s="209"/>
      <c r="V65" s="209"/>
      <c r="W65" s="209"/>
      <c r="X65" s="431"/>
      <c r="Y65" s="431"/>
    </row>
    <row r="66" spans="1:25">
      <c r="A66" s="321" t="s">
        <v>360</v>
      </c>
      <c r="D66" s="217">
        <v>1.93</v>
      </c>
      <c r="E66" s="212">
        <f>F66-D66</f>
        <v>0</v>
      </c>
      <c r="F66" s="217">
        <v>1.93</v>
      </c>
      <c r="G66" s="212"/>
      <c r="H66" s="212"/>
      <c r="J66" s="217">
        <f>IF(ROUND(M66-F66,5)&lt;&gt;ROUND(N66-D66,5),#VALUE!,N66-D66)</f>
        <v>0</v>
      </c>
      <c r="K66" s="513"/>
      <c r="L66" s="212"/>
      <c r="M66" s="217">
        <v>1.93</v>
      </c>
      <c r="N66" s="217">
        <v>1.93</v>
      </c>
      <c r="O66" s="212"/>
      <c r="P66" s="212"/>
      <c r="Q66" s="212">
        <f>N66</f>
        <v>1.93</v>
      </c>
      <c r="R66" s="353">
        <f>J66/D66</f>
        <v>0</v>
      </c>
      <c r="S66" s="353">
        <f>J66/F66</f>
        <v>0</v>
      </c>
      <c r="U66" s="209"/>
      <c r="V66" s="209"/>
      <c r="W66" s="209"/>
      <c r="X66" s="431"/>
      <c r="Y66" s="431"/>
    </row>
    <row r="67" spans="1:25">
      <c r="A67" s="44" t="s">
        <v>337</v>
      </c>
      <c r="D67" s="355" t="s">
        <v>349</v>
      </c>
      <c r="E67" s="356">
        <v>945750</v>
      </c>
      <c r="F67" s="357"/>
      <c r="G67" s="358"/>
      <c r="H67" s="357"/>
      <c r="I67" s="357"/>
      <c r="J67" s="355"/>
      <c r="K67" s="512"/>
      <c r="L67" s="358" t="s">
        <v>350</v>
      </c>
      <c r="M67" s="741">
        <f>6000000*N57+5000000*N58+12*N61</f>
        <v>971120</v>
      </c>
      <c r="N67" s="224"/>
      <c r="O67" s="224"/>
      <c r="P67" s="224"/>
      <c r="Q67" s="223">
        <f>M67</f>
        <v>971120</v>
      </c>
      <c r="R67" s="353">
        <f>M67/E67-1</f>
        <v>2.6825270948982238E-2</v>
      </c>
      <c r="S67" s="353"/>
      <c r="U67" s="209"/>
      <c r="V67" s="209"/>
      <c r="W67" s="209"/>
      <c r="X67" s="431"/>
      <c r="Y67" s="431"/>
    </row>
    <row r="68" spans="1:25">
      <c r="K68" s="207"/>
      <c r="U68" s="209"/>
      <c r="V68" s="209"/>
      <c r="W68" s="209"/>
      <c r="X68" s="431"/>
      <c r="Y68" s="431"/>
    </row>
    <row r="69" spans="1:25" s="422" customFormat="1">
      <c r="A69" s="529" t="s">
        <v>1048</v>
      </c>
      <c r="G69" s="116"/>
      <c r="J69" s="116"/>
      <c r="K69" s="207"/>
      <c r="L69" s="116"/>
      <c r="M69" s="116"/>
      <c r="N69" s="116"/>
      <c r="O69" s="116"/>
      <c r="P69" s="116"/>
      <c r="Q69" s="116"/>
      <c r="U69" s="209"/>
      <c r="V69" s="209"/>
      <c r="W69" s="209"/>
      <c r="X69" s="431"/>
      <c r="Y69" s="431"/>
    </row>
    <row r="70" spans="1:25" s="422" customFormat="1">
      <c r="A70" s="422" t="s">
        <v>331</v>
      </c>
      <c r="G70" s="116"/>
      <c r="J70" s="116"/>
      <c r="K70" s="207"/>
      <c r="L70" s="116"/>
      <c r="M70" s="116"/>
      <c r="N70" s="116"/>
      <c r="O70" s="116"/>
      <c r="P70" s="116"/>
      <c r="Q70" s="116"/>
      <c r="U70" s="209"/>
      <c r="V70" s="209"/>
      <c r="W70" s="209"/>
      <c r="X70" s="431"/>
      <c r="Y70" s="431"/>
    </row>
    <row r="71" spans="1:25" s="422" customFormat="1">
      <c r="A71" s="321" t="str">
        <f>"First "&amp;TEXT('Rate Design'!V19,"#,##0")&amp;" kWhs"</f>
        <v>First 0 kWhs</v>
      </c>
      <c r="D71" s="209">
        <f>'Rate Design'!J5/100</f>
        <v>5.5050000000000002E-2</v>
      </c>
      <c r="E71" s="209">
        <f>F71-D71</f>
        <v>-4.200000000000037E-4</v>
      </c>
      <c r="F71" s="209">
        <f>'Rate Design'!J15/100</f>
        <v>5.4629999999999998E-2</v>
      </c>
      <c r="G71" s="207"/>
      <c r="H71" s="209">
        <f>F71+G71</f>
        <v>5.4629999999999998E-2</v>
      </c>
      <c r="I71" s="209"/>
      <c r="J71" s="207">
        <f>N71-D71</f>
        <v>-8.43E-3</v>
      </c>
      <c r="K71" s="207">
        <f>LIRAP!E20</f>
        <v>8.0000000000000007E-5</v>
      </c>
      <c r="L71" s="207">
        <f>-J57-K57</f>
        <v>-2.4999999999999988E-3</v>
      </c>
      <c r="M71" s="207">
        <f>F71+J71+K71+L71</f>
        <v>4.3779999999999999E-2</v>
      </c>
      <c r="N71" s="354">
        <f>'Rate Design'!J27/100</f>
        <v>4.6620000000000002E-2</v>
      </c>
      <c r="O71" s="354">
        <f>O30</f>
        <v>0</v>
      </c>
      <c r="P71" s="354">
        <f>P30</f>
        <v>0</v>
      </c>
      <c r="Q71" s="354">
        <f>M71+O71</f>
        <v>4.3779999999999999E-2</v>
      </c>
      <c r="R71" s="353">
        <f>J71/D71</f>
        <v>-0.15313351498637601</v>
      </c>
      <c r="S71" s="353">
        <f>(J71+L71)/F71</f>
        <v>-0.20007321984257731</v>
      </c>
      <c r="U71" s="209">
        <f>D71+E71-F71</f>
        <v>0</v>
      </c>
      <c r="V71" s="209">
        <f>D71+J71-N71</f>
        <v>0</v>
      </c>
      <c r="W71" s="209">
        <f>F71+G71+J71+K71+L71-M71</f>
        <v>0</v>
      </c>
      <c r="X71" s="431"/>
      <c r="Y71" s="431"/>
    </row>
    <row r="72" spans="1:25" s="422" customFormat="1">
      <c r="A72" s="321" t="str">
        <f>TEXT('Rate Design'!V41,"#,##0")&amp;" - "&amp;TEXT('Rate Design'!V42,"#,##0")&amp;" kWhs"</f>
        <v>0 - 3,000 kWhs</v>
      </c>
      <c r="D72" s="209">
        <f>'Rate Design'!J6/100</f>
        <v>4.9530000000000005E-2</v>
      </c>
      <c r="E72" s="209">
        <f>F72-D72</f>
        <v>-4.1999999999999676E-4</v>
      </c>
      <c r="F72" s="209">
        <f>'Rate Design'!J16/100</f>
        <v>4.9110000000000008E-2</v>
      </c>
      <c r="G72" s="207"/>
      <c r="H72" s="209">
        <f>F72+G72</f>
        <v>4.9110000000000008E-2</v>
      </c>
      <c r="I72" s="209"/>
      <c r="J72" s="207">
        <f>N72-D72</f>
        <v>-7.5800000000000034E-3</v>
      </c>
      <c r="K72" s="207">
        <f>K71</f>
        <v>8.0000000000000007E-5</v>
      </c>
      <c r="L72" s="207">
        <f>-J58-K58</f>
        <v>-2.2499999999999916E-3</v>
      </c>
      <c r="M72" s="207">
        <f t="shared" ref="M72:M73" si="6">F72+J72+K72+L72</f>
        <v>3.9360000000000006E-2</v>
      </c>
      <c r="N72" s="354">
        <f>'Rate Design'!J28/100</f>
        <v>4.1950000000000001E-2</v>
      </c>
      <c r="O72" s="354">
        <f>O71</f>
        <v>0</v>
      </c>
      <c r="P72" s="354">
        <f>P71</f>
        <v>0</v>
      </c>
      <c r="Q72" s="354">
        <f>M72+O72</f>
        <v>3.9360000000000006E-2</v>
      </c>
      <c r="R72" s="353">
        <f>J72/D72</f>
        <v>-0.15303856248738143</v>
      </c>
      <c r="S72" s="353">
        <f t="shared" ref="S72:S73" si="7">(J72+L72)/F72</f>
        <v>-0.20016289961311329</v>
      </c>
      <c r="U72" s="209">
        <f>D72+E72-F72</f>
        <v>0</v>
      </c>
      <c r="V72" s="209">
        <f>D72+J72-N72</f>
        <v>0</v>
      </c>
      <c r="W72" s="209">
        <f>F72+G72+J72+K72+L72-M72</f>
        <v>0</v>
      </c>
      <c r="X72" s="431"/>
      <c r="Y72" s="431"/>
    </row>
    <row r="73" spans="1:25" s="422" customFormat="1">
      <c r="A73" s="321" t="str">
        <f>"All over "&amp;TEXT('Rate Design'!V42,"#,##0")&amp;" kWhs"</f>
        <v>All over 3,000 kWhs</v>
      </c>
      <c r="D73" s="209">
        <f>'Rate Design'!J7/100</f>
        <v>4.2350000000000006E-2</v>
      </c>
      <c r="E73" s="209">
        <f>F73-D73</f>
        <v>-1.349999999999997E-3</v>
      </c>
      <c r="F73" s="209">
        <f>'Rate Design'!J17/100</f>
        <v>4.1000000000000009E-2</v>
      </c>
      <c r="G73" s="207"/>
      <c r="H73" s="209">
        <f>F73+G73</f>
        <v>4.1000000000000009E-2</v>
      </c>
      <c r="I73" s="209"/>
      <c r="J73" s="207">
        <f>N73-D73</f>
        <v>-6.4800000000000066E-3</v>
      </c>
      <c r="K73" s="207"/>
      <c r="L73" s="207"/>
      <c r="M73" s="207">
        <f t="shared" si="6"/>
        <v>3.4520000000000002E-2</v>
      </c>
      <c r="N73" s="354">
        <f>'Rate Design'!J29/100</f>
        <v>3.5869999999999999E-2</v>
      </c>
      <c r="O73" s="354">
        <f>O71</f>
        <v>0</v>
      </c>
      <c r="P73" s="354">
        <f>P71</f>
        <v>0</v>
      </c>
      <c r="Q73" s="354">
        <f>M73+O73</f>
        <v>3.4520000000000002E-2</v>
      </c>
      <c r="R73" s="353">
        <f>J73/D73</f>
        <v>-0.15301062573789859</v>
      </c>
      <c r="S73" s="353">
        <f t="shared" si="7"/>
        <v>-0.15804878048780502</v>
      </c>
      <c r="U73" s="209">
        <f>D73+E73-F73</f>
        <v>0</v>
      </c>
      <c r="V73" s="209">
        <f>D73+J73-N73</f>
        <v>0</v>
      </c>
      <c r="W73" s="209">
        <f>F73+G73+J73+K73+L73-M73</f>
        <v>0</v>
      </c>
      <c r="X73" s="431"/>
      <c r="Y73" s="431"/>
    </row>
    <row r="74" spans="1:25" s="422" customFormat="1">
      <c r="A74" s="422" t="s">
        <v>333</v>
      </c>
      <c r="G74" s="116"/>
      <c r="J74" s="116"/>
      <c r="K74" s="207"/>
      <c r="L74" s="116"/>
      <c r="M74" s="116"/>
      <c r="N74" s="116"/>
      <c r="O74" s="116"/>
      <c r="P74" s="116"/>
      <c r="Q74" s="116"/>
      <c r="U74" s="209"/>
      <c r="V74" s="209"/>
      <c r="W74" s="209"/>
      <c r="X74" s="431"/>
      <c r="Y74" s="431"/>
    </row>
    <row r="75" spans="1:25" s="422" customFormat="1">
      <c r="A75" s="321" t="str">
        <f>TEXT('Rate Design'!V24,"#,##0")&amp;" kva or less"</f>
        <v>0 kva or less</v>
      </c>
      <c r="D75" s="215">
        <f>'Rate Design'!J9</f>
        <v>30650</v>
      </c>
      <c r="E75" s="215">
        <f>F75-D75</f>
        <v>0</v>
      </c>
      <c r="F75" s="215">
        <f>'Rate Design'!J19</f>
        <v>30650</v>
      </c>
      <c r="G75" s="216"/>
      <c r="H75" s="215"/>
      <c r="I75" s="215"/>
      <c r="J75" s="216">
        <f>IF(ROUND(M75-F75,5)&lt;&gt;ROUND(N75-D75,5),#VALUE!,N75-D75)</f>
        <v>0</v>
      </c>
      <c r="K75" s="207"/>
      <c r="L75" s="216"/>
      <c r="M75" s="216">
        <f>'Rate Design'!J41</f>
        <v>30650</v>
      </c>
      <c r="N75" s="216">
        <f>'Rate Design'!J31</f>
        <v>30650</v>
      </c>
      <c r="O75" s="216"/>
      <c r="P75" s="216"/>
      <c r="Q75" s="216">
        <f>'Rate Design'!I45</f>
        <v>0</v>
      </c>
      <c r="R75" s="353">
        <f>J75/D75</f>
        <v>0</v>
      </c>
      <c r="S75" s="353">
        <f>J75/F75</f>
        <v>0</v>
      </c>
      <c r="U75" s="209"/>
      <c r="V75" s="209"/>
      <c r="W75" s="209"/>
      <c r="X75" s="431"/>
      <c r="Y75" s="431"/>
    </row>
    <row r="76" spans="1:25" s="422" customFormat="1">
      <c r="A76" s="321" t="str">
        <f>"Over "&amp;TEXT('Rate Design'!V24,"#,##0")&amp;" kva"</f>
        <v>Over 0 kva</v>
      </c>
      <c r="D76" s="217">
        <f>'Rate Design'!J10</f>
        <v>8.3000000000000007</v>
      </c>
      <c r="E76" s="217">
        <f>F76-D76</f>
        <v>0</v>
      </c>
      <c r="F76" s="217">
        <f>'Rate Design'!J20</f>
        <v>8.3000000000000007</v>
      </c>
      <c r="G76" s="217"/>
      <c r="H76" s="217"/>
      <c r="J76" s="217">
        <f>IF(ROUND(M76-F76,5)&lt;&gt;ROUND(N76-D76,5),#VALUE!,N76-D76)</f>
        <v>0</v>
      </c>
      <c r="K76" s="513"/>
      <c r="L76" s="217"/>
      <c r="M76" s="217">
        <f>'Rate Design'!J42</f>
        <v>8.3000000000000007</v>
      </c>
      <c r="N76" s="217">
        <f>'Rate Design'!J32</f>
        <v>8.3000000000000007</v>
      </c>
      <c r="O76" s="217"/>
      <c r="P76" s="217"/>
      <c r="Q76" s="217">
        <f>'Rate Design'!I46</f>
        <v>0</v>
      </c>
      <c r="R76" s="353">
        <f>J76/D76</f>
        <v>0</v>
      </c>
      <c r="S76" s="353">
        <f>J76/F76</f>
        <v>0</v>
      </c>
      <c r="U76" s="209"/>
      <c r="V76" s="209"/>
      <c r="W76" s="209"/>
      <c r="X76" s="431"/>
      <c r="Y76" s="431"/>
    </row>
    <row r="77" spans="1:25" s="422" customFormat="1">
      <c r="A77" s="422" t="s">
        <v>357</v>
      </c>
      <c r="K77" s="209"/>
      <c r="U77" s="209"/>
      <c r="V77" s="209"/>
      <c r="W77" s="209"/>
      <c r="X77" s="431"/>
      <c r="Y77" s="431"/>
    </row>
    <row r="78" spans="1:25" s="422" customFormat="1">
      <c r="A78" s="321" t="s">
        <v>358</v>
      </c>
      <c r="D78" s="217">
        <v>0.2</v>
      </c>
      <c r="E78" s="212">
        <f>F78-D78</f>
        <v>0</v>
      </c>
      <c r="F78" s="217">
        <v>0.2</v>
      </c>
      <c r="G78" s="212"/>
      <c r="H78" s="212"/>
      <c r="J78" s="212">
        <f>IF(ROUND(M78-F78,5)&lt;&gt;ROUND(N78-D78,5),#VALUE!,N78-D78)</f>
        <v>0</v>
      </c>
      <c r="K78" s="513"/>
      <c r="L78" s="212"/>
      <c r="M78" s="217">
        <v>0.2</v>
      </c>
      <c r="N78" s="217">
        <v>0.2</v>
      </c>
      <c r="O78" s="212"/>
      <c r="P78" s="212"/>
      <c r="Q78" s="212">
        <f>N78</f>
        <v>0.2</v>
      </c>
      <c r="R78" s="353">
        <f>J78/D78</f>
        <v>0</v>
      </c>
      <c r="S78" s="353">
        <f>J78/F78</f>
        <v>0</v>
      </c>
      <c r="U78" s="209"/>
      <c r="V78" s="209"/>
      <c r="W78" s="209"/>
      <c r="X78" s="431"/>
      <c r="Y78" s="431"/>
    </row>
    <row r="79" spans="1:25" s="422" customFormat="1">
      <c r="A79" s="321" t="s">
        <v>359</v>
      </c>
      <c r="D79" s="217">
        <v>1.52</v>
      </c>
      <c r="E79" s="212">
        <f>F79-D79</f>
        <v>0</v>
      </c>
      <c r="F79" s="217">
        <v>1.52</v>
      </c>
      <c r="G79" s="212"/>
      <c r="H79" s="212"/>
      <c r="J79" s="217">
        <f>IF(ROUND(M79-F79,5)&lt;&gt;ROUND(N79-D79,5),#VALUE!,N79-D79)</f>
        <v>0</v>
      </c>
      <c r="K79" s="513"/>
      <c r="L79" s="212"/>
      <c r="M79" s="217">
        <v>1.52</v>
      </c>
      <c r="N79" s="217">
        <v>1.52</v>
      </c>
      <c r="O79" s="212"/>
      <c r="P79" s="212"/>
      <c r="Q79" s="212">
        <f>N79</f>
        <v>1.52</v>
      </c>
      <c r="R79" s="353">
        <f>J79/D79</f>
        <v>0</v>
      </c>
      <c r="S79" s="353">
        <f>J79/F79</f>
        <v>0</v>
      </c>
      <c r="U79" s="209"/>
      <c r="V79" s="209"/>
      <c r="W79" s="209"/>
      <c r="X79" s="431"/>
      <c r="Y79" s="431"/>
    </row>
    <row r="80" spans="1:25" s="422" customFormat="1">
      <c r="A80" s="321" t="s">
        <v>360</v>
      </c>
      <c r="D80" s="217">
        <v>1.93</v>
      </c>
      <c r="E80" s="212">
        <f>F80-D80</f>
        <v>0</v>
      </c>
      <c r="F80" s="217">
        <v>1.93</v>
      </c>
      <c r="G80" s="212"/>
      <c r="H80" s="212"/>
      <c r="J80" s="217">
        <f>IF(ROUND(M80-F80,5)&lt;&gt;ROUND(N80-D80,5),#VALUE!,N80-D80)</f>
        <v>0</v>
      </c>
      <c r="K80" s="513"/>
      <c r="L80" s="212"/>
      <c r="M80" s="217">
        <v>1.93</v>
      </c>
      <c r="N80" s="217">
        <v>1.93</v>
      </c>
      <c r="O80" s="212"/>
      <c r="P80" s="212"/>
      <c r="Q80" s="212">
        <f>N80</f>
        <v>1.93</v>
      </c>
      <c r="R80" s="353">
        <f>J80/D80</f>
        <v>0</v>
      </c>
      <c r="S80" s="353">
        <f>J80/F80</f>
        <v>0</v>
      </c>
      <c r="U80" s="209"/>
      <c r="V80" s="209"/>
      <c r="W80" s="209"/>
      <c r="X80" s="431"/>
      <c r="Y80" s="431"/>
    </row>
    <row r="81" spans="1:25" s="422" customFormat="1">
      <c r="A81" s="422" t="s">
        <v>337</v>
      </c>
      <c r="D81" s="355" t="s">
        <v>349</v>
      </c>
      <c r="E81" s="356">
        <v>945750</v>
      </c>
      <c r="F81" s="357"/>
      <c r="G81" s="358"/>
      <c r="H81" s="357"/>
      <c r="I81" s="357"/>
      <c r="J81" s="355"/>
      <c r="K81" s="512"/>
      <c r="L81" s="358" t="s">
        <v>350</v>
      </c>
      <c r="M81" s="741">
        <f>6000000*N71+5000000*N72+12*N75</f>
        <v>857270</v>
      </c>
      <c r="N81" s="224"/>
      <c r="O81" s="224"/>
      <c r="P81" s="224"/>
      <c r="Q81" s="223">
        <f>M81</f>
        <v>857270</v>
      </c>
      <c r="R81" s="353">
        <f>M81/E81-1</f>
        <v>-9.3555379328575161E-2</v>
      </c>
      <c r="S81" s="353"/>
      <c r="U81" s="209"/>
      <c r="V81" s="209"/>
      <c r="W81" s="209"/>
      <c r="X81" s="431"/>
      <c r="Y81" s="431"/>
    </row>
    <row r="82" spans="1:25" s="422" customFormat="1">
      <c r="G82" s="116"/>
      <c r="J82" s="116"/>
      <c r="K82" s="207"/>
      <c r="L82" s="116"/>
      <c r="M82" s="116"/>
      <c r="N82" s="116"/>
      <c r="O82" s="116"/>
      <c r="P82" s="116"/>
      <c r="Q82" s="116"/>
      <c r="U82" s="209"/>
      <c r="V82" s="209"/>
      <c r="W82" s="209"/>
      <c r="X82" s="431"/>
      <c r="Y82" s="431"/>
    </row>
    <row r="83" spans="1:25">
      <c r="A83" s="205" t="s">
        <v>338</v>
      </c>
      <c r="K83" s="207"/>
      <c r="U83" s="209"/>
      <c r="V83" s="209"/>
      <c r="W83" s="209"/>
      <c r="X83" s="431"/>
      <c r="Y83" s="431"/>
    </row>
    <row r="84" spans="1:25">
      <c r="A84" s="44" t="s">
        <v>266</v>
      </c>
      <c r="D84" s="211">
        <f>'Rate Design'!K4</f>
        <v>20</v>
      </c>
      <c r="E84" s="210">
        <f>F84-D84</f>
        <v>0</v>
      </c>
      <c r="F84" s="211">
        <f>'Rate Design'!K14</f>
        <v>20</v>
      </c>
      <c r="G84" s="206"/>
      <c r="H84" s="211"/>
      <c r="J84" s="206">
        <f>IF(ROUND(M84-F84,5)&lt;&gt;ROUND(N84-D84,5),#VALUE!,N84-D84)</f>
        <v>0</v>
      </c>
      <c r="K84" s="207"/>
      <c r="L84" s="206"/>
      <c r="M84" s="206">
        <f>'Rate Design'!K36</f>
        <v>20</v>
      </c>
      <c r="N84" s="206">
        <f>'Rate Design'!K26</f>
        <v>20</v>
      </c>
      <c r="O84" s="206"/>
      <c r="P84" s="206"/>
      <c r="Q84" s="206">
        <f>N84</f>
        <v>20</v>
      </c>
      <c r="R84" s="353">
        <f>J84/D84</f>
        <v>0</v>
      </c>
      <c r="S84" s="353">
        <f>J84/F84</f>
        <v>0</v>
      </c>
      <c r="U84" s="209"/>
      <c r="V84" s="209"/>
      <c r="W84" s="209"/>
      <c r="X84" s="431"/>
      <c r="Y84" s="431"/>
    </row>
    <row r="85" spans="1:25">
      <c r="A85" s="44" t="s">
        <v>331</v>
      </c>
      <c r="K85" s="207"/>
      <c r="U85" s="209"/>
      <c r="V85" s="209"/>
      <c r="W85" s="209"/>
      <c r="X85" s="431"/>
      <c r="Y85" s="431"/>
    </row>
    <row r="86" spans="1:25">
      <c r="A86" s="372" t="s">
        <v>740</v>
      </c>
      <c r="B86" s="644"/>
      <c r="C86" s="644"/>
      <c r="D86" s="209">
        <f>'Rate Design'!K5/100</f>
        <v>0.10292</v>
      </c>
      <c r="E86" s="209">
        <f>F86-D86</f>
        <v>7.2600000000000026E-3</v>
      </c>
      <c r="F86" s="209">
        <f>'Rate Design'!K15/100</f>
        <v>0.11018</v>
      </c>
      <c r="G86" s="207"/>
      <c r="H86" s="209">
        <f>F86+G86</f>
        <v>0.11018</v>
      </c>
      <c r="I86" s="209"/>
      <c r="J86" s="207">
        <f>N86-D86</f>
        <v>3.5400000000000154E-3</v>
      </c>
      <c r="K86" s="207">
        <f>LIRAP!E22</f>
        <v>1.1E-4</v>
      </c>
      <c r="L86" s="207">
        <f>-J86-K86</f>
        <v>-3.6500000000000152E-3</v>
      </c>
      <c r="M86" s="207">
        <f>F86+J86+K86+L86</f>
        <v>0.11018</v>
      </c>
      <c r="N86" s="354">
        <f>'Rate Design'!K27/100</f>
        <v>0.10646000000000001</v>
      </c>
      <c r="O86" s="354" t="e">
        <f>O16</f>
        <v>#REF!</v>
      </c>
      <c r="P86" s="354">
        <f>P16</f>
        <v>2.47E-3</v>
      </c>
      <c r="Q86" s="354" t="e">
        <f>M86+O86</f>
        <v>#REF!</v>
      </c>
      <c r="R86" s="353">
        <f>J86/D86</f>
        <v>3.4395647104547372E-2</v>
      </c>
      <c r="S86" s="353">
        <f>(J86+L86)/F86</f>
        <v>-9.9836630967507583E-4</v>
      </c>
      <c r="U86" s="209">
        <f>D86+E86-F86</f>
        <v>0</v>
      </c>
      <c r="V86" s="209">
        <f>D86+J86-N86</f>
        <v>0</v>
      </c>
      <c r="W86" s="209">
        <f>F86+G86+J86+K86+L86-M86</f>
        <v>0</v>
      </c>
      <c r="X86" s="431"/>
      <c r="Y86" s="431"/>
    </row>
    <row r="87" spans="1:25" s="422" customFormat="1">
      <c r="A87" s="372" t="s">
        <v>741</v>
      </c>
      <c r="B87" s="644"/>
      <c r="C87" s="644"/>
      <c r="D87" s="209">
        <f>'Rate Design'!K5/100</f>
        <v>0.10292</v>
      </c>
      <c r="E87" s="209">
        <f>F86-D86</f>
        <v>7.2600000000000026E-3</v>
      </c>
      <c r="F87" s="209">
        <f>'Rate Design'!K15/100</f>
        <v>0.11018</v>
      </c>
      <c r="G87" s="207"/>
      <c r="H87" s="209">
        <f>F87+G87</f>
        <v>0.11018</v>
      </c>
      <c r="I87" s="209"/>
      <c r="J87" s="207">
        <f>N86-D86</f>
        <v>3.5400000000000154E-3</v>
      </c>
      <c r="K87" s="207">
        <f>K86</f>
        <v>1.1E-4</v>
      </c>
      <c r="L87" s="207">
        <f t="shared" ref="L87:L88" si="8">-J87-K87</f>
        <v>-3.6500000000000152E-3</v>
      </c>
      <c r="M87" s="207">
        <f t="shared" ref="M87:M88" si="9">F87+J87+K87+L87</f>
        <v>0.11018</v>
      </c>
      <c r="N87" s="354">
        <f>'Rate Design'!K27/100</f>
        <v>0.10646000000000001</v>
      </c>
      <c r="O87" s="354"/>
      <c r="P87" s="354"/>
      <c r="Q87" s="354"/>
      <c r="R87" s="353">
        <f>J87/D87</f>
        <v>3.4395647104547372E-2</v>
      </c>
      <c r="S87" s="353">
        <f t="shared" ref="S87:S88" si="10">(J87+L87)/F87</f>
        <v>-9.9836630967507583E-4</v>
      </c>
      <c r="U87" s="209">
        <f>D87+E87-F87</f>
        <v>0</v>
      </c>
      <c r="V87" s="209">
        <f>D87+J87-N87</f>
        <v>0</v>
      </c>
      <c r="W87" s="209">
        <f>F87+G87+J87+K87+L87-M87</f>
        <v>0</v>
      </c>
      <c r="X87" s="431"/>
      <c r="Y87" s="431"/>
    </row>
    <row r="88" spans="1:25">
      <c r="A88" s="321" t="s">
        <v>341</v>
      </c>
      <c r="D88" s="209">
        <f>'Rate Design'!K6/100</f>
        <v>7.3499999999999996E-2</v>
      </c>
      <c r="E88" s="209">
        <f>F88-D88</f>
        <v>7.2600000000000026E-3</v>
      </c>
      <c r="F88" s="209">
        <f>'Rate Design'!K16/100</f>
        <v>8.0759999999999998E-2</v>
      </c>
      <c r="G88" s="207"/>
      <c r="H88" s="209">
        <f>F88+G88</f>
        <v>8.0759999999999998E-2</v>
      </c>
      <c r="I88" s="209"/>
      <c r="J88" s="207">
        <f>N88-D88</f>
        <v>2.5300000000000045E-3</v>
      </c>
      <c r="K88" s="207">
        <f>K86</f>
        <v>1.1E-4</v>
      </c>
      <c r="L88" s="207">
        <f t="shared" si="8"/>
        <v>-2.6400000000000043E-3</v>
      </c>
      <c r="M88" s="207">
        <f t="shared" si="9"/>
        <v>8.0759999999999998E-2</v>
      </c>
      <c r="N88" s="354">
        <f>'Rate Design'!K28/100</f>
        <v>7.603E-2</v>
      </c>
      <c r="O88" s="354" t="e">
        <f>O86</f>
        <v>#REF!</v>
      </c>
      <c r="P88" s="354">
        <f>P86</f>
        <v>2.47E-3</v>
      </c>
      <c r="Q88" s="354" t="e">
        <f>M88+O88</f>
        <v>#REF!</v>
      </c>
      <c r="R88" s="353">
        <f>J88/D88</f>
        <v>3.4421768707483057E-2</v>
      </c>
      <c r="S88" s="353">
        <f t="shared" si="10"/>
        <v>-1.3620604259534405E-3</v>
      </c>
      <c r="U88" s="209">
        <f>D88+E88-F88</f>
        <v>0</v>
      </c>
      <c r="V88" s="209">
        <f>D88+J88-N88</f>
        <v>0</v>
      </c>
      <c r="W88" s="209">
        <f>F88+G88+J88+K88+L88-M88</f>
        <v>0</v>
      </c>
      <c r="X88" s="431"/>
      <c r="Y88" s="431"/>
    </row>
    <row r="89" spans="1:25">
      <c r="D89" s="209"/>
      <c r="E89" s="209"/>
      <c r="F89" s="209"/>
      <c r="G89" s="207"/>
      <c r="H89" s="209"/>
      <c r="I89" s="209"/>
      <c r="J89" s="207"/>
      <c r="L89" s="207"/>
      <c r="M89" s="207"/>
      <c r="U89" s="402"/>
      <c r="V89" s="402"/>
      <c r="X89" s="431"/>
      <c r="Y89" s="431"/>
    </row>
    <row r="90" spans="1:25">
      <c r="D90" s="209"/>
      <c r="E90" s="209"/>
      <c r="F90" s="209"/>
      <c r="G90" s="207"/>
      <c r="H90" s="209"/>
      <c r="I90" s="209"/>
      <c r="J90" s="207"/>
      <c r="L90" s="207"/>
      <c r="M90" s="207"/>
    </row>
    <row r="91" spans="1:25">
      <c r="A91" s="422" t="s">
        <v>864</v>
      </c>
      <c r="D91" s="209"/>
      <c r="E91" s="209"/>
      <c r="F91" s="209"/>
      <c r="G91" s="207"/>
      <c r="H91" s="209"/>
      <c r="I91" s="209"/>
      <c r="J91" s="207"/>
      <c r="L91" s="207"/>
      <c r="M91" s="207"/>
    </row>
    <row r="92" spans="1:25" ht="12.75" customHeight="1">
      <c r="A92" s="345" t="s">
        <v>821</v>
      </c>
      <c r="B92" s="343"/>
      <c r="C92" s="343"/>
      <c r="D92" s="343"/>
      <c r="E92" s="343"/>
      <c r="F92" s="343"/>
      <c r="G92" s="343"/>
      <c r="H92" s="343"/>
      <c r="I92" s="343"/>
      <c r="J92" s="343"/>
      <c r="K92" s="343"/>
      <c r="L92" s="343"/>
      <c r="M92" s="343"/>
      <c r="N92" s="343"/>
      <c r="O92" s="343"/>
      <c r="P92" s="343"/>
      <c r="Q92" s="343"/>
    </row>
    <row r="93" spans="1:25">
      <c r="A93" s="422" t="s">
        <v>936</v>
      </c>
      <c r="B93" s="343"/>
      <c r="C93" s="343"/>
      <c r="D93" s="343"/>
      <c r="E93" s="343"/>
      <c r="F93" s="343"/>
      <c r="G93" s="343"/>
      <c r="H93" s="343"/>
      <c r="I93" s="343"/>
      <c r="J93" s="343"/>
      <c r="K93" s="343"/>
      <c r="L93" s="343"/>
      <c r="M93" s="343"/>
      <c r="N93" s="343"/>
      <c r="O93" s="343"/>
      <c r="P93" s="343"/>
      <c r="Q93" s="343"/>
    </row>
    <row r="94" spans="1:25" s="422" customFormat="1">
      <c r="A94" s="518"/>
      <c r="B94" s="343"/>
      <c r="C94" s="343"/>
      <c r="D94" s="343"/>
      <c r="E94" s="343"/>
      <c r="F94" s="343"/>
      <c r="G94" s="343"/>
      <c r="H94" s="343"/>
      <c r="I94" s="343"/>
      <c r="J94" s="343"/>
      <c r="K94" s="343"/>
      <c r="L94" s="343"/>
      <c r="M94" s="343"/>
      <c r="N94" s="343"/>
      <c r="O94" s="343"/>
      <c r="P94" s="343"/>
      <c r="Q94" s="343"/>
      <c r="X94" s="357"/>
      <c r="Y94" s="357"/>
    </row>
    <row r="95" spans="1:25">
      <c r="A95" s="517"/>
      <c r="B95" s="343"/>
      <c r="C95" s="343"/>
      <c r="D95" s="343"/>
      <c r="E95" s="343"/>
      <c r="F95" s="343"/>
      <c r="G95" s="343"/>
      <c r="H95" s="343"/>
      <c r="I95" s="343"/>
      <c r="J95" s="343"/>
      <c r="K95" s="343"/>
      <c r="L95" s="343"/>
      <c r="M95" s="343"/>
      <c r="N95" s="343"/>
      <c r="O95" s="343"/>
      <c r="P95" s="343"/>
      <c r="Q95" s="343"/>
    </row>
  </sheetData>
  <mergeCells count="1">
    <mergeCell ref="A11:C11"/>
  </mergeCells>
  <phoneticPr fontId="0" type="noConversion"/>
  <pageMargins left="0.5" right="0.31" top="0.5" bottom="0.75" header="0.5" footer="0.5"/>
  <pageSetup scale="72" orientation="portrait" r:id="rId1"/>
  <headerFooter alignWithMargins="0">
    <oddHeader>&amp;RJDM-4</oddHeader>
    <oddFooter>&amp;RPage 3 of 3</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3:W46"/>
  <sheetViews>
    <sheetView zoomScale="85" zoomScaleNormal="85" workbookViewId="0">
      <selection activeCell="M39" sqref="M39"/>
    </sheetView>
  </sheetViews>
  <sheetFormatPr defaultRowHeight="12.75"/>
  <cols>
    <col min="1" max="1" width="3.7109375" bestFit="1" customWidth="1"/>
    <col min="2" max="2" width="43.7109375" customWidth="1"/>
    <col min="3" max="3" width="8.7109375" bestFit="1" customWidth="1"/>
    <col min="4" max="4" width="15" bestFit="1" customWidth="1"/>
    <col min="5" max="6" width="15" style="828" customWidth="1"/>
    <col min="7" max="8" width="12.7109375" style="647" customWidth="1"/>
    <col min="9" max="9" width="12.7109375" bestFit="1" customWidth="1"/>
    <col min="10" max="10" width="13.42578125" bestFit="1" customWidth="1"/>
    <col min="11" max="11" width="4.5703125" customWidth="1"/>
    <col min="12" max="12" width="13.5703125" bestFit="1" customWidth="1"/>
    <col min="13" max="13" width="13.5703125" style="897" customWidth="1"/>
    <col min="14" max="14" width="15" style="649" bestFit="1" customWidth="1"/>
    <col min="17" max="18" width="9.28515625" style="699"/>
  </cols>
  <sheetData>
    <row r="3" spans="1:21">
      <c r="A3" s="116" t="s">
        <v>517</v>
      </c>
    </row>
    <row r="4" spans="1:21">
      <c r="A4" s="116" t="s">
        <v>746</v>
      </c>
    </row>
    <row r="5" spans="1:21">
      <c r="A5" s="116" t="s">
        <v>747</v>
      </c>
    </row>
    <row r="6" spans="1:21" ht="15.75">
      <c r="A6" s="595"/>
      <c r="B6" s="569"/>
      <c r="C6" s="422"/>
      <c r="D6" s="359"/>
      <c r="E6" s="359"/>
      <c r="F6" s="359"/>
      <c r="G6" s="359"/>
      <c r="H6" s="359"/>
      <c r="I6" s="648"/>
    </row>
    <row r="7" spans="1:21" ht="15.75">
      <c r="A7" s="595"/>
      <c r="B7" s="569"/>
      <c r="C7" s="422"/>
      <c r="D7" s="359"/>
      <c r="E7" s="359"/>
      <c r="F7" s="359"/>
      <c r="G7" s="359"/>
      <c r="H7" s="359"/>
      <c r="I7" s="648"/>
    </row>
    <row r="8" spans="1:21" ht="15.75">
      <c r="A8" s="595"/>
      <c r="B8" s="569"/>
      <c r="C8" s="422"/>
      <c r="D8" s="359"/>
      <c r="E8" s="359"/>
      <c r="F8" s="359" t="s">
        <v>1031</v>
      </c>
      <c r="G8" s="359"/>
      <c r="H8" s="359"/>
      <c r="I8" s="648"/>
      <c r="U8" s="582" t="s">
        <v>861</v>
      </c>
    </row>
    <row r="9" spans="1:21">
      <c r="A9" s="569"/>
      <c r="B9" s="569"/>
      <c r="C9" s="360"/>
      <c r="D9" s="359" t="s">
        <v>229</v>
      </c>
      <c r="E9" s="359"/>
      <c r="F9" s="359" t="s">
        <v>229</v>
      </c>
      <c r="G9" s="359"/>
      <c r="H9" s="201" t="s">
        <v>283</v>
      </c>
      <c r="I9" s="361"/>
      <c r="L9" s="569" t="s">
        <v>743</v>
      </c>
      <c r="M9" s="569"/>
      <c r="N9" s="569"/>
      <c r="O9" s="582" t="s">
        <v>315</v>
      </c>
      <c r="U9" s="582" t="s">
        <v>315</v>
      </c>
    </row>
    <row r="10" spans="1:21">
      <c r="A10" s="569"/>
      <c r="B10" s="569"/>
      <c r="C10" s="360"/>
      <c r="D10" s="569" t="s">
        <v>106</v>
      </c>
      <c r="E10" s="569" t="s">
        <v>998</v>
      </c>
      <c r="F10" s="569" t="s">
        <v>106</v>
      </c>
      <c r="G10" s="569" t="s">
        <v>745</v>
      </c>
      <c r="H10" s="199" t="s">
        <v>285</v>
      </c>
      <c r="I10" s="359" t="s">
        <v>1045</v>
      </c>
      <c r="J10" s="569" t="s">
        <v>1045</v>
      </c>
      <c r="L10" s="569" t="s">
        <v>106</v>
      </c>
      <c r="M10" s="569" t="s">
        <v>1001</v>
      </c>
      <c r="N10" s="359" t="s">
        <v>920</v>
      </c>
      <c r="O10" s="582" t="s">
        <v>292</v>
      </c>
      <c r="Q10" s="422" t="s">
        <v>456</v>
      </c>
      <c r="U10" s="582" t="s">
        <v>292</v>
      </c>
    </row>
    <row r="11" spans="1:21">
      <c r="A11" s="569"/>
      <c r="B11" s="569" t="s">
        <v>287</v>
      </c>
      <c r="C11" s="569" t="s">
        <v>311</v>
      </c>
      <c r="D11" s="359" t="s">
        <v>312</v>
      </c>
      <c r="E11" s="359" t="s">
        <v>1031</v>
      </c>
      <c r="F11" s="359" t="s">
        <v>312</v>
      </c>
      <c r="G11" s="359" t="s">
        <v>748</v>
      </c>
      <c r="H11" s="200" t="s">
        <v>315</v>
      </c>
      <c r="I11" s="359" t="s">
        <v>313</v>
      </c>
      <c r="J11" s="359" t="s">
        <v>229</v>
      </c>
      <c r="L11" s="569" t="s">
        <v>316</v>
      </c>
      <c r="M11" s="569" t="s">
        <v>325</v>
      </c>
      <c r="N11" s="359" t="s">
        <v>941</v>
      </c>
      <c r="O11" s="582" t="s">
        <v>317</v>
      </c>
      <c r="Q11" s="422" t="s">
        <v>283</v>
      </c>
      <c r="U11" s="582" t="s">
        <v>317</v>
      </c>
    </row>
    <row r="12" spans="1:21">
      <c r="A12" s="346" t="s">
        <v>289</v>
      </c>
      <c r="B12" s="346" t="s">
        <v>290</v>
      </c>
      <c r="C12" s="346" t="s">
        <v>291</v>
      </c>
      <c r="D12" s="362" t="s">
        <v>318</v>
      </c>
      <c r="E12" s="362" t="s">
        <v>1033</v>
      </c>
      <c r="F12" s="362" t="s">
        <v>318</v>
      </c>
      <c r="G12" s="362" t="s">
        <v>292</v>
      </c>
      <c r="H12" s="202" t="s">
        <v>292</v>
      </c>
      <c r="I12" s="362" t="s">
        <v>292</v>
      </c>
      <c r="J12" s="652" t="s">
        <v>106</v>
      </c>
      <c r="L12" s="346" t="s">
        <v>440</v>
      </c>
      <c r="M12" s="346" t="s">
        <v>810</v>
      </c>
      <c r="N12" s="362" t="s">
        <v>940</v>
      </c>
      <c r="O12" s="203" t="s">
        <v>106</v>
      </c>
      <c r="Q12" s="422" t="s">
        <v>810</v>
      </c>
      <c r="R12" s="116" t="s">
        <v>751</v>
      </c>
      <c r="S12" s="116" t="s">
        <v>920</v>
      </c>
      <c r="U12" s="203" t="s">
        <v>106</v>
      </c>
    </row>
    <row r="13" spans="1:21">
      <c r="A13" s="569"/>
      <c r="B13" s="569" t="s">
        <v>293</v>
      </c>
      <c r="C13" s="569" t="s">
        <v>294</v>
      </c>
      <c r="D13" s="359" t="s">
        <v>295</v>
      </c>
      <c r="E13" s="359" t="s">
        <v>296</v>
      </c>
      <c r="F13" s="359" t="s">
        <v>297</v>
      </c>
      <c r="G13" s="569" t="s">
        <v>298</v>
      </c>
      <c r="H13" s="359" t="s">
        <v>299</v>
      </c>
      <c r="I13" s="569" t="s">
        <v>319</v>
      </c>
      <c r="J13" s="359" t="s">
        <v>320</v>
      </c>
      <c r="L13" s="569" t="s">
        <v>379</v>
      </c>
      <c r="M13" s="569" t="s">
        <v>427</v>
      </c>
      <c r="N13" s="569" t="s">
        <v>1052</v>
      </c>
      <c r="O13" s="582" t="s">
        <v>1053</v>
      </c>
      <c r="R13" s="116"/>
      <c r="S13" s="116"/>
      <c r="U13" s="582" t="s">
        <v>379</v>
      </c>
    </row>
    <row r="14" spans="1:21">
      <c r="A14" s="569"/>
      <c r="B14" s="422"/>
      <c r="C14" s="569"/>
      <c r="D14" s="363" t="str">
        <f>IF(Base1_Billing2&lt;&gt;1,"ERROR","")</f>
        <v/>
      </c>
      <c r="E14" s="363"/>
      <c r="F14" s="363"/>
      <c r="G14" s="363"/>
      <c r="H14" s="363"/>
      <c r="I14" s="364"/>
      <c r="L14" s="422"/>
      <c r="M14" s="422"/>
      <c r="N14" s="422"/>
      <c r="O14" s="422"/>
      <c r="R14" s="116"/>
      <c r="S14" s="116"/>
      <c r="U14" s="422"/>
    </row>
    <row r="15" spans="1:21">
      <c r="A15" s="569">
        <v>1</v>
      </c>
      <c r="B15" s="422" t="s">
        <v>300</v>
      </c>
      <c r="C15" s="396" t="s">
        <v>686</v>
      </c>
      <c r="D15" s="359">
        <f ca="1">'Pres &amp; Prop Rev'!$D$152/1000</f>
        <v>232554.03877000001</v>
      </c>
      <c r="E15" s="359">
        <f ca="1">'IEP Adj RB'!H15</f>
        <v>1658.9277472559002</v>
      </c>
      <c r="F15" s="359">
        <f ca="1">D15+E15</f>
        <v>234212.9665172559</v>
      </c>
      <c r="G15" s="651">
        <v>1.4537500000000001</v>
      </c>
      <c r="H15" s="650">
        <f ca="1">G15*$G$36</f>
        <v>3.8763090049473328E-2</v>
      </c>
      <c r="I15" s="359">
        <f ca="1">H15*F15-8-0.4</f>
        <v>9070.4183118626734</v>
      </c>
      <c r="J15" s="229">
        <f ca="1">F15+I15</f>
        <v>243283.38482911859</v>
      </c>
      <c r="L15" s="638">
        <f>RS!K16+RS!L16</f>
        <v>223624.60688000001</v>
      </c>
      <c r="M15" s="638">
        <f>LIRAP!F12/1000</f>
        <v>287.45826297972002</v>
      </c>
      <c r="N15" s="347">
        <f ca="1">-E15-I15-M15</f>
        <v>-11016.804322098295</v>
      </c>
      <c r="O15" s="342">
        <f ca="1">IF(L15=0,0,(E15+I15+M15+N15)/L15)</f>
        <v>0</v>
      </c>
      <c r="P15" s="229">
        <f ca="1">E15+I15+M15+N15</f>
        <v>0</v>
      </c>
      <c r="Q15" s="506">
        <f ca="1">(E15+I15)/D15</f>
        <v>4.6137001601292693E-2</v>
      </c>
      <c r="R15" s="506">
        <f ca="1">(I15+E15)/L15</f>
        <v>4.7979272982584094E-2</v>
      </c>
      <c r="S15" s="506">
        <f ca="1">N15/L15</f>
        <v>-4.9264723036539809E-2</v>
      </c>
      <c r="U15" s="342">
        <v>9.8404886883521475E-2</v>
      </c>
    </row>
    <row r="16" spans="1:21">
      <c r="A16" s="569"/>
      <c r="B16" s="422"/>
      <c r="C16" s="569"/>
      <c r="D16" s="359"/>
      <c r="E16" s="359"/>
      <c r="F16" s="359"/>
      <c r="G16" s="651"/>
      <c r="H16" s="650"/>
      <c r="I16" s="359"/>
      <c r="J16" s="229"/>
      <c r="L16" s="638"/>
      <c r="M16" s="638"/>
      <c r="N16" s="347"/>
      <c r="O16" s="342"/>
      <c r="P16" s="229"/>
      <c r="Q16" s="506"/>
      <c r="R16" s="506"/>
      <c r="S16" s="506"/>
      <c r="U16" s="342"/>
    </row>
    <row r="17" spans="1:23">
      <c r="A17" s="569">
        <v>2</v>
      </c>
      <c r="B17" s="422" t="s">
        <v>301</v>
      </c>
      <c r="C17" s="396" t="s">
        <v>460</v>
      </c>
      <c r="D17" s="359">
        <f ca="1">'Pres &amp; Prop Rev'!$E$152/1000</f>
        <v>77795.989848461526</v>
      </c>
      <c r="E17" s="359">
        <f ca="1">'IEP Adj RB'!H17</f>
        <v>386.0534554166162</v>
      </c>
      <c r="F17" s="359">
        <f t="shared" ref="F17:F33" ca="1" si="0">D17+E17</f>
        <v>78182.043303878148</v>
      </c>
      <c r="G17" s="651">
        <v>0.5</v>
      </c>
      <c r="H17" s="650">
        <f ca="1">G17*$G$36</f>
        <v>1.3332103198443105E-2</v>
      </c>
      <c r="I17" s="359">
        <f ca="1">H17*F17+2-0.6</f>
        <v>1043.7310695924514</v>
      </c>
      <c r="J17" s="229">
        <f t="shared" ref="J17:J29" ca="1" si="1">F17+I17</f>
        <v>79225.774373470602</v>
      </c>
      <c r="L17" s="638">
        <f>RS!K18+RS!L18</f>
        <v>83007.817678461506</v>
      </c>
      <c r="M17" s="638">
        <f>LIRAP!F14/1000</f>
        <v>105.72268610111999</v>
      </c>
      <c r="N17" s="347">
        <f t="shared" ref="N17:N25" ca="1" si="2">-E17-I17-M17</f>
        <v>-1535.5072111101877</v>
      </c>
      <c r="O17" s="342">
        <f t="shared" ref="O17:O31" ca="1" si="3">IF(L17=0,0,(E17+I17+M17+N17)/L17)</f>
        <v>0</v>
      </c>
      <c r="P17" s="229">
        <f t="shared" ref="P17:P33" ca="1" si="4">E17+I17+M17+N17</f>
        <v>0</v>
      </c>
      <c r="Q17" s="506">
        <f ca="1">(E17+I17)/D17</f>
        <v>1.8378640438847026E-2</v>
      </c>
      <c r="R17" s="506">
        <f t="shared" ref="R17:R33" ca="1" si="5">(I17+E17)/L17</f>
        <v>1.7224697203189594E-2</v>
      </c>
      <c r="S17" s="506">
        <f t="shared" ref="S17:S33" ca="1" si="6">N17/L17</f>
        <v>-1.8498344542174538E-2</v>
      </c>
      <c r="U17" s="342">
        <v>6.957981716792333E-2</v>
      </c>
    </row>
    <row r="18" spans="1:23" s="755" customFormat="1">
      <c r="A18" s="569"/>
      <c r="B18" s="422"/>
      <c r="C18" s="396"/>
      <c r="D18" s="359"/>
      <c r="E18" s="359"/>
      <c r="F18" s="359"/>
      <c r="G18" s="651"/>
      <c r="H18" s="650"/>
      <c r="I18" s="359"/>
      <c r="J18" s="229"/>
      <c r="L18" s="638"/>
      <c r="M18" s="638"/>
      <c r="N18" s="347"/>
      <c r="O18" s="342"/>
      <c r="P18" s="229"/>
      <c r="Q18" s="506"/>
      <c r="R18" s="506"/>
      <c r="S18" s="506"/>
      <c r="U18" s="342"/>
    </row>
    <row r="19" spans="1:23" s="755" customFormat="1" hidden="1">
      <c r="A19" s="569">
        <v>3</v>
      </c>
      <c r="B19" s="422" t="s">
        <v>967</v>
      </c>
      <c r="C19" s="806">
        <v>13</v>
      </c>
      <c r="D19" s="359">
        <f ca="1">'Pres &amp; Prop Rev'!$F$152/1000</f>
        <v>0</v>
      </c>
      <c r="E19" s="359"/>
      <c r="F19" s="359">
        <f t="shared" ca="1" si="0"/>
        <v>0</v>
      </c>
      <c r="G19" s="651">
        <v>0</v>
      </c>
      <c r="H19" s="650">
        <f ca="1">G19*$G$36</f>
        <v>0</v>
      </c>
      <c r="I19" s="359">
        <f ca="1">H19*F19</f>
        <v>0</v>
      </c>
      <c r="J19" s="229">
        <f t="shared" ca="1" si="1"/>
        <v>0</v>
      </c>
      <c r="L19" s="638">
        <f>RS!K20+RS!L20</f>
        <v>0</v>
      </c>
      <c r="M19" s="638"/>
      <c r="N19" s="347">
        <f t="shared" ca="1" si="2"/>
        <v>0</v>
      </c>
      <c r="O19" s="342">
        <f t="shared" si="3"/>
        <v>0</v>
      </c>
      <c r="P19" s="229">
        <f t="shared" ca="1" si="4"/>
        <v>0</v>
      </c>
      <c r="Q19" s="506" t="e">
        <f ca="1">(E19+I19)/D19</f>
        <v>#DIV/0!</v>
      </c>
      <c r="R19" s="506" t="e">
        <f t="shared" ca="1" si="5"/>
        <v>#DIV/0!</v>
      </c>
      <c r="S19" s="506">
        <f>IF(L19=0,0,N19/L19)</f>
        <v>0</v>
      </c>
      <c r="U19" s="803">
        <v>0</v>
      </c>
    </row>
    <row r="20" spans="1:23" hidden="1">
      <c r="A20" s="569"/>
      <c r="B20" s="422"/>
      <c r="C20" s="569"/>
      <c r="D20" s="359"/>
      <c r="E20" s="359"/>
      <c r="F20" s="359"/>
      <c r="G20" s="651"/>
      <c r="H20" s="650"/>
      <c r="I20" s="359"/>
      <c r="J20" s="229"/>
      <c r="L20" s="638"/>
      <c r="M20" s="638"/>
      <c r="N20" s="347">
        <f t="shared" si="2"/>
        <v>0</v>
      </c>
      <c r="O20" s="342">
        <f t="shared" si="3"/>
        <v>0</v>
      </c>
      <c r="P20" s="229">
        <f t="shared" si="4"/>
        <v>0</v>
      </c>
      <c r="Q20" s="506" t="e">
        <f>(E20+I20)/D20</f>
        <v>#DIV/0!</v>
      </c>
      <c r="R20" s="506" t="e">
        <f t="shared" si="5"/>
        <v>#DIV/0!</v>
      </c>
      <c r="S20" s="506"/>
      <c r="U20" s="342"/>
    </row>
    <row r="21" spans="1:23">
      <c r="A21" s="569">
        <v>3</v>
      </c>
      <c r="B21" s="422" t="s">
        <v>302</v>
      </c>
      <c r="C21" s="397" t="s">
        <v>461</v>
      </c>
      <c r="D21" s="359">
        <f ca="1">'Pres &amp; Prop Rev'!$G$152/1000</f>
        <v>133265.83332076925</v>
      </c>
      <c r="E21" s="359">
        <f ca="1">'IEP Adj RB'!H19</f>
        <v>638.41850459413854</v>
      </c>
      <c r="F21" s="359">
        <f t="shared" ca="1" si="0"/>
        <v>133904.25182536338</v>
      </c>
      <c r="G21" s="651">
        <v>0.5</v>
      </c>
      <c r="H21" s="650">
        <f t="shared" ref="H21:H31" ca="1" si="7">G21*$G$36</f>
        <v>1.3332103198443105E-2</v>
      </c>
      <c r="I21" s="359">
        <f ca="1">H21*F21+0.6</f>
        <v>1785.8253040460579</v>
      </c>
      <c r="J21" s="229">
        <f t="shared" ca="1" si="1"/>
        <v>135690.07712940944</v>
      </c>
      <c r="L21" s="638">
        <f>RS!K22+RS!L22</f>
        <v>143506.29448076899</v>
      </c>
      <c r="M21" s="638">
        <f>LIRAP!F16/1000</f>
        <v>178.04411641340997</v>
      </c>
      <c r="N21" s="347">
        <f t="shared" ca="1" si="2"/>
        <v>-2602.2879250536062</v>
      </c>
      <c r="O21" s="342">
        <f t="shared" ca="1" si="3"/>
        <v>0</v>
      </c>
      <c r="P21" s="229">
        <f t="shared" ca="1" si="4"/>
        <v>0</v>
      </c>
      <c r="Q21" s="506">
        <f ca="1">(E21+I21)/D21</f>
        <v>1.819103777939144E-2</v>
      </c>
      <c r="R21" s="506">
        <f t="shared" ca="1" si="5"/>
        <v>1.6892944085913002E-2</v>
      </c>
      <c r="S21" s="506">
        <f t="shared" ca="1" si="6"/>
        <v>-1.8133615215061759E-2</v>
      </c>
      <c r="U21" s="342">
        <v>8.6903048712787437E-2</v>
      </c>
    </row>
    <row r="22" spans="1:23" s="755" customFormat="1">
      <c r="A22" s="569"/>
      <c r="B22" s="422"/>
      <c r="C22" s="397"/>
      <c r="D22" s="359"/>
      <c r="E22" s="359"/>
      <c r="F22" s="359"/>
      <c r="G22" s="651"/>
      <c r="H22" s="650"/>
      <c r="I22" s="359"/>
      <c r="J22" s="229"/>
      <c r="L22" s="638"/>
      <c r="M22" s="638"/>
      <c r="N22" s="347"/>
      <c r="O22" s="342"/>
      <c r="P22" s="229"/>
      <c r="Q22" s="506"/>
      <c r="R22" s="506"/>
      <c r="S22" s="506"/>
      <c r="U22" s="342"/>
    </row>
    <row r="23" spans="1:23" s="755" customFormat="1" hidden="1">
      <c r="A23" s="569">
        <v>5</v>
      </c>
      <c r="B23" s="422" t="s">
        <v>966</v>
      </c>
      <c r="C23" s="397">
        <v>23</v>
      </c>
      <c r="D23" s="359">
        <f ca="1">'Pres &amp; Prop Rev'!$H$152/1000</f>
        <v>0</v>
      </c>
      <c r="E23" s="359"/>
      <c r="F23" s="359">
        <f t="shared" ca="1" si="0"/>
        <v>0</v>
      </c>
      <c r="G23" s="651">
        <v>0</v>
      </c>
      <c r="H23" s="650">
        <f t="shared" ref="H23" ca="1" si="8">G23*$G$36</f>
        <v>0</v>
      </c>
      <c r="I23" s="359">
        <f ca="1">H23*F23</f>
        <v>0</v>
      </c>
      <c r="J23" s="229">
        <f t="shared" ca="1" si="1"/>
        <v>0</v>
      </c>
      <c r="L23" s="638">
        <f>RS!K24+RS!L24</f>
        <v>0</v>
      </c>
      <c r="M23" s="638"/>
      <c r="N23" s="347">
        <f t="shared" ca="1" si="2"/>
        <v>0</v>
      </c>
      <c r="O23" s="342">
        <f t="shared" si="3"/>
        <v>0</v>
      </c>
      <c r="P23" s="229">
        <f t="shared" ca="1" si="4"/>
        <v>0</v>
      </c>
      <c r="Q23" s="506" t="e">
        <f ca="1">(E23+I23)/D23</f>
        <v>#DIV/0!</v>
      </c>
      <c r="R23" s="506" t="e">
        <f t="shared" ca="1" si="5"/>
        <v>#DIV/0!</v>
      </c>
      <c r="S23" s="506">
        <f>IF(L23=0,0,N23/L23)</f>
        <v>0</v>
      </c>
      <c r="U23" s="803">
        <v>0</v>
      </c>
    </row>
    <row r="24" spans="1:23" hidden="1">
      <c r="A24" s="569"/>
      <c r="B24" s="422"/>
      <c r="C24" s="569"/>
      <c r="D24" s="359"/>
      <c r="E24" s="359"/>
      <c r="F24" s="359"/>
      <c r="G24" s="651"/>
      <c r="H24" s="650"/>
      <c r="I24" s="359"/>
      <c r="J24" s="229"/>
      <c r="L24" s="638"/>
      <c r="M24" s="638"/>
      <c r="N24" s="347">
        <f t="shared" si="2"/>
        <v>0</v>
      </c>
      <c r="O24" s="342">
        <f t="shared" si="3"/>
        <v>0</v>
      </c>
      <c r="P24" s="229">
        <f t="shared" si="4"/>
        <v>0</v>
      </c>
      <c r="Q24" s="506" t="e">
        <f>(E24+I24)/D24</f>
        <v>#DIV/0!</v>
      </c>
      <c r="R24" s="506" t="e">
        <f t="shared" si="5"/>
        <v>#DIV/0!</v>
      </c>
      <c r="S24" s="506"/>
      <c r="U24" s="342"/>
    </row>
    <row r="25" spans="1:23">
      <c r="A25" s="569">
        <v>4</v>
      </c>
      <c r="B25" s="422" t="s">
        <v>321</v>
      </c>
      <c r="C25" s="569">
        <v>25</v>
      </c>
      <c r="D25" s="359">
        <f ca="1">'Pres &amp; Prop Rev'!$I$152/1000</f>
        <v>43738.714219699999</v>
      </c>
      <c r="E25" s="359">
        <f ca="1">'IEP Adj RB'!H21</f>
        <v>197.92949567800306</v>
      </c>
      <c r="F25" s="359">
        <f t="shared" ca="1" si="0"/>
        <v>43936.643715377999</v>
      </c>
      <c r="G25" s="651">
        <v>1</v>
      </c>
      <c r="H25" s="650">
        <f t="shared" ca="1" si="7"/>
        <v>2.6664206396886211E-2</v>
      </c>
      <c r="I25" s="359">
        <f ca="1">H25*F25+0.4</f>
        <v>1171.9357364132925</v>
      </c>
      <c r="J25" s="229">
        <f t="shared" ca="1" si="1"/>
        <v>45108.579451791295</v>
      </c>
      <c r="L25" s="638">
        <f>RS!K26+RS!L26</f>
        <v>43474.397949699996</v>
      </c>
      <c r="M25" s="638">
        <f>LIRAP!F18/1000</f>
        <v>49.276783945199995</v>
      </c>
      <c r="N25" s="347">
        <f t="shared" ca="1" si="2"/>
        <v>-1419.1420160364955</v>
      </c>
      <c r="O25" s="342">
        <f t="shared" ca="1" si="3"/>
        <v>0</v>
      </c>
      <c r="P25" s="229">
        <f t="shared" ca="1" si="4"/>
        <v>0</v>
      </c>
      <c r="Q25" s="506">
        <f ca="1">(E25+I25)/D25</f>
        <v>3.1319284449251271E-2</v>
      </c>
      <c r="R25" s="506">
        <f t="shared" ca="1" si="5"/>
        <v>3.1509699885349386E-2</v>
      </c>
      <c r="S25" s="506">
        <f t="shared" ca="1" si="6"/>
        <v>-3.2643166621385923E-2</v>
      </c>
      <c r="U25" s="342">
        <v>8.7999674312818896E-2</v>
      </c>
    </row>
    <row r="26" spans="1:23" s="755" customFormat="1">
      <c r="A26" s="569"/>
      <c r="B26" s="422"/>
      <c r="C26" s="569"/>
      <c r="D26" s="359"/>
      <c r="E26" s="359"/>
      <c r="F26" s="359"/>
      <c r="G26" s="651"/>
      <c r="H26" s="650"/>
      <c r="I26" s="359"/>
      <c r="J26" s="229"/>
      <c r="L26" s="638"/>
      <c r="M26" s="638"/>
      <c r="N26" s="347"/>
      <c r="O26" s="342"/>
      <c r="P26" s="229"/>
      <c r="Q26" s="506"/>
      <c r="R26" s="506"/>
      <c r="S26" s="506"/>
      <c r="U26" s="342"/>
    </row>
    <row r="27" spans="1:23" s="755" customFormat="1">
      <c r="A27" s="569">
        <v>5</v>
      </c>
      <c r="B27" s="422" t="s">
        <v>968</v>
      </c>
      <c r="C27" s="569" t="s">
        <v>952</v>
      </c>
      <c r="D27" s="359">
        <f ca="1">'Pres &amp; Prop Rev'!$J$152/1000</f>
        <v>24366.310439499997</v>
      </c>
      <c r="E27" s="359">
        <f>'IEP Adj RB'!H23</f>
        <v>-3009</v>
      </c>
      <c r="F27" s="359">
        <f t="shared" ca="1" si="0"/>
        <v>21357.310439499997</v>
      </c>
      <c r="G27" s="651">
        <v>0</v>
      </c>
      <c r="H27" s="650">
        <f ca="1">G27*$G$36</f>
        <v>0</v>
      </c>
      <c r="I27" s="359">
        <f ca="1">H27*F27</f>
        <v>0</v>
      </c>
      <c r="J27" s="229">
        <f t="shared" ca="1" si="1"/>
        <v>21357.310439499997</v>
      </c>
      <c r="L27" s="638">
        <f>RS!K28+RS!L28</f>
        <v>23824.286189499995</v>
      </c>
      <c r="M27" s="638">
        <f>LIRAP!F20/1000</f>
        <v>5.7600000000000007</v>
      </c>
      <c r="N27" s="347">
        <f>N46/1000</f>
        <v>-163.49999999999946</v>
      </c>
      <c r="O27" s="342">
        <f t="shared" ca="1" si="3"/>
        <v>-0.13292066653378548</v>
      </c>
      <c r="P27" s="229">
        <f t="shared" ca="1" si="4"/>
        <v>-3166.7399999999993</v>
      </c>
      <c r="Q27" s="506">
        <f ca="1">(E27+I27)/D27</f>
        <v>-0.12349017745099965</v>
      </c>
      <c r="R27" s="506">
        <f t="shared" ca="1" si="5"/>
        <v>-0.12629969167034885</v>
      </c>
      <c r="S27" s="506">
        <f>IF(L27=0,0,N27/L27)</f>
        <v>-6.862744961150539E-3</v>
      </c>
      <c r="U27" s="896"/>
    </row>
    <row r="28" spans="1:23">
      <c r="A28" s="569"/>
      <c r="B28" s="422"/>
      <c r="C28" s="569"/>
      <c r="D28" s="359"/>
      <c r="E28" s="359"/>
      <c r="F28" s="359"/>
      <c r="G28" s="651"/>
      <c r="H28" s="650"/>
      <c r="I28" s="359"/>
      <c r="J28" s="229"/>
      <c r="L28" s="638"/>
      <c r="M28" s="638"/>
      <c r="N28" s="347"/>
      <c r="O28" s="342"/>
      <c r="P28" s="229"/>
      <c r="Q28" s="506"/>
      <c r="R28" s="506"/>
      <c r="S28" s="506"/>
      <c r="U28" s="342"/>
    </row>
    <row r="29" spans="1:23">
      <c r="A29" s="569">
        <v>6</v>
      </c>
      <c r="B29" s="422" t="s">
        <v>303</v>
      </c>
      <c r="C29" s="397" t="s">
        <v>462</v>
      </c>
      <c r="D29" s="359">
        <f ca="1">'Pres &amp; Prop Rev'!$K$152/1000</f>
        <v>12229.340050000001</v>
      </c>
      <c r="E29" s="359">
        <f ca="1">'IEP Adj RB'!H25</f>
        <v>72.74106519867172</v>
      </c>
      <c r="F29" s="359">
        <f t="shared" ca="1" si="0"/>
        <v>12302.081115198673</v>
      </c>
      <c r="G29" s="651">
        <f>G25</f>
        <v>1</v>
      </c>
      <c r="H29" s="650">
        <f t="shared" ca="1" si="7"/>
        <v>2.6664206396886211E-2</v>
      </c>
      <c r="I29" s="359">
        <f ca="1">H29*F29-0.4</f>
        <v>327.62522996689353</v>
      </c>
      <c r="J29" s="229">
        <f t="shared" ca="1" si="1"/>
        <v>12629.706345165567</v>
      </c>
      <c r="L29" s="638">
        <f>RS!K30+RS!L30</f>
        <v>13210.003409999999</v>
      </c>
      <c r="M29" s="638">
        <f>LIRAP!F22/1000</f>
        <v>15.358535834620001</v>
      </c>
      <c r="N29" s="347">
        <f t="shared" ref="N29:N31" ca="1" si="9">-E29-I29-M29</f>
        <v>-415.72483100018525</v>
      </c>
      <c r="O29" s="342">
        <f t="shared" ca="1" si="3"/>
        <v>0</v>
      </c>
      <c r="P29" s="229">
        <f t="shared" ca="1" si="4"/>
        <v>0</v>
      </c>
      <c r="Q29" s="506">
        <f ca="1">(E29+I29)/D29</f>
        <v>3.2738176674183266E-2</v>
      </c>
      <c r="R29" s="506">
        <f t="shared" ca="1" si="5"/>
        <v>3.0307811643900649E-2</v>
      </c>
      <c r="S29" s="506">
        <f t="shared" ca="1" si="6"/>
        <v>-3.147045599439291E-2</v>
      </c>
      <c r="U29" s="342">
        <v>8.671756438856501E-2</v>
      </c>
    </row>
    <row r="30" spans="1:23">
      <c r="A30" s="569"/>
      <c r="B30" s="422"/>
      <c r="C30" s="569"/>
      <c r="D30" s="359"/>
      <c r="E30" s="359"/>
      <c r="F30" s="359"/>
      <c r="G30" s="651"/>
      <c r="H30" s="650"/>
      <c r="I30" s="359"/>
      <c r="J30" s="229"/>
      <c r="L30" s="638"/>
      <c r="M30" s="638"/>
      <c r="N30" s="347"/>
      <c r="O30" s="342"/>
      <c r="P30" s="229"/>
      <c r="Q30" s="506"/>
      <c r="R30" s="506"/>
      <c r="S30" s="506"/>
      <c r="U30" s="342"/>
    </row>
    <row r="31" spans="1:23">
      <c r="A31" s="569">
        <v>7</v>
      </c>
      <c r="B31" s="422" t="s">
        <v>304</v>
      </c>
      <c r="C31" s="569" t="s">
        <v>352</v>
      </c>
      <c r="D31" s="365">
        <f>'Pres &amp; Prop Rev'!$L$152/1000</f>
        <v>6628.6650019919989</v>
      </c>
      <c r="E31" s="365">
        <f>'IEP Adj RB'!H27</f>
        <v>55.129400350238143</v>
      </c>
      <c r="F31" s="359">
        <f t="shared" si="0"/>
        <v>6683.7944023422369</v>
      </c>
      <c r="G31" s="651">
        <f>G25</f>
        <v>1</v>
      </c>
      <c r="H31" s="650">
        <f t="shared" ca="1" si="7"/>
        <v>2.6664206396886211E-2</v>
      </c>
      <c r="I31" s="359">
        <f ca="1">H31*F31</f>
        <v>178.21807345840611</v>
      </c>
      <c r="J31" s="229">
        <f ca="1">F31+I31</f>
        <v>6862.0124758006432</v>
      </c>
      <c r="L31" s="638">
        <f>RS!K32+RS!L32</f>
        <v>6816.6650019919998</v>
      </c>
      <c r="M31" s="638">
        <f>LIRAP!F24/1000</f>
        <v>8.9206000000000003</v>
      </c>
      <c r="N31" s="347">
        <f t="shared" ca="1" si="9"/>
        <v>-242.26807380864426</v>
      </c>
      <c r="O31" s="342">
        <f t="shared" ca="1" si="3"/>
        <v>0</v>
      </c>
      <c r="P31" s="229">
        <f t="shared" ca="1" si="4"/>
        <v>0</v>
      </c>
      <c r="Q31" s="506">
        <f ca="1">(E31+I31)/D31</f>
        <v>3.5202785740193587E-2</v>
      </c>
      <c r="R31" s="506">
        <f ca="1">(I31+E31)/L31</f>
        <v>3.4231911607868995E-2</v>
      </c>
      <c r="S31" s="506">
        <f t="shared" ca="1" si="6"/>
        <v>-3.554055740422149E-2</v>
      </c>
      <c r="U31" s="342">
        <v>0</v>
      </c>
      <c r="W31" s="443">
        <f ca="1">N31/D31</f>
        <v>-3.6548546914927753E-2</v>
      </c>
    </row>
    <row r="32" spans="1:23">
      <c r="A32" s="569"/>
      <c r="B32" s="422"/>
      <c r="C32" s="569"/>
      <c r="D32" s="359"/>
      <c r="E32" s="359"/>
      <c r="F32" s="359"/>
      <c r="G32" s="359"/>
      <c r="H32" s="650"/>
      <c r="I32" s="359"/>
      <c r="J32" s="229"/>
      <c r="L32" s="638"/>
      <c r="M32" s="638"/>
      <c r="N32" s="347"/>
      <c r="O32" s="342"/>
      <c r="P32" s="229"/>
      <c r="Q32" s="506"/>
      <c r="R32" s="506"/>
      <c r="S32" s="506"/>
      <c r="U32" s="342"/>
    </row>
    <row r="33" spans="1:21">
      <c r="A33" s="569">
        <v>8</v>
      </c>
      <c r="B33" s="370" t="s">
        <v>66</v>
      </c>
      <c r="C33" s="569"/>
      <c r="D33" s="359">
        <f ca="1">SUM(D15:D31)+0.2</f>
        <v>530579.09165042278</v>
      </c>
      <c r="E33" s="359">
        <f ca="1">SUM(E15:E31)</f>
        <v>0.19966849356779903</v>
      </c>
      <c r="F33" s="359">
        <f t="shared" ca="1" si="0"/>
        <v>530579.29131891637</v>
      </c>
      <c r="G33" s="359"/>
      <c r="H33" s="650">
        <f ca="1">I36/$D$33</f>
        <v>2.5590906640825563E-2</v>
      </c>
      <c r="I33" s="359">
        <f ca="1">SUM(I15:I31)</f>
        <v>13577.753725339775</v>
      </c>
      <c r="J33" s="229">
        <f ca="1">D33+I33+0.3</f>
        <v>544157.1453757626</v>
      </c>
      <c r="L33" s="638">
        <f>RS!K34+RS!L34</f>
        <v>537464.07159042254</v>
      </c>
      <c r="M33" s="638">
        <f>LIRAP!F26/1000</f>
        <v>650.54098527406995</v>
      </c>
      <c r="N33" s="347">
        <f ca="1">SUM(N15:N31)</f>
        <v>-17395.234379107413</v>
      </c>
      <c r="O33" s="342">
        <f ca="1">IF(L33=0,0,(E33+I33+M33+N33)/L33)</f>
        <v>-5.8920031447483086E-3</v>
      </c>
      <c r="P33" s="229">
        <f t="shared" ca="1" si="4"/>
        <v>-3166.74</v>
      </c>
      <c r="Q33" s="506">
        <f ca="1">(E33+I33)/D33</f>
        <v>2.5590818800638512E-2</v>
      </c>
      <c r="R33" s="506">
        <f t="shared" ca="1" si="5"/>
        <v>2.5262997308181927E-2</v>
      </c>
      <c r="S33" s="506">
        <f t="shared" ca="1" si="6"/>
        <v>-3.2365390169491269E-2</v>
      </c>
      <c r="U33" s="342">
        <v>8.8157703764957393E-2</v>
      </c>
    </row>
    <row r="34" spans="1:21">
      <c r="A34" s="569"/>
      <c r="B34" s="569"/>
      <c r="C34" s="569"/>
      <c r="D34" s="371">
        <f ca="1">ROUND(D33-'Pres &amp; Prop Rev'!C205/1000,0)</f>
        <v>0</v>
      </c>
      <c r="E34" s="371"/>
      <c r="F34" s="371"/>
      <c r="G34" s="371"/>
      <c r="H34" s="371"/>
      <c r="I34" s="371">
        <f ca="1">ROUND(I33-I36,0)</f>
        <v>0</v>
      </c>
      <c r="J34" s="371"/>
    </row>
    <row r="36" spans="1:21">
      <c r="B36" t="s">
        <v>744</v>
      </c>
      <c r="E36" s="392"/>
      <c r="F36" s="392"/>
      <c r="G36" s="443">
        <f ca="1">I36/(F33-F27)</f>
        <v>2.6664206396886211E-2</v>
      </c>
      <c r="H36" s="443"/>
      <c r="I36" s="392">
        <v>13578</v>
      </c>
      <c r="N36" s="229">
        <f ca="1">E33+I33+M33+N33</f>
        <v>-3166.74</v>
      </c>
    </row>
    <row r="37" spans="1:21">
      <c r="N37" s="229"/>
    </row>
    <row r="38" spans="1:21">
      <c r="I38" s="229"/>
    </row>
    <row r="39" spans="1:21">
      <c r="D39" s="116"/>
      <c r="E39" s="116"/>
      <c r="F39" s="116"/>
      <c r="G39" s="229"/>
    </row>
    <row r="40" spans="1:21">
      <c r="G40" s="315"/>
    </row>
    <row r="42" spans="1:21">
      <c r="L42" t="s">
        <v>1037</v>
      </c>
      <c r="Q42" s="422" t="s">
        <v>1043</v>
      </c>
    </row>
    <row r="43" spans="1:21">
      <c r="H43" s="412"/>
      <c r="L43" s="422" t="s">
        <v>515</v>
      </c>
      <c r="M43" s="422"/>
      <c r="N43" s="422" t="s">
        <v>1047</v>
      </c>
      <c r="O43" s="422" t="s">
        <v>865</v>
      </c>
    </row>
    <row r="44" spans="1:21">
      <c r="F44" s="894"/>
      <c r="G44" s="894"/>
      <c r="H44" s="412"/>
      <c r="L44" s="641">
        <f>'Pres &amp; Prop Rev'!J8</f>
        <v>6000000</v>
      </c>
      <c r="M44" s="641"/>
      <c r="N44" s="395">
        <f>L44*RD!L57</f>
        <v>-14999.999999999993</v>
      </c>
      <c r="Q44" s="157">
        <f ca="1">Q15</f>
        <v>4.6137001601292693E-2</v>
      </c>
    </row>
    <row r="45" spans="1:21">
      <c r="F45" s="894"/>
      <c r="G45" s="894"/>
      <c r="H45" s="412"/>
      <c r="L45" s="641">
        <f>'Pres &amp; Prop Rev'!J9</f>
        <v>66000000</v>
      </c>
      <c r="M45" s="641"/>
      <c r="N45" s="395">
        <f>L45*RD!L58</f>
        <v>-148499.99999999945</v>
      </c>
      <c r="Q45" s="569" t="s">
        <v>1044</v>
      </c>
    </row>
    <row r="46" spans="1:21">
      <c r="N46" s="827">
        <f>SUM(N44:N45)</f>
        <v>-163499.99999999945</v>
      </c>
      <c r="Q46" s="506">
        <f ca="1">Q44*2</f>
        <v>9.2274003202585386E-2</v>
      </c>
    </row>
  </sheetData>
  <conditionalFormatting sqref="D34:I34">
    <cfRule type="cellIs" dxfId="26" priority="2" stopIfTrue="1" operator="notEqual">
      <formula>0</formula>
    </cfRule>
  </conditionalFormatting>
  <conditionalFormatting sqref="J34">
    <cfRule type="cellIs" dxfId="25" priority="1" stopIfTrue="1" operator="notEqual">
      <formula>0</formula>
    </cfRule>
  </conditionalFormatting>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113"/>
  <sheetViews>
    <sheetView showGridLines="0" zoomScaleNormal="100" zoomScaleSheetLayoutView="100" workbookViewId="0">
      <selection activeCell="J26" sqref="J26"/>
    </sheetView>
  </sheetViews>
  <sheetFormatPr defaultColWidth="10.7109375" defaultRowHeight="12"/>
  <cols>
    <col min="1" max="1" width="29.5703125" style="20" customWidth="1"/>
    <col min="2" max="5" width="14.7109375" style="20" customWidth="1"/>
    <col min="6" max="7" width="12.7109375" style="20" customWidth="1"/>
    <col min="8" max="16384" width="10.7109375" style="20"/>
  </cols>
  <sheetData>
    <row r="1" spans="1:9">
      <c r="A1" s="24" t="s">
        <v>101</v>
      </c>
      <c r="B1" s="231"/>
      <c r="C1" s="24"/>
      <c r="D1" s="231"/>
      <c r="E1" s="231"/>
      <c r="F1" s="231"/>
      <c r="G1" s="231"/>
    </row>
    <row r="2" spans="1:9">
      <c r="A2" s="24" t="s">
        <v>404</v>
      </c>
      <c r="B2" s="24"/>
      <c r="C2" s="24"/>
      <c r="D2" s="231"/>
      <c r="E2" s="24"/>
      <c r="F2" s="24"/>
      <c r="G2" s="24"/>
    </row>
    <row r="3" spans="1:9">
      <c r="A3" s="24" t="s">
        <v>362</v>
      </c>
      <c r="B3" s="231"/>
      <c r="C3" s="24"/>
      <c r="D3" s="231"/>
      <c r="E3" s="231"/>
      <c r="F3" s="231"/>
      <c r="G3" s="231"/>
    </row>
    <row r="4" spans="1:9">
      <c r="A4" s="24" t="s">
        <v>910</v>
      </c>
      <c r="B4" s="24"/>
      <c r="C4" s="24"/>
      <c r="D4" s="231"/>
      <c r="E4" s="24"/>
      <c r="F4" s="24"/>
      <c r="G4" s="24"/>
    </row>
    <row r="5" spans="1:9">
      <c r="A5" s="23"/>
      <c r="B5" s="24"/>
      <c r="C5" s="24"/>
      <c r="D5" s="24"/>
      <c r="E5" s="24"/>
      <c r="F5" s="24"/>
      <c r="G5" s="24"/>
    </row>
    <row r="6" spans="1:9">
      <c r="A6" s="23"/>
      <c r="B6" s="24"/>
      <c r="C6" s="24"/>
      <c r="D6" s="24"/>
      <c r="E6" s="24"/>
      <c r="F6" s="24"/>
      <c r="G6" s="24"/>
    </row>
    <row r="7" spans="1:9">
      <c r="A7" s="22"/>
      <c r="B7" s="25"/>
      <c r="C7" s="22"/>
      <c r="D7" s="22"/>
      <c r="E7" s="22"/>
      <c r="F7" s="22"/>
      <c r="G7" s="22"/>
    </row>
    <row r="8" spans="1:9">
      <c r="A8" s="26" t="s">
        <v>684</v>
      </c>
      <c r="B8" s="27" t="s">
        <v>718</v>
      </c>
      <c r="C8" s="26" t="s">
        <v>719</v>
      </c>
      <c r="D8" s="27" t="s">
        <v>720</v>
      </c>
      <c r="E8" s="27" t="s">
        <v>721</v>
      </c>
      <c r="F8" s="27" t="s">
        <v>380</v>
      </c>
      <c r="G8" s="22"/>
    </row>
    <row r="9" spans="1:9">
      <c r="A9" s="22" t="s">
        <v>942</v>
      </c>
      <c r="B9" s="21">
        <f>'Block Data'!O21</f>
        <v>1632639774.4875689</v>
      </c>
      <c r="C9" s="21">
        <f>'Block Data'!O22</f>
        <v>504552667.9882521</v>
      </c>
      <c r="D9" s="21">
        <f>'Block Data'!O23</f>
        <v>299072582.35517937</v>
      </c>
      <c r="E9" s="21">
        <f>B9+C9+D9</f>
        <v>2436265024.8310003</v>
      </c>
      <c r="F9" s="21">
        <f>'REVRUNS 12ME1219'!P39</f>
        <v>2619517</v>
      </c>
      <c r="G9" s="22"/>
      <c r="H9" s="22"/>
      <c r="I9" s="22"/>
    </row>
    <row r="10" spans="1:9" ht="14.25">
      <c r="A10" s="33" t="s">
        <v>943</v>
      </c>
      <c r="B10" s="21"/>
      <c r="C10" s="22"/>
      <c r="D10" s="21"/>
      <c r="E10" s="28">
        <f>'Block Data'!O13</f>
        <v>2436265024.8310003</v>
      </c>
      <c r="F10" s="21"/>
      <c r="G10" s="22"/>
      <c r="H10" s="22"/>
      <c r="I10" s="22"/>
    </row>
    <row r="11" spans="1:9">
      <c r="A11" s="33" t="s">
        <v>717</v>
      </c>
      <c r="B11" s="21"/>
      <c r="C11" s="22"/>
      <c r="D11" s="21"/>
      <c r="E11" s="29">
        <f>E10-E9</f>
        <v>0</v>
      </c>
      <c r="F11" s="21"/>
      <c r="G11" s="22"/>
      <c r="H11" s="22"/>
      <c r="I11" s="22"/>
    </row>
    <row r="12" spans="1:9">
      <c r="A12" s="33"/>
      <c r="B12" s="21"/>
      <c r="C12" s="22"/>
      <c r="D12" s="21"/>
      <c r="E12" s="100"/>
      <c r="F12" s="21"/>
      <c r="G12" s="22"/>
      <c r="H12" s="22"/>
      <c r="I12" s="22"/>
    </row>
    <row r="13" spans="1:9">
      <c r="A13" s="22"/>
      <c r="B13" s="22"/>
      <c r="C13" s="22"/>
      <c r="D13" s="22"/>
      <c r="E13" s="30"/>
      <c r="F13" s="22"/>
      <c r="G13" s="22"/>
      <c r="H13" s="22"/>
      <c r="I13" s="22"/>
    </row>
    <row r="14" spans="1:9">
      <c r="A14" s="26" t="s">
        <v>63</v>
      </c>
      <c r="B14" s="27" t="s">
        <v>722</v>
      </c>
      <c r="C14" s="26" t="s">
        <v>723</v>
      </c>
      <c r="D14" s="27" t="s">
        <v>721</v>
      </c>
      <c r="E14" s="27" t="s">
        <v>465</v>
      </c>
      <c r="F14" s="27" t="s">
        <v>380</v>
      </c>
      <c r="G14" s="27" t="s">
        <v>466</v>
      </c>
      <c r="H14" s="22"/>
      <c r="I14" s="22"/>
    </row>
    <row r="15" spans="1:9">
      <c r="A15" s="22" t="s">
        <v>944</v>
      </c>
      <c r="B15" s="21">
        <f>'Block Data'!O38</f>
        <v>435979118.38983351</v>
      </c>
      <c r="C15" s="21">
        <f>'Block Data'!O39</f>
        <v>191116384.14616641</v>
      </c>
      <c r="D15" s="21">
        <f>B15+C15</f>
        <v>627095502.53599989</v>
      </c>
      <c r="E15" s="21">
        <f>'Block Data'!O45</f>
        <v>438307.97692307696</v>
      </c>
      <c r="F15" s="424">
        <f>'REVRUNS 12ME1219'!P40</f>
        <v>391801</v>
      </c>
      <c r="G15" s="21">
        <f>'Block Data'!O49</f>
        <v>0</v>
      </c>
      <c r="H15" s="22"/>
      <c r="I15" s="22"/>
    </row>
    <row r="16" spans="1:9" ht="14.25">
      <c r="A16" s="22" t="s">
        <v>961</v>
      </c>
      <c r="B16" s="427">
        <v>0</v>
      </c>
      <c r="C16" s="427">
        <v>0</v>
      </c>
      <c r="D16" s="31">
        <f>SUM(B16:C16)</f>
        <v>0</v>
      </c>
      <c r="E16" s="427">
        <v>0</v>
      </c>
      <c r="F16" s="429">
        <v>0</v>
      </c>
      <c r="G16" s="389">
        <v>0</v>
      </c>
      <c r="H16" s="22"/>
      <c r="I16" s="22"/>
    </row>
    <row r="17" spans="1:9">
      <c r="A17" s="22" t="s">
        <v>452</v>
      </c>
      <c r="B17" s="386">
        <f t="shared" ref="B17:G17" si="0">SUM(B15:B16)</f>
        <v>435979118.38983351</v>
      </c>
      <c r="C17" s="386">
        <f t="shared" si="0"/>
        <v>191116384.14616641</v>
      </c>
      <c r="D17" s="386">
        <f t="shared" si="0"/>
        <v>627095502.53599989</v>
      </c>
      <c r="E17" s="386">
        <f t="shared" si="0"/>
        <v>438307.97692307696</v>
      </c>
      <c r="F17" s="386">
        <f t="shared" si="0"/>
        <v>391801</v>
      </c>
      <c r="G17" s="386">
        <f t="shared" si="0"/>
        <v>0</v>
      </c>
      <c r="H17" s="22"/>
      <c r="I17" s="22"/>
    </row>
    <row r="18" spans="1:9" ht="14.25">
      <c r="A18" s="33" t="s">
        <v>943</v>
      </c>
      <c r="B18" s="100"/>
      <c r="C18" s="101"/>
      <c r="D18" s="28">
        <f>'Block Data'!O31</f>
        <v>627095502.53599989</v>
      </c>
      <c r="E18" s="22"/>
      <c r="F18" s="21"/>
      <c r="G18" s="22"/>
      <c r="H18" s="22"/>
      <c r="I18" s="22"/>
    </row>
    <row r="19" spans="1:9">
      <c r="A19" s="33" t="s">
        <v>961</v>
      </c>
      <c r="B19" s="100"/>
      <c r="C19" s="101"/>
      <c r="D19" s="386">
        <f>D16</f>
        <v>0</v>
      </c>
      <c r="E19" s="22"/>
      <c r="F19" s="21"/>
      <c r="G19" s="22"/>
      <c r="H19" s="22"/>
      <c r="I19" s="22"/>
    </row>
    <row r="20" spans="1:9" ht="14.25">
      <c r="A20" s="33" t="s">
        <v>724</v>
      </c>
      <c r="B20" s="100"/>
      <c r="C20" s="101"/>
      <c r="D20" s="28">
        <f>D18+D19</f>
        <v>627095502.53599989</v>
      </c>
      <c r="E20" s="22"/>
      <c r="F20" s="21"/>
      <c r="G20" s="22"/>
      <c r="H20" s="22"/>
      <c r="I20" s="22"/>
    </row>
    <row r="21" spans="1:9">
      <c r="A21" s="33" t="s">
        <v>717</v>
      </c>
      <c r="B21" s="21"/>
      <c r="C21" s="22"/>
      <c r="D21" s="29">
        <f>D20-D17</f>
        <v>0</v>
      </c>
      <c r="E21" s="22"/>
      <c r="F21" s="21"/>
      <c r="G21" s="22"/>
      <c r="H21" s="22"/>
      <c r="I21" s="22"/>
    </row>
    <row r="22" spans="1:9">
      <c r="A22" s="33"/>
      <c r="B22" s="21"/>
      <c r="C22" s="22"/>
      <c r="D22" s="100"/>
      <c r="E22" s="100"/>
      <c r="F22" s="21"/>
      <c r="G22" s="22"/>
      <c r="H22" s="22"/>
      <c r="I22" s="22"/>
    </row>
    <row r="23" spans="1:9">
      <c r="A23" s="22"/>
      <c r="B23" s="22"/>
      <c r="C23" s="22"/>
      <c r="D23" s="30"/>
      <c r="E23" s="22"/>
      <c r="F23" s="22"/>
      <c r="G23" s="22"/>
      <c r="H23" s="22"/>
      <c r="I23" s="22"/>
    </row>
    <row r="24" spans="1:9">
      <c r="A24" s="26" t="s">
        <v>954</v>
      </c>
      <c r="B24" s="27" t="s">
        <v>722</v>
      </c>
      <c r="C24" s="26" t="s">
        <v>723</v>
      </c>
      <c r="D24" s="27" t="s">
        <v>721</v>
      </c>
      <c r="E24" s="27" t="s">
        <v>465</v>
      </c>
      <c r="F24" s="27" t="s">
        <v>380</v>
      </c>
      <c r="G24" s="27" t="s">
        <v>466</v>
      </c>
      <c r="H24" s="22"/>
      <c r="I24" s="22"/>
    </row>
    <row r="25" spans="1:9">
      <c r="A25" s="22" t="s">
        <v>944</v>
      </c>
      <c r="B25" s="424">
        <f>'Block Data'!O64</f>
        <v>0</v>
      </c>
      <c r="C25" s="424">
        <f>'Block Data'!O65</f>
        <v>0</v>
      </c>
      <c r="D25" s="424">
        <f>B25+C25</f>
        <v>0</v>
      </c>
      <c r="E25" s="424">
        <f>'Block Data'!O71</f>
        <v>0</v>
      </c>
      <c r="F25" s="424">
        <f>'REVRUNS 12ME1219'!P41</f>
        <v>0</v>
      </c>
      <c r="G25" s="424">
        <f>'Block Data'!O75</f>
        <v>0</v>
      </c>
      <c r="H25" s="22"/>
      <c r="I25" s="22"/>
    </row>
    <row r="26" spans="1:9" ht="14.25">
      <c r="A26" s="22" t="s">
        <v>961</v>
      </c>
      <c r="B26" s="427">
        <v>0</v>
      </c>
      <c r="C26" s="427">
        <v>0</v>
      </c>
      <c r="D26" s="31">
        <f>SUM(B26:C26)</f>
        <v>0</v>
      </c>
      <c r="E26" s="427">
        <v>0</v>
      </c>
      <c r="F26" s="429">
        <v>0</v>
      </c>
      <c r="G26" s="389">
        <v>0</v>
      </c>
      <c r="H26" s="22"/>
      <c r="I26" s="22"/>
    </row>
    <row r="27" spans="1:9">
      <c r="A27" s="22" t="s">
        <v>452</v>
      </c>
      <c r="B27" s="386">
        <f t="shared" ref="B27:G27" si="1">SUM(B25:B26)</f>
        <v>0</v>
      </c>
      <c r="C27" s="386">
        <f t="shared" si="1"/>
        <v>0</v>
      </c>
      <c r="D27" s="386">
        <f t="shared" si="1"/>
        <v>0</v>
      </c>
      <c r="E27" s="386">
        <f t="shared" si="1"/>
        <v>0</v>
      </c>
      <c r="F27" s="386">
        <f t="shared" si="1"/>
        <v>0</v>
      </c>
      <c r="G27" s="386">
        <f t="shared" si="1"/>
        <v>0</v>
      </c>
      <c r="H27" s="22"/>
      <c r="I27" s="22"/>
    </row>
    <row r="28" spans="1:9" ht="14.25">
      <c r="A28" s="33" t="s">
        <v>943</v>
      </c>
      <c r="B28" s="425"/>
      <c r="C28" s="101"/>
      <c r="D28" s="28">
        <f>'Block Data'!O57</f>
        <v>0</v>
      </c>
      <c r="E28" s="22"/>
      <c r="F28" s="424"/>
      <c r="G28" s="22"/>
      <c r="H28" s="22"/>
      <c r="I28" s="22"/>
    </row>
    <row r="29" spans="1:9">
      <c r="A29" s="33" t="s">
        <v>961</v>
      </c>
      <c r="B29" s="425"/>
      <c r="C29" s="101"/>
      <c r="D29" s="386">
        <f>D26</f>
        <v>0</v>
      </c>
      <c r="E29" s="22"/>
      <c r="F29" s="424"/>
      <c r="G29" s="22"/>
      <c r="H29" s="22"/>
      <c r="I29" s="22"/>
    </row>
    <row r="30" spans="1:9" ht="14.25">
      <c r="A30" s="33" t="s">
        <v>724</v>
      </c>
      <c r="B30" s="425"/>
      <c r="C30" s="101"/>
      <c r="D30" s="28">
        <f>D28+D29</f>
        <v>0</v>
      </c>
      <c r="E30" s="22"/>
      <c r="F30" s="424"/>
      <c r="G30" s="22"/>
      <c r="H30" s="22"/>
      <c r="I30" s="22"/>
    </row>
    <row r="31" spans="1:9">
      <c r="A31" s="33" t="s">
        <v>717</v>
      </c>
      <c r="B31" s="424"/>
      <c r="C31" s="22"/>
      <c r="D31" s="29">
        <f>D30-D27</f>
        <v>0</v>
      </c>
      <c r="E31" s="22"/>
      <c r="F31" s="424"/>
      <c r="G31" s="22"/>
      <c r="H31" s="22"/>
      <c r="I31" s="22"/>
    </row>
    <row r="32" spans="1:9">
      <c r="A32" s="33"/>
      <c r="B32" s="424"/>
      <c r="C32" s="22"/>
      <c r="D32" s="425"/>
      <c r="E32" s="425"/>
      <c r="F32" s="424"/>
      <c r="G32" s="22"/>
      <c r="H32" s="22"/>
      <c r="I32" s="22"/>
    </row>
    <row r="33" spans="1:9">
      <c r="A33" s="22"/>
      <c r="B33" s="22"/>
      <c r="C33" s="22"/>
      <c r="D33" s="30"/>
      <c r="E33" s="22"/>
      <c r="F33" s="22"/>
      <c r="G33" s="22"/>
      <c r="H33" s="22"/>
      <c r="I33" s="22"/>
    </row>
    <row r="34" spans="1:9">
      <c r="A34" s="26" t="s">
        <v>64</v>
      </c>
      <c r="B34" s="27" t="s">
        <v>725</v>
      </c>
      <c r="C34" s="26" t="s">
        <v>726</v>
      </c>
      <c r="D34" s="27" t="s">
        <v>721</v>
      </c>
      <c r="E34" s="27" t="s">
        <v>467</v>
      </c>
      <c r="F34" s="27" t="s">
        <v>380</v>
      </c>
      <c r="G34" s="27" t="s">
        <v>466</v>
      </c>
      <c r="H34" s="22"/>
      <c r="I34" s="22"/>
    </row>
    <row r="35" spans="1:9">
      <c r="A35" s="22" t="s">
        <v>944</v>
      </c>
      <c r="B35" s="21">
        <f>'Block Data'!O90</f>
        <v>1229791151.8036699</v>
      </c>
      <c r="C35" s="21">
        <f>'Block Data'!O91</f>
        <v>146237824.45333001</v>
      </c>
      <c r="D35" s="21">
        <f>B35+C35</f>
        <v>1376028976.257</v>
      </c>
      <c r="E35" s="21">
        <f>'Block Data'!O97</f>
        <v>2648035.6015384616</v>
      </c>
      <c r="F35" s="424">
        <f>'REVRUNS 12ME1219'!P42</f>
        <v>22941</v>
      </c>
      <c r="G35" s="21">
        <f>'Block Data'!O101</f>
        <v>252584.88</v>
      </c>
      <c r="H35" s="22"/>
      <c r="I35" s="22"/>
    </row>
    <row r="36" spans="1:9">
      <c r="A36" s="22" t="s">
        <v>961</v>
      </c>
      <c r="B36" s="425">
        <v>0</v>
      </c>
      <c r="C36" s="425">
        <v>0</v>
      </c>
      <c r="D36" s="424">
        <f>SUM(B36:C36)</f>
        <v>0</v>
      </c>
      <c r="E36" s="421">
        <v>0</v>
      </c>
      <c r="F36" s="426">
        <v>0</v>
      </c>
      <c r="G36" s="421">
        <v>0</v>
      </c>
      <c r="H36" s="22"/>
      <c r="I36" s="22"/>
    </row>
    <row r="37" spans="1:9" ht="14.25">
      <c r="A37" s="22" t="s">
        <v>961</v>
      </c>
      <c r="B37" s="427">
        <v>0</v>
      </c>
      <c r="C37" s="427">
        <v>0</v>
      </c>
      <c r="D37" s="31">
        <f>SUM(B37:C37)</f>
        <v>0</v>
      </c>
      <c r="E37" s="427">
        <v>0</v>
      </c>
      <c r="F37" s="429">
        <v>0</v>
      </c>
      <c r="G37" s="389">
        <v>0</v>
      </c>
      <c r="H37" s="22"/>
      <c r="I37" s="22"/>
    </row>
    <row r="38" spans="1:9" ht="14.25">
      <c r="A38" s="22" t="s">
        <v>66</v>
      </c>
      <c r="B38" s="21">
        <f>SUM(B35:B37)</f>
        <v>1229791151.8036699</v>
      </c>
      <c r="C38" s="21">
        <f>SUM(C35:C37)</f>
        <v>146237824.45333001</v>
      </c>
      <c r="D38" s="31">
        <f>SUM(B38:C38)</f>
        <v>1376028976.257</v>
      </c>
      <c r="E38" s="390">
        <f>SUM(E35:E37)</f>
        <v>2648035.6015384616</v>
      </c>
      <c r="F38" s="390">
        <f>SUM(F35:F37)</f>
        <v>22941</v>
      </c>
      <c r="G38" s="390">
        <f>SUM(G35:G37)</f>
        <v>252584.88</v>
      </c>
      <c r="H38" s="22"/>
      <c r="I38" s="22"/>
    </row>
    <row r="39" spans="1:9" ht="14.25">
      <c r="A39" s="33" t="s">
        <v>943</v>
      </c>
      <c r="B39" s="21"/>
      <c r="C39" s="22"/>
      <c r="D39" s="28">
        <f>'Block Data'!O83</f>
        <v>1376028976.257</v>
      </c>
      <c r="E39" s="29"/>
      <c r="F39" s="29"/>
      <c r="G39" s="29"/>
      <c r="H39" s="22"/>
      <c r="I39" s="22"/>
    </row>
    <row r="40" spans="1:9">
      <c r="A40" s="33" t="s">
        <v>961</v>
      </c>
      <c r="B40" s="21"/>
      <c r="C40" s="22"/>
      <c r="D40" s="386">
        <f>D36</f>
        <v>0</v>
      </c>
      <c r="E40" s="22"/>
      <c r="F40" s="21"/>
      <c r="G40" s="22"/>
      <c r="H40" s="22"/>
      <c r="I40" s="22"/>
    </row>
    <row r="41" spans="1:9">
      <c r="A41" s="33" t="s">
        <v>961</v>
      </c>
      <c r="B41" s="21"/>
      <c r="C41" s="22"/>
      <c r="D41" s="386">
        <f>D37</f>
        <v>0</v>
      </c>
      <c r="E41" s="22"/>
      <c r="F41" s="21"/>
      <c r="G41" s="22"/>
      <c r="H41" s="22"/>
      <c r="I41" s="22"/>
    </row>
    <row r="42" spans="1:9" ht="14.25">
      <c r="A42" s="33" t="s">
        <v>727</v>
      </c>
      <c r="B42" s="21"/>
      <c r="C42" s="22"/>
      <c r="D42" s="28">
        <f>D39+D40+D41</f>
        <v>1376028976.257</v>
      </c>
      <c r="E42" s="22"/>
      <c r="F42" s="21"/>
      <c r="G42" s="22"/>
      <c r="H42" s="22"/>
      <c r="I42" s="22"/>
    </row>
    <row r="43" spans="1:9">
      <c r="A43" s="33" t="s">
        <v>717</v>
      </c>
      <c r="B43" s="21"/>
      <c r="C43" s="22"/>
      <c r="D43" s="29">
        <f>D42-D38</f>
        <v>0</v>
      </c>
      <c r="E43" s="22"/>
      <c r="F43" s="21"/>
      <c r="G43" s="22"/>
      <c r="H43" s="22"/>
      <c r="I43" s="22"/>
    </row>
    <row r="44" spans="1:9">
      <c r="A44" s="33"/>
      <c r="B44" s="21"/>
      <c r="C44" s="22"/>
      <c r="D44" s="100"/>
      <c r="E44" s="100"/>
      <c r="F44" s="21"/>
      <c r="G44" s="22"/>
      <c r="H44" s="22"/>
      <c r="I44" s="22"/>
    </row>
    <row r="45" spans="1:9">
      <c r="A45" s="22"/>
      <c r="B45" s="21"/>
      <c r="C45" s="21"/>
      <c r="D45" s="21"/>
      <c r="E45" s="22"/>
      <c r="F45" s="22"/>
      <c r="G45" s="22"/>
      <c r="H45" s="22"/>
      <c r="I45" s="22"/>
    </row>
    <row r="46" spans="1:9">
      <c r="A46" s="26" t="s">
        <v>955</v>
      </c>
      <c r="B46" s="27" t="s">
        <v>725</v>
      </c>
      <c r="C46" s="26" t="s">
        <v>726</v>
      </c>
      <c r="D46" s="27" t="s">
        <v>721</v>
      </c>
      <c r="E46" s="27" t="s">
        <v>467</v>
      </c>
      <c r="F46" s="27" t="s">
        <v>380</v>
      </c>
      <c r="G46" s="27" t="s">
        <v>466</v>
      </c>
      <c r="H46" s="22"/>
      <c r="I46" s="22"/>
    </row>
    <row r="47" spans="1:9">
      <c r="A47" s="22" t="s">
        <v>944</v>
      </c>
      <c r="B47" s="424">
        <f>'Block Data'!O116</f>
        <v>0</v>
      </c>
      <c r="C47" s="424">
        <f>'Block Data'!O117</f>
        <v>0</v>
      </c>
      <c r="D47" s="424">
        <f>B47+C47</f>
        <v>0</v>
      </c>
      <c r="E47" s="424">
        <f>'Block Data'!O123</f>
        <v>0</v>
      </c>
      <c r="F47" s="424">
        <f>'REVRUNS 12ME1219'!P43</f>
        <v>0</v>
      </c>
      <c r="G47" s="424">
        <f>'Block Data'!O127</f>
        <v>0</v>
      </c>
      <c r="H47" s="22"/>
      <c r="I47" s="22"/>
    </row>
    <row r="48" spans="1:9" ht="14.25">
      <c r="A48" s="22" t="s">
        <v>961</v>
      </c>
      <c r="B48" s="428">
        <v>0</v>
      </c>
      <c r="C48" s="428">
        <v>0</v>
      </c>
      <c r="D48" s="31">
        <f>SUM(B48:C48)</f>
        <v>0</v>
      </c>
      <c r="E48" s="428">
        <v>0</v>
      </c>
      <c r="F48" s="428">
        <v>0</v>
      </c>
      <c r="G48" s="428">
        <v>0</v>
      </c>
      <c r="H48" s="22"/>
      <c r="I48" s="22"/>
    </row>
    <row r="49" spans="1:9" ht="14.25">
      <c r="A49" s="22" t="s">
        <v>66</v>
      </c>
      <c r="B49" s="424">
        <f>SUM(B47:B48)</f>
        <v>0</v>
      </c>
      <c r="C49" s="424">
        <f>SUM(C47:C48)</f>
        <v>0</v>
      </c>
      <c r="D49" s="31">
        <f>SUM(B49:C49)</f>
        <v>0</v>
      </c>
      <c r="E49" s="390">
        <f>SUM(E47:E48)</f>
        <v>0</v>
      </c>
      <c r="F49" s="390">
        <f>SUM(F47:F48)</f>
        <v>0</v>
      </c>
      <c r="G49" s="390">
        <f>SUM(G47:G48)</f>
        <v>0</v>
      </c>
      <c r="H49" s="22"/>
      <c r="I49" s="22"/>
    </row>
    <row r="50" spans="1:9" ht="14.25">
      <c r="A50" s="33" t="s">
        <v>943</v>
      </c>
      <c r="B50" s="424"/>
      <c r="C50" s="22"/>
      <c r="D50" s="28">
        <f>'Block Data'!O94</f>
        <v>0</v>
      </c>
      <c r="E50" s="29"/>
      <c r="F50" s="29"/>
      <c r="G50" s="29"/>
      <c r="H50" s="22"/>
      <c r="I50" s="22"/>
    </row>
    <row r="51" spans="1:9">
      <c r="A51" s="33" t="s">
        <v>961</v>
      </c>
      <c r="B51" s="424"/>
      <c r="C51" s="22"/>
      <c r="D51" s="386">
        <f>D47</f>
        <v>0</v>
      </c>
      <c r="E51" s="22"/>
      <c r="F51" s="424"/>
      <c r="G51" s="22"/>
      <c r="H51" s="22"/>
      <c r="I51" s="22"/>
    </row>
    <row r="52" spans="1:9">
      <c r="A52" s="33" t="s">
        <v>961</v>
      </c>
      <c r="B52" s="424"/>
      <c r="C52" s="22"/>
      <c r="D52" s="386">
        <f>D48</f>
        <v>0</v>
      </c>
      <c r="E52" s="22"/>
      <c r="F52" s="424"/>
      <c r="G52" s="22"/>
      <c r="H52" s="22"/>
      <c r="I52" s="22"/>
    </row>
    <row r="53" spans="1:9" ht="14.25">
      <c r="A53" s="33" t="s">
        <v>727</v>
      </c>
      <c r="B53" s="424"/>
      <c r="C53" s="22"/>
      <c r="D53" s="28">
        <f>D50+D51+D52</f>
        <v>0</v>
      </c>
      <c r="E53" s="22"/>
      <c r="F53" s="424"/>
      <c r="G53" s="22"/>
      <c r="H53" s="22"/>
      <c r="I53" s="22"/>
    </row>
    <row r="54" spans="1:9">
      <c r="A54" s="33" t="s">
        <v>717</v>
      </c>
      <c r="B54" s="424"/>
      <c r="C54" s="22"/>
      <c r="D54" s="29">
        <f>D53-D49</f>
        <v>0</v>
      </c>
      <c r="E54" s="22"/>
      <c r="F54" s="424"/>
      <c r="G54" s="22"/>
      <c r="H54" s="22"/>
      <c r="I54" s="22"/>
    </row>
    <row r="55" spans="1:9">
      <c r="A55" s="33"/>
      <c r="B55" s="424"/>
      <c r="C55" s="22"/>
      <c r="D55" s="425"/>
      <c r="E55" s="425"/>
      <c r="F55" s="424"/>
      <c r="G55" s="22"/>
      <c r="H55" s="22"/>
      <c r="I55" s="22"/>
    </row>
    <row r="56" spans="1:9">
      <c r="A56" s="22"/>
      <c r="B56" s="424"/>
      <c r="C56" s="424"/>
      <c r="D56" s="424"/>
      <c r="E56" s="22"/>
      <c r="F56" s="22"/>
      <c r="G56" s="22"/>
      <c r="H56" s="22"/>
      <c r="I56" s="22"/>
    </row>
    <row r="57" spans="1:9">
      <c r="A57" s="26" t="s">
        <v>464</v>
      </c>
      <c r="B57" s="27" t="s">
        <v>728</v>
      </c>
      <c r="C57" s="26" t="s">
        <v>729</v>
      </c>
      <c r="D57" s="228" t="s">
        <v>730</v>
      </c>
      <c r="E57" s="27" t="s">
        <v>721</v>
      </c>
      <c r="F57" s="27" t="s">
        <v>65</v>
      </c>
      <c r="G57" s="27" t="s">
        <v>380</v>
      </c>
      <c r="H57" s="22"/>
      <c r="I57" s="22"/>
    </row>
    <row r="58" spans="1:9">
      <c r="A58" s="22" t="s">
        <v>66</v>
      </c>
      <c r="B58" s="21">
        <f>'WA Sch 25'!Q27</f>
        <v>126000000</v>
      </c>
      <c r="C58" s="21">
        <f>'WA Sch 25'!R27</f>
        <v>489959799.31499994</v>
      </c>
      <c r="D58" s="21">
        <f>'WA Sch 25'!S27</f>
        <v>4157886.6000001431</v>
      </c>
      <c r="E58" s="21">
        <f>SUM(B58:D58)</f>
        <v>620117685.91500008</v>
      </c>
      <c r="F58" s="21">
        <f>'WA Sch 25'!P97</f>
        <v>585966.87300000002</v>
      </c>
      <c r="G58" s="754">
        <f>(23*12)-12-12</f>
        <v>252</v>
      </c>
      <c r="H58" s="22"/>
      <c r="I58" s="22"/>
    </row>
    <row r="59" spans="1:9">
      <c r="A59" s="33"/>
      <c r="B59" s="21"/>
      <c r="C59" s="22"/>
      <c r="D59" s="100"/>
      <c r="E59" s="100"/>
      <c r="F59" s="100"/>
      <c r="G59" s="22"/>
      <c r="H59" s="22"/>
      <c r="I59" s="22"/>
    </row>
    <row r="60" spans="1:9">
      <c r="A60" s="22"/>
      <c r="B60" s="22"/>
      <c r="C60" s="22"/>
      <c r="D60" s="22"/>
      <c r="E60" s="22"/>
      <c r="F60" s="25"/>
      <c r="G60" s="22"/>
      <c r="H60" s="22"/>
      <c r="I60" s="22"/>
    </row>
    <row r="61" spans="1:9">
      <c r="A61" s="26" t="s">
        <v>956</v>
      </c>
      <c r="B61" s="27" t="s">
        <v>728</v>
      </c>
      <c r="C61" s="26" t="s">
        <v>729</v>
      </c>
      <c r="D61" s="228" t="s">
        <v>730</v>
      </c>
      <c r="E61" s="27" t="s">
        <v>721</v>
      </c>
      <c r="F61" s="27" t="s">
        <v>65</v>
      </c>
      <c r="G61" s="27" t="s">
        <v>380</v>
      </c>
      <c r="H61" s="22"/>
      <c r="I61" s="22"/>
    </row>
    <row r="62" spans="1:9">
      <c r="A62" s="22" t="s">
        <v>66</v>
      </c>
      <c r="B62" s="424">
        <f>'WA Sch 25'!Q42</f>
        <v>6000000</v>
      </c>
      <c r="C62" s="424">
        <f>'WA Sch 25'!R42</f>
        <v>66000000</v>
      </c>
      <c r="D62" s="424">
        <f>'WA Sch 25'!S42</f>
        <v>379099448</v>
      </c>
      <c r="E62" s="424">
        <f>SUM(B62:D62)</f>
        <v>451099448</v>
      </c>
      <c r="F62" s="424">
        <f>'WA Sch 25'!P101</f>
        <v>689915.61</v>
      </c>
      <c r="G62" s="754">
        <v>12</v>
      </c>
      <c r="H62" s="22"/>
      <c r="I62" s="22"/>
    </row>
    <row r="63" spans="1:9">
      <c r="A63" s="33"/>
      <c r="B63" s="424"/>
      <c r="C63" s="22"/>
      <c r="D63" s="425"/>
      <c r="E63" s="425"/>
      <c r="F63" s="425"/>
      <c r="G63" s="22"/>
      <c r="H63" s="22"/>
      <c r="I63" s="22"/>
    </row>
    <row r="64" spans="1:9">
      <c r="A64" s="22"/>
      <c r="B64" s="22"/>
      <c r="C64" s="22"/>
      <c r="D64" s="22"/>
      <c r="E64" s="22"/>
      <c r="F64" s="25"/>
      <c r="G64" s="22"/>
      <c r="H64" s="22"/>
      <c r="I64" s="22"/>
    </row>
    <row r="65" spans="1:9">
      <c r="A65" s="26" t="s">
        <v>67</v>
      </c>
      <c r="B65" s="27" t="s">
        <v>731</v>
      </c>
      <c r="C65" s="27" t="s">
        <v>732</v>
      </c>
      <c r="D65" s="27" t="s">
        <v>733</v>
      </c>
      <c r="E65" s="27" t="s">
        <v>721</v>
      </c>
      <c r="F65" s="27" t="s">
        <v>380</v>
      </c>
      <c r="G65" s="27" t="s">
        <v>466</v>
      </c>
      <c r="H65" s="22"/>
      <c r="I65" s="22"/>
    </row>
    <row r="66" spans="1:9">
      <c r="A66" s="22" t="s">
        <v>945</v>
      </c>
      <c r="B66" s="424">
        <f>'Block Data'!O144</f>
        <v>35517018.182510003</v>
      </c>
      <c r="C66" s="424">
        <f>'Block Data'!O145</f>
        <v>11273719.527659997</v>
      </c>
      <c r="D66" s="424">
        <f>'Block Data'!O146</f>
        <v>92769241.331829995</v>
      </c>
      <c r="E66" s="424">
        <f>B66+C66+D66</f>
        <v>139559979.042</v>
      </c>
      <c r="F66" s="424">
        <f>'REVRUNS 12ME1219'!P46</f>
        <v>29492</v>
      </c>
      <c r="G66" s="21">
        <f>'Block Data'!O151</f>
        <v>0</v>
      </c>
      <c r="H66" s="22"/>
      <c r="I66" s="22"/>
    </row>
    <row r="67" spans="1:9" ht="14.25">
      <c r="A67" s="22" t="s">
        <v>961</v>
      </c>
      <c r="B67" s="31">
        <v>0</v>
      </c>
      <c r="C67" s="31">
        <v>0</v>
      </c>
      <c r="D67" s="31">
        <f>-B67-C67</f>
        <v>0</v>
      </c>
      <c r="E67" s="31">
        <f>SUM(B67:D67)</f>
        <v>0</v>
      </c>
      <c r="F67" s="424"/>
      <c r="G67" s="424"/>
      <c r="H67" s="22"/>
      <c r="I67" s="22"/>
    </row>
    <row r="68" spans="1:9">
      <c r="A68" s="33" t="s">
        <v>222</v>
      </c>
      <c r="B68" s="639">
        <f>B66+B67</f>
        <v>35517018.182510003</v>
      </c>
      <c r="C68" s="639">
        <f>C66+C67</f>
        <v>11273719.527659997</v>
      </c>
      <c r="D68" s="639">
        <f>D66+D67</f>
        <v>92769241.331829995</v>
      </c>
      <c r="E68" s="424">
        <f>E66+E67</f>
        <v>139559979.042</v>
      </c>
      <c r="F68" s="21"/>
      <c r="G68" s="21"/>
      <c r="H68" s="22"/>
      <c r="I68" s="22"/>
    </row>
    <row r="69" spans="1:9">
      <c r="A69" s="33" t="s">
        <v>943</v>
      </c>
      <c r="B69" s="424"/>
      <c r="C69" s="424"/>
      <c r="D69" s="22"/>
      <c r="E69" s="640">
        <f>'Block Data'!O136</f>
        <v>139559979.042</v>
      </c>
      <c r="F69" s="22"/>
      <c r="G69" s="32"/>
      <c r="H69" s="22"/>
      <c r="I69" s="22"/>
    </row>
    <row r="70" spans="1:9">
      <c r="A70" s="33" t="s">
        <v>734</v>
      </c>
      <c r="B70" s="424"/>
      <c r="C70" s="424"/>
      <c r="D70" s="22"/>
      <c r="E70" s="424">
        <f>E69-E68</f>
        <v>0</v>
      </c>
      <c r="F70" s="22"/>
      <c r="G70" s="22"/>
    </row>
    <row r="71" spans="1:9">
      <c r="A71" s="33"/>
      <c r="B71" s="21"/>
      <c r="C71" s="22"/>
      <c r="D71" s="100"/>
      <c r="E71" s="100"/>
      <c r="F71" s="22"/>
      <c r="G71" s="22"/>
    </row>
    <row r="72" spans="1:9" ht="12.75">
      <c r="A72" s="22"/>
      <c r="B72" s="22"/>
      <c r="C72" s="22"/>
      <c r="D72" s="22"/>
      <c r="E72"/>
      <c r="F72" s="22"/>
      <c r="G72" s="22"/>
    </row>
    <row r="73" spans="1:9">
      <c r="A73" s="22"/>
      <c r="B73" s="22"/>
      <c r="C73" s="22"/>
      <c r="D73" s="22"/>
      <c r="E73" s="22"/>
      <c r="F73" s="22"/>
      <c r="G73" s="22"/>
    </row>
    <row r="74" spans="1:9">
      <c r="A74" s="22"/>
      <c r="B74" s="22"/>
      <c r="C74" s="22"/>
      <c r="D74" s="22"/>
      <c r="E74" s="22"/>
      <c r="F74" s="22"/>
      <c r="G74" s="22"/>
    </row>
    <row r="75" spans="1:9">
      <c r="A75" s="22"/>
      <c r="B75" s="22"/>
      <c r="C75" s="22"/>
      <c r="D75" s="22"/>
      <c r="E75" s="22"/>
      <c r="F75" s="22"/>
      <c r="G75" s="22"/>
    </row>
    <row r="76" spans="1:9">
      <c r="A76" s="22"/>
      <c r="B76" s="22"/>
      <c r="C76" s="22"/>
      <c r="D76" s="22"/>
      <c r="E76" s="22"/>
      <c r="F76" s="22"/>
      <c r="G76" s="22"/>
    </row>
    <row r="77" spans="1:9">
      <c r="A77" s="22"/>
      <c r="B77" s="22"/>
      <c r="C77" s="22"/>
      <c r="D77" s="22"/>
      <c r="E77" s="22"/>
      <c r="F77" s="22"/>
      <c r="G77" s="22"/>
    </row>
    <row r="78" spans="1:9">
      <c r="A78" s="22"/>
      <c r="B78" s="22"/>
      <c r="C78" s="22"/>
      <c r="D78" s="22"/>
      <c r="E78" s="22"/>
      <c r="F78" s="22"/>
      <c r="G78" s="22"/>
    </row>
    <row r="79" spans="1:9">
      <c r="A79" s="22"/>
      <c r="B79" s="22"/>
      <c r="C79" s="22"/>
      <c r="D79" s="22"/>
      <c r="E79" s="22"/>
      <c r="F79" s="22"/>
      <c r="G79" s="22"/>
    </row>
    <row r="80" spans="1:9">
      <c r="A80" s="22"/>
      <c r="B80" s="22"/>
      <c r="C80" s="22"/>
      <c r="D80" s="22"/>
      <c r="E80" s="22"/>
      <c r="F80" s="22"/>
      <c r="G80" s="22"/>
    </row>
    <row r="81" spans="1:7">
      <c r="A81" s="22"/>
      <c r="B81" s="22"/>
      <c r="C81" s="22"/>
      <c r="D81" s="22"/>
      <c r="E81" s="22"/>
      <c r="F81" s="22"/>
      <c r="G81" s="22"/>
    </row>
    <row r="82" spans="1:7">
      <c r="A82" s="22"/>
      <c r="B82" s="22"/>
      <c r="C82" s="22"/>
      <c r="D82" s="22"/>
      <c r="E82" s="22"/>
      <c r="F82" s="22"/>
      <c r="G82" s="22"/>
    </row>
    <row r="83" spans="1:7">
      <c r="A83" s="22"/>
      <c r="B83" s="22"/>
      <c r="C83" s="22"/>
      <c r="D83" s="22"/>
      <c r="E83" s="22"/>
      <c r="F83" s="22"/>
      <c r="G83" s="22"/>
    </row>
    <row r="84" spans="1:7">
      <c r="A84" s="22"/>
      <c r="B84" s="22"/>
      <c r="C84" s="22"/>
      <c r="D84" s="22"/>
      <c r="E84" s="22"/>
      <c r="F84" s="22"/>
      <c r="G84" s="22"/>
    </row>
    <row r="85" spans="1:7">
      <c r="A85" s="22"/>
      <c r="B85" s="22"/>
      <c r="C85" s="22"/>
      <c r="D85" s="22"/>
      <c r="E85" s="22"/>
      <c r="F85" s="22"/>
      <c r="G85" s="22"/>
    </row>
    <row r="86" spans="1:7">
      <c r="A86" s="22"/>
      <c r="B86" s="22"/>
      <c r="C86" s="22"/>
      <c r="D86" s="22"/>
      <c r="E86" s="22"/>
      <c r="F86" s="22"/>
      <c r="G86" s="22"/>
    </row>
    <row r="87" spans="1:7" ht="12.75" thickBot="1">
      <c r="A87" s="22" t="s">
        <v>68</v>
      </c>
      <c r="B87" s="239">
        <f>E10+D18+D39+E69+E58</f>
        <v>5199067168.5810003</v>
      </c>
      <c r="C87" s="22"/>
      <c r="D87" s="22"/>
      <c r="E87" s="22"/>
      <c r="F87" s="22"/>
      <c r="G87" s="22"/>
    </row>
    <row r="88" spans="1:7" ht="12.75" thickTop="1">
      <c r="A88" s="22"/>
      <c r="B88" s="29"/>
      <c r="C88" s="22"/>
      <c r="D88" s="22"/>
      <c r="E88" s="22"/>
      <c r="F88" s="22"/>
      <c r="G88" s="22"/>
    </row>
    <row r="89" spans="1:7">
      <c r="A89" s="22" t="s">
        <v>69</v>
      </c>
      <c r="B89" s="29">
        <f>'REVRUNS 12ME1219'!P342</f>
        <v>5706617897.5699701</v>
      </c>
      <c r="C89" s="22"/>
      <c r="D89" s="22"/>
      <c r="E89" s="22"/>
      <c r="F89" s="22"/>
      <c r="G89" s="22"/>
    </row>
    <row r="90" spans="1:7">
      <c r="A90" s="33" t="s">
        <v>70</v>
      </c>
      <c r="B90" s="22"/>
      <c r="C90" s="22"/>
      <c r="D90" s="22"/>
      <c r="E90" s="22"/>
      <c r="F90" s="22"/>
      <c r="G90" s="22"/>
    </row>
    <row r="91" spans="1:7">
      <c r="A91" s="33" t="s">
        <v>481</v>
      </c>
      <c r="B91" s="29">
        <f>'REVRUNS 12ME1219'!P338-'Bill Determ'!E58</f>
        <v>38489357.328999877</v>
      </c>
      <c r="C91" s="244" t="s">
        <v>374</v>
      </c>
      <c r="D91" s="22"/>
      <c r="E91" s="22"/>
      <c r="F91" s="22"/>
      <c r="G91" s="22"/>
    </row>
    <row r="92" spans="1:7">
      <c r="A92" s="33"/>
      <c r="B92" s="29"/>
      <c r="C92" s="244"/>
      <c r="D92" s="22"/>
      <c r="E92" s="22"/>
      <c r="F92" s="22"/>
      <c r="G92" s="22"/>
    </row>
    <row r="93" spans="1:7">
      <c r="A93" s="33" t="s">
        <v>482</v>
      </c>
      <c r="B93" s="29">
        <f>D36</f>
        <v>0</v>
      </c>
      <c r="C93" s="244" t="s">
        <v>373</v>
      </c>
      <c r="D93" s="22"/>
      <c r="E93" s="22"/>
      <c r="F93" s="22"/>
      <c r="G93" s="22"/>
    </row>
    <row r="94" spans="1:7">
      <c r="A94" s="33" t="s">
        <v>369</v>
      </c>
      <c r="B94" s="29">
        <f>'REVRUNS 12ME1219'!P341</f>
        <v>17961923.65997</v>
      </c>
      <c r="C94" s="244" t="s">
        <v>373</v>
      </c>
      <c r="D94" s="22"/>
      <c r="E94" s="22"/>
      <c r="F94" s="22"/>
      <c r="G94" s="22"/>
    </row>
    <row r="95" spans="1:7" ht="12.75" thickBot="1">
      <c r="A95" s="22"/>
      <c r="B95" s="240">
        <f>B89-SUM(B91:B94)</f>
        <v>5650166616.5810003</v>
      </c>
      <c r="C95" s="22"/>
      <c r="D95" s="22"/>
      <c r="E95" s="22"/>
      <c r="F95" s="22"/>
      <c r="G95" s="22"/>
    </row>
    <row r="96" spans="1:7" ht="12.75" thickTop="1">
      <c r="A96" s="22" t="s">
        <v>71</v>
      </c>
      <c r="B96" s="29">
        <f>B87-B95</f>
        <v>-451099448</v>
      </c>
      <c r="C96" s="22"/>
      <c r="D96" s="22"/>
      <c r="E96" s="22"/>
      <c r="F96" s="22"/>
      <c r="G96" s="22"/>
    </row>
    <row r="98" spans="1:3">
      <c r="A98" s="20" t="s">
        <v>441</v>
      </c>
      <c r="B98" s="241">
        <f>'Pres &amp; Prop Rev'!C20-'Pres &amp; Prop Rev'!C15</f>
        <v>5668128540.2409706</v>
      </c>
    </row>
    <row r="99" spans="1:3">
      <c r="A99" s="20" t="s">
        <v>371</v>
      </c>
      <c r="B99" s="242">
        <f>B87+B94+B93</f>
        <v>5217029092.2409706</v>
      </c>
    </row>
    <row r="100" spans="1:3">
      <c r="A100" s="22" t="s">
        <v>71</v>
      </c>
      <c r="B100" s="243">
        <f>B98-B99</f>
        <v>451099448</v>
      </c>
    </row>
    <row r="103" spans="1:3">
      <c r="A103" s="20" t="s">
        <v>372</v>
      </c>
      <c r="B103" s="241">
        <f>'REVRUNS 12ME1219'!P48</f>
        <v>3069310</v>
      </c>
    </row>
    <row r="104" spans="1:3">
      <c r="A104" s="33" t="s">
        <v>70</v>
      </c>
      <c r="B104" s="241"/>
    </row>
    <row r="105" spans="1:3">
      <c r="A105" s="33" t="s">
        <v>408</v>
      </c>
      <c r="B105" s="241">
        <f>'REVRUNS 12ME1219'!P44-G58</f>
        <v>24</v>
      </c>
      <c r="C105" s="244" t="s">
        <v>716</v>
      </c>
    </row>
    <row r="106" spans="1:3">
      <c r="A106" s="33" t="s">
        <v>483</v>
      </c>
      <c r="B106" s="241">
        <f>-F36</f>
        <v>0</v>
      </c>
      <c r="C106" s="244" t="s">
        <v>373</v>
      </c>
    </row>
    <row r="107" spans="1:3">
      <c r="A107" s="33" t="s">
        <v>369</v>
      </c>
      <c r="B107" s="241">
        <f>'REVRUNS 12ME1219'!P47</f>
        <v>5283</v>
      </c>
      <c r="C107" s="244" t="s">
        <v>373</v>
      </c>
    </row>
    <row r="108" spans="1:3" ht="12.75" thickBot="1">
      <c r="B108" s="240">
        <f>B103-SUM(B104:B107)</f>
        <v>3064003</v>
      </c>
    </row>
    <row r="109" spans="1:3" ht="12.75" thickTop="1">
      <c r="B109" s="245"/>
    </row>
    <row r="110" spans="1:3" ht="12.75" thickBot="1">
      <c r="A110" s="20" t="s">
        <v>370</v>
      </c>
      <c r="B110" s="246">
        <f>SUM('Pres &amp; Prop Rev'!D25:L25)</f>
        <v>3064015</v>
      </c>
    </row>
    <row r="111" spans="1:3" ht="12.75" thickTop="1">
      <c r="A111" s="22" t="s">
        <v>71</v>
      </c>
      <c r="B111" s="29">
        <f>B108-B110</f>
        <v>-12</v>
      </c>
    </row>
    <row r="112" spans="1:3">
      <c r="B112" s="241"/>
    </row>
    <row r="113" spans="2:2">
      <c r="B113" s="241"/>
    </row>
  </sheetData>
  <phoneticPr fontId="0" type="noConversion"/>
  <conditionalFormatting sqref="B100 B96 B111">
    <cfRule type="expression" dxfId="24" priority="1" stopIfTrue="1">
      <formula>ABS(B96)&gt;0.5</formula>
    </cfRule>
  </conditionalFormatting>
  <pageMargins left="0.5" right="0.5" top="1" bottom="1" header="0.25" footer="0.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C0BF-0B73-4C42-94FB-32006204B3CE}">
  <sheetPr>
    <tabColor rgb="FF92D050"/>
    <pageSetUpPr fitToPage="1"/>
  </sheetPr>
  <dimension ref="A1:Y65"/>
  <sheetViews>
    <sheetView topLeftCell="A25" zoomScale="115" zoomScaleNormal="115" workbookViewId="0">
      <selection sqref="A1:J51"/>
    </sheetView>
  </sheetViews>
  <sheetFormatPr defaultRowHeight="12.75"/>
  <cols>
    <col min="1" max="1" width="29.7109375" customWidth="1"/>
    <col min="2" max="3" width="0" hidden="1" customWidth="1"/>
    <col min="4" max="4" width="9.7109375" bestFit="1" customWidth="1"/>
    <col min="5" max="5" width="12.85546875" bestFit="1" customWidth="1"/>
    <col min="6" max="6" width="14.85546875" bestFit="1" customWidth="1"/>
    <col min="8" max="8" width="15" bestFit="1" customWidth="1"/>
    <col min="9" max="9" width="12" bestFit="1" customWidth="1"/>
    <col min="10" max="10" width="14.85546875" bestFit="1" customWidth="1"/>
    <col min="12" max="12" width="11.85546875" bestFit="1" customWidth="1"/>
    <col min="13" max="14" width="12.28515625" bestFit="1" customWidth="1"/>
    <col min="20" max="20" width="11.7109375" bestFit="1" customWidth="1"/>
    <col min="22" max="22" width="11.28515625" bestFit="1" customWidth="1"/>
  </cols>
  <sheetData>
    <row r="1" spans="1:24" s="825" customFormat="1">
      <c r="A1" s="422" t="s">
        <v>345</v>
      </c>
    </row>
    <row r="2" spans="1:24" s="825" customFormat="1">
      <c r="A2" s="422" t="s">
        <v>1000</v>
      </c>
    </row>
    <row r="3" spans="1:24" s="825" customFormat="1"/>
    <row r="5" spans="1:24">
      <c r="D5" s="921" t="s">
        <v>893</v>
      </c>
      <c r="E5" s="921"/>
      <c r="F5" s="921"/>
      <c r="H5" s="921" t="s">
        <v>998</v>
      </c>
      <c r="I5" s="921"/>
      <c r="J5" s="921"/>
    </row>
    <row r="6" spans="1:24">
      <c r="D6" s="569" t="s">
        <v>284</v>
      </c>
      <c r="E6" s="527">
        <v>2019</v>
      </c>
      <c r="F6" s="569" t="s">
        <v>324</v>
      </c>
      <c r="H6" s="569" t="s">
        <v>286</v>
      </c>
      <c r="I6" s="527">
        <v>2019</v>
      </c>
      <c r="J6" s="569" t="s">
        <v>286</v>
      </c>
    </row>
    <row r="7" spans="1:24">
      <c r="D7" s="569" t="s">
        <v>229</v>
      </c>
      <c r="E7" s="569" t="s">
        <v>326</v>
      </c>
      <c r="F7" s="569" t="s">
        <v>283</v>
      </c>
      <c r="H7" s="569" t="s">
        <v>998</v>
      </c>
      <c r="I7" s="569" t="s">
        <v>326</v>
      </c>
      <c r="J7" s="569" t="s">
        <v>998</v>
      </c>
      <c r="M7" s="569" t="s">
        <v>1001</v>
      </c>
      <c r="N7" s="569" t="s">
        <v>1002</v>
      </c>
      <c r="R7" s="422" t="s">
        <v>1025</v>
      </c>
    </row>
    <row r="8" spans="1:24">
      <c r="D8" s="352" t="s">
        <v>327</v>
      </c>
      <c r="E8" s="569" t="s">
        <v>453</v>
      </c>
      <c r="F8" s="352" t="s">
        <v>106</v>
      </c>
      <c r="H8" s="352" t="s">
        <v>275</v>
      </c>
      <c r="I8" s="569" t="s">
        <v>453</v>
      </c>
      <c r="J8" s="352" t="s">
        <v>275</v>
      </c>
    </row>
    <row r="9" spans="1:24">
      <c r="A9" s="529" t="s">
        <v>997</v>
      </c>
      <c r="B9" s="422"/>
      <c r="C9" s="422"/>
      <c r="D9" s="422"/>
      <c r="H9" s="422"/>
      <c r="I9" s="825"/>
      <c r="J9" s="825"/>
    </row>
    <row r="10" spans="1:24">
      <c r="A10" s="422" t="s">
        <v>331</v>
      </c>
      <c r="B10" s="422"/>
      <c r="C10" s="422"/>
      <c r="D10" s="422"/>
      <c r="H10" s="422"/>
      <c r="I10" s="825"/>
      <c r="J10" s="825"/>
      <c r="T10" s="422" t="s">
        <v>1026</v>
      </c>
      <c r="V10" s="422" t="s">
        <v>1027</v>
      </c>
      <c r="X10" s="422" t="s">
        <v>1028</v>
      </c>
    </row>
    <row r="11" spans="1:24">
      <c r="A11" s="321" t="s">
        <v>929</v>
      </c>
      <c r="B11" s="422"/>
      <c r="C11" s="422"/>
      <c r="D11" s="209">
        <v>5.5050000000000002E-2</v>
      </c>
      <c r="E11" s="48">
        <f>'Bill Determ'!$B$62</f>
        <v>6000000</v>
      </c>
      <c r="F11" s="395">
        <f>D11*E11</f>
        <v>330300</v>
      </c>
      <c r="H11" s="209">
        <f>D11*$H$40</f>
        <v>4.662210447916685E-2</v>
      </c>
      <c r="I11" s="48">
        <f>E11</f>
        <v>6000000</v>
      </c>
      <c r="J11" s="395">
        <f>H11*I11</f>
        <v>279732.62687500112</v>
      </c>
      <c r="M11" s="395">
        <f>0.00093*I11</f>
        <v>5580</v>
      </c>
      <c r="N11" s="395">
        <f>0.00182*I11</f>
        <v>10920</v>
      </c>
      <c r="R11" s="422" t="s">
        <v>893</v>
      </c>
      <c r="T11" s="229">
        <f ca="1">RS!H26*1000</f>
        <v>45108846.983799994</v>
      </c>
      <c r="V11" s="819">
        <f>'Pres &amp; Prop Rev'!I46/1000</f>
        <v>620117.68591500004</v>
      </c>
      <c r="X11">
        <f ca="1">T11/V11</f>
        <v>72.742397142311304</v>
      </c>
    </row>
    <row r="12" spans="1:24">
      <c r="A12" s="321" t="s">
        <v>930</v>
      </c>
      <c r="B12" s="422"/>
      <c r="C12" s="422"/>
      <c r="D12" s="209">
        <v>4.9530000000000005E-2</v>
      </c>
      <c r="E12" s="48">
        <f>'Bill Determ'!$C$62</f>
        <v>66000000</v>
      </c>
      <c r="F12" s="395">
        <f t="shared" ref="F12:F20" si="0">D12*E12</f>
        <v>3268980.0000000005</v>
      </c>
      <c r="H12" s="209">
        <f>D12*$H$40</f>
        <v>4.1947190460547394E-2</v>
      </c>
      <c r="I12" s="48">
        <f t="shared" ref="I12:I13" si="1">E12</f>
        <v>66000000</v>
      </c>
      <c r="J12" s="395">
        <f t="shared" ref="J12" si="2">H12*I12</f>
        <v>2768514.5703961281</v>
      </c>
      <c r="M12" s="395">
        <f>0.00093*I12</f>
        <v>61380</v>
      </c>
      <c r="N12" s="395">
        <f t="shared" ref="N12:N13" si="3">0.00182*I12</f>
        <v>120120</v>
      </c>
      <c r="V12" s="819"/>
      <c r="X12" s="828"/>
    </row>
    <row r="13" spans="1:24">
      <c r="A13" s="321" t="s">
        <v>931</v>
      </c>
      <c r="B13" s="422"/>
      <c r="C13" s="422"/>
      <c r="D13" s="209">
        <v>4.2350000000000006E-2</v>
      </c>
      <c r="E13" s="48">
        <f>'Bill Determ'!$D$62</f>
        <v>379099448</v>
      </c>
      <c r="F13" s="395">
        <f t="shared" si="0"/>
        <v>16054861.622800002</v>
      </c>
      <c r="H13" s="209">
        <f>D13*$H$40</f>
        <v>3.5866414617488032E-2</v>
      </c>
      <c r="I13" s="48">
        <f t="shared" si="1"/>
        <v>379099448</v>
      </c>
      <c r="J13" s="395">
        <f>H13*I13</f>
        <v>13596937.983228844</v>
      </c>
      <c r="N13" s="395">
        <f t="shared" si="3"/>
        <v>689960.99536000006</v>
      </c>
      <c r="R13" s="422" t="s">
        <v>998</v>
      </c>
      <c r="T13" s="229">
        <f ca="1">RS!H28*1000</f>
        <v>21357310.436499998</v>
      </c>
      <c r="V13" s="819">
        <f>'Pres &amp; Prop Rev'!J23/1000</f>
        <v>451099.44799999997</v>
      </c>
      <c r="X13" s="828">
        <f t="shared" ref="X13" ca="1" si="4">T13/V13</f>
        <v>47.345015674902797</v>
      </c>
    </row>
    <row r="14" spans="1:24" s="825" customFormat="1">
      <c r="A14" s="321"/>
      <c r="B14" s="422"/>
      <c r="C14" s="422"/>
      <c r="D14" s="209"/>
      <c r="E14" s="48"/>
      <c r="F14" s="395"/>
      <c r="H14" s="209"/>
      <c r="I14" s="48"/>
      <c r="J14" s="395"/>
      <c r="M14" s="57">
        <f>SUM(M11:M13)</f>
        <v>66960</v>
      </c>
      <c r="N14" s="57">
        <f>SUM(N11:N13)</f>
        <v>821000.99536000006</v>
      </c>
    </row>
    <row r="15" spans="1:24">
      <c r="A15" s="422" t="s">
        <v>333</v>
      </c>
      <c r="B15" s="422"/>
      <c r="C15" s="422"/>
      <c r="D15" s="422"/>
      <c r="H15" s="422"/>
      <c r="I15" s="825"/>
      <c r="J15" s="825"/>
      <c r="M15" s="57"/>
      <c r="N15" s="57"/>
    </row>
    <row r="16" spans="1:24">
      <c r="A16" s="321" t="s">
        <v>992</v>
      </c>
      <c r="B16" s="422"/>
      <c r="C16" s="422"/>
      <c r="D16" s="215">
        <v>30650</v>
      </c>
      <c r="E16" s="641">
        <f>'Pres &amp; Prop Rev'!J48</f>
        <v>12</v>
      </c>
      <c r="F16" s="395">
        <f t="shared" si="0"/>
        <v>367800</v>
      </c>
      <c r="H16" s="215">
        <v>30650</v>
      </c>
      <c r="I16" s="641">
        <f>E16</f>
        <v>12</v>
      </c>
      <c r="J16" s="395">
        <f t="shared" ref="J16" si="5">H16*I16</f>
        <v>367800</v>
      </c>
      <c r="X16" s="412">
        <f ca="1">X13/X11</f>
        <v>0.65085861251284116</v>
      </c>
    </row>
    <row r="17" spans="1:12">
      <c r="A17" s="321" t="s">
        <v>993</v>
      </c>
      <c r="B17" s="422"/>
      <c r="C17" s="422"/>
      <c r="D17" s="217">
        <v>8.3000000000000007</v>
      </c>
      <c r="E17" s="641">
        <f>'Pres &amp; Prop Rev'!J50</f>
        <v>689915.61</v>
      </c>
      <c r="F17" s="395">
        <f>D17*E17</f>
        <v>5726299.5630000001</v>
      </c>
      <c r="H17" s="217">
        <v>8.3000000000000007</v>
      </c>
      <c r="I17" s="641">
        <f>E17</f>
        <v>689915.61</v>
      </c>
      <c r="J17" s="395">
        <f>H17*I17</f>
        <v>5726299.5630000001</v>
      </c>
    </row>
    <row r="18" spans="1:12" s="825" customFormat="1">
      <c r="A18" s="321"/>
      <c r="B18" s="422"/>
      <c r="C18" s="422"/>
      <c r="D18" s="217"/>
      <c r="E18" s="641"/>
      <c r="F18" s="395"/>
      <c r="H18" s="217"/>
      <c r="I18" s="641"/>
      <c r="J18" s="395"/>
    </row>
    <row r="19" spans="1:12">
      <c r="A19" s="422" t="s">
        <v>357</v>
      </c>
      <c r="B19" s="422"/>
      <c r="C19" s="422"/>
      <c r="D19" s="422"/>
      <c r="H19" s="422"/>
      <c r="I19" s="825"/>
      <c r="J19" s="825"/>
    </row>
    <row r="20" spans="1:12">
      <c r="A20" s="321" t="s">
        <v>358</v>
      </c>
      <c r="B20" s="422"/>
      <c r="C20" s="422"/>
      <c r="D20" s="217">
        <v>0.2</v>
      </c>
      <c r="E20" s="641">
        <v>0</v>
      </c>
      <c r="F20" s="395">
        <f t="shared" si="0"/>
        <v>0</v>
      </c>
      <c r="H20" s="217">
        <v>0.2</v>
      </c>
      <c r="I20" s="641">
        <f>E20</f>
        <v>0</v>
      </c>
      <c r="J20" s="395">
        <f t="shared" ref="J20" si="6">H20*I20</f>
        <v>0</v>
      </c>
    </row>
    <row r="21" spans="1:12">
      <c r="A21" s="321" t="s">
        <v>359</v>
      </c>
      <c r="B21" s="422"/>
      <c r="C21" s="422"/>
      <c r="D21" s="217">
        <v>1.52</v>
      </c>
      <c r="E21">
        <f>'WA Sch 25'!P133</f>
        <v>120196.06</v>
      </c>
      <c r="F21" s="395">
        <f>-D21*E21</f>
        <v>-182698.01120000001</v>
      </c>
      <c r="H21" s="217">
        <v>1.52</v>
      </c>
      <c r="I21" s="641">
        <f t="shared" ref="I21:I22" si="7">E21</f>
        <v>120196.06</v>
      </c>
      <c r="J21" s="395">
        <f>-H21*I21</f>
        <v>-182698.01120000001</v>
      </c>
    </row>
    <row r="22" spans="1:12">
      <c r="A22" s="321" t="s">
        <v>360</v>
      </c>
      <c r="B22" s="422"/>
      <c r="C22" s="422"/>
      <c r="D22" s="217">
        <v>1.93</v>
      </c>
      <c r="E22">
        <f>'WA Sch 25'!P135</f>
        <v>621364.1100000001</v>
      </c>
      <c r="F22" s="395">
        <f>-D22*E22</f>
        <v>-1199232.7323000003</v>
      </c>
      <c r="H22" s="217">
        <v>1.93</v>
      </c>
      <c r="I22" s="641">
        <f t="shared" si="7"/>
        <v>621364.1100000001</v>
      </c>
      <c r="J22" s="395">
        <f>-H22*I22</f>
        <v>-1199232.7323000003</v>
      </c>
    </row>
    <row r="23" spans="1:12">
      <c r="A23" s="422"/>
      <c r="B23" s="422"/>
      <c r="C23" s="422"/>
      <c r="D23" s="355"/>
      <c r="H23" s="355"/>
      <c r="I23" s="825"/>
      <c r="J23" s="825"/>
    </row>
    <row r="24" spans="1:12">
      <c r="D24" s="116" t="s">
        <v>994</v>
      </c>
      <c r="E24" s="116"/>
      <c r="F24" s="827">
        <f>SUM(F11:F22)</f>
        <v>24366310.442300007</v>
      </c>
      <c r="G24" s="116"/>
      <c r="H24" s="116" t="s">
        <v>999</v>
      </c>
      <c r="I24" s="116"/>
      <c r="J24" s="827">
        <f>SUM(J11:J22)</f>
        <v>21357353.99999997</v>
      </c>
      <c r="L24" s="57">
        <f>J24-F24</f>
        <v>-3008956.4423000365</v>
      </c>
    </row>
    <row r="27" spans="1:12">
      <c r="H27" s="422" t="s">
        <v>995</v>
      </c>
    </row>
    <row r="28" spans="1:12">
      <c r="H28" s="395">
        <v>20909280</v>
      </c>
    </row>
    <row r="29" spans="1:12">
      <c r="H29" s="395">
        <f>H36</f>
        <v>448074</v>
      </c>
    </row>
    <row r="30" spans="1:12">
      <c r="H30" s="395">
        <f>SUM(H28:H29)</f>
        <v>21357354</v>
      </c>
    </row>
    <row r="33" spans="1:25">
      <c r="H33" s="422" t="s">
        <v>1034</v>
      </c>
    </row>
    <row r="34" spans="1:25">
      <c r="H34" s="395">
        <v>13578000</v>
      </c>
    </row>
    <row r="35" spans="1:25">
      <c r="H35" s="443">
        <v>3.3000000000000002E-2</v>
      </c>
    </row>
    <row r="36" spans="1:25">
      <c r="H36" s="395">
        <f>H34*H35</f>
        <v>448074</v>
      </c>
    </row>
    <row r="39" spans="1:25">
      <c r="H39" s="422" t="s">
        <v>996</v>
      </c>
    </row>
    <row r="40" spans="1:25">
      <c r="H40" s="826">
        <v>0.84690471351801722</v>
      </c>
    </row>
    <row r="44" spans="1:25">
      <c r="A44" s="919" t="s">
        <v>1023</v>
      </c>
      <c r="B44" s="919"/>
      <c r="C44" s="919"/>
      <c r="D44" s="919"/>
      <c r="E44" s="919"/>
      <c r="F44" s="919"/>
      <c r="G44" s="919"/>
    </row>
    <row r="45" spans="1:25">
      <c r="A45" s="919"/>
      <c r="B45" s="919"/>
      <c r="C45" s="919"/>
      <c r="D45" s="919"/>
      <c r="E45" s="919"/>
      <c r="F45" s="919"/>
      <c r="G45" s="919"/>
      <c r="R45" s="828"/>
    </row>
    <row r="46" spans="1:25" ht="15.75" customHeight="1">
      <c r="A46" s="919"/>
      <c r="B46" s="919"/>
      <c r="C46" s="919"/>
      <c r="D46" s="919"/>
      <c r="E46" s="919"/>
      <c r="F46" s="919"/>
      <c r="G46" s="919"/>
      <c r="R46" s="911"/>
      <c r="S46" s="911"/>
      <c r="T46" s="911"/>
      <c r="U46" s="911"/>
      <c r="V46" s="911"/>
      <c r="W46" s="911"/>
      <c r="X46" s="911"/>
      <c r="Y46" s="911"/>
    </row>
    <row r="47" spans="1:25">
      <c r="A47" s="919"/>
      <c r="B47" s="919"/>
      <c r="C47" s="919"/>
      <c r="D47" s="919"/>
      <c r="E47" s="919"/>
      <c r="F47" s="919"/>
      <c r="G47" s="919"/>
      <c r="R47" s="911"/>
      <c r="S47" s="911"/>
      <c r="T47" s="911"/>
      <c r="U47" s="911"/>
      <c r="V47" s="911"/>
      <c r="W47" s="911"/>
      <c r="X47" s="911"/>
      <c r="Y47" s="911"/>
    </row>
    <row r="48" spans="1:25">
      <c r="A48" s="919"/>
      <c r="B48" s="919"/>
      <c r="C48" s="919"/>
      <c r="D48" s="919"/>
      <c r="E48" s="919"/>
      <c r="F48" s="919"/>
      <c r="G48" s="919"/>
      <c r="R48" s="911"/>
      <c r="S48" s="911"/>
      <c r="T48" s="911"/>
      <c r="U48" s="911"/>
      <c r="V48" s="911"/>
      <c r="W48" s="911"/>
      <c r="X48" s="911"/>
      <c r="Y48" s="911"/>
    </row>
    <row r="49" spans="1:25">
      <c r="A49" s="919"/>
      <c r="B49" s="919"/>
      <c r="C49" s="919"/>
      <c r="D49" s="919"/>
      <c r="E49" s="919"/>
      <c r="F49" s="919"/>
      <c r="G49" s="919"/>
      <c r="R49" s="911"/>
      <c r="S49" s="911"/>
      <c r="T49" s="911"/>
      <c r="U49" s="911"/>
      <c r="V49" s="911"/>
      <c r="W49" s="911"/>
      <c r="X49" s="911"/>
      <c r="Y49" s="911"/>
    </row>
    <row r="50" spans="1:25">
      <c r="A50" s="919"/>
      <c r="B50" s="919"/>
      <c r="C50" s="919"/>
      <c r="D50" s="919"/>
      <c r="E50" s="919"/>
      <c r="F50" s="919"/>
      <c r="G50" s="919"/>
      <c r="R50" s="911"/>
      <c r="S50" s="911"/>
      <c r="T50" s="911"/>
      <c r="U50" s="911"/>
      <c r="V50" s="911"/>
      <c r="W50" s="911"/>
      <c r="X50" s="911"/>
      <c r="Y50" s="911"/>
    </row>
    <row r="51" spans="1:25" ht="59.25" customHeight="1">
      <c r="A51" s="919"/>
      <c r="B51" s="919"/>
      <c r="C51" s="919"/>
      <c r="D51" s="919"/>
      <c r="E51" s="919"/>
      <c r="F51" s="919"/>
      <c r="G51" s="919"/>
      <c r="R51" s="911"/>
      <c r="S51" s="911"/>
      <c r="T51" s="911"/>
      <c r="U51" s="911"/>
      <c r="V51" s="911"/>
      <c r="W51" s="911"/>
      <c r="X51" s="911"/>
      <c r="Y51" s="911"/>
    </row>
    <row r="52" spans="1:25" ht="36.75" customHeight="1">
      <c r="R52" s="911"/>
      <c r="S52" s="911"/>
      <c r="T52" s="911"/>
      <c r="U52" s="911"/>
      <c r="V52" s="911"/>
      <c r="W52" s="911"/>
      <c r="X52" s="911"/>
      <c r="Y52" s="911"/>
    </row>
    <row r="53" spans="1:25" ht="15">
      <c r="A53" s="900" t="s">
        <v>1040</v>
      </c>
    </row>
    <row r="55" spans="1:25" ht="15.75" customHeight="1">
      <c r="A55" s="922" t="s">
        <v>1041</v>
      </c>
      <c r="B55" s="922"/>
      <c r="C55" s="922"/>
      <c r="D55" s="922"/>
      <c r="E55" s="922"/>
      <c r="F55" s="922"/>
      <c r="G55" s="922"/>
      <c r="H55" s="922"/>
      <c r="I55" s="922"/>
    </row>
    <row r="56" spans="1:25" ht="15.75" customHeight="1">
      <c r="A56" s="922"/>
      <c r="B56" s="922"/>
      <c r="C56" s="922"/>
      <c r="D56" s="922"/>
      <c r="E56" s="922"/>
      <c r="F56" s="922"/>
      <c r="G56" s="922"/>
      <c r="H56" s="922"/>
      <c r="I56" s="922"/>
    </row>
    <row r="57" spans="1:25" ht="108" customHeight="1">
      <c r="A57" s="920" t="s">
        <v>1042</v>
      </c>
      <c r="B57" s="920"/>
      <c r="C57" s="920"/>
      <c r="D57" s="920"/>
      <c r="E57" s="920"/>
      <c r="F57" s="920"/>
      <c r="G57" s="920"/>
      <c r="H57" s="920"/>
      <c r="I57" s="920"/>
    </row>
    <row r="59" spans="1:25">
      <c r="A59" s="919" t="s">
        <v>1024</v>
      </c>
      <c r="B59" s="919"/>
      <c r="C59" s="919"/>
      <c r="D59" s="919"/>
      <c r="E59" s="919"/>
      <c r="F59" s="919"/>
      <c r="G59" s="919"/>
      <c r="H59" s="919"/>
    </row>
    <row r="60" spans="1:25">
      <c r="A60" s="919"/>
      <c r="B60" s="919"/>
      <c r="C60" s="919"/>
      <c r="D60" s="919"/>
      <c r="E60" s="919"/>
      <c r="F60" s="919"/>
      <c r="G60" s="919"/>
      <c r="H60" s="919"/>
    </row>
    <row r="61" spans="1:25">
      <c r="A61" s="919"/>
      <c r="B61" s="919"/>
      <c r="C61" s="919"/>
      <c r="D61" s="919"/>
      <c r="E61" s="919"/>
      <c r="F61" s="919"/>
      <c r="G61" s="919"/>
      <c r="H61" s="919"/>
    </row>
    <row r="62" spans="1:25">
      <c r="A62" s="919"/>
      <c r="B62" s="919"/>
      <c r="C62" s="919"/>
      <c r="D62" s="919"/>
      <c r="E62" s="919"/>
      <c r="F62" s="919"/>
      <c r="G62" s="919"/>
      <c r="H62" s="919"/>
    </row>
    <row r="63" spans="1:25">
      <c r="A63" s="919"/>
      <c r="B63" s="919"/>
      <c r="C63" s="919"/>
      <c r="D63" s="919"/>
      <c r="E63" s="919"/>
      <c r="F63" s="919"/>
      <c r="G63" s="919"/>
      <c r="H63" s="919"/>
    </row>
    <row r="64" spans="1:25">
      <c r="A64" s="919"/>
      <c r="B64" s="919"/>
      <c r="C64" s="919"/>
      <c r="D64" s="919"/>
      <c r="E64" s="919"/>
      <c r="F64" s="919"/>
      <c r="G64" s="919"/>
      <c r="H64" s="919"/>
    </row>
    <row r="65" spans="1:8">
      <c r="A65" s="919"/>
      <c r="B65" s="919"/>
      <c r="C65" s="919"/>
      <c r="D65" s="919"/>
      <c r="E65" s="919"/>
      <c r="F65" s="919"/>
      <c r="G65" s="919"/>
      <c r="H65" s="919"/>
    </row>
  </sheetData>
  <mergeCells count="6">
    <mergeCell ref="A59:H65"/>
    <mergeCell ref="A57:I57"/>
    <mergeCell ref="D5:F5"/>
    <mergeCell ref="H5:J5"/>
    <mergeCell ref="A44:G51"/>
    <mergeCell ref="A55:I56"/>
  </mergeCells>
  <pageMargins left="0.7" right="0.7" top="0.75" bottom="0.75" header="0.3" footer="0.3"/>
  <pageSetup scale="45" orientation="landscape"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D2F2C-49A2-45C1-9E3F-6E1BA5779CC6}">
  <sheetPr>
    <tabColor rgb="FF92D050"/>
    <pageSetUpPr fitToPage="1"/>
  </sheetPr>
  <dimension ref="A7:AU81"/>
  <sheetViews>
    <sheetView workbookViewId="0">
      <selection activeCell="AI25" sqref="AI25"/>
    </sheetView>
  </sheetViews>
  <sheetFormatPr defaultColWidth="9.140625" defaultRowHeight="15"/>
  <cols>
    <col min="1" max="1" width="9.140625" style="829"/>
    <col min="2" max="2" width="24.5703125" style="829" customWidth="1"/>
    <col min="3" max="3" width="14.42578125" style="829" customWidth="1"/>
    <col min="4" max="5" width="15.42578125" style="829" customWidth="1"/>
    <col min="6" max="6" width="12.42578125" style="829" customWidth="1"/>
    <col min="7" max="7" width="13.42578125" style="829" customWidth="1"/>
    <col min="8" max="8" width="12.5703125" style="829" bestFit="1" customWidth="1"/>
    <col min="9" max="9" width="12.7109375" style="829" customWidth="1"/>
    <col min="10" max="11" width="9.140625" style="829"/>
    <col min="12" max="13" width="0" style="829" hidden="1" customWidth="1"/>
    <col min="14" max="16" width="17" style="829" hidden="1" customWidth="1"/>
    <col min="17" max="17" width="0" style="829" hidden="1" customWidth="1"/>
    <col min="18" max="18" width="10.85546875" style="829" hidden="1" customWidth="1"/>
    <col min="19" max="19" width="12.28515625" style="829" hidden="1" customWidth="1"/>
    <col min="20" max="20" width="10.42578125" style="829" hidden="1" customWidth="1"/>
    <col min="21" max="21" width="10.5703125" style="829" hidden="1" customWidth="1"/>
    <col min="22" max="22" width="0" style="829" hidden="1" customWidth="1"/>
    <col min="23" max="23" width="12.28515625" style="829" hidden="1" customWidth="1"/>
    <col min="24" max="24" width="10.140625" style="829" hidden="1" customWidth="1"/>
    <col min="25" max="29" width="0" style="829" hidden="1" customWidth="1"/>
    <col min="30" max="16384" width="9.140625" style="829"/>
  </cols>
  <sheetData>
    <row r="7" spans="1:47">
      <c r="A7" s="830" t="s">
        <v>1029</v>
      </c>
      <c r="F7" s="831"/>
    </row>
    <row r="8" spans="1:47" ht="15.75">
      <c r="A8" s="832"/>
      <c r="B8" s="831"/>
      <c r="D8" s="833"/>
      <c r="E8" s="833"/>
      <c r="F8" s="833"/>
      <c r="G8" s="833"/>
      <c r="H8" s="834"/>
      <c r="I8" s="831"/>
    </row>
    <row r="9" spans="1:47">
      <c r="A9" s="831"/>
      <c r="B9" s="831"/>
      <c r="C9" s="831"/>
      <c r="D9" s="833" t="s">
        <v>229</v>
      </c>
      <c r="E9" s="833"/>
      <c r="F9" s="833"/>
      <c r="G9" s="835" t="s">
        <v>283</v>
      </c>
      <c r="H9" s="833" t="s">
        <v>286</v>
      </c>
      <c r="I9" s="833" t="s">
        <v>1031</v>
      </c>
      <c r="AF9" s="912" t="s">
        <v>1057</v>
      </c>
    </row>
    <row r="10" spans="1:47">
      <c r="A10" s="831"/>
      <c r="B10" s="831"/>
      <c r="C10" s="831"/>
      <c r="D10" s="831" t="s">
        <v>106</v>
      </c>
      <c r="E10" s="831"/>
      <c r="F10" s="831" t="s">
        <v>745</v>
      </c>
      <c r="G10" s="836" t="s">
        <v>285</v>
      </c>
      <c r="H10" s="891" t="s">
        <v>1031</v>
      </c>
      <c r="I10" s="891" t="s">
        <v>283</v>
      </c>
      <c r="N10" s="830" t="s">
        <v>1004</v>
      </c>
    </row>
    <row r="11" spans="1:47" ht="15" customHeight="1">
      <c r="A11" s="831"/>
      <c r="B11" s="831" t="s">
        <v>287</v>
      </c>
      <c r="C11" s="831" t="s">
        <v>311</v>
      </c>
      <c r="D11" s="833" t="s">
        <v>312</v>
      </c>
      <c r="E11" s="833" t="s">
        <v>66</v>
      </c>
      <c r="F11" s="833" t="s">
        <v>1005</v>
      </c>
      <c r="G11" s="835" t="s">
        <v>315</v>
      </c>
      <c r="H11" s="891" t="s">
        <v>1032</v>
      </c>
      <c r="I11" s="891" t="s">
        <v>285</v>
      </c>
      <c r="AF11" s="923" t="s">
        <v>1056</v>
      </c>
      <c r="AG11" s="923"/>
      <c r="AH11" s="923"/>
      <c r="AI11" s="923"/>
      <c r="AJ11" s="923"/>
      <c r="AK11" s="923"/>
      <c r="AL11" s="923"/>
      <c r="AM11" s="923"/>
      <c r="AN11" s="923"/>
      <c r="AO11" s="923"/>
      <c r="AP11" s="923"/>
      <c r="AQ11" s="923"/>
      <c r="AR11" s="923"/>
      <c r="AS11" s="923"/>
      <c r="AT11" s="923"/>
      <c r="AU11" s="923"/>
    </row>
    <row r="12" spans="1:47">
      <c r="A12" s="837" t="s">
        <v>289</v>
      </c>
      <c r="B12" s="837" t="s">
        <v>290</v>
      </c>
      <c r="C12" s="837" t="s">
        <v>291</v>
      </c>
      <c r="D12" s="838" t="s">
        <v>318</v>
      </c>
      <c r="E12" s="838" t="s">
        <v>1006</v>
      </c>
      <c r="F12" s="838" t="s">
        <v>283</v>
      </c>
      <c r="G12" s="839" t="s">
        <v>292</v>
      </c>
      <c r="H12" s="892" t="s">
        <v>989</v>
      </c>
      <c r="I12" s="892" t="s">
        <v>106</v>
      </c>
      <c r="R12" s="831" t="s">
        <v>921</v>
      </c>
      <c r="AF12" s="923"/>
      <c r="AG12" s="923"/>
      <c r="AH12" s="923"/>
      <c r="AI12" s="923"/>
      <c r="AJ12" s="923"/>
      <c r="AK12" s="923"/>
      <c r="AL12" s="923"/>
      <c r="AM12" s="923"/>
      <c r="AN12" s="923"/>
      <c r="AO12" s="923"/>
      <c r="AP12" s="923"/>
      <c r="AQ12" s="923"/>
      <c r="AR12" s="923"/>
      <c r="AS12" s="923"/>
      <c r="AT12" s="923"/>
      <c r="AU12" s="923"/>
    </row>
    <row r="13" spans="1:47">
      <c r="A13" s="831"/>
      <c r="B13" s="831" t="s">
        <v>293</v>
      </c>
      <c r="C13" s="831" t="s">
        <v>294</v>
      </c>
      <c r="D13" s="833" t="s">
        <v>295</v>
      </c>
      <c r="E13" s="833" t="s">
        <v>296</v>
      </c>
      <c r="F13" s="833" t="s">
        <v>297</v>
      </c>
      <c r="G13" s="831" t="s">
        <v>298</v>
      </c>
      <c r="H13" s="831" t="s">
        <v>299</v>
      </c>
      <c r="I13" s="891" t="s">
        <v>319</v>
      </c>
      <c r="K13" s="443"/>
      <c r="N13" s="841" t="s">
        <v>935</v>
      </c>
      <c r="O13" s="841"/>
      <c r="P13" s="841"/>
      <c r="Q13" s="842"/>
      <c r="R13" s="843" t="s">
        <v>1007</v>
      </c>
      <c r="S13" s="842"/>
      <c r="T13" s="842"/>
      <c r="W13" s="842"/>
      <c r="X13" s="842"/>
      <c r="AF13" s="923"/>
      <c r="AG13" s="923"/>
      <c r="AH13" s="923"/>
      <c r="AI13" s="923"/>
      <c r="AJ13" s="923"/>
      <c r="AK13" s="923"/>
      <c r="AL13" s="923"/>
      <c r="AM13" s="923"/>
      <c r="AN13" s="923"/>
      <c r="AO13" s="923"/>
      <c r="AP13" s="923"/>
      <c r="AQ13" s="923"/>
      <c r="AR13" s="923"/>
      <c r="AS13" s="923"/>
      <c r="AT13" s="923"/>
      <c r="AU13" s="923"/>
    </row>
    <row r="14" spans="1:47">
      <c r="A14" s="831"/>
      <c r="C14" s="831"/>
      <c r="D14" s="844"/>
      <c r="E14" s="844"/>
      <c r="F14" s="844"/>
      <c r="G14" s="844"/>
      <c r="H14" s="840"/>
      <c r="I14" s="840"/>
      <c r="K14" s="443"/>
      <c r="N14" s="842" t="s">
        <v>331</v>
      </c>
      <c r="O14" s="842"/>
      <c r="P14" s="842" t="s">
        <v>1008</v>
      </c>
      <c r="Q14" s="842" t="s">
        <v>414</v>
      </c>
      <c r="R14" s="843" t="s">
        <v>940</v>
      </c>
      <c r="S14" s="843" t="s">
        <v>940</v>
      </c>
      <c r="T14" s="843" t="s">
        <v>745</v>
      </c>
      <c r="W14" s="842"/>
      <c r="X14" s="842"/>
      <c r="AF14" s="923"/>
      <c r="AG14" s="923"/>
      <c r="AH14" s="923"/>
      <c r="AI14" s="923"/>
      <c r="AJ14" s="923"/>
      <c r="AK14" s="923"/>
      <c r="AL14" s="923"/>
      <c r="AM14" s="923"/>
      <c r="AN14" s="923"/>
      <c r="AO14" s="923"/>
      <c r="AP14" s="923"/>
      <c r="AQ14" s="923"/>
      <c r="AR14" s="923"/>
      <c r="AS14" s="923"/>
      <c r="AT14" s="923"/>
      <c r="AU14" s="923"/>
    </row>
    <row r="15" spans="1:47">
      <c r="A15" s="831">
        <v>1</v>
      </c>
      <c r="B15" s="829" t="s">
        <v>300</v>
      </c>
      <c r="C15" s="845" t="s">
        <v>686</v>
      </c>
      <c r="D15" s="833">
        <f ca="1">RS!D16</f>
        <v>232554.03877000001</v>
      </c>
      <c r="E15" s="833">
        <f>C45/1000</f>
        <v>1000841.966</v>
      </c>
      <c r="F15" s="846">
        <f>E15/$E$29</f>
        <v>0.55132194990225991</v>
      </c>
      <c r="G15" s="846">
        <f ca="1">F15*$D$32/D15</f>
        <v>7.1335151005337237E-3</v>
      </c>
      <c r="H15" s="833">
        <f ca="1">G15*D15</f>
        <v>1658.9277472559002</v>
      </c>
      <c r="I15" s="833">
        <f ca="1">D15+H15</f>
        <v>234212.9665172559</v>
      </c>
      <c r="K15" s="443">
        <f ca="1">F15/D15</f>
        <v>2.3707261882797353E-6</v>
      </c>
      <c r="N15" s="847" t="s">
        <v>922</v>
      </c>
      <c r="O15" s="847"/>
      <c r="P15" s="848">
        <v>1624555175.5943277</v>
      </c>
      <c r="Q15" s="842">
        <v>8.1029999999999991E-2</v>
      </c>
      <c r="R15" s="746">
        <f>Q15*$V$15</f>
        <v>4.4541421582144404E-4</v>
      </c>
      <c r="S15" s="849">
        <f>P15*R15</f>
        <v>723599.96959601576</v>
      </c>
      <c r="T15" s="850">
        <f>R15/Q15</f>
        <v>5.496905045309689E-3</v>
      </c>
      <c r="V15" s="851">
        <v>5.496905045309689E-3</v>
      </c>
      <c r="W15" s="852">
        <f ca="1">H15*1000-S18</f>
        <v>510193.40417969436</v>
      </c>
      <c r="AF15" s="923"/>
      <c r="AG15" s="923"/>
      <c r="AH15" s="923"/>
      <c r="AI15" s="923"/>
      <c r="AJ15" s="923"/>
      <c r="AK15" s="923"/>
      <c r="AL15" s="923"/>
      <c r="AM15" s="923"/>
      <c r="AN15" s="923"/>
      <c r="AO15" s="923"/>
      <c r="AP15" s="923"/>
      <c r="AQ15" s="923"/>
      <c r="AR15" s="923"/>
      <c r="AS15" s="923"/>
      <c r="AT15" s="923"/>
      <c r="AU15" s="923"/>
    </row>
    <row r="16" spans="1:47">
      <c r="A16" s="831"/>
      <c r="C16" s="831"/>
      <c r="D16" s="833"/>
      <c r="E16" s="833"/>
      <c r="F16" s="846"/>
      <c r="G16" s="846"/>
      <c r="H16" s="833"/>
      <c r="I16" s="833"/>
      <c r="K16" s="443"/>
      <c r="N16" s="847" t="s">
        <v>923</v>
      </c>
      <c r="O16" s="847"/>
      <c r="P16" s="848">
        <v>484025314.50355577</v>
      </c>
      <c r="Q16" s="842">
        <v>9.4269999999999993E-2</v>
      </c>
      <c r="R16" s="746">
        <f t="shared" ref="R16" si="0">Q16*$V$15</f>
        <v>5.1819323862134438E-4</v>
      </c>
      <c r="S16" s="849">
        <f t="shared" ref="S16:S17" si="1">P16*R16</f>
        <v>250818.64529731235</v>
      </c>
      <c r="T16" s="850">
        <f t="shared" ref="T16:T17" si="2">R16/Q16</f>
        <v>5.496905045309689E-3</v>
      </c>
      <c r="W16" s="842"/>
    </row>
    <row r="17" spans="1:24">
      <c r="A17" s="831">
        <v>2</v>
      </c>
      <c r="B17" s="829" t="s">
        <v>301</v>
      </c>
      <c r="C17" s="845" t="s">
        <v>460</v>
      </c>
      <c r="D17" s="833">
        <f ca="1">RS!D18</f>
        <v>77795.989848461526</v>
      </c>
      <c r="E17" s="833">
        <f>C46/1000</f>
        <v>232908.576</v>
      </c>
      <c r="F17" s="846">
        <f>E17/$E$29</f>
        <v>0.12829958637973288</v>
      </c>
      <c r="G17" s="846">
        <f ca="1">F17*$D$32/D17</f>
        <v>4.9623824591551319E-3</v>
      </c>
      <c r="H17" s="833">
        <f ca="1">G17*D17</f>
        <v>386.0534554166162</v>
      </c>
      <c r="I17" s="833">
        <f t="shared" ref="I17:I29" ca="1" si="3">D17+H17</f>
        <v>78182.043303878148</v>
      </c>
      <c r="K17" s="443">
        <f ca="1">F17/D17</f>
        <v>1.649179946545408E-6</v>
      </c>
      <c r="N17" s="847" t="s">
        <v>924</v>
      </c>
      <c r="O17" s="847"/>
      <c r="P17" s="848">
        <v>286905034.73311692</v>
      </c>
      <c r="Q17" s="842">
        <v>0.11053</v>
      </c>
      <c r="R17" s="746">
        <f>Q17*$V$15</f>
        <v>6.0757291465807998E-4</v>
      </c>
      <c r="S17" s="853">
        <f t="shared" si="1"/>
        <v>174315.72818287753</v>
      </c>
      <c r="T17" s="850">
        <f t="shared" si="2"/>
        <v>5.496905045309689E-3</v>
      </c>
      <c r="W17" s="842"/>
    </row>
    <row r="18" spans="1:24">
      <c r="A18" s="831"/>
      <c r="C18" s="831"/>
      <c r="D18" s="833"/>
      <c r="E18" s="833"/>
      <c r="F18" s="846"/>
      <c r="G18" s="846"/>
      <c r="H18" s="833"/>
      <c r="I18" s="833"/>
      <c r="K18" s="443"/>
      <c r="N18" s="842"/>
      <c r="O18" s="842"/>
      <c r="P18" s="854">
        <v>0</v>
      </c>
      <c r="Q18" s="842"/>
      <c r="R18" s="842"/>
      <c r="S18" s="849">
        <f>SUM(S15:S17)</f>
        <v>1148734.3430762058</v>
      </c>
      <c r="T18" s="855"/>
      <c r="W18" s="842"/>
    </row>
    <row r="19" spans="1:24">
      <c r="A19" s="831">
        <v>3</v>
      </c>
      <c r="B19" s="829" t="s">
        <v>302</v>
      </c>
      <c r="C19" s="856" t="s">
        <v>461</v>
      </c>
      <c r="D19" s="833">
        <f ca="1">RS!D22</f>
        <v>133265.83332076925</v>
      </c>
      <c r="E19" s="833">
        <f>C47/1000</f>
        <v>385101.73100000003</v>
      </c>
      <c r="F19" s="846">
        <f>E19/$E$29</f>
        <v>0.21213642558794898</v>
      </c>
      <c r="G19" s="846">
        <f ca="1">F19*$D$32/D19</f>
        <v>4.7898136280565898E-3</v>
      </c>
      <c r="H19" s="833">
        <f ca="1">G19*D19+0.1</f>
        <v>638.41850459413854</v>
      </c>
      <c r="I19" s="833">
        <f t="shared" ca="1" si="3"/>
        <v>133904.25182536338</v>
      </c>
      <c r="K19" s="443">
        <f t="shared" ref="K19:K27" ca="1" si="4">F19/D19</f>
        <v>1.5918290555189728E-6</v>
      </c>
      <c r="N19" s="841" t="s">
        <v>1009</v>
      </c>
      <c r="O19" s="841"/>
      <c r="P19" s="841"/>
      <c r="Q19" s="842"/>
      <c r="R19" s="842"/>
      <c r="S19" s="842"/>
      <c r="T19" s="855"/>
      <c r="W19" s="842"/>
    </row>
    <row r="20" spans="1:24">
      <c r="A20" s="831"/>
      <c r="C20" s="831"/>
      <c r="D20" s="833"/>
      <c r="E20" s="833"/>
      <c r="F20" s="846"/>
      <c r="G20" s="846"/>
      <c r="H20" s="833"/>
      <c r="I20" s="833"/>
      <c r="K20" s="443"/>
      <c r="N20" s="842" t="s">
        <v>331</v>
      </c>
      <c r="O20" s="842"/>
      <c r="P20" s="842"/>
      <c r="Q20" s="842"/>
      <c r="R20" s="842"/>
      <c r="S20" s="842"/>
      <c r="T20" s="855"/>
      <c r="W20" s="842"/>
    </row>
    <row r="21" spans="1:24">
      <c r="A21" s="831">
        <v>4</v>
      </c>
      <c r="B21" s="829" t="s">
        <v>321</v>
      </c>
      <c r="C21" s="831">
        <v>25</v>
      </c>
      <c r="D21" s="833">
        <f ca="1">RS!D26</f>
        <v>43738.714219699999</v>
      </c>
      <c r="E21" s="833">
        <f>C48/1000</f>
        <v>119412.16</v>
      </c>
      <c r="F21" s="846">
        <f>E21/$E$29</f>
        <v>6.5779161076106041E-2</v>
      </c>
      <c r="G21" s="846">
        <f ca="1">F21*$D$32/D21</f>
        <v>4.5252701001634666E-3</v>
      </c>
      <c r="H21" s="833">
        <f ca="1">G21*D21</f>
        <v>197.92949567800306</v>
      </c>
      <c r="I21" s="833">
        <f t="shared" ca="1" si="3"/>
        <v>43936.643715377999</v>
      </c>
      <c r="K21" s="443">
        <f ca="1">F21/D21</f>
        <v>1.5039116318256787E-6</v>
      </c>
      <c r="N21" s="847" t="s">
        <v>925</v>
      </c>
      <c r="O21" s="847"/>
      <c r="P21" s="848">
        <v>435222743.07519329</v>
      </c>
      <c r="Q21" s="842">
        <v>0.11686000000000001</v>
      </c>
      <c r="R21" s="746">
        <f>Q21*$V$21</f>
        <v>4.6701678131770856E-4</v>
      </c>
      <c r="S21" s="849">
        <f t="shared" ref="S21:S22" si="5">P21*R21</f>
        <v>203256.3246272408</v>
      </c>
      <c r="T21" s="850">
        <f t="shared" ref="T21:T22" si="6">R21/Q21</f>
        <v>3.9963784127820343E-3</v>
      </c>
      <c r="V21" s="851">
        <v>3.9963784127820343E-3</v>
      </c>
      <c r="W21" s="852">
        <f ca="1">H17*1000-S25</f>
        <v>118728.45393064275</v>
      </c>
    </row>
    <row r="22" spans="1:24">
      <c r="A22" s="831"/>
      <c r="C22" s="831"/>
      <c r="D22" s="833"/>
      <c r="E22" s="833"/>
      <c r="F22" s="846"/>
      <c r="G22" s="846"/>
      <c r="H22" s="833"/>
      <c r="I22" s="833"/>
      <c r="K22" s="443"/>
      <c r="N22" s="847" t="s">
        <v>926</v>
      </c>
      <c r="O22" s="847"/>
      <c r="P22" s="848">
        <v>186675410.46080667</v>
      </c>
      <c r="Q22" s="842">
        <v>8.5879999999999998E-2</v>
      </c>
      <c r="R22" s="746">
        <f>Q22*$V$21</f>
        <v>3.432089780897211E-4</v>
      </c>
      <c r="S22" s="853">
        <f t="shared" si="5"/>
        <v>64068.676858732688</v>
      </c>
      <c r="T22" s="850">
        <f t="shared" si="6"/>
        <v>3.9963784127820343E-3</v>
      </c>
      <c r="W22" s="842"/>
    </row>
    <row r="23" spans="1:24">
      <c r="A23" s="569">
        <v>7</v>
      </c>
      <c r="B23" s="422" t="s">
        <v>968</v>
      </c>
      <c r="C23" s="569" t="s">
        <v>952</v>
      </c>
      <c r="D23" s="359">
        <f ca="1">RS!D28</f>
        <v>24366.310439499997</v>
      </c>
      <c r="E23" s="833"/>
      <c r="F23" s="846"/>
      <c r="G23" s="846"/>
      <c r="H23" s="833">
        <f>-D32</f>
        <v>-3009</v>
      </c>
      <c r="I23" s="833">
        <f t="shared" ca="1" si="3"/>
        <v>21357.310439499997</v>
      </c>
      <c r="K23" s="443"/>
      <c r="N23" s="847"/>
      <c r="O23" s="847"/>
      <c r="P23" s="848"/>
      <c r="Q23" s="842"/>
      <c r="R23" s="746"/>
      <c r="S23" s="890"/>
      <c r="T23" s="850"/>
      <c r="W23" s="842"/>
    </row>
    <row r="24" spans="1:24">
      <c r="A24" s="831"/>
      <c r="C24" s="831"/>
      <c r="D24" s="833"/>
      <c r="E24" s="833"/>
      <c r="F24" s="846"/>
      <c r="G24" s="846"/>
      <c r="H24" s="833"/>
      <c r="I24" s="833"/>
      <c r="K24" s="443"/>
      <c r="N24" s="847"/>
      <c r="O24" s="847"/>
      <c r="P24" s="848"/>
      <c r="Q24" s="842"/>
      <c r="R24" s="746"/>
      <c r="S24" s="890"/>
      <c r="T24" s="850"/>
      <c r="W24" s="842"/>
    </row>
    <row r="25" spans="1:24">
      <c r="A25" s="831">
        <v>5</v>
      </c>
      <c r="B25" s="829" t="s">
        <v>303</v>
      </c>
      <c r="C25" s="856" t="s">
        <v>462</v>
      </c>
      <c r="D25" s="833">
        <f ca="1">RS!D30</f>
        <v>12229.340050000001</v>
      </c>
      <c r="E25" s="833">
        <f>C49/1000</f>
        <v>43824.83</v>
      </c>
      <c r="F25" s="846">
        <f>E25/$E$29</f>
        <v>2.414126460574002E-2</v>
      </c>
      <c r="G25" s="846">
        <f ca="1">F25*$D$32/D25</f>
        <v>5.9399006734359083E-3</v>
      </c>
      <c r="H25" s="833">
        <f ca="1">G25*D25+0.1</f>
        <v>72.74106519867172</v>
      </c>
      <c r="I25" s="833">
        <f t="shared" ca="1" si="3"/>
        <v>12302.081115198673</v>
      </c>
      <c r="K25" s="443">
        <f t="shared" ca="1" si="4"/>
        <v>1.9740447568746786E-6</v>
      </c>
      <c r="N25" s="842"/>
      <c r="O25" s="842"/>
      <c r="P25" s="854">
        <v>0</v>
      </c>
      <c r="Q25" s="842"/>
      <c r="R25" s="842"/>
      <c r="S25" s="849">
        <f>SUM(S20:S22)</f>
        <v>267325.00148597348</v>
      </c>
      <c r="T25" s="855"/>
      <c r="W25" s="842"/>
    </row>
    <row r="26" spans="1:24">
      <c r="A26" s="831"/>
      <c r="C26" s="831"/>
      <c r="D26" s="833"/>
      <c r="E26" s="833"/>
      <c r="F26" s="846"/>
      <c r="G26" s="846"/>
      <c r="H26" s="833"/>
      <c r="I26" s="833"/>
      <c r="K26" s="443"/>
      <c r="N26" s="842"/>
      <c r="O26" s="842"/>
      <c r="P26" s="842"/>
      <c r="Q26" s="842"/>
      <c r="R26" s="842"/>
      <c r="S26" s="842"/>
      <c r="T26" s="855"/>
      <c r="W26" s="842"/>
      <c r="X26" s="746"/>
    </row>
    <row r="27" spans="1:24">
      <c r="A27" s="831">
        <v>6</v>
      </c>
      <c r="B27" s="829" t="s">
        <v>304</v>
      </c>
      <c r="C27" s="831" t="s">
        <v>352</v>
      </c>
      <c r="D27" s="857">
        <f>RS!D32</f>
        <v>6628.6650019919989</v>
      </c>
      <c r="E27" s="857">
        <f>C50/1000</f>
        <v>33259.928</v>
      </c>
      <c r="F27" s="846">
        <f>E27/$E$29</f>
        <v>1.8321502276582965E-2</v>
      </c>
      <c r="G27" s="846">
        <f>F27*$D$32/D27</f>
        <v>8.3168179918084641E-3</v>
      </c>
      <c r="H27" s="857">
        <f t="shared" ref="H27" si="7">G27*D27</f>
        <v>55.129400350238143</v>
      </c>
      <c r="I27" s="833">
        <f t="shared" si="3"/>
        <v>6683.7944023422369</v>
      </c>
      <c r="K27" s="443">
        <f t="shared" si="4"/>
        <v>2.7639807217708419E-6</v>
      </c>
      <c r="N27" s="841" t="s">
        <v>1010</v>
      </c>
      <c r="O27" s="841"/>
      <c r="P27" s="841"/>
      <c r="Q27" s="842"/>
      <c r="R27" s="842"/>
      <c r="S27" s="842"/>
      <c r="T27" s="855"/>
      <c r="W27" s="842"/>
      <c r="X27" s="842"/>
    </row>
    <row r="28" spans="1:24">
      <c r="A28" s="831"/>
      <c r="C28" s="831"/>
      <c r="D28" s="833"/>
      <c r="E28" s="833"/>
      <c r="F28" s="833"/>
      <c r="G28" s="846"/>
      <c r="H28" s="833"/>
      <c r="I28" s="833"/>
      <c r="K28" s="443"/>
      <c r="N28" s="842" t="s">
        <v>331</v>
      </c>
      <c r="O28" s="842"/>
      <c r="P28" s="842"/>
      <c r="Q28" s="842"/>
      <c r="R28" s="842"/>
      <c r="S28" s="842"/>
      <c r="T28" s="855"/>
      <c r="W28" s="842"/>
      <c r="X28" s="842"/>
    </row>
    <row r="29" spans="1:24">
      <c r="A29" s="831">
        <v>7</v>
      </c>
      <c r="B29" s="858" t="s">
        <v>66</v>
      </c>
      <c r="C29" s="831"/>
      <c r="D29" s="833">
        <f ca="1">SUM(D15:D27)+0.2</f>
        <v>530579.09165042278</v>
      </c>
      <c r="E29" s="833">
        <f>SUM(E15:E27)+0.2</f>
        <v>1815349.3910000001</v>
      </c>
      <c r="F29" s="833"/>
      <c r="G29" s="846">
        <f ca="1">D32/$D$29</f>
        <v>5.6711620328652318E-3</v>
      </c>
      <c r="H29" s="833">
        <f ca="1">SUM(H15:H27)</f>
        <v>0.19966849356779903</v>
      </c>
      <c r="I29" s="833">
        <f t="shared" ca="1" si="3"/>
        <v>530579.29131891637</v>
      </c>
      <c r="N29" s="847" t="s">
        <v>927</v>
      </c>
      <c r="O29" s="847"/>
      <c r="P29" s="859">
        <v>1223990540.2466698</v>
      </c>
      <c r="Q29" s="842">
        <v>7.535E-2</v>
      </c>
      <c r="R29" s="746">
        <f>Q29*$V$29</f>
        <v>3.264594808762586E-4</v>
      </c>
      <c r="S29" s="849">
        <f t="shared" ref="S29:S30" si="8">P29*R29</f>
        <v>399583.31636637909</v>
      </c>
      <c r="T29" s="850">
        <f t="shared" ref="T29:T30" si="9">R29/Q29</f>
        <v>4.3325743978269221E-3</v>
      </c>
      <c r="V29" s="851">
        <v>4.3325743978269221E-3</v>
      </c>
      <c r="W29" s="852">
        <f ca="1">H19*1000-S31</f>
        <v>196311.07584309962</v>
      </c>
      <c r="X29" s="842"/>
    </row>
    <row r="30" spans="1:24">
      <c r="A30" s="831"/>
      <c r="B30" s="831"/>
      <c r="C30" s="831"/>
      <c r="D30" s="860"/>
      <c r="E30" s="860"/>
      <c r="F30" s="860"/>
      <c r="G30" s="860"/>
      <c r="H30" s="860"/>
      <c r="N30" s="847" t="s">
        <v>928</v>
      </c>
      <c r="O30" s="847"/>
      <c r="P30" s="859">
        <v>145579586.0103302</v>
      </c>
      <c r="Q30" s="842">
        <v>6.7419999999999994E-2</v>
      </c>
      <c r="R30" s="746">
        <f>Q30*$V$29</f>
        <v>2.9210216590149103E-4</v>
      </c>
      <c r="S30" s="853">
        <f t="shared" si="8"/>
        <v>42524.112384659857</v>
      </c>
      <c r="T30" s="850">
        <f t="shared" si="9"/>
        <v>4.3325743978269221E-3</v>
      </c>
      <c r="W30" s="842"/>
      <c r="X30" s="842"/>
    </row>
    <row r="31" spans="1:24">
      <c r="P31" s="641">
        <v>0</v>
      </c>
      <c r="S31" s="849">
        <f>SUM(S28:S30)</f>
        <v>442107.42875103897</v>
      </c>
      <c r="T31" s="855"/>
    </row>
    <row r="32" spans="1:24">
      <c r="B32" s="829" t="s">
        <v>744</v>
      </c>
      <c r="C32" s="861"/>
      <c r="D32" s="392">
        <v>3009</v>
      </c>
      <c r="E32" s="392"/>
      <c r="F32" s="443">
        <f ca="1">D32/D29</f>
        <v>5.6711620328652318E-3</v>
      </c>
      <c r="G32" s="443"/>
      <c r="T32" s="862"/>
    </row>
    <row r="33" spans="2:23">
      <c r="N33" s="841" t="s">
        <v>336</v>
      </c>
      <c r="O33" s="841"/>
      <c r="P33" s="841"/>
      <c r="Q33" s="842"/>
      <c r="T33" s="862"/>
    </row>
    <row r="34" spans="2:23">
      <c r="N34" s="842" t="s">
        <v>331</v>
      </c>
      <c r="O34" s="842"/>
      <c r="P34" s="842"/>
      <c r="Q34" s="842"/>
      <c r="T34" s="862"/>
    </row>
    <row r="35" spans="2:23">
      <c r="N35" s="847" t="s">
        <v>929</v>
      </c>
      <c r="O35" s="847"/>
      <c r="P35" s="848">
        <v>132000000</v>
      </c>
      <c r="Q35" s="842">
        <v>5.5050000000000002E-2</v>
      </c>
      <c r="R35" s="746">
        <f>Q35*$V$35</f>
        <v>2.2486061407234355E-4</v>
      </c>
      <c r="S35" s="849">
        <f>P35*R35</f>
        <v>29681.601057549349</v>
      </c>
      <c r="T35" s="850">
        <f>R35/Q35</f>
        <v>4.0846614727037883E-3</v>
      </c>
      <c r="V35" s="851">
        <v>4.0846614727037883E-3</v>
      </c>
      <c r="W35" s="863">
        <f ca="1">H21*1000-S38</f>
        <v>-10528.085904598061</v>
      </c>
    </row>
    <row r="36" spans="2:23" hidden="1">
      <c r="N36" s="847" t="s">
        <v>930</v>
      </c>
      <c r="O36" s="847"/>
      <c r="P36" s="848">
        <v>555959799.31499994</v>
      </c>
      <c r="Q36" s="842">
        <v>4.9530000000000005E-2</v>
      </c>
      <c r="R36" s="746">
        <f>Q36*$V$35</f>
        <v>2.0231328274301864E-4</v>
      </c>
      <c r="S36" s="849">
        <f t="shared" ref="S36:S37" si="10">P36*R36</f>
        <v>112478.05207256749</v>
      </c>
      <c r="T36" s="850">
        <f t="shared" ref="T36:T37" si="11">R36/Q36</f>
        <v>4.0846614727037883E-3</v>
      </c>
    </row>
    <row r="37" spans="2:23" hidden="1">
      <c r="N37" s="847" t="s">
        <v>931</v>
      </c>
      <c r="O37" s="847"/>
      <c r="P37" s="848">
        <v>383257334.60000014</v>
      </c>
      <c r="Q37" s="842">
        <v>4.2350000000000006E-2</v>
      </c>
      <c r="R37" s="746">
        <f>Q37*$V$35</f>
        <v>1.7298541336900546E-4</v>
      </c>
      <c r="S37" s="853">
        <f t="shared" si="10"/>
        <v>66297.928452484266</v>
      </c>
      <c r="T37" s="850">
        <f t="shared" si="11"/>
        <v>4.0846614727037883E-3</v>
      </c>
    </row>
    <row r="38" spans="2:23" hidden="1">
      <c r="B38" s="829" t="s">
        <v>544</v>
      </c>
      <c r="C38" s="851">
        <v>914</v>
      </c>
      <c r="D38" s="829" t="s">
        <v>385</v>
      </c>
      <c r="N38" s="842"/>
      <c r="O38" s="842"/>
      <c r="P38" s="864">
        <v>0</v>
      </c>
      <c r="Q38" s="842"/>
      <c r="R38" s="842"/>
      <c r="S38" s="849">
        <f>SUM(S35:S37)</f>
        <v>208457.58158260112</v>
      </c>
      <c r="T38" s="855"/>
    </row>
    <row r="39" spans="2:23" hidden="1">
      <c r="B39" s="829" t="s">
        <v>867</v>
      </c>
      <c r="C39" s="863">
        <f>9+IF(C38&gt;800,(800*0.07858)+((C38-800)*0.09182),C38*0.07858)</f>
        <v>82.331479999999999</v>
      </c>
      <c r="N39" s="841" t="s">
        <v>934</v>
      </c>
      <c r="O39" s="841"/>
      <c r="P39" s="841"/>
      <c r="Q39" s="842"/>
      <c r="R39" s="842"/>
      <c r="S39" s="842"/>
      <c r="T39" s="862"/>
    </row>
    <row r="40" spans="2:23" hidden="1">
      <c r="B40" s="829" t="s">
        <v>1011</v>
      </c>
      <c r="C40" s="865">
        <f>IF(C38&gt;800,(800*-R15)+((C38-800)*-R16),C38*R15)</f>
        <v>-0.41540540185998853</v>
      </c>
      <c r="N40" s="842" t="s">
        <v>331</v>
      </c>
      <c r="O40" s="842"/>
      <c r="P40" s="842"/>
      <c r="Q40" s="842"/>
      <c r="R40" s="842"/>
      <c r="S40" s="842"/>
      <c r="T40" s="862"/>
    </row>
    <row r="41" spans="2:23" hidden="1">
      <c r="B41" s="829" t="s">
        <v>868</v>
      </c>
      <c r="C41" s="863">
        <f>C39+C40</f>
        <v>81.916074598140014</v>
      </c>
      <c r="N41" s="847" t="s">
        <v>740</v>
      </c>
      <c r="O41" s="847"/>
      <c r="P41" s="848">
        <v>46811884.739644997</v>
      </c>
      <c r="Q41" s="842">
        <v>0.10292</v>
      </c>
      <c r="R41" s="746">
        <f>Q41*$V$41</f>
        <v>3.6097717886174725E-4</v>
      </c>
      <c r="S41" s="849">
        <f>P41*R41</f>
        <v>16898.022090518331</v>
      </c>
      <c r="T41" s="850">
        <f>R41/Q41</f>
        <v>3.5073569652326786E-3</v>
      </c>
      <c r="V41" s="851">
        <v>3.5073569652326782E-3</v>
      </c>
      <c r="W41" s="863">
        <f ca="1">H25*1000-S44</f>
        <v>22340.329407506455</v>
      </c>
    </row>
    <row r="42" spans="2:23" hidden="1">
      <c r="C42" s="627">
        <f>C40/C39</f>
        <v>-5.045523314532771E-3</v>
      </c>
      <c r="N42" s="847" t="s">
        <v>741</v>
      </c>
      <c r="O42" s="847"/>
      <c r="P42" s="848">
        <v>92811168.302354991</v>
      </c>
      <c r="Q42" s="842">
        <v>0.10292</v>
      </c>
      <c r="R42" s="746">
        <f>Q42*$V$41</f>
        <v>3.6097717886174725E-4</v>
      </c>
      <c r="S42" s="849">
        <f t="shared" ref="S42:S43" si="12">P42*R42</f>
        <v>33502.713700646927</v>
      </c>
      <c r="T42" s="850">
        <f t="shared" ref="T42:T43" si="13">R42/Q42</f>
        <v>3.5073569652326786E-3</v>
      </c>
    </row>
    <row r="43" spans="2:23">
      <c r="N43" s="847" t="s">
        <v>341</v>
      </c>
      <c r="O43" s="847"/>
      <c r="P43" s="848">
        <v>0</v>
      </c>
      <c r="Q43" s="842">
        <v>7.3499999999999996E-2</v>
      </c>
      <c r="R43" s="746">
        <f>Q43*$V$41</f>
        <v>2.5779073694460184E-4</v>
      </c>
      <c r="S43" s="853">
        <f t="shared" si="12"/>
        <v>0</v>
      </c>
      <c r="T43" s="850">
        <f t="shared" si="13"/>
        <v>3.5073569652326782E-3</v>
      </c>
    </row>
    <row r="44" spans="2:23">
      <c r="C44" s="829" t="s">
        <v>1012</v>
      </c>
      <c r="N44" s="847"/>
      <c r="O44" s="847"/>
      <c r="P44" s="848">
        <v>0</v>
      </c>
      <c r="Q44" s="842"/>
      <c r="S44" s="849">
        <f>SUM(S41:S43)</f>
        <v>50400.735791165258</v>
      </c>
      <c r="T44" s="855"/>
    </row>
    <row r="45" spans="2:23">
      <c r="B45" s="829" t="s">
        <v>1013</v>
      </c>
      <c r="C45" s="866">
        <v>1000841966</v>
      </c>
      <c r="D45" s="531">
        <f t="shared" ref="D45:D50" si="14">C45/$C$51</f>
        <v>0.55132201064230402</v>
      </c>
      <c r="E45" s="819">
        <f>($D$32*D45)</f>
        <v>1658.9279300226929</v>
      </c>
      <c r="F45" s="412">
        <f ca="1">E45/D15</f>
        <v>7.1335158864447908E-3</v>
      </c>
      <c r="G45" s="412"/>
      <c r="N45" s="841" t="s">
        <v>932</v>
      </c>
      <c r="O45" s="841"/>
      <c r="P45" s="841"/>
      <c r="Q45" s="842"/>
      <c r="T45" s="867"/>
    </row>
    <row r="46" spans="2:23">
      <c r="B46" s="829" t="s">
        <v>1014</v>
      </c>
      <c r="C46" s="866">
        <v>232908576</v>
      </c>
      <c r="D46" s="531">
        <f t="shared" si="14"/>
        <v>0.1282996005147089</v>
      </c>
      <c r="E46" s="819">
        <f t="shared" ref="E46:E50" si="15">($D$32*D46)</f>
        <v>386.05349794875906</v>
      </c>
      <c r="F46" s="412">
        <f ca="1">E46/D17</f>
        <v>4.9623830058689528E-3</v>
      </c>
      <c r="G46" s="412"/>
      <c r="N46" s="842"/>
      <c r="O46" s="842"/>
      <c r="P46" s="842"/>
      <c r="Q46" s="842"/>
    </row>
    <row r="47" spans="2:23">
      <c r="B47" s="829" t="s">
        <v>1015</v>
      </c>
      <c r="C47" s="866">
        <v>385101731</v>
      </c>
      <c r="D47" s="531">
        <f t="shared" si="14"/>
        <v>0.21213644895936717</v>
      </c>
      <c r="E47" s="819">
        <f t="shared" si="15"/>
        <v>638.31857491873586</v>
      </c>
      <c r="F47" s="412">
        <f ca="1">E47/D19</f>
        <v>4.7898141557582187E-3</v>
      </c>
      <c r="G47" s="412"/>
      <c r="N47" s="847" t="s">
        <v>1021</v>
      </c>
      <c r="O47" s="847" t="s">
        <v>1022</v>
      </c>
      <c r="P47" s="868">
        <f>D27</f>
        <v>6628.6650019919989</v>
      </c>
      <c r="Q47" s="842"/>
      <c r="R47" s="889">
        <f>H27/P47</f>
        <v>8.3168179918084641E-3</v>
      </c>
      <c r="S47" s="849">
        <f>P47*R47*1000</f>
        <v>55129.400350238146</v>
      </c>
      <c r="T47" s="862">
        <f>R47</f>
        <v>8.3168179918084641E-3</v>
      </c>
    </row>
    <row r="48" spans="2:23">
      <c r="B48" s="829" t="s">
        <v>919</v>
      </c>
      <c r="C48" s="895">
        <f>181619969-I48</f>
        <v>119412160</v>
      </c>
      <c r="D48" s="531">
        <f t="shared" si="14"/>
        <v>6.5779168323104181E-2</v>
      </c>
      <c r="E48" s="819">
        <f t="shared" si="15"/>
        <v>197.92951748422047</v>
      </c>
      <c r="F48" s="412">
        <f ca="1">E48/D21</f>
        <v>4.5252705987199014E-3</v>
      </c>
      <c r="G48" s="412"/>
      <c r="H48" s="886" t="s">
        <v>1030</v>
      </c>
      <c r="I48" s="893">
        <v>62207809</v>
      </c>
      <c r="O48" s="829" t="s">
        <v>415</v>
      </c>
      <c r="P48" s="848">
        <v>28214.475000000002</v>
      </c>
      <c r="Q48" s="829">
        <v>7.7096596693718392E-2</v>
      </c>
      <c r="R48" s="746">
        <f t="shared" ref="R48:R54" si="16">Q48*$V$48</f>
        <v>4.4400160340576629E-4</v>
      </c>
      <c r="S48" s="849">
        <f t="shared" ref="S48:S54" si="17">P48*R48</f>
        <v>12.52727213925191</v>
      </c>
      <c r="T48" s="850">
        <f t="shared" ref="T48:T54" si="18">R48/Q48</f>
        <v>5.7590298722218726E-3</v>
      </c>
      <c r="V48" s="851">
        <v>5.7590298722218726E-3</v>
      </c>
      <c r="W48" s="863">
        <f>H27*1000-S55</f>
        <v>16954.72059081457</v>
      </c>
    </row>
    <row r="49" spans="2:24">
      <c r="B49" s="829" t="s">
        <v>1016</v>
      </c>
      <c r="C49" s="866">
        <v>43824830</v>
      </c>
      <c r="D49" s="531">
        <f t="shared" si="14"/>
        <v>2.4141267265422765E-2</v>
      </c>
      <c r="E49" s="819">
        <f t="shared" si="15"/>
        <v>72.641073201657093</v>
      </c>
      <c r="F49" s="412">
        <f ca="1">E49/D25</f>
        <v>5.9399013278445137E-3</v>
      </c>
      <c r="G49" s="412"/>
      <c r="N49" s="842"/>
      <c r="O49" s="829" t="s">
        <v>416</v>
      </c>
      <c r="P49" s="848">
        <v>9111659.5536700003</v>
      </c>
      <c r="Q49" s="829">
        <v>0.4617844439002608</v>
      </c>
      <c r="R49" s="746">
        <f t="shared" si="16"/>
        <v>2.6594304069489675E-3</v>
      </c>
      <c r="S49" s="849">
        <f t="shared" si="17"/>
        <v>24231.824474797057</v>
      </c>
      <c r="T49" s="850">
        <f t="shared" si="18"/>
        <v>5.7590298722218726E-3</v>
      </c>
    </row>
    <row r="50" spans="2:24">
      <c r="B50" s="829" t="s">
        <v>1017</v>
      </c>
      <c r="C50" s="866">
        <v>33259928</v>
      </c>
      <c r="D50" s="531">
        <f t="shared" si="14"/>
        <v>1.8321504295092942E-2</v>
      </c>
      <c r="E50" s="819">
        <f t="shared" si="15"/>
        <v>55.129406423934661</v>
      </c>
      <c r="F50" s="412">
        <f>E50/D27</f>
        <v>8.316818908085952E-3</v>
      </c>
      <c r="G50" s="412"/>
      <c r="O50" s="829" t="s">
        <v>417</v>
      </c>
      <c r="P50" s="848">
        <v>123112.35188</v>
      </c>
      <c r="Q50" s="829">
        <v>0.19451500709970837</v>
      </c>
      <c r="R50" s="746">
        <f t="shared" si="16"/>
        <v>1.1202177364826702E-3</v>
      </c>
      <c r="S50" s="849">
        <f t="shared" si="17"/>
        <v>137.9126401560716</v>
      </c>
      <c r="T50" s="850">
        <f t="shared" si="18"/>
        <v>5.7590298722218726E-3</v>
      </c>
    </row>
    <row r="51" spans="2:24">
      <c r="B51" s="829" t="s">
        <v>66</v>
      </c>
      <c r="C51" s="408">
        <f>SUM(C45:C50)</f>
        <v>1815349191</v>
      </c>
      <c r="D51" s="531">
        <f>SUM(D45:D50)</f>
        <v>1</v>
      </c>
      <c r="E51" s="869">
        <f>SUM(E45:E50)</f>
        <v>3009</v>
      </c>
      <c r="F51" s="412">
        <f ca="1">E51/D29</f>
        <v>5.6711620328652318E-3</v>
      </c>
      <c r="G51" s="412"/>
      <c r="O51" s="829" t="s">
        <v>418</v>
      </c>
      <c r="P51" s="848">
        <v>424923.17200000002</v>
      </c>
      <c r="Q51" s="829">
        <v>7.6837042909017925E-2</v>
      </c>
      <c r="R51" s="746">
        <f t="shared" si="16"/>
        <v>4.4250682540622802E-4</v>
      </c>
      <c r="S51" s="849">
        <f t="shared" si="17"/>
        <v>188.0314038832646</v>
      </c>
      <c r="T51" s="850">
        <f t="shared" si="18"/>
        <v>5.7590298722218726E-3</v>
      </c>
    </row>
    <row r="52" spans="2:24">
      <c r="O52" s="829" t="s">
        <v>419</v>
      </c>
      <c r="P52" s="848">
        <v>1041932.9840000002</v>
      </c>
      <c r="Q52" s="829">
        <v>0.10414113159508154</v>
      </c>
      <c r="R52" s="746">
        <f t="shared" si="16"/>
        <v>5.9975188778306368E-4</v>
      </c>
      <c r="S52" s="849">
        <f t="shared" si="17"/>
        <v>624.90127409744082</v>
      </c>
      <c r="T52" s="850">
        <f t="shared" si="18"/>
        <v>5.7590298722218726E-3</v>
      </c>
    </row>
    <row r="53" spans="2:24">
      <c r="O53" s="829" t="s">
        <v>423</v>
      </c>
      <c r="P53" s="848">
        <v>4732835.9471299993</v>
      </c>
      <c r="Q53" s="829">
        <v>0.3047292777757431</v>
      </c>
      <c r="R53" s="746">
        <f t="shared" si="16"/>
        <v>1.7549450136511012E-3</v>
      </c>
      <c r="S53" s="849">
        <f t="shared" si="17"/>
        <v>8305.866845844479</v>
      </c>
      <c r="T53" s="850">
        <f t="shared" si="18"/>
        <v>5.7590298722218726E-3</v>
      </c>
    </row>
    <row r="54" spans="2:24">
      <c r="D54" s="395"/>
      <c r="O54" s="829" t="s">
        <v>424</v>
      </c>
      <c r="P54" s="848">
        <v>2499245.1762899999</v>
      </c>
      <c r="Q54" s="829">
        <v>0.32470936812876905</v>
      </c>
      <c r="R54" s="746">
        <f t="shared" si="16"/>
        <v>1.8700109508438699E-3</v>
      </c>
      <c r="S54" s="853">
        <f t="shared" si="17"/>
        <v>4673.6158485060178</v>
      </c>
      <c r="T54" s="850">
        <f t="shared" si="18"/>
        <v>5.7590298722218726E-3</v>
      </c>
    </row>
    <row r="55" spans="2:24">
      <c r="D55" s="739"/>
      <c r="P55" s="848">
        <v>17961923.65997</v>
      </c>
      <c r="S55" s="849">
        <f>SUM(S48:S54)</f>
        <v>38174.679759423576</v>
      </c>
      <c r="T55" s="850"/>
    </row>
    <row r="56" spans="2:24" ht="15.75" thickBot="1">
      <c r="P56" s="848">
        <v>0</v>
      </c>
    </row>
    <row r="57" spans="2:24" ht="15.75" thickBot="1">
      <c r="B57" s="887" t="s">
        <v>1020</v>
      </c>
      <c r="R57" s="829" t="s">
        <v>1018</v>
      </c>
      <c r="S57" s="870">
        <f ca="1">S55+S44+S38+S31+S25+S18-(H29*1000)</f>
        <v>2155000.1019528401</v>
      </c>
    </row>
    <row r="58" spans="2:24">
      <c r="B58" s="887"/>
      <c r="S58" s="888"/>
    </row>
    <row r="59" spans="2:24">
      <c r="B59" s="887"/>
      <c r="S59" s="888"/>
    </row>
    <row r="60" spans="2:24">
      <c r="B60" s="887"/>
      <c r="S60" s="888"/>
    </row>
    <row r="61" spans="2:24" ht="15.75" thickBot="1"/>
    <row r="62" spans="2:24">
      <c r="N62" s="871" t="s">
        <v>1019</v>
      </c>
      <c r="O62" s="872"/>
      <c r="P62" s="872"/>
      <c r="Q62" s="872"/>
      <c r="R62" s="872"/>
      <c r="S62" s="872"/>
      <c r="T62" s="872"/>
      <c r="U62" s="872"/>
      <c r="V62" s="872"/>
      <c r="W62" s="872"/>
      <c r="X62" s="873"/>
    </row>
    <row r="63" spans="2:24">
      <c r="N63" s="874" t="s">
        <v>1011</v>
      </c>
      <c r="X63" s="875"/>
    </row>
    <row r="64" spans="2:24">
      <c r="N64" s="874"/>
      <c r="X64" s="875"/>
    </row>
    <row r="65" spans="14:24">
      <c r="N65" s="874"/>
      <c r="X65" s="875"/>
    </row>
    <row r="66" spans="14:24">
      <c r="N66" s="876" t="s">
        <v>935</v>
      </c>
      <c r="O66" s="841"/>
      <c r="P66" s="841"/>
      <c r="Q66" s="842"/>
      <c r="R66" s="842"/>
      <c r="S66" s="842"/>
      <c r="T66" s="842"/>
      <c r="U66" s="841" t="s">
        <v>336</v>
      </c>
      <c r="V66" s="842"/>
      <c r="W66" s="842"/>
      <c r="X66" s="877"/>
    </row>
    <row r="67" spans="14:24">
      <c r="N67" s="878" t="s">
        <v>331</v>
      </c>
      <c r="O67" s="842"/>
      <c r="P67" s="842"/>
      <c r="Q67" s="842"/>
      <c r="R67" s="842"/>
      <c r="S67" s="842"/>
      <c r="T67" s="842"/>
      <c r="U67" s="842" t="s">
        <v>331</v>
      </c>
      <c r="V67" s="842"/>
      <c r="W67" s="842"/>
      <c r="X67" s="877"/>
    </row>
    <row r="68" spans="14:24">
      <c r="N68" s="879" t="s">
        <v>922</v>
      </c>
      <c r="O68" s="847"/>
      <c r="P68" s="847"/>
      <c r="Q68" s="842"/>
      <c r="R68" s="746">
        <v>5.5050000000000002E-2</v>
      </c>
      <c r="S68" s="746"/>
      <c r="T68" s="842"/>
      <c r="U68" s="847" t="s">
        <v>929</v>
      </c>
      <c r="V68" s="842"/>
      <c r="W68" s="842"/>
      <c r="X68" s="880">
        <v>0</v>
      </c>
    </row>
    <row r="69" spans="14:24">
      <c r="N69" s="879" t="s">
        <v>923</v>
      </c>
      <c r="O69" s="847"/>
      <c r="P69" s="847"/>
      <c r="Q69" s="842"/>
      <c r="R69" s="746">
        <v>4.9530000000000005E-2</v>
      </c>
      <c r="S69" s="746"/>
      <c r="T69" s="842"/>
      <c r="U69" s="847" t="s">
        <v>930</v>
      </c>
      <c r="V69" s="842"/>
      <c r="W69" s="842"/>
      <c r="X69" s="880">
        <v>0</v>
      </c>
    </row>
    <row r="70" spans="14:24">
      <c r="N70" s="879" t="s">
        <v>924</v>
      </c>
      <c r="O70" s="847"/>
      <c r="P70" s="847"/>
      <c r="Q70" s="842"/>
      <c r="R70" s="746">
        <v>4.2350000000000006E-2</v>
      </c>
      <c r="S70" s="746"/>
      <c r="T70" s="842"/>
      <c r="U70" s="847" t="s">
        <v>931</v>
      </c>
      <c r="V70" s="842"/>
      <c r="W70" s="842"/>
      <c r="X70" s="880">
        <v>0</v>
      </c>
    </row>
    <row r="71" spans="14:24">
      <c r="N71" s="878"/>
      <c r="O71" s="842"/>
      <c r="P71" s="842"/>
      <c r="Q71" s="842"/>
      <c r="R71" s="842"/>
      <c r="S71" s="842"/>
      <c r="T71" s="842"/>
      <c r="U71" s="842"/>
      <c r="V71" s="842"/>
      <c r="W71" s="842"/>
      <c r="X71" s="877"/>
    </row>
    <row r="72" spans="14:24">
      <c r="N72" s="876" t="s">
        <v>1009</v>
      </c>
      <c r="O72" s="841"/>
      <c r="P72" s="841"/>
      <c r="Q72" s="842"/>
      <c r="R72" s="842"/>
      <c r="S72" s="842"/>
      <c r="T72" s="842"/>
      <c r="U72" s="841" t="s">
        <v>934</v>
      </c>
      <c r="V72" s="842"/>
      <c r="W72" s="842"/>
      <c r="X72" s="877"/>
    </row>
    <row r="73" spans="14:24">
      <c r="N73" s="878" t="s">
        <v>331</v>
      </c>
      <c r="O73" s="842"/>
      <c r="P73" s="842"/>
      <c r="Q73" s="842"/>
      <c r="R73" s="842"/>
      <c r="S73" s="842"/>
      <c r="T73" s="842"/>
      <c r="U73" s="842" t="s">
        <v>331</v>
      </c>
      <c r="V73" s="842"/>
      <c r="W73" s="842"/>
      <c r="X73" s="877"/>
    </row>
    <row r="74" spans="14:24">
      <c r="N74" s="879" t="s">
        <v>925</v>
      </c>
      <c r="O74" s="847"/>
      <c r="P74" s="847"/>
      <c r="Q74" s="842"/>
      <c r="R74" s="746">
        <v>0</v>
      </c>
      <c r="S74" s="746"/>
      <c r="T74" s="842"/>
      <c r="U74" s="847" t="s">
        <v>740</v>
      </c>
      <c r="V74" s="842"/>
      <c r="W74" s="842"/>
      <c r="X74" s="880">
        <v>0</v>
      </c>
    </row>
    <row r="75" spans="14:24">
      <c r="N75" s="879" t="s">
        <v>926</v>
      </c>
      <c r="O75" s="847"/>
      <c r="P75" s="847"/>
      <c r="Q75" s="842"/>
      <c r="R75" s="746">
        <v>0</v>
      </c>
      <c r="S75" s="746"/>
      <c r="T75" s="842"/>
      <c r="U75" s="847" t="s">
        <v>741</v>
      </c>
      <c r="V75" s="842"/>
      <c r="W75" s="842"/>
      <c r="X75" s="880">
        <v>0</v>
      </c>
    </row>
    <row r="76" spans="14:24">
      <c r="N76" s="878"/>
      <c r="O76" s="842"/>
      <c r="P76" s="842"/>
      <c r="Q76" s="842"/>
      <c r="R76" s="842"/>
      <c r="S76" s="842"/>
      <c r="T76" s="842"/>
      <c r="U76" s="847" t="s">
        <v>341</v>
      </c>
      <c r="V76" s="842"/>
      <c r="W76" s="842"/>
      <c r="X76" s="880">
        <v>0</v>
      </c>
    </row>
    <row r="77" spans="14:24">
      <c r="N77" s="878"/>
      <c r="O77" s="842"/>
      <c r="P77" s="842"/>
      <c r="Q77" s="842"/>
      <c r="R77" s="842"/>
      <c r="S77" s="842"/>
      <c r="T77" s="842"/>
      <c r="U77" s="847"/>
      <c r="V77" s="842"/>
      <c r="W77" s="842"/>
      <c r="X77" s="880"/>
    </row>
    <row r="78" spans="14:24">
      <c r="N78" s="876" t="s">
        <v>1010</v>
      </c>
      <c r="O78" s="841"/>
      <c r="P78" s="841"/>
      <c r="Q78" s="842"/>
      <c r="R78" s="842"/>
      <c r="S78" s="842"/>
      <c r="T78" s="842"/>
      <c r="U78" s="841" t="s">
        <v>932</v>
      </c>
      <c r="V78" s="842"/>
      <c r="W78" s="842"/>
      <c r="X78" s="877"/>
    </row>
    <row r="79" spans="14:24">
      <c r="N79" s="878" t="s">
        <v>331</v>
      </c>
      <c r="O79" s="842"/>
      <c r="P79" s="842"/>
      <c r="Q79" s="842"/>
      <c r="R79" s="842"/>
      <c r="S79" s="842"/>
      <c r="T79" s="842"/>
      <c r="U79" s="842"/>
      <c r="V79" s="842"/>
      <c r="W79" s="842"/>
      <c r="X79" s="877"/>
    </row>
    <row r="80" spans="14:24">
      <c r="N80" s="879" t="s">
        <v>927</v>
      </c>
      <c r="O80" s="847"/>
      <c r="P80" s="847"/>
      <c r="Q80" s="842"/>
      <c r="R80" s="746">
        <v>8.9900000000000119E-3</v>
      </c>
      <c r="S80" s="746"/>
      <c r="T80" s="842"/>
      <c r="U80" s="847" t="s">
        <v>933</v>
      </c>
      <c r="V80" s="842"/>
      <c r="W80" s="842"/>
      <c r="X80" s="877"/>
    </row>
    <row r="81" spans="14:24" ht="15.75" thickBot="1">
      <c r="N81" s="881" t="s">
        <v>928</v>
      </c>
      <c r="O81" s="882"/>
      <c r="P81" s="882"/>
      <c r="Q81" s="883"/>
      <c r="R81" s="884">
        <v>6.420000000000009E-3</v>
      </c>
      <c r="S81" s="884"/>
      <c r="T81" s="883"/>
      <c r="U81" s="883"/>
      <c r="V81" s="883"/>
      <c r="W81" s="883"/>
      <c r="X81" s="885"/>
    </row>
  </sheetData>
  <mergeCells count="1">
    <mergeCell ref="AF11:AU15"/>
  </mergeCells>
  <conditionalFormatting sqref="D30:H30">
    <cfRule type="cellIs" dxfId="23" priority="1" stopIfTrue="1" operator="notEqual">
      <formula>0</formula>
    </cfRule>
  </conditionalFormatting>
  <pageMargins left="0.7" right="0.7" top="0.75" bottom="0.75" header="0.3" footer="0.3"/>
  <pageSetup scale="62"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X37"/>
  <sheetViews>
    <sheetView showGridLines="0" topLeftCell="O1" workbookViewId="0">
      <selection activeCell="AD35" sqref="AD35"/>
    </sheetView>
  </sheetViews>
  <sheetFormatPr defaultRowHeight="12.75"/>
  <cols>
    <col min="1" max="1" width="0" hidden="1" customWidth="1"/>
    <col min="2" max="2" width="24.5703125" hidden="1" customWidth="1"/>
    <col min="3" max="3" width="0" hidden="1" customWidth="1"/>
    <col min="4" max="4" width="15.42578125" hidden="1" customWidth="1"/>
    <col min="5" max="5" width="12.42578125" hidden="1" customWidth="1"/>
    <col min="6" max="6" width="13.42578125" hidden="1" customWidth="1"/>
    <col min="7" max="7" width="9.7109375" hidden="1" customWidth="1"/>
    <col min="8" max="8" width="0" hidden="1" customWidth="1"/>
    <col min="9" max="9" width="6.7109375" hidden="1" customWidth="1"/>
    <col min="10" max="11" width="0" hidden="1" customWidth="1"/>
    <col min="12" max="12" width="12.7109375" hidden="1" customWidth="1"/>
    <col min="13" max="14" width="0" hidden="1" customWidth="1"/>
    <col min="17" max="17" width="17" customWidth="1"/>
    <col min="19" max="19" width="10.85546875" bestFit="1" customWidth="1"/>
    <col min="20" max="20" width="7" customWidth="1"/>
    <col min="21" max="21" width="10.5703125" customWidth="1"/>
    <col min="24" max="24" width="10.140625" bestFit="1" customWidth="1"/>
  </cols>
  <sheetData>
    <row r="4" spans="1:24">
      <c r="A4" s="422" t="s">
        <v>918</v>
      </c>
    </row>
    <row r="7" spans="1:24">
      <c r="E7" s="527"/>
      <c r="L7" s="422"/>
    </row>
    <row r="8" spans="1:24">
      <c r="A8" s="569"/>
      <c r="B8" s="569"/>
      <c r="C8" s="360"/>
      <c r="D8" s="527" t="s">
        <v>324</v>
      </c>
      <c r="E8" s="569" t="s">
        <v>920</v>
      </c>
      <c r="F8" s="527" t="s">
        <v>737</v>
      </c>
      <c r="G8" s="582" t="s">
        <v>738</v>
      </c>
      <c r="L8" s="569"/>
    </row>
    <row r="9" spans="1:24">
      <c r="A9" s="569"/>
      <c r="B9" s="569" t="s">
        <v>287</v>
      </c>
      <c r="C9" s="569" t="s">
        <v>311</v>
      </c>
      <c r="D9" s="527" t="s">
        <v>355</v>
      </c>
      <c r="E9" s="569" t="s">
        <v>325</v>
      </c>
      <c r="F9" s="569" t="s">
        <v>425</v>
      </c>
      <c r="G9" s="582" t="s">
        <v>739</v>
      </c>
      <c r="L9" s="569"/>
    </row>
    <row r="10" spans="1:24">
      <c r="A10" s="346" t="s">
        <v>289</v>
      </c>
      <c r="B10" s="346" t="s">
        <v>290</v>
      </c>
      <c r="C10" s="346" t="s">
        <v>291</v>
      </c>
      <c r="D10" s="642" t="s">
        <v>106</v>
      </c>
      <c r="E10" s="642" t="s">
        <v>749</v>
      </c>
      <c r="F10" s="642" t="s">
        <v>453</v>
      </c>
      <c r="G10" s="643" t="s">
        <v>737</v>
      </c>
      <c r="L10" s="642"/>
      <c r="Q10" s="422" t="s">
        <v>946</v>
      </c>
    </row>
    <row r="11" spans="1:24">
      <c r="A11" s="569"/>
      <c r="B11" s="569" t="s">
        <v>293</v>
      </c>
      <c r="C11" s="569" t="s">
        <v>294</v>
      </c>
      <c r="D11" s="569" t="s">
        <v>295</v>
      </c>
      <c r="E11" s="569" t="s">
        <v>296</v>
      </c>
      <c r="F11" s="569" t="s">
        <v>297</v>
      </c>
      <c r="G11" s="569" t="s">
        <v>298</v>
      </c>
      <c r="L11" s="569"/>
    </row>
    <row r="12" spans="1:24">
      <c r="A12" s="569"/>
      <c r="B12" s="422"/>
      <c r="C12" s="569"/>
      <c r="G12" s="116"/>
      <c r="L12" s="699"/>
    </row>
    <row r="13" spans="1:24">
      <c r="A13" s="569">
        <v>1</v>
      </c>
      <c r="B13" s="422" t="s">
        <v>300</v>
      </c>
      <c r="C13" s="396" t="s">
        <v>686</v>
      </c>
      <c r="D13" s="229">
        <f>RS!K16*1000</f>
        <v>223624606.88</v>
      </c>
      <c r="E13" s="229">
        <f>F13*G13</f>
        <v>0</v>
      </c>
      <c r="F13" s="641">
        <f>'Pres &amp; Prop Rev'!D23</f>
        <v>2395485524.8310003</v>
      </c>
      <c r="G13" s="207">
        <v>0</v>
      </c>
      <c r="I13" s="315">
        <f>G13*'Bill Impact'!A18</f>
        <v>0</v>
      </c>
      <c r="J13" s="443">
        <f>I13/'Bill Impact'!E18</f>
        <v>0</v>
      </c>
      <c r="L13" s="229"/>
      <c r="N13" s="443">
        <f>E13/D13</f>
        <v>0</v>
      </c>
      <c r="Q13" s="743" t="s">
        <v>935</v>
      </c>
      <c r="R13" s="744"/>
      <c r="S13" s="744"/>
      <c r="T13" s="744"/>
      <c r="U13" s="743" t="s">
        <v>336</v>
      </c>
      <c r="V13" s="744"/>
      <c r="W13" s="744"/>
      <c r="X13" s="744"/>
    </row>
    <row r="14" spans="1:24">
      <c r="A14" s="569"/>
      <c r="B14" s="422"/>
      <c r="C14" s="569"/>
      <c r="D14" s="229"/>
      <c r="E14" s="229"/>
      <c r="G14" s="207"/>
      <c r="L14" s="229"/>
      <c r="N14" s="443"/>
      <c r="Q14" s="744" t="s">
        <v>331</v>
      </c>
      <c r="R14" s="744"/>
      <c r="S14" s="744"/>
      <c r="T14" s="744"/>
      <c r="U14" s="744" t="s">
        <v>331</v>
      </c>
      <c r="V14" s="744"/>
      <c r="W14" s="744"/>
      <c r="X14" s="744"/>
    </row>
    <row r="15" spans="1:24">
      <c r="A15" s="569">
        <v>2</v>
      </c>
      <c r="B15" s="422" t="s">
        <v>301</v>
      </c>
      <c r="C15" s="396" t="s">
        <v>460</v>
      </c>
      <c r="D15" s="229">
        <f>RS!K18*1000</f>
        <v>83007817.678461507</v>
      </c>
      <c r="E15" s="229">
        <f t="shared" ref="E15:E21" si="0">F15*G15</f>
        <v>0</v>
      </c>
      <c r="F15" s="641">
        <f>'Pres &amp; Prop Rev'!E23</f>
        <v>621898153.53599989</v>
      </c>
      <c r="G15" s="207">
        <v>0</v>
      </c>
      <c r="L15" s="229"/>
      <c r="N15" s="443">
        <f t="shared" ref="N15:N25" si="1">E15/D15</f>
        <v>0</v>
      </c>
      <c r="Q15" s="745" t="s">
        <v>922</v>
      </c>
      <c r="R15" s="744"/>
      <c r="S15" s="746">
        <f>-RD!L16</f>
        <v>4.2800000000000112E-3</v>
      </c>
      <c r="T15" s="744"/>
      <c r="U15" s="745" t="s">
        <v>929</v>
      </c>
      <c r="V15" s="744"/>
      <c r="W15" s="744"/>
      <c r="X15" s="746">
        <f>-RD!L57</f>
        <v>2.4999999999999988E-3</v>
      </c>
    </row>
    <row r="16" spans="1:24">
      <c r="A16" s="569"/>
      <c r="B16" s="422"/>
      <c r="C16" s="569"/>
      <c r="D16" s="229"/>
      <c r="E16" s="229"/>
      <c r="G16" s="207"/>
      <c r="L16" s="229"/>
      <c r="N16" s="443"/>
      <c r="Q16" s="745" t="s">
        <v>923</v>
      </c>
      <c r="R16" s="744"/>
      <c r="S16" s="746">
        <f>-RD!L17</f>
        <v>4.9599999999999974E-3</v>
      </c>
      <c r="T16" s="744"/>
      <c r="U16" s="745" t="s">
        <v>930</v>
      </c>
      <c r="V16" s="744"/>
      <c r="W16" s="744"/>
      <c r="X16" s="746">
        <f>-RD!L58</f>
        <v>2.2499999999999916E-3</v>
      </c>
    </row>
    <row r="17" spans="1:24">
      <c r="A17" s="569">
        <v>3</v>
      </c>
      <c r="B17" s="422" t="s">
        <v>302</v>
      </c>
      <c r="C17" s="397" t="s">
        <v>461</v>
      </c>
      <c r="D17" s="229">
        <f>RS!K22*1000</f>
        <v>143506294.48076898</v>
      </c>
      <c r="E17" s="229">
        <f t="shared" si="0"/>
        <v>0</v>
      </c>
      <c r="F17" s="641">
        <f>'Pres &amp; Prop Rev'!G23</f>
        <v>1369570126.257</v>
      </c>
      <c r="G17" s="207">
        <v>0</v>
      </c>
      <c r="L17" s="229"/>
      <c r="N17" s="443">
        <f t="shared" si="1"/>
        <v>0</v>
      </c>
      <c r="Q17" s="745" t="s">
        <v>924</v>
      </c>
      <c r="R17" s="744"/>
      <c r="S17" s="746">
        <f>-RD!L18</f>
        <v>5.8000000000000048E-3</v>
      </c>
      <c r="T17" s="744"/>
      <c r="U17" s="745" t="s">
        <v>931</v>
      </c>
      <c r="V17" s="744"/>
      <c r="W17" s="744"/>
      <c r="X17" s="746">
        <f>-RD!L59</f>
        <v>0</v>
      </c>
    </row>
    <row r="18" spans="1:24">
      <c r="A18" s="569"/>
      <c r="B18" s="422"/>
      <c r="C18" s="569"/>
      <c r="D18" s="229"/>
      <c r="E18" s="229"/>
      <c r="G18" s="207"/>
      <c r="L18" s="229"/>
      <c r="N18" s="443"/>
      <c r="Q18" s="744"/>
      <c r="R18" s="744"/>
      <c r="S18" s="744"/>
      <c r="T18" s="744"/>
      <c r="U18" s="744"/>
      <c r="V18" s="744"/>
      <c r="W18" s="744"/>
      <c r="X18" s="744"/>
    </row>
    <row r="19" spans="1:24">
      <c r="A19" s="569">
        <v>4</v>
      </c>
      <c r="B19" s="422" t="s">
        <v>321</v>
      </c>
      <c r="C19" s="569">
        <v>25</v>
      </c>
      <c r="D19" s="229">
        <f>RS!K26*1000</f>
        <v>43474397.949699998</v>
      </c>
      <c r="E19" s="229">
        <f t="shared" si="0"/>
        <v>0</v>
      </c>
      <c r="F19" s="641">
        <f>'Pres &amp; Prop Rev'!I23</f>
        <v>620117685.91500008</v>
      </c>
      <c r="G19" s="207">
        <v>0</v>
      </c>
      <c r="L19" s="229"/>
      <c r="N19" s="443">
        <f t="shared" si="1"/>
        <v>0</v>
      </c>
      <c r="Q19" s="743" t="s">
        <v>973</v>
      </c>
      <c r="R19" s="744"/>
      <c r="S19" s="744"/>
      <c r="T19" s="744"/>
      <c r="U19" s="743" t="s">
        <v>934</v>
      </c>
      <c r="V19" s="744"/>
      <c r="W19" s="744"/>
      <c r="X19" s="744"/>
    </row>
    <row r="20" spans="1:24">
      <c r="A20" s="569"/>
      <c r="B20" s="422"/>
      <c r="C20" s="569"/>
      <c r="D20" s="229"/>
      <c r="E20" s="229"/>
      <c r="G20" s="207"/>
      <c r="L20" s="229"/>
      <c r="N20" s="443"/>
      <c r="Q20" s="744" t="s">
        <v>331</v>
      </c>
      <c r="R20" s="744"/>
      <c r="S20" s="744"/>
      <c r="T20" s="744"/>
      <c r="U20" s="744" t="s">
        <v>331</v>
      </c>
      <c r="V20" s="744"/>
      <c r="W20" s="744"/>
      <c r="X20" s="744"/>
    </row>
    <row r="21" spans="1:24">
      <c r="A21" s="569">
        <v>5</v>
      </c>
      <c r="B21" s="422" t="s">
        <v>303</v>
      </c>
      <c r="C21" s="397" t="s">
        <v>462</v>
      </c>
      <c r="D21" s="229">
        <f>RS!K30*1000</f>
        <v>13210003.41</v>
      </c>
      <c r="E21" s="229">
        <f t="shared" si="0"/>
        <v>0</v>
      </c>
      <c r="F21" s="641">
        <f>'Pres &amp; Prop Rev'!K23</f>
        <v>139623053.042</v>
      </c>
      <c r="G21" s="207">
        <v>0</v>
      </c>
      <c r="L21" s="229"/>
      <c r="N21" s="443">
        <f t="shared" si="1"/>
        <v>0</v>
      </c>
      <c r="Q21" s="745" t="s">
        <v>925</v>
      </c>
      <c r="R21" s="744"/>
      <c r="S21" s="746">
        <f>-RD!L23</f>
        <v>2.6699999999999884E-3</v>
      </c>
      <c r="T21" s="744"/>
      <c r="U21" s="747" t="s">
        <v>740</v>
      </c>
      <c r="V21" s="744"/>
      <c r="W21" s="744"/>
      <c r="X21" s="746">
        <f>-RD!L86</f>
        <v>3.6500000000000152E-3</v>
      </c>
    </row>
    <row r="22" spans="1:24">
      <c r="A22" s="569"/>
      <c r="B22" s="422"/>
      <c r="C22" s="569"/>
      <c r="D22" s="229"/>
      <c r="E22" s="229"/>
      <c r="G22" s="207"/>
      <c r="L22" s="229"/>
      <c r="N22" s="443"/>
      <c r="Q22" s="745" t="s">
        <v>926</v>
      </c>
      <c r="R22" s="744"/>
      <c r="S22" s="746">
        <f>-RD!L24</f>
        <v>2.0000000000000122E-3</v>
      </c>
      <c r="T22" s="744"/>
      <c r="U22" s="747" t="s">
        <v>741</v>
      </c>
      <c r="V22" s="744"/>
      <c r="W22" s="744"/>
      <c r="X22" s="746">
        <f>-RD!L87</f>
        <v>3.6500000000000152E-3</v>
      </c>
    </row>
    <row r="23" spans="1:24">
      <c r="A23" s="569">
        <v>6</v>
      </c>
      <c r="B23" s="422" t="s">
        <v>304</v>
      </c>
      <c r="C23" s="569" t="s">
        <v>352</v>
      </c>
      <c r="D23" s="229">
        <f>RS!K32*1000</f>
        <v>6816665.0019920003</v>
      </c>
      <c r="E23" s="229">
        <f>F23*G23</f>
        <v>0</v>
      </c>
      <c r="F23" s="641">
        <f>'Pres &amp; Prop Rev'!L23</f>
        <v>17961923.65997</v>
      </c>
      <c r="G23" s="207">
        <v>0</v>
      </c>
      <c r="L23" s="229"/>
      <c r="N23" s="443">
        <f t="shared" si="1"/>
        <v>0</v>
      </c>
      <c r="Q23" s="744"/>
      <c r="R23" s="744"/>
      <c r="S23" s="744"/>
      <c r="T23" s="744"/>
      <c r="U23" s="745" t="s">
        <v>341</v>
      </c>
      <c r="V23" s="744"/>
      <c r="W23" s="744"/>
      <c r="X23" s="746">
        <f>-RD!L88</f>
        <v>2.6400000000000043E-3</v>
      </c>
    </row>
    <row r="24" spans="1:24">
      <c r="A24" s="569"/>
      <c r="B24" s="422"/>
      <c r="C24" s="569"/>
      <c r="D24" s="229"/>
      <c r="E24" s="229"/>
      <c r="L24" s="229"/>
      <c r="N24" s="443"/>
      <c r="Q24" s="744"/>
      <c r="R24" s="744"/>
      <c r="S24" s="744"/>
      <c r="T24" s="744"/>
      <c r="U24" s="745"/>
      <c r="V24" s="744"/>
      <c r="W24" s="744"/>
      <c r="X24" s="746"/>
    </row>
    <row r="25" spans="1:24">
      <c r="A25" s="569">
        <v>7</v>
      </c>
      <c r="B25" s="370" t="s">
        <v>66</v>
      </c>
      <c r="C25" s="569"/>
      <c r="D25" s="229">
        <f>RS!K34*1000</f>
        <v>537464071.59042251</v>
      </c>
      <c r="E25" s="229">
        <f>SUM(E13:E23)</f>
        <v>0</v>
      </c>
      <c r="F25" s="641">
        <f>SUM(F13:F23)</f>
        <v>5164656467.2409706</v>
      </c>
      <c r="L25" s="229"/>
      <c r="N25" s="443">
        <f t="shared" si="1"/>
        <v>0</v>
      </c>
      <c r="Q25" s="743" t="s">
        <v>974</v>
      </c>
      <c r="R25" s="744"/>
      <c r="S25" s="744"/>
      <c r="T25" s="744"/>
      <c r="U25" s="743" t="s">
        <v>932</v>
      </c>
      <c r="V25" s="744"/>
      <c r="W25" s="744"/>
      <c r="X25" s="744"/>
    </row>
    <row r="26" spans="1:24" s="740" customFormat="1">
      <c r="A26" s="569"/>
      <c r="B26" s="370"/>
      <c r="C26" s="569"/>
      <c r="D26" s="229"/>
      <c r="E26" s="229"/>
      <c r="F26" s="641"/>
      <c r="L26" s="229"/>
      <c r="N26" s="443"/>
      <c r="Q26" s="744" t="s">
        <v>331</v>
      </c>
      <c r="R26" s="744"/>
      <c r="S26" s="744"/>
      <c r="T26" s="744"/>
      <c r="U26" s="744"/>
      <c r="V26" s="744"/>
      <c r="W26" s="744"/>
      <c r="X26" s="744"/>
    </row>
    <row r="27" spans="1:24">
      <c r="Q27" s="745" t="s">
        <v>927</v>
      </c>
      <c r="R27" s="744"/>
      <c r="S27" s="746">
        <f>-RD!L41</f>
        <v>1.9199999999999998E-3</v>
      </c>
      <c r="T27" s="744"/>
      <c r="U27" s="745" t="s">
        <v>1050</v>
      </c>
      <c r="V27" s="744"/>
      <c r="W27" s="744"/>
      <c r="X27" s="744"/>
    </row>
    <row r="28" spans="1:24">
      <c r="Q28" s="745" t="s">
        <v>928</v>
      </c>
      <c r="R28" s="744"/>
      <c r="S28" s="746">
        <f>-RD!L42</f>
        <v>1.7300000000000041E-3</v>
      </c>
      <c r="T28" s="744"/>
      <c r="U28" s="744"/>
      <c r="V28" s="744"/>
      <c r="W28" s="744"/>
      <c r="X28" s="744"/>
    </row>
    <row r="29" spans="1:24">
      <c r="A29" s="19"/>
    </row>
    <row r="31" spans="1:24">
      <c r="U31" s="422" t="s">
        <v>1038</v>
      </c>
    </row>
    <row r="32" spans="1:24">
      <c r="U32" s="519" t="s">
        <v>1039</v>
      </c>
    </row>
    <row r="33" spans="2:22">
      <c r="B33" t="s">
        <v>736</v>
      </c>
      <c r="C33" s="443">
        <f>E25/D25</f>
        <v>0</v>
      </c>
      <c r="D33" s="229">
        <v>0</v>
      </c>
      <c r="U33" s="84" t="e">
        <f>LIRAP!#REF!</f>
        <v>#REF!</v>
      </c>
      <c r="V33" s="422" t="s">
        <v>1049</v>
      </c>
    </row>
    <row r="35" spans="2:22">
      <c r="U35" s="394">
        <v>3.2000000000000001E-2</v>
      </c>
      <c r="V35" s="422" t="s">
        <v>751</v>
      </c>
    </row>
    <row r="36" spans="2:22">
      <c r="B36" s="422"/>
      <c r="U36" s="412">
        <v>1.2999999999999999E-3</v>
      </c>
      <c r="V36" s="422" t="s">
        <v>865</v>
      </c>
    </row>
    <row r="37" spans="2:22">
      <c r="U37" s="412">
        <f>U35+U36</f>
        <v>3.3300000000000003E-2</v>
      </c>
      <c r="V37" s="422" t="s">
        <v>66</v>
      </c>
    </row>
  </sheetData>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7A08A98646D534B82D0990F27BFBC3C" ma:contentTypeVersion="52" ma:contentTypeDescription="" ma:contentTypeScope="" ma:versionID="dd3c9ba9876fec2b89245930455a717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Suspended</CaseStatus>
    <OpenedDate xmlns="dc463f71-b30c-4ab2-9473-d307f9d35888">2020-10-30T07:00:00+00:00</OpenedDate>
    <SignificantOrder xmlns="dc463f71-b30c-4ab2-9473-d307f9d35888">false</SignificantOrder>
    <Date1 xmlns="dc463f71-b30c-4ab2-9473-d307f9d35888">2021-09-29T07:00:00+00:00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200901</DocketNumber>
    <DelegatedOrder xmlns="dc463f71-b30c-4ab2-9473-d307f9d35888">false</DelegatedOrder>
  </documentManagement>
</p:properties>
</file>

<file path=customXml/itemProps1.xml><?xml version="1.0" encoding="utf-8"?>
<ds:datastoreItem xmlns:ds="http://schemas.openxmlformats.org/officeDocument/2006/customXml" ds:itemID="{9CFD143E-B767-4DC2-820F-C0BF3A1E1919}"/>
</file>

<file path=customXml/itemProps2.xml><?xml version="1.0" encoding="utf-8"?>
<ds:datastoreItem xmlns:ds="http://schemas.openxmlformats.org/officeDocument/2006/customXml" ds:itemID="{44CA4C92-D6AC-443D-B2CA-B00215FBE9C2}"/>
</file>

<file path=customXml/itemProps3.xml><?xml version="1.0" encoding="utf-8"?>
<ds:datastoreItem xmlns:ds="http://schemas.openxmlformats.org/officeDocument/2006/customXml" ds:itemID="{6A60907C-CF34-499E-891A-64D97FAC24F3}"/>
</file>

<file path=customXml/itemProps4.xml><?xml version="1.0" encoding="utf-8"?>
<ds:datastoreItem xmlns:ds="http://schemas.openxmlformats.org/officeDocument/2006/customXml" ds:itemID="{B1F564CE-8F91-479F-98D2-B4C0CEE3FB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40</vt:i4>
      </vt:variant>
    </vt:vector>
  </HeadingPairs>
  <TitlesOfParts>
    <vt:vector size="58" baseType="lpstr">
      <vt:lpstr>Pres &amp; Prop Rev</vt:lpstr>
      <vt:lpstr>Rate Design</vt:lpstr>
      <vt:lpstr>RS</vt:lpstr>
      <vt:lpstr>RD</vt:lpstr>
      <vt:lpstr>Rate Spread GRC</vt:lpstr>
      <vt:lpstr>Bill Determ</vt:lpstr>
      <vt:lpstr>IEP</vt:lpstr>
      <vt:lpstr>IEP Adj RB</vt:lpstr>
      <vt:lpstr>Tax Adj</vt:lpstr>
      <vt:lpstr>Bill Impact</vt:lpstr>
      <vt:lpstr>LIRAP</vt:lpstr>
      <vt:lpstr>WA Sch 25</vt:lpstr>
      <vt:lpstr>Lighting summary</vt:lpstr>
      <vt:lpstr>St Lts</vt:lpstr>
      <vt:lpstr>Area Lts</vt:lpstr>
      <vt:lpstr>Capital Recovery Factor Calc</vt:lpstr>
      <vt:lpstr>Block Data</vt:lpstr>
      <vt:lpstr>REVRUNS 12ME1219</vt:lpstr>
      <vt:lpstr>Base1_Billing2</vt:lpstr>
      <vt:lpstr>ERM</vt:lpstr>
      <vt:lpstr>'Area Lts'!Print_Area</vt:lpstr>
      <vt:lpstr>'Bill Determ'!Print_Area</vt:lpstr>
      <vt:lpstr>'Bill Impact'!Print_Area</vt:lpstr>
      <vt:lpstr>'Block Data'!Print_Area</vt:lpstr>
      <vt:lpstr>'Capital Recovery Factor Calc'!Print_Area</vt:lpstr>
      <vt:lpstr>'Lighting summary'!Print_Area</vt:lpstr>
      <vt:lpstr>LIRAP!Print_Area</vt:lpstr>
      <vt:lpstr>'Pres &amp; Prop Rev'!Print_Area</vt:lpstr>
      <vt:lpstr>'Rate Design'!Print_Area</vt:lpstr>
      <vt:lpstr>'Rate Spread GRC'!Print_Area</vt:lpstr>
      <vt:lpstr>RD!Print_Area</vt:lpstr>
      <vt:lpstr>'REVRUNS 12ME1219'!Print_Area</vt:lpstr>
      <vt:lpstr>RS!Print_Area</vt:lpstr>
      <vt:lpstr>'St Lts'!Print_Area</vt:lpstr>
      <vt:lpstr>'Tax Adj'!Print_Area</vt:lpstr>
      <vt:lpstr>'WA Sch 25'!Print_Area</vt:lpstr>
      <vt:lpstr>'Area Lts'!Print_Titles</vt:lpstr>
      <vt:lpstr>'Rate Design'!Print_Titles</vt:lpstr>
      <vt:lpstr>'St Lts'!Print_Titles</vt:lpstr>
      <vt:lpstr>'Area Lts'!Print1</vt:lpstr>
      <vt:lpstr>'St Lts'!Print1</vt:lpstr>
      <vt:lpstr>Print1</vt:lpstr>
      <vt:lpstr>'Area Lts'!Print2</vt:lpstr>
      <vt:lpstr>'St Lts'!Print2</vt:lpstr>
      <vt:lpstr>Print2</vt:lpstr>
      <vt:lpstr>'Pres &amp; Prop Rev'!PrintHeader</vt:lpstr>
      <vt:lpstr>Rates_Base_Present</vt:lpstr>
      <vt:lpstr>Rates_Base_Proposed</vt:lpstr>
      <vt:lpstr>Rates_Billing_Present</vt:lpstr>
      <vt:lpstr>Rates_Billing_Proposed</vt:lpstr>
      <vt:lpstr>Sch25_Annual_excess_kva</vt:lpstr>
      <vt:lpstr>Sch25_Annual_kva</vt:lpstr>
      <vt:lpstr>Sch25_Annual_kW</vt:lpstr>
      <vt:lpstr>Sch25_Annual_kWh</vt:lpstr>
      <vt:lpstr>Sch25_kWh</vt:lpstr>
      <vt:lpstr>Sch25_n</vt:lpstr>
      <vt:lpstr>Sch25_nD</vt:lpstr>
      <vt:lpstr>SL_RateIncr</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Avista Corp Employee</dc:creator>
  <cp:lastModifiedBy>Miller, Joe</cp:lastModifiedBy>
  <cp:lastPrinted>2021-09-28T23:25:43Z</cp:lastPrinted>
  <dcterms:created xsi:type="dcterms:W3CDTF">2002-06-14T21:00:48Z</dcterms:created>
  <dcterms:modified xsi:type="dcterms:W3CDTF">2021-09-29T16:07:01Z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0x0101006E56B4D1795A2E4DB2F0B01679ED314A0027A08A98646D534B82D0990F27BFBC3C</vt:lpwstr>
  </property>
  <property fmtid="{D5CDD505-2E9C-101B-9397-08002B2CF9AE}" pid="3" name="_docset_NoMedatataSyncRequired">
    <vt:lpwstr>False</vt:lpwstr>
  </property>
  <property fmtid="{D5CDD505-2E9C-101B-9397-08002B2CF9AE}" pid="4" name="IsEFSEC">
    <vt:bool>false</vt:bool>
  </property>
</Properties>
</file>