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nyder\Documents\"/>
    </mc:Choice>
  </mc:AlternateContent>
  <bookViews>
    <workbookView xWindow="492" yWindow="1500" windowWidth="19608" windowHeight="6456" firstSheet="1" activeTab="1"/>
  </bookViews>
  <sheets>
    <sheet name="Instructions" sheetId="6" r:id="rId1"/>
    <sheet name="Main" sheetId="1" r:id="rId2"/>
    <sheet name="A standard power purchases" sheetId="4" r:id="rId3"/>
    <sheet name="B eligible renewables" sheetId="3" r:id="rId4"/>
    <sheet name="C RECs" sheetId="2" r:id="rId5"/>
    <sheet name="D BPA block" sheetId="5" r:id="rId6"/>
  </sheets>
  <calcPr calcId="152511"/>
</workbook>
</file>

<file path=xl/calcChain.xml><?xml version="1.0" encoding="utf-8"?>
<calcChain xmlns="http://schemas.openxmlformats.org/spreadsheetml/2006/main">
  <c r="H27" i="1" l="1"/>
  <c r="I27" i="1" s="1"/>
  <c r="P62" i="4"/>
  <c r="P61" i="4"/>
  <c r="P60" i="4"/>
  <c r="P2" i="4" l="1"/>
  <c r="P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B24" i="3" l="1"/>
  <c r="B3" i="5" l="1"/>
  <c r="B21" i="2" l="1"/>
  <c r="D2" i="2" s="1"/>
  <c r="B9" i="1" l="1"/>
  <c r="C54" i="4" l="1"/>
  <c r="B7" i="1" s="1"/>
  <c r="B14" i="1" s="1"/>
  <c r="B13" i="1"/>
  <c r="B21" i="1"/>
  <c r="B17" i="1" l="1"/>
  <c r="E32" i="4" s="1"/>
  <c r="F32" i="4" s="1"/>
  <c r="E39" i="4"/>
  <c r="F39" i="4" s="1"/>
  <c r="E44" i="4"/>
  <c r="F44" i="4" s="1"/>
  <c r="E50" i="4"/>
  <c r="F50" i="4" s="1"/>
  <c r="E47" i="4"/>
  <c r="F47" i="4" s="1"/>
  <c r="E52" i="4"/>
  <c r="F52" i="4" s="1"/>
  <c r="E27" i="4"/>
  <c r="F27" i="4" s="1"/>
  <c r="Q27" i="4" s="1"/>
  <c r="Z27" i="4" s="1"/>
  <c r="E29" i="4"/>
  <c r="F29" i="4" s="1"/>
  <c r="Q29" i="4" s="1"/>
  <c r="Z29" i="4" s="1"/>
  <c r="E7" i="4"/>
  <c r="F7" i="4" s="1"/>
  <c r="E10" i="4"/>
  <c r="F10" i="4" s="1"/>
  <c r="Q10" i="4" s="1"/>
  <c r="Z10" i="4" s="1"/>
  <c r="E21" i="4"/>
  <c r="F21" i="4" s="1"/>
  <c r="Q21" i="4" s="1"/>
  <c r="Z21" i="4" s="1"/>
  <c r="E9" i="4"/>
  <c r="F9" i="4" s="1"/>
  <c r="E26" i="4"/>
  <c r="F26" i="4" s="1"/>
  <c r="Q26" i="4" s="1"/>
  <c r="Z26" i="4" s="1"/>
  <c r="E8" i="4"/>
  <c r="F8" i="4" s="1"/>
  <c r="E17" i="4"/>
  <c r="F17" i="4" s="1"/>
  <c r="Q17" i="4" s="1"/>
  <c r="Z17" i="4" s="1"/>
  <c r="E6" i="4"/>
  <c r="F6" i="4" s="1"/>
  <c r="E15" i="4"/>
  <c r="F15" i="4" s="1"/>
  <c r="Q15" i="4" s="1"/>
  <c r="Z15" i="4" s="1"/>
  <c r="E28" i="4"/>
  <c r="F28" i="4" s="1"/>
  <c r="Q28" i="4" s="1"/>
  <c r="Z28" i="4" s="1"/>
  <c r="E22" i="4"/>
  <c r="F22" i="4" s="1"/>
  <c r="Q22" i="4" s="1"/>
  <c r="Z22" i="4" s="1"/>
  <c r="E35" i="4" l="1"/>
  <c r="F35" i="4" s="1"/>
  <c r="E38" i="4"/>
  <c r="F38" i="4" s="1"/>
  <c r="E53" i="4"/>
  <c r="F53" i="4" s="1"/>
  <c r="X53" i="4" s="1"/>
  <c r="E46" i="4"/>
  <c r="F46" i="4" s="1"/>
  <c r="T46" i="4" s="1"/>
  <c r="E36" i="4"/>
  <c r="F36" i="4" s="1"/>
  <c r="T36" i="4" s="1"/>
  <c r="E24" i="4"/>
  <c r="F24" i="4" s="1"/>
  <c r="Q24" i="4" s="1"/>
  <c r="Z24" i="4" s="1"/>
  <c r="E20" i="4"/>
  <c r="F20" i="4" s="1"/>
  <c r="Q20" i="4" s="1"/>
  <c r="Z20" i="4" s="1"/>
  <c r="E25" i="4"/>
  <c r="F25" i="4" s="1"/>
  <c r="Q25" i="4" s="1"/>
  <c r="Z25" i="4" s="1"/>
  <c r="E14" i="4"/>
  <c r="F14" i="4" s="1"/>
  <c r="Q14" i="4" s="1"/>
  <c r="Z14" i="4" s="1"/>
  <c r="E3" i="4"/>
  <c r="F3" i="4" s="1"/>
  <c r="E19" i="4"/>
  <c r="F19" i="4" s="1"/>
  <c r="Q19" i="4" s="1"/>
  <c r="Z19" i="4" s="1"/>
  <c r="E48" i="4"/>
  <c r="F48" i="4" s="1"/>
  <c r="X48" i="4" s="1"/>
  <c r="E45" i="4"/>
  <c r="F45" i="4" s="1"/>
  <c r="W45" i="4" s="1"/>
  <c r="E43" i="4"/>
  <c r="F43" i="4" s="1"/>
  <c r="U43" i="4" s="1"/>
  <c r="E40" i="4"/>
  <c r="F40" i="4" s="1"/>
  <c r="R40" i="4" s="1"/>
  <c r="E31" i="4"/>
  <c r="F31" i="4" s="1"/>
  <c r="X31" i="4" s="1"/>
  <c r="E18" i="4"/>
  <c r="F18" i="4" s="1"/>
  <c r="Q18" i="4" s="1"/>
  <c r="Z18" i="4" s="1"/>
  <c r="E11" i="4"/>
  <c r="F11" i="4" s="1"/>
  <c r="Q11" i="4" s="1"/>
  <c r="Z11" i="4" s="1"/>
  <c r="E12" i="4"/>
  <c r="F12" i="4" s="1"/>
  <c r="Q12" i="4" s="1"/>
  <c r="Z12" i="4" s="1"/>
  <c r="E2" i="4"/>
  <c r="F2" i="4" s="1"/>
  <c r="E13" i="4"/>
  <c r="F13" i="4" s="1"/>
  <c r="Q13" i="4" s="1"/>
  <c r="Z13" i="4" s="1"/>
  <c r="E23" i="4"/>
  <c r="F23" i="4" s="1"/>
  <c r="Q23" i="4" s="1"/>
  <c r="Z23" i="4" s="1"/>
  <c r="E16" i="4"/>
  <c r="F16" i="4" s="1"/>
  <c r="Q16" i="4" s="1"/>
  <c r="Z16" i="4" s="1"/>
  <c r="E51" i="4"/>
  <c r="F51" i="4" s="1"/>
  <c r="Q51" i="4" s="1"/>
  <c r="E49" i="4"/>
  <c r="F49" i="4" s="1"/>
  <c r="S49" i="4" s="1"/>
  <c r="E41" i="4"/>
  <c r="F41" i="4" s="1"/>
  <c r="U41" i="4" s="1"/>
  <c r="E34" i="4"/>
  <c r="F34" i="4" s="1"/>
  <c r="W34" i="4" s="1"/>
  <c r="E30" i="4"/>
  <c r="F30" i="4" s="1"/>
  <c r="T30" i="4" s="1"/>
  <c r="E42" i="4"/>
  <c r="F42" i="4" s="1"/>
  <c r="U42" i="4" s="1"/>
  <c r="E37" i="4"/>
  <c r="F37" i="4" s="1"/>
  <c r="V37" i="4" s="1"/>
  <c r="E33" i="4"/>
  <c r="F33" i="4" s="1"/>
  <c r="R33" i="4" s="1"/>
  <c r="Y47" i="4"/>
  <c r="U47" i="4"/>
  <c r="Q47" i="4"/>
  <c r="W47" i="4"/>
  <c r="R47" i="4"/>
  <c r="X47" i="4"/>
  <c r="S47" i="4"/>
  <c r="T47" i="4"/>
  <c r="V47" i="4"/>
  <c r="Y38" i="4"/>
  <c r="S38" i="4"/>
  <c r="V38" i="4"/>
  <c r="T38" i="4"/>
  <c r="Q38" i="4"/>
  <c r="U38" i="4"/>
  <c r="W38" i="4"/>
  <c r="R38" i="4"/>
  <c r="X38" i="4"/>
  <c r="X35" i="4"/>
  <c r="W35" i="4"/>
  <c r="U35" i="4"/>
  <c r="Y35" i="4"/>
  <c r="S35" i="4"/>
  <c r="T35" i="4"/>
  <c r="V35" i="4"/>
  <c r="Q35" i="4"/>
  <c r="R35" i="4"/>
  <c r="R48" i="4"/>
  <c r="W46" i="4"/>
  <c r="R46" i="4"/>
  <c r="Q46" i="4"/>
  <c r="Q40" i="4"/>
  <c r="S32" i="4"/>
  <c r="W32" i="4"/>
  <c r="Q32" i="4"/>
  <c r="T32" i="4"/>
  <c r="X32" i="4"/>
  <c r="R32" i="4"/>
  <c r="U32" i="4"/>
  <c r="Y32" i="4"/>
  <c r="V32" i="4"/>
  <c r="Y45" i="4"/>
  <c r="Y44" i="4"/>
  <c r="S44" i="4"/>
  <c r="V44" i="4"/>
  <c r="Q44" i="4"/>
  <c r="X44" i="4"/>
  <c r="R44" i="4"/>
  <c r="U44" i="4"/>
  <c r="W44" i="4"/>
  <c r="T44" i="4"/>
  <c r="Y41" i="4"/>
  <c r="U33" i="4"/>
  <c r="W52" i="4"/>
  <c r="T52" i="4"/>
  <c r="S52" i="4"/>
  <c r="Q52" i="4"/>
  <c r="U52" i="4"/>
  <c r="Y52" i="4"/>
  <c r="R52" i="4"/>
  <c r="X52" i="4"/>
  <c r="V52" i="4"/>
  <c r="T42" i="4"/>
  <c r="Y50" i="4"/>
  <c r="X50" i="4"/>
  <c r="R50" i="4"/>
  <c r="V50" i="4"/>
  <c r="W50" i="4"/>
  <c r="S50" i="4"/>
  <c r="T50" i="4"/>
  <c r="Q50" i="4"/>
  <c r="U50" i="4"/>
  <c r="W39" i="4"/>
  <c r="R39" i="4"/>
  <c r="V39" i="4"/>
  <c r="X39" i="4"/>
  <c r="Y39" i="4"/>
  <c r="U39" i="4"/>
  <c r="Q39" i="4"/>
  <c r="S39" i="4"/>
  <c r="T39" i="4"/>
  <c r="Y36" i="4"/>
  <c r="X36" i="4"/>
  <c r="Q36" i="4"/>
  <c r="R36" i="4"/>
  <c r="T51" i="4"/>
  <c r="V43" i="4"/>
  <c r="Y43" i="4"/>
  <c r="T37" i="4"/>
  <c r="R34" i="4"/>
  <c r="R31" i="4"/>
  <c r="R30" i="4"/>
  <c r="Q7" i="4"/>
  <c r="W7" i="4"/>
  <c r="R7" i="4"/>
  <c r="V7" i="4"/>
  <c r="S7" i="4"/>
  <c r="U7" i="4"/>
  <c r="T7" i="4"/>
  <c r="X7" i="4"/>
  <c r="X6" i="4"/>
  <c r="R6" i="4"/>
  <c r="W6" i="4"/>
  <c r="S6" i="4"/>
  <c r="V6" i="4"/>
  <c r="T6" i="4"/>
  <c r="U6" i="4"/>
  <c r="Q6" i="4"/>
  <c r="W8" i="4"/>
  <c r="T8" i="4"/>
  <c r="X8" i="4"/>
  <c r="U8" i="4"/>
  <c r="R8" i="4"/>
  <c r="V8" i="4"/>
  <c r="Q8" i="4"/>
  <c r="S8" i="4"/>
  <c r="X9" i="4"/>
  <c r="S9" i="4"/>
  <c r="T9" i="4"/>
  <c r="Q9" i="4"/>
  <c r="U9" i="4"/>
  <c r="W9" i="4"/>
  <c r="R9" i="4"/>
  <c r="V9" i="4"/>
  <c r="T31" i="4" l="1"/>
  <c r="X46" i="4"/>
  <c r="Q30" i="4"/>
  <c r="S30" i="4"/>
  <c r="W31" i="4"/>
  <c r="U51" i="4"/>
  <c r="Y40" i="4"/>
  <c r="U46" i="4"/>
  <c r="Z46" i="4" s="1"/>
  <c r="V46" i="4"/>
  <c r="Q48" i="4"/>
  <c r="W30" i="4"/>
  <c r="X51" i="4"/>
  <c r="S46" i="4"/>
  <c r="U48" i="4"/>
  <c r="W48" i="4"/>
  <c r="U30" i="4"/>
  <c r="U31" i="4"/>
  <c r="Q34" i="4"/>
  <c r="W51" i="4"/>
  <c r="X40" i="4"/>
  <c r="Y46" i="4"/>
  <c r="S48" i="4"/>
  <c r="X34" i="4"/>
  <c r="S34" i="4"/>
  <c r="V40" i="4"/>
  <c r="U40" i="4"/>
  <c r="F55" i="4"/>
  <c r="T34" i="4"/>
  <c r="V34" i="4"/>
  <c r="W36" i="4"/>
  <c r="W41" i="4"/>
  <c r="S40" i="4"/>
  <c r="W40" i="4"/>
  <c r="U34" i="4"/>
  <c r="Y34" i="4"/>
  <c r="W49" i="4"/>
  <c r="Q42" i="4"/>
  <c r="X45" i="4"/>
  <c r="T40" i="4"/>
  <c r="Q43" i="4"/>
  <c r="Q41" i="4"/>
  <c r="X41" i="4"/>
  <c r="W37" i="4"/>
  <c r="T43" i="4"/>
  <c r="X43" i="4"/>
  <c r="W43" i="4"/>
  <c r="U36" i="4"/>
  <c r="S36" i="4"/>
  <c r="V41" i="4"/>
  <c r="T41" i="4"/>
  <c r="X37" i="4"/>
  <c r="R43" i="4"/>
  <c r="R41" i="4"/>
  <c r="R37" i="4"/>
  <c r="S43" i="4"/>
  <c r="U49" i="4"/>
  <c r="V36" i="4"/>
  <c r="S41" i="4"/>
  <c r="T45" i="4"/>
  <c r="V49" i="4"/>
  <c r="X49" i="4"/>
  <c r="V42" i="4"/>
  <c r="X42" i="4"/>
  <c r="Q45" i="4"/>
  <c r="Y30" i="4"/>
  <c r="X30" i="4"/>
  <c r="Y31" i="4"/>
  <c r="Q31" i="4"/>
  <c r="S31" i="4"/>
  <c r="Y49" i="4"/>
  <c r="R49" i="4"/>
  <c r="V51" i="4"/>
  <c r="S51" i="4"/>
  <c r="Y51" i="4"/>
  <c r="R42" i="4"/>
  <c r="S42" i="4"/>
  <c r="Y42" i="4"/>
  <c r="R45" i="4"/>
  <c r="U45" i="4"/>
  <c r="Y48" i="4"/>
  <c r="T48" i="4"/>
  <c r="F54" i="4"/>
  <c r="R54" i="4" s="1"/>
  <c r="T49" i="4"/>
  <c r="S45" i="4"/>
  <c r="V30" i="4"/>
  <c r="V31" i="4"/>
  <c r="Q49" i="4"/>
  <c r="R51" i="4"/>
  <c r="W42" i="4"/>
  <c r="V45" i="4"/>
  <c r="V48" i="4"/>
  <c r="Q33" i="4"/>
  <c r="U37" i="4"/>
  <c r="Q37" i="4"/>
  <c r="Y37" i="4"/>
  <c r="X33" i="4"/>
  <c r="S33" i="4"/>
  <c r="W33" i="4"/>
  <c r="S37" i="4"/>
  <c r="T33" i="4"/>
  <c r="V33" i="4"/>
  <c r="Y33" i="4"/>
  <c r="Q53" i="4"/>
  <c r="S53" i="4"/>
  <c r="Y53" i="4"/>
  <c r="V53" i="4"/>
  <c r="W53" i="4"/>
  <c r="R53" i="4"/>
  <c r="Z39" i="4"/>
  <c r="T53" i="4"/>
  <c r="Z52" i="4"/>
  <c r="Z7" i="4"/>
  <c r="Z35" i="4"/>
  <c r="Z9" i="4"/>
  <c r="Z6" i="4"/>
  <c r="Z50" i="4"/>
  <c r="Z44" i="4"/>
  <c r="Z32" i="4"/>
  <c r="Z38" i="4"/>
  <c r="Z47" i="4"/>
  <c r="Z8" i="4"/>
  <c r="U53" i="4"/>
  <c r="Z45" i="4"/>
  <c r="Z51" i="4" l="1"/>
  <c r="Z41" i="4"/>
  <c r="Z34" i="4"/>
  <c r="Z40" i="4"/>
  <c r="Z30" i="4"/>
  <c r="Z48" i="4"/>
  <c r="Z37" i="4"/>
  <c r="Z49" i="4"/>
  <c r="Z42" i="4"/>
  <c r="Z31" i="4"/>
  <c r="Z43" i="4"/>
  <c r="Z36" i="4"/>
  <c r="W55" i="4"/>
  <c r="C33" i="1" s="1"/>
  <c r="Z33" i="4"/>
  <c r="W54" i="4"/>
  <c r="X54" i="4"/>
  <c r="X55" i="4" s="1"/>
  <c r="C34" i="1" s="1"/>
  <c r="Q54" i="4"/>
  <c r="Q55" i="4" s="1"/>
  <c r="C27" i="1" s="1"/>
  <c r="S54" i="4"/>
  <c r="S55" i="4" s="1"/>
  <c r="C29" i="1" s="1"/>
  <c r="T54" i="4"/>
  <c r="T55" i="4" s="1"/>
  <c r="C30" i="1" s="1"/>
  <c r="Y54" i="4"/>
  <c r="Y55" i="4" s="1"/>
  <c r="Q58" i="4" s="1"/>
  <c r="D27" i="1" s="1"/>
  <c r="V54" i="4"/>
  <c r="V55" i="4" s="1"/>
  <c r="C32" i="1" s="1"/>
  <c r="B20" i="1"/>
  <c r="B22" i="1" s="1"/>
  <c r="U54" i="4"/>
  <c r="U55" i="4" s="1"/>
  <c r="C31" i="1" s="1"/>
  <c r="R55" i="4"/>
  <c r="C28" i="1" s="1"/>
  <c r="Z53" i="4"/>
  <c r="W58" i="4" l="1"/>
  <c r="W59" i="4" s="1"/>
  <c r="U58" i="4"/>
  <c r="U59" i="4" s="1"/>
  <c r="T58" i="4"/>
  <c r="D30" i="1" s="1"/>
  <c r="E30" i="1" s="1"/>
  <c r="R58" i="4"/>
  <c r="R59" i="4" s="1"/>
  <c r="R62" i="4" s="1"/>
  <c r="H28" i="1" s="1"/>
  <c r="X58" i="4"/>
  <c r="X59" i="4" s="1"/>
  <c r="X62" i="4" s="1"/>
  <c r="H34" i="1" s="1"/>
  <c r="I34" i="1" s="1"/>
  <c r="V58" i="4"/>
  <c r="V59" i="4" s="1"/>
  <c r="S58" i="4"/>
  <c r="S59" i="4" s="1"/>
  <c r="S62" i="4" s="1"/>
  <c r="H29" i="1" s="1"/>
  <c r="I29" i="1" s="1"/>
  <c r="C36" i="1"/>
  <c r="Z55" i="4"/>
  <c r="W56" i="4" s="1"/>
  <c r="B33" i="1" s="1"/>
  <c r="E27" i="1"/>
  <c r="Q59" i="4"/>
  <c r="D28" i="1" l="1"/>
  <c r="E28" i="1" s="1"/>
  <c r="U56" i="4"/>
  <c r="B31" i="1" s="1"/>
  <c r="T59" i="4"/>
  <c r="T62" i="4" s="1"/>
  <c r="H30" i="1" s="1"/>
  <c r="I30" i="1" s="1"/>
  <c r="Y56" i="4"/>
  <c r="B35" i="1" s="1"/>
  <c r="D31" i="1"/>
  <c r="E31" i="1" s="1"/>
  <c r="Q56" i="4"/>
  <c r="B27" i="1" s="1"/>
  <c r="D32" i="1"/>
  <c r="E32" i="1" s="1"/>
  <c r="X56" i="4"/>
  <c r="B34" i="1" s="1"/>
  <c r="D33" i="1"/>
  <c r="E33" i="1" s="1"/>
  <c r="T56" i="4"/>
  <c r="B30" i="1" s="1"/>
  <c r="V56" i="4"/>
  <c r="B32" i="1" s="1"/>
  <c r="D34" i="1"/>
  <c r="E34" i="1" s="1"/>
  <c r="Y58" i="4"/>
  <c r="D29" i="1"/>
  <c r="E29" i="1" s="1"/>
  <c r="R56" i="4"/>
  <c r="B28" i="1" s="1"/>
  <c r="S56" i="4"/>
  <c r="B29" i="1" s="1"/>
  <c r="I28" i="1"/>
  <c r="U62" i="4"/>
  <c r="H31" i="1" s="1"/>
  <c r="I31" i="1" s="1"/>
  <c r="V62" i="4"/>
  <c r="H32" i="1" s="1"/>
  <c r="I32" i="1" s="1"/>
  <c r="W62" i="4"/>
  <c r="H33" i="1" s="1"/>
  <c r="I33" i="1" s="1"/>
  <c r="Q62" i="4"/>
  <c r="Y59" i="4" l="1"/>
  <c r="T60" i="4" s="1"/>
  <c r="B36" i="1"/>
  <c r="E36" i="1"/>
  <c r="F30" i="1" s="1"/>
  <c r="Z56" i="4"/>
  <c r="D36" i="1"/>
  <c r="Y62" i="4"/>
  <c r="H36" i="1"/>
  <c r="I36" i="1"/>
  <c r="S60" i="4" l="1"/>
  <c r="U60" i="4"/>
  <c r="Q60" i="4"/>
  <c r="V60" i="4"/>
  <c r="W60" i="4"/>
  <c r="X60" i="4"/>
  <c r="R60" i="4"/>
  <c r="F31" i="1"/>
  <c r="F33" i="1"/>
  <c r="F29" i="1"/>
  <c r="F32" i="1"/>
  <c r="F27" i="1"/>
  <c r="F34" i="1"/>
  <c r="F28" i="1"/>
  <c r="Y60" i="4" l="1"/>
  <c r="F36" i="1"/>
</calcChain>
</file>

<file path=xl/sharedStrings.xml><?xml version="1.0" encoding="utf-8"?>
<sst xmlns="http://schemas.openxmlformats.org/spreadsheetml/2006/main" count="182" uniqueCount="137">
  <si>
    <t>Retail Load Total</t>
  </si>
  <si>
    <t>megawatt hours</t>
  </si>
  <si>
    <t>Total</t>
  </si>
  <si>
    <t xml:space="preserve"> </t>
  </si>
  <si>
    <t>Total Claims</t>
  </si>
  <si>
    <t>Total Power Resources</t>
  </si>
  <si>
    <t>Eligible Renew, RECs, BPA Block</t>
  </si>
  <si>
    <t>Resources Excepted from the Av Syst Mix Method</t>
  </si>
  <si>
    <t>Combined Total of Tabs B, C, D</t>
  </si>
  <si>
    <t>Combined Total of Tabs A, B, C, D</t>
  </si>
  <si>
    <t>Removing Excepted Resources from Av Syst Mix Calculation</t>
  </si>
  <si>
    <t>Adjusted Load (Load minus Exceptions)</t>
  </si>
  <si>
    <t>Adjusted Power (Power minus Exceptions)</t>
  </si>
  <si>
    <t>Load divided by Power</t>
  </si>
  <si>
    <t>Standard Power Purchases Claim Total (see Tab A)</t>
  </si>
  <si>
    <t>Figuring Claims</t>
  </si>
  <si>
    <t>Claims to Report (MWh)</t>
  </si>
  <si>
    <t>MWh (megawatt hours)</t>
  </si>
  <si>
    <t>Spot Market Purchase Total</t>
  </si>
  <si>
    <t>BPA Slice Total</t>
  </si>
  <si>
    <t>Block</t>
  </si>
  <si>
    <t>Renewable Energy Credits from Plants</t>
  </si>
  <si>
    <t>Fuel Mix Disclosure Workbook</t>
  </si>
  <si>
    <t>You must enter the figure into this box.</t>
  </si>
  <si>
    <t>The blue portions of this sheet will self-populate after Resource have been entered into Tabs A, B, C, D, where applicable.</t>
  </si>
  <si>
    <t>When all claims have been entered, this number should equal the Retail Load Total in Line 4.</t>
  </si>
  <si>
    <t>Tab B, C, D claims at full value.</t>
  </si>
  <si>
    <t>Tab A claims total multiplied by Average System Mix Ratio</t>
  </si>
  <si>
    <t>List by plant name. Use abbreviations or acronymns, etc. This is for your records only.</t>
  </si>
  <si>
    <t>Standard Power Purchases</t>
  </si>
  <si>
    <t>BPA Block Purchase</t>
  </si>
  <si>
    <t>Eligible Renewable Power</t>
  </si>
  <si>
    <t>Units (1 REC= 1 MWh)</t>
  </si>
  <si>
    <t>Standard Power Purchases: Plant Resources (owned or purchased)</t>
  </si>
  <si>
    <t>Total Standard Power Purchases</t>
  </si>
  <si>
    <t>Include Distributed Generation Wind and Solar sources here.</t>
  </si>
  <si>
    <t>Hydropower, Gas, Coal, Nuclear, Cogen, etc. Include Distributed Generation Hydro resources here. Use abbreviations or acronymns, etc. This is for your records only.</t>
  </si>
  <si>
    <t xml:space="preserve">BPA customers: </t>
  </si>
  <si>
    <t>Slice Customers: Enter your BPA purchase on Tab A.</t>
  </si>
  <si>
    <t>Only one utility in Washington is a BPA block customer as defined by BPA.</t>
  </si>
  <si>
    <t>Load Following/Full Requirements  (100% BPA served): your information is being supplied directly by BPA.</t>
  </si>
  <si>
    <t xml:space="preserve">This workbook is for your use only.  You do not need to submit it. </t>
  </si>
  <si>
    <t>Step 3: Review the figures that have self-populated on the Main tab.  The figure in Line 22 should match the figure in Line 4. If it does not, review your entries to see where there may be an error.</t>
  </si>
  <si>
    <t xml:space="preserve">It may be especially helpful to utilities that have used renewables to serve load or purchased RECs . </t>
  </si>
  <si>
    <t>(sales + losses)</t>
  </si>
  <si>
    <t>It is designed to help you determine the appropriate number of claims per resource which you then report using the online Fuel Mix Disclosure  form. The calculation methods used in this workbook are in alignment with those described in the Fuel Mix Disclosure Guidelines.</t>
  </si>
  <si>
    <t>Step 1: Enter  your retail load in the empty block on the red Main tab.  The blue fields will self-populate as you enter power resources into Tabs A, B, C and/or D.</t>
  </si>
  <si>
    <t>Step 2: Enter all power resources and RECs using the appropriate tabs (A, B, C and/or D).  See notes on each tab to decide where to enter resources.</t>
  </si>
  <si>
    <t>Questions? Workbook error? Contact Angela Burrell, 360-725-3125 or Angela.Burrell@commerce.wa.gov</t>
  </si>
  <si>
    <t>bpa purchases minus recs</t>
  </si>
  <si>
    <t>need to have a space to do this in the sheet so they know what to enter for bpa purchase</t>
  </si>
  <si>
    <t>instructions should say:Enter RECs after entering purchase total on main page</t>
  </si>
  <si>
    <t>BPA system claims after REC retirements are applied</t>
  </si>
  <si>
    <t>need to set this up for BPA full requirements customers.</t>
  </si>
  <si>
    <t>Colstrip 3 &amp; 4</t>
  </si>
  <si>
    <t>Trojan</t>
  </si>
  <si>
    <t>Centralia</t>
  </si>
  <si>
    <t>Jim Bridger U1</t>
  </si>
  <si>
    <t>Merwin</t>
  </si>
  <si>
    <t>Swift</t>
  </si>
  <si>
    <t>Yale</t>
  </si>
  <si>
    <t>Copco</t>
  </si>
  <si>
    <t>JCBoyle</t>
  </si>
  <si>
    <t>Iron Gate</t>
  </si>
  <si>
    <t>Soda Springs</t>
  </si>
  <si>
    <t>Slide Creek</t>
  </si>
  <si>
    <t>Fish Creek</t>
  </si>
  <si>
    <t xml:space="preserve">Clearwater </t>
  </si>
  <si>
    <t xml:space="preserve">Lemolo </t>
  </si>
  <si>
    <t>Toketee</t>
  </si>
  <si>
    <t>Prospect No 2</t>
  </si>
  <si>
    <t>Eagle Point</t>
  </si>
  <si>
    <t>Prospect No 1</t>
  </si>
  <si>
    <t>Prospect No 3</t>
  </si>
  <si>
    <t>Prospect No 4</t>
  </si>
  <si>
    <t>Bend</t>
  </si>
  <si>
    <t>Fall Creek</t>
  </si>
  <si>
    <t>Wallowa Falls</t>
  </si>
  <si>
    <t>BC Hydro</t>
  </si>
  <si>
    <t>Bonneville Power Administration</t>
  </si>
  <si>
    <t>PUD No. 1 of Chelan County</t>
  </si>
  <si>
    <t>Colockua Transmission Company</t>
  </si>
  <si>
    <t>Columbia Storage Power Exchange</t>
  </si>
  <si>
    <t>PUD No. 1 of Douglas County</t>
  </si>
  <si>
    <t>PUD No. 2 of Grant County</t>
  </si>
  <si>
    <t>Portland General Electric</t>
  </si>
  <si>
    <t>Puget Sound Power and Light</t>
  </si>
  <si>
    <t>Seattle City Light</t>
  </si>
  <si>
    <t>PUD No. 1 of Snohomish County</t>
  </si>
  <si>
    <t>Tacoma City Light</t>
  </si>
  <si>
    <t>Washington Water Power Company</t>
  </si>
  <si>
    <t>West Kootenay Power and Light</t>
  </si>
  <si>
    <t>Washington Public Power Supply System</t>
  </si>
  <si>
    <t>Yakima Tieton</t>
  </si>
  <si>
    <t>Hydro</t>
  </si>
  <si>
    <t>Coal</t>
  </si>
  <si>
    <t>Nuclear</t>
  </si>
  <si>
    <t>Cogen</t>
  </si>
  <si>
    <t>CCCT - Gas</t>
  </si>
  <si>
    <t>Simple-Cycle Gas</t>
  </si>
  <si>
    <t>Biomass</t>
  </si>
  <si>
    <t>Other</t>
  </si>
  <si>
    <t>Unknown/Market</t>
  </si>
  <si>
    <t>http://www2.cieedac.sfu.ca/media/publications/BC2012_report__10_data__Final_April_12,_201-3.pdf</t>
  </si>
  <si>
    <t>BPA</t>
  </si>
  <si>
    <t xml:space="preserve">Resource Allocation </t>
  </si>
  <si>
    <t>Resource Allocation (Load/Power)</t>
  </si>
  <si>
    <t>Fuel Mix</t>
  </si>
  <si>
    <t>Fuel Category</t>
  </si>
  <si>
    <t>Utility Mix</t>
  </si>
  <si>
    <t>Confid Level/Bucket</t>
  </si>
  <si>
    <t>Sales from Designated Unit (non-retail)</t>
  </si>
  <si>
    <t>Mix Assumptions</t>
  </si>
  <si>
    <t>Net NWPP/Market Mix</t>
  </si>
  <si>
    <t>REFERENCES</t>
  </si>
  <si>
    <t>Net NWPP/Market Mix Methodology (for power showing in the Unknown blue category above)</t>
  </si>
  <si>
    <t>Claims for Resources not in Ratio (see line 9)</t>
  </si>
  <si>
    <t>BPA Staff</t>
  </si>
  <si>
    <t>Commerce Imputed the 1990 NW Power Pool Net System Mix based on 1990 NW Power Pool Generation from the EIA and 2000 NW Power Pool Net System Mix from the NW Conservation Council</t>
  </si>
  <si>
    <t>Emissions Rates</t>
  </si>
  <si>
    <t>Using 2000 Emissions Rates per the Commerce Fuel Mix Disclosure Program based on EIA Annual Outloook Appendices Table A3</t>
  </si>
  <si>
    <t>Fuel Mix Percentage</t>
  </si>
  <si>
    <t>CO2 Emissons (short tons per MWh)</t>
  </si>
  <si>
    <t>Claims and Mix</t>
  </si>
  <si>
    <t>Carbon Emissions</t>
  </si>
  <si>
    <t>Specified Claims MWh</t>
  </si>
  <si>
    <t>Unspecified Claims MWh</t>
  </si>
  <si>
    <t>Total Claims MWh</t>
  </si>
  <si>
    <t>CO2 Emissions Factor (short tons/MWh)</t>
  </si>
  <si>
    <t>Emissions (short tons)</t>
  </si>
  <si>
    <t>Emissions (metric tons)</t>
  </si>
  <si>
    <t>Unspecified/Market</t>
  </si>
  <si>
    <t>Emissions Rates (short tons/per MWh)</t>
  </si>
  <si>
    <t>Unspecified plus Specified</t>
  </si>
  <si>
    <t>Assignment of Unspecified Power to Fuel Categories of the NW NWPP</t>
  </si>
  <si>
    <t>1990 Fuel Mix Disclosure Workbook</t>
  </si>
  <si>
    <t>Claims by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</si>
</sst>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sz val="10"/>
      <color rgb="FF0070C0"/>
      <name val="Calibri"/>
      <family val="2"/>
      <scheme val="minor"/>
    </font>
    <font>
      <sz val="11"/>
      <color rgb="FFC00000"/>
      <name val="Tw Cen MT Condensed Extra Bold"/>
      <family val="2"/>
    </font>
    <font>
      <sz val="11"/>
      <color theme="9" tint="-0.249977111117893"/>
      <name val="Tw Cen MT Condensed Extra Bold"/>
      <family val="2"/>
    </font>
    <font>
      <b/>
      <sz val="11"/>
      <color theme="0"/>
      <name val="Calibri"/>
      <family val="2"/>
      <scheme val="minor"/>
    </font>
    <font>
      <sz val="12"/>
      <color theme="0"/>
      <name val="Calibri"/>
      <family val="2"/>
      <scheme val="minor"/>
    </font>
    <font>
      <b/>
      <sz val="12"/>
      <color theme="0"/>
      <name val="Calibri"/>
      <family val="2"/>
      <scheme val="minor"/>
    </font>
    <font>
      <sz val="11"/>
      <color rgb="FF000000"/>
      <name val="Calibri"/>
      <family val="2"/>
      <scheme val="minor"/>
    </font>
    <font>
      <sz val="11"/>
      <color rgb="FF0070C0"/>
      <name val="Calibri"/>
      <family val="2"/>
      <scheme val="minor"/>
    </font>
    <font>
      <sz val="9"/>
      <color theme="1"/>
      <name val="Calibri"/>
      <family val="2"/>
      <scheme val="minor"/>
    </font>
    <font>
      <sz val="8"/>
      <color theme="1"/>
      <name val="Calibri"/>
      <family val="2"/>
      <scheme val="minor"/>
    </font>
    <font>
      <sz val="8"/>
      <color theme="0"/>
      <name val="Calibri"/>
      <family val="2"/>
      <scheme val="minor"/>
    </font>
    <font>
      <b/>
      <sz val="8"/>
      <color theme="1"/>
      <name val="Calibri"/>
      <family val="2"/>
      <scheme val="minor"/>
    </font>
    <font>
      <b/>
      <sz val="8"/>
      <color theme="0"/>
      <name val="Calibri"/>
      <family val="2"/>
      <scheme val="minor"/>
    </font>
    <font>
      <b/>
      <sz val="8"/>
      <color theme="9" tint="-0.249977111117893"/>
      <name val="Tw Cen MT Condensed"/>
      <family val="2"/>
    </font>
    <font>
      <sz val="8"/>
      <color rgb="FFFF0000"/>
      <name val="Calibri"/>
      <family val="2"/>
      <scheme val="minor"/>
    </font>
    <font>
      <sz val="10"/>
      <name val="Arial"/>
      <family val="2"/>
    </font>
    <font>
      <sz val="11"/>
      <color rgb="FFFF0000"/>
      <name val="Calibri"/>
      <family val="2"/>
      <scheme val="minor"/>
    </font>
    <font>
      <sz val="11"/>
      <name val="Calibri"/>
      <family val="2"/>
      <scheme val="minor"/>
    </font>
    <font>
      <b/>
      <sz val="9"/>
      <color theme="9" tint="-0.249977111117893"/>
      <name val="Tw Cen MT Condensed"/>
      <family val="2"/>
    </font>
    <font>
      <b/>
      <sz val="10"/>
      <color theme="0"/>
      <name val="Calibri"/>
      <family val="2"/>
      <scheme val="minor"/>
    </font>
    <font>
      <sz val="10"/>
      <name val="Arial"/>
      <family val="2"/>
    </font>
    <font>
      <sz val="11"/>
      <color theme="0"/>
      <name val="Calibri"/>
      <family val="2"/>
      <scheme val="minor"/>
    </font>
    <font>
      <b/>
      <sz val="10"/>
      <color theme="1"/>
      <name val="Calibri"/>
      <family val="2"/>
      <scheme val="minor"/>
    </font>
    <font>
      <sz val="8"/>
      <name val="Calibri"/>
      <family val="2"/>
      <scheme val="minor"/>
    </font>
    <font>
      <sz val="9"/>
      <name val="Calibri"/>
      <family val="2"/>
      <scheme val="minor"/>
    </font>
    <font>
      <sz val="11"/>
      <color theme="0" tint="-0.49998474074526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5" tint="-0.249977111117893"/>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diagonal/>
    </border>
    <border>
      <left/>
      <right/>
      <top style="thin">
        <color indexed="64"/>
      </top>
      <bottom/>
      <diagonal/>
    </border>
    <border>
      <left style="thin">
        <color auto="1"/>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theme="1"/>
      </top>
      <bottom style="thin">
        <color theme="1"/>
      </bottom>
      <diagonal/>
    </border>
    <border>
      <left style="hair">
        <color auto="1"/>
      </left>
      <right style="hair">
        <color auto="1"/>
      </right>
      <top style="hair">
        <color auto="1"/>
      </top>
      <bottom style="hair">
        <color auto="1"/>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43" fontId="20" fillId="0" borderId="0" applyFont="0" applyFill="0" applyBorder="0" applyAlignment="0" applyProtection="0"/>
    <xf numFmtId="0" fontId="25" fillId="0" borderId="0"/>
    <xf numFmtId="43" fontId="25"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3" fontId="20" fillId="0" borderId="0" applyFont="0" applyFill="0" applyBorder="0" applyAlignment="0" applyProtection="0"/>
  </cellStyleXfs>
  <cellXfs count="175">
    <xf numFmtId="0" fontId="0" fillId="0" borderId="0" xfId="0"/>
    <xf numFmtId="0" fontId="7" fillId="0" borderId="0" xfId="0" applyFont="1" applyProtection="1">
      <protection locked="0"/>
    </xf>
    <xf numFmtId="0" fontId="0" fillId="0" borderId="0" xfId="0" applyProtection="1">
      <protection locked="0"/>
    </xf>
    <xf numFmtId="164" fontId="0" fillId="0" borderId="1" xfId="1" applyNumberFormat="1" applyFont="1" applyBorder="1" applyProtection="1">
      <protection locked="0"/>
    </xf>
    <xf numFmtId="43" fontId="0" fillId="0" borderId="0" xfId="0" applyNumberFormat="1" applyProtection="1">
      <protection locked="0"/>
    </xf>
    <xf numFmtId="164" fontId="0" fillId="3" borderId="0" xfId="1" applyNumberFormat="1" applyFont="1" applyFill="1" applyBorder="1" applyProtection="1"/>
    <xf numFmtId="164" fontId="0" fillId="0" borderId="0" xfId="1" applyNumberFormat="1" applyFont="1" applyFill="1" applyBorder="1" applyProtection="1"/>
    <xf numFmtId="164" fontId="0" fillId="0" borderId="0" xfId="1" applyNumberFormat="1" applyFont="1" applyFill="1" applyProtection="1"/>
    <xf numFmtId="164" fontId="4" fillId="0" borderId="0" xfId="1" applyNumberFormat="1" applyFont="1" applyFill="1" applyBorder="1" applyAlignment="1" applyProtection="1">
      <alignment horizontal="center"/>
    </xf>
    <xf numFmtId="43" fontId="0" fillId="3" borderId="0" xfId="1" applyNumberFormat="1" applyFont="1" applyFill="1" applyBorder="1" applyProtection="1"/>
    <xf numFmtId="164" fontId="0" fillId="3" borderId="2" xfId="1" applyNumberFormat="1" applyFont="1" applyFill="1" applyBorder="1" applyProtection="1"/>
    <xf numFmtId="0" fontId="3" fillId="0" borderId="0" xfId="0" applyFont="1" applyProtection="1">
      <protection locked="0"/>
    </xf>
    <xf numFmtId="0" fontId="3" fillId="3" borderId="0" xfId="0" applyFont="1" applyFill="1" applyProtection="1"/>
    <xf numFmtId="0" fontId="7" fillId="0" borderId="0" xfId="0" applyFont="1" applyFill="1" applyProtection="1">
      <protection locked="0"/>
    </xf>
    <xf numFmtId="43" fontId="3" fillId="0" borderId="7" xfId="1" applyFont="1" applyBorder="1" applyProtection="1">
      <protection locked="0"/>
    </xf>
    <xf numFmtId="43" fontId="3" fillId="3" borderId="7" xfId="1" applyFont="1" applyFill="1" applyBorder="1" applyProtection="1"/>
    <xf numFmtId="0" fontId="3" fillId="0" borderId="8" xfId="0" applyFont="1" applyBorder="1" applyProtection="1">
      <protection locked="0"/>
    </xf>
    <xf numFmtId="0" fontId="3" fillId="3" borderId="8" xfId="0" applyFont="1" applyFill="1" applyBorder="1" applyProtection="1"/>
    <xf numFmtId="0" fontId="3" fillId="3" borderId="10" xfId="0" applyFont="1" applyFill="1" applyBorder="1" applyProtection="1"/>
    <xf numFmtId="0" fontId="3" fillId="2" borderId="3" xfId="0" applyFont="1" applyFill="1" applyBorder="1" applyProtection="1">
      <protection locked="0"/>
    </xf>
    <xf numFmtId="0" fontId="3" fillId="3" borderId="4" xfId="0" applyFont="1" applyFill="1" applyBorder="1" applyProtection="1"/>
    <xf numFmtId="0" fontId="3" fillId="0" borderId="5" xfId="0" applyFont="1" applyBorder="1" applyAlignment="1" applyProtection="1">
      <alignment horizontal="center"/>
      <protection locked="0"/>
    </xf>
    <xf numFmtId="0" fontId="11" fillId="0" borderId="0" xfId="0" applyFont="1" applyProtection="1">
      <protection locked="0"/>
    </xf>
    <xf numFmtId="0" fontId="3" fillId="2" borderId="9" xfId="0" applyFont="1" applyFill="1" applyBorder="1" applyProtection="1"/>
    <xf numFmtId="0" fontId="9" fillId="5" borderId="0" xfId="0" applyFont="1" applyFill="1" applyProtection="1"/>
    <xf numFmtId="0" fontId="3" fillId="0" borderId="0" xfId="0" applyFont="1" applyProtection="1"/>
    <xf numFmtId="0" fontId="9" fillId="5" borderId="1" xfId="0" applyFont="1" applyFill="1" applyBorder="1" applyProtection="1"/>
    <xf numFmtId="0" fontId="3" fillId="0" borderId="1" xfId="0" applyFont="1" applyBorder="1" applyAlignment="1" applyProtection="1">
      <alignment horizontal="center"/>
    </xf>
    <xf numFmtId="0" fontId="3" fillId="0" borderId="7" xfId="0" applyFont="1" applyBorder="1" applyAlignment="1" applyProtection="1">
      <alignment horizontal="center"/>
    </xf>
    <xf numFmtId="0" fontId="0" fillId="0" borderId="0" xfId="0" applyProtection="1"/>
    <xf numFmtId="0" fontId="10" fillId="5" borderId="0" xfId="0" applyFont="1" applyFill="1" applyProtection="1"/>
    <xf numFmtId="0" fontId="2" fillId="0" borderId="0" xfId="0" applyFont="1" applyFill="1" applyProtection="1"/>
    <xf numFmtId="0" fontId="0" fillId="0" borderId="0" xfId="0" applyFill="1" applyProtection="1"/>
    <xf numFmtId="0" fontId="0" fillId="0" borderId="0" xfId="0" applyFill="1" applyBorder="1" applyAlignment="1" applyProtection="1">
      <alignment horizontal="left" indent="1"/>
    </xf>
    <xf numFmtId="0" fontId="2" fillId="0" borderId="0" xfId="0" applyFont="1" applyFill="1" applyBorder="1" applyProtection="1"/>
    <xf numFmtId="0" fontId="0" fillId="0" borderId="0" xfId="0" applyFont="1" applyFill="1" applyBorder="1" applyAlignment="1" applyProtection="1">
      <alignment horizontal="left" indent="1"/>
    </xf>
    <xf numFmtId="0" fontId="0" fillId="0" borderId="0" xfId="0" applyFill="1" applyBorder="1" applyProtection="1"/>
    <xf numFmtId="0" fontId="0" fillId="0" borderId="0" xfId="0" applyFont="1" applyFill="1" applyAlignment="1" applyProtection="1">
      <alignment horizontal="left" indent="1"/>
    </xf>
    <xf numFmtId="0" fontId="0" fillId="0" borderId="0" xfId="0" applyFill="1" applyAlignment="1" applyProtection="1">
      <alignment horizontal="left" indent="2"/>
    </xf>
    <xf numFmtId="0" fontId="0" fillId="0" borderId="0" xfId="0" applyFont="1" applyFill="1" applyAlignment="1" applyProtection="1">
      <alignment horizontal="left" indent="2"/>
    </xf>
    <xf numFmtId="0" fontId="2" fillId="0" borderId="2" xfId="0" applyFont="1" applyFill="1" applyBorder="1" applyAlignment="1" applyProtection="1">
      <alignment horizontal="left" indent="2"/>
    </xf>
    <xf numFmtId="164" fontId="0" fillId="0" borderId="0" xfId="1" applyNumberFormat="1" applyFont="1" applyBorder="1" applyProtection="1"/>
    <xf numFmtId="164" fontId="0" fillId="0" borderId="0" xfId="1" applyNumberFormat="1" applyFont="1" applyProtection="1"/>
    <xf numFmtId="0" fontId="7" fillId="0" borderId="0" xfId="0" applyFont="1" applyProtection="1"/>
    <xf numFmtId="0" fontId="5" fillId="0" borderId="0" xfId="0" applyFont="1" applyProtection="1"/>
    <xf numFmtId="0" fontId="6" fillId="0" borderId="0" xfId="0" applyFont="1" applyProtection="1"/>
    <xf numFmtId="0" fontId="8" fillId="5" borderId="0" xfId="0" applyFont="1" applyFill="1" applyProtection="1"/>
    <xf numFmtId="0" fontId="2" fillId="0" borderId="0" xfId="0" applyFont="1" applyProtection="1"/>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horizontal="left" wrapText="1" indent="1"/>
    </xf>
    <xf numFmtId="0" fontId="12" fillId="0" borderId="0" xfId="0" applyFont="1" applyAlignment="1" applyProtection="1">
      <alignment horizontal="left" indent="1"/>
    </xf>
    <xf numFmtId="0" fontId="0" fillId="0" borderId="0" xfId="0" applyAlignment="1" applyProtection="1">
      <alignment horizontal="center"/>
    </xf>
    <xf numFmtId="43" fontId="7" fillId="0" borderId="0" xfId="0" applyNumberFormat="1" applyFont="1" applyFill="1" applyProtection="1">
      <protection locked="0"/>
    </xf>
    <xf numFmtId="0" fontId="13" fillId="0" borderId="0" xfId="0" applyFont="1" applyAlignment="1" applyProtection="1">
      <alignment horizontal="left"/>
      <protection locked="0"/>
    </xf>
    <xf numFmtId="164" fontId="13" fillId="0" borderId="0" xfId="1" applyNumberFormat="1" applyFont="1" applyAlignment="1" applyProtection="1">
      <alignment vertical="center"/>
      <protection locked="0"/>
    </xf>
    <xf numFmtId="164" fontId="14" fillId="0" borderId="0" xfId="1" applyNumberFormat="1" applyFont="1"/>
    <xf numFmtId="0" fontId="15" fillId="5" borderId="0" xfId="0" applyFont="1" applyFill="1" applyProtection="1"/>
    <xf numFmtId="0" fontId="14" fillId="0" borderId="0" xfId="0" applyFont="1" applyProtection="1">
      <protection locked="0"/>
    </xf>
    <xf numFmtId="0" fontId="14" fillId="0" borderId="0" xfId="0" applyFont="1" applyProtection="1"/>
    <xf numFmtId="0" fontId="16" fillId="6" borderId="0" xfId="0" applyFont="1" applyFill="1" applyAlignment="1" applyProtection="1">
      <alignment horizontal="left"/>
      <protection locked="0"/>
    </xf>
    <xf numFmtId="0" fontId="16" fillId="8" borderId="12" xfId="0" applyFont="1" applyFill="1" applyBorder="1" applyAlignment="1">
      <alignment horizontal="left"/>
    </xf>
    <xf numFmtId="9" fontId="16" fillId="8" borderId="0" xfId="2" applyFont="1" applyFill="1"/>
    <xf numFmtId="9" fontId="14" fillId="0" borderId="0" xfId="2" applyFont="1"/>
    <xf numFmtId="3" fontId="14" fillId="3" borderId="8" xfId="1" applyNumberFormat="1" applyFont="1" applyFill="1" applyBorder="1" applyProtection="1"/>
    <xf numFmtId="0" fontId="14" fillId="4" borderId="0" xfId="0" applyFont="1" applyFill="1" applyProtection="1">
      <protection locked="0"/>
    </xf>
    <xf numFmtId="0" fontId="15" fillId="4" borderId="0" xfId="0" applyFont="1" applyFill="1" applyProtection="1">
      <protection locked="0"/>
    </xf>
    <xf numFmtId="0" fontId="14" fillId="0" borderId="11" xfId="0" applyFont="1" applyBorder="1" applyProtection="1"/>
    <xf numFmtId="4" fontId="14" fillId="0" borderId="0" xfId="0" applyNumberFormat="1" applyFont="1" applyBorder="1" applyProtection="1"/>
    <xf numFmtId="0" fontId="14" fillId="0" borderId="8" xfId="0" applyFont="1" applyBorder="1" applyProtection="1"/>
    <xf numFmtId="0" fontId="14" fillId="0" borderId="0" xfId="0" applyFont="1" applyAlignment="1">
      <alignment horizontal="left"/>
    </xf>
    <xf numFmtId="164" fontId="14" fillId="0" borderId="0" xfId="1" applyNumberFormat="1" applyFont="1" applyAlignment="1">
      <alignment vertical="center"/>
    </xf>
    <xf numFmtId="4" fontId="14" fillId="3" borderId="0" xfId="0" applyNumberFormat="1" applyFont="1" applyFill="1" applyBorder="1" applyProtection="1"/>
    <xf numFmtId="4" fontId="14" fillId="3" borderId="0" xfId="1" applyNumberFormat="1" applyFont="1" applyFill="1" applyBorder="1" applyProtection="1"/>
    <xf numFmtId="9" fontId="14" fillId="0" borderId="0" xfId="0" applyNumberFormat="1" applyFont="1" applyProtection="1">
      <protection locked="0"/>
    </xf>
    <xf numFmtId="164" fontId="14" fillId="0" borderId="0" xfId="1" applyNumberFormat="1" applyFont="1" applyProtection="1">
      <protection locked="0"/>
    </xf>
    <xf numFmtId="164" fontId="14" fillId="0" borderId="0" xfId="0" applyNumberFormat="1" applyFont="1" applyProtection="1">
      <protection locked="0"/>
    </xf>
    <xf numFmtId="0" fontId="14" fillId="0" borderId="9" xfId="0" applyFont="1" applyBorder="1" applyProtection="1"/>
    <xf numFmtId="0" fontId="14" fillId="0" borderId="10" xfId="0" applyFont="1" applyBorder="1" applyProtection="1"/>
    <xf numFmtId="0" fontId="16" fillId="3" borderId="0" xfId="0" applyFont="1" applyFill="1" applyBorder="1" applyProtection="1"/>
    <xf numFmtId="43" fontId="14" fillId="3" borderId="8" xfId="1" applyFont="1" applyFill="1" applyBorder="1" applyProtection="1"/>
    <xf numFmtId="0" fontId="14" fillId="0" borderId="3" xfId="0" applyNumberFormat="1" applyFont="1" applyBorder="1" applyAlignment="1" applyProtection="1">
      <alignment horizontal="center"/>
    </xf>
    <xf numFmtId="0" fontId="18" fillId="2" borderId="7" xfId="0" applyNumberFormat="1" applyFont="1" applyFill="1" applyBorder="1" applyAlignment="1" applyProtection="1">
      <alignment horizontal="center"/>
    </xf>
    <xf numFmtId="0" fontId="14" fillId="0" borderId="7" xfId="0" applyNumberFormat="1" applyFont="1" applyBorder="1" applyAlignment="1">
      <alignment horizontal="center"/>
    </xf>
    <xf numFmtId="0" fontId="13" fillId="0" borderId="7" xfId="1" applyNumberFormat="1" applyFont="1" applyBorder="1" applyAlignment="1">
      <alignment horizontal="center"/>
    </xf>
    <xf numFmtId="0" fontId="16" fillId="3" borderId="7" xfId="0" applyNumberFormat="1" applyFont="1" applyFill="1" applyBorder="1" applyAlignment="1" applyProtection="1">
      <alignment horizontal="center"/>
    </xf>
    <xf numFmtId="0" fontId="14" fillId="0" borderId="7" xfId="0" applyNumberFormat="1" applyFont="1" applyBorder="1" applyAlignment="1" applyProtection="1">
      <alignment horizontal="center"/>
      <protection locked="0"/>
    </xf>
    <xf numFmtId="9" fontId="14" fillId="0" borderId="1" xfId="2" applyFont="1" applyBorder="1" applyAlignment="1" applyProtection="1">
      <alignment horizontal="center"/>
      <protection locked="0"/>
    </xf>
    <xf numFmtId="9" fontId="14" fillId="0" borderId="1" xfId="0" applyNumberFormat="1" applyFont="1" applyBorder="1" applyAlignment="1" applyProtection="1">
      <alignment horizontal="center"/>
      <protection locked="0"/>
    </xf>
    <xf numFmtId="37" fontId="14" fillId="0" borderId="0" xfId="1" applyNumberFormat="1" applyFont="1" applyBorder="1" applyProtection="1">
      <protection locked="0"/>
    </xf>
    <xf numFmtId="0" fontId="14" fillId="0" borderId="0" xfId="0" applyFont="1" applyBorder="1" applyProtection="1"/>
    <xf numFmtId="43" fontId="14" fillId="3" borderId="0" xfId="1" applyFont="1" applyFill="1" applyBorder="1" applyProtection="1"/>
    <xf numFmtId="164" fontId="22" fillId="0" borderId="0" xfId="1" applyNumberFormat="1" applyFont="1"/>
    <xf numFmtId="0" fontId="17" fillId="9" borderId="7" xfId="0" applyNumberFormat="1" applyFont="1" applyFill="1" applyBorder="1" applyAlignment="1" applyProtection="1">
      <alignment horizontal="center"/>
    </xf>
    <xf numFmtId="9" fontId="14" fillId="0" borderId="0" xfId="2" applyFont="1" applyProtection="1">
      <protection locked="0"/>
    </xf>
    <xf numFmtId="9" fontId="14" fillId="4" borderId="0" xfId="2" applyFont="1" applyFill="1" applyProtection="1">
      <protection locked="0"/>
    </xf>
    <xf numFmtId="0" fontId="14" fillId="0" borderId="0" xfId="0" applyFont="1" applyAlignment="1" applyProtection="1">
      <alignment horizontal="center" wrapText="1"/>
    </xf>
    <xf numFmtId="164" fontId="15" fillId="0" borderId="0" xfId="1" applyNumberFormat="1" applyFont="1" applyFill="1" applyBorder="1" applyProtection="1"/>
    <xf numFmtId="4" fontId="15" fillId="0" borderId="0" xfId="1" applyNumberFormat="1" applyFont="1" applyFill="1" applyBorder="1" applyProtection="1"/>
    <xf numFmtId="3" fontId="15" fillId="0" borderId="8" xfId="1" applyNumberFormat="1" applyFont="1" applyFill="1" applyBorder="1" applyProtection="1"/>
    <xf numFmtId="0" fontId="14" fillId="0" borderId="7" xfId="0" applyNumberFormat="1" applyFont="1" applyBorder="1" applyAlignment="1" applyProtection="1">
      <alignment horizontal="center"/>
    </xf>
    <xf numFmtId="37" fontId="14" fillId="0" borderId="6" xfId="1" applyNumberFormat="1" applyFont="1" applyBorder="1" applyProtection="1">
      <protection locked="0"/>
    </xf>
    <xf numFmtId="0" fontId="23" fillId="2" borderId="0" xfId="0" applyFont="1" applyFill="1" applyProtection="1"/>
    <xf numFmtId="0" fontId="24" fillId="9" borderId="0" xfId="0" applyFont="1" applyFill="1" applyProtection="1"/>
    <xf numFmtId="164" fontId="15" fillId="9" borderId="5" xfId="1" applyNumberFormat="1" applyFont="1" applyFill="1" applyBorder="1" applyProtection="1"/>
    <xf numFmtId="0" fontId="13" fillId="0" borderId="0" xfId="0" applyFont="1" applyProtection="1">
      <protection locked="0"/>
    </xf>
    <xf numFmtId="0" fontId="0" fillId="0" borderId="0" xfId="0" applyFont="1" applyProtection="1">
      <protection locked="0"/>
    </xf>
    <xf numFmtId="0" fontId="0" fillId="0" borderId="13" xfId="0" applyFont="1" applyFill="1" applyBorder="1" applyAlignment="1">
      <alignment horizontal="center"/>
    </xf>
    <xf numFmtId="0" fontId="0" fillId="0" borderId="13" xfId="0" applyFont="1" applyFill="1" applyBorder="1" applyProtection="1">
      <protection locked="0"/>
    </xf>
    <xf numFmtId="9" fontId="0" fillId="0" borderId="13" xfId="0" applyNumberFormat="1" applyFont="1" applyFill="1" applyBorder="1" applyAlignment="1" applyProtection="1">
      <alignment horizontal="center"/>
      <protection locked="0"/>
    </xf>
    <xf numFmtId="164" fontId="0" fillId="0" borderId="13" xfId="1" applyNumberFormat="1" applyFont="1" applyFill="1" applyBorder="1" applyAlignment="1" applyProtection="1">
      <alignment horizontal="center"/>
      <protection locked="0"/>
    </xf>
    <xf numFmtId="164" fontId="19" fillId="0" borderId="0" xfId="1" applyNumberFormat="1" applyFont="1"/>
    <xf numFmtId="0" fontId="19" fillId="0" borderId="0" xfId="0" applyFont="1" applyProtection="1">
      <protection locked="0"/>
    </xf>
    <xf numFmtId="0" fontId="21" fillId="0" borderId="0" xfId="0" applyFont="1" applyProtection="1">
      <protection locked="0"/>
    </xf>
    <xf numFmtId="0" fontId="0" fillId="0" borderId="0" xfId="0"/>
    <xf numFmtId="0" fontId="19" fillId="0" borderId="0" xfId="0" applyFont="1" applyProtection="1">
      <protection locked="0"/>
    </xf>
    <xf numFmtId="0" fontId="14" fillId="0" borderId="0" xfId="0" applyFont="1" applyProtection="1">
      <protection locked="0"/>
    </xf>
    <xf numFmtId="0" fontId="16" fillId="0" borderId="0" xfId="0" applyFont="1" applyProtection="1">
      <protection locked="0"/>
    </xf>
    <xf numFmtId="0" fontId="16" fillId="0" borderId="9" xfId="0" applyFont="1" applyBorder="1" applyProtection="1">
      <protection locked="0"/>
    </xf>
    <xf numFmtId="0" fontId="14" fillId="0" borderId="5" xfId="0" applyFont="1" applyBorder="1" applyProtection="1">
      <protection locked="0"/>
    </xf>
    <xf numFmtId="0" fontId="14" fillId="0" borderId="0" xfId="0" applyFont="1"/>
    <xf numFmtId="0" fontId="14" fillId="0" borderId="6" xfId="0" applyFont="1" applyBorder="1"/>
    <xf numFmtId="0" fontId="14" fillId="0" borderId="6" xfId="0" applyFont="1" applyBorder="1" applyAlignment="1">
      <alignment horizontal="center"/>
    </xf>
    <xf numFmtId="0" fontId="14" fillId="0" borderId="0" xfId="0" applyFont="1" applyBorder="1"/>
    <xf numFmtId="165" fontId="14" fillId="0" borderId="0" xfId="0" applyNumberFormat="1" applyFont="1" applyBorder="1" applyProtection="1">
      <protection locked="0"/>
    </xf>
    <xf numFmtId="165" fontId="14" fillId="0" borderId="0" xfId="0" applyNumberFormat="1" applyFont="1" applyBorder="1"/>
    <xf numFmtId="165" fontId="14" fillId="0" borderId="0" xfId="0" applyNumberFormat="1" applyFont="1" applyBorder="1" applyAlignment="1">
      <alignment horizontal="center"/>
    </xf>
    <xf numFmtId="165" fontId="14" fillId="0" borderId="0" xfId="2" applyNumberFormat="1" applyFont="1" applyBorder="1" applyProtection="1">
      <protection locked="0"/>
    </xf>
    <xf numFmtId="165" fontId="14" fillId="0" borderId="0" xfId="2" applyNumberFormat="1" applyFont="1" applyBorder="1"/>
    <xf numFmtId="0" fontId="14" fillId="0" borderId="10" xfId="0" applyFont="1" applyBorder="1" applyProtection="1">
      <protection locked="0"/>
    </xf>
    <xf numFmtId="0" fontId="14" fillId="0" borderId="11" xfId="0" applyFont="1" applyBorder="1"/>
    <xf numFmtId="165" fontId="14" fillId="0" borderId="11" xfId="2" applyNumberFormat="1" applyFont="1" applyBorder="1" applyProtection="1">
      <protection locked="0"/>
    </xf>
    <xf numFmtId="165" fontId="14" fillId="0" borderId="11" xfId="2" applyNumberFormat="1" applyFont="1" applyBorder="1"/>
    <xf numFmtId="165" fontId="14" fillId="0" borderId="11" xfId="0" applyNumberFormat="1" applyFont="1" applyBorder="1" applyAlignment="1">
      <alignment horizontal="center"/>
    </xf>
    <xf numFmtId="0" fontId="14" fillId="0" borderId="0" xfId="0" applyNumberFormat="1" applyFont="1" applyBorder="1" applyAlignment="1" applyProtection="1">
      <alignment horizontal="center"/>
      <protection locked="0"/>
    </xf>
    <xf numFmtId="0" fontId="14" fillId="0" borderId="0" xfId="0" applyFont="1" applyBorder="1" applyProtection="1">
      <protection locked="0"/>
    </xf>
    <xf numFmtId="10" fontId="14" fillId="0" borderId="0" xfId="0" applyNumberFormat="1" applyFont="1" applyProtection="1">
      <protection locked="0"/>
    </xf>
    <xf numFmtId="0" fontId="28" fillId="0" borderId="0" xfId="0" applyFont="1" applyProtection="1">
      <protection locked="0"/>
    </xf>
    <xf numFmtId="0" fontId="16" fillId="7" borderId="1" xfId="0" applyFont="1" applyFill="1" applyBorder="1" applyAlignment="1">
      <alignment horizontal="center"/>
    </xf>
    <xf numFmtId="3" fontId="16" fillId="7" borderId="1" xfId="0" applyNumberFormat="1" applyFont="1" applyFill="1" applyBorder="1" applyAlignment="1" applyProtection="1">
      <alignment horizontal="center"/>
      <protection locked="0"/>
    </xf>
    <xf numFmtId="164" fontId="14" fillId="0" borderId="1" xfId="1" applyNumberFormat="1" applyFont="1" applyBorder="1" applyProtection="1">
      <protection locked="0"/>
    </xf>
    <xf numFmtId="43" fontId="14" fillId="0" borderId="1" xfId="0" applyNumberFormat="1" applyFont="1" applyBorder="1" applyProtection="1">
      <protection locked="0"/>
    </xf>
    <xf numFmtId="164" fontId="14" fillId="0" borderId="1" xfId="1" applyNumberFormat="1" applyFont="1" applyBorder="1"/>
    <xf numFmtId="0" fontId="14" fillId="0" borderId="0" xfId="0" applyNumberFormat="1" applyFont="1" applyAlignment="1">
      <alignment horizontal="left" vertical="top"/>
    </xf>
    <xf numFmtId="164" fontId="14" fillId="0" borderId="1" xfId="0" applyNumberFormat="1" applyFont="1" applyBorder="1"/>
    <xf numFmtId="9" fontId="14" fillId="0" borderId="1" xfId="2" applyFont="1" applyBorder="1"/>
    <xf numFmtId="0" fontId="14" fillId="0" borderId="1" xfId="0" applyFont="1" applyBorder="1"/>
    <xf numFmtId="43" fontId="14" fillId="0" borderId="1" xfId="1" applyFont="1" applyBorder="1"/>
    <xf numFmtId="0" fontId="14" fillId="0" borderId="0" xfId="0" applyFont="1" applyFill="1" applyAlignment="1" applyProtection="1">
      <alignment horizontal="center" vertical="center" wrapText="1"/>
      <protection locked="0"/>
    </xf>
    <xf numFmtId="0" fontId="19" fillId="0" borderId="3" xfId="0" applyNumberFormat="1" applyFont="1" applyFill="1" applyBorder="1" applyAlignment="1" applyProtection="1">
      <alignment horizontal="center" wrapText="1"/>
    </xf>
    <xf numFmtId="43" fontId="14" fillId="0" borderId="0" xfId="0" applyNumberFormat="1" applyFont="1" applyProtection="1">
      <protection locked="0"/>
    </xf>
    <xf numFmtId="0" fontId="28" fillId="0" borderId="0" xfId="0" applyFont="1" applyAlignment="1">
      <alignment horizontal="left"/>
    </xf>
    <xf numFmtId="0" fontId="29" fillId="0" borderId="7" xfId="1" applyNumberFormat="1" applyFont="1" applyBorder="1" applyAlignment="1">
      <alignment horizontal="center"/>
    </xf>
    <xf numFmtId="164" fontId="28" fillId="0" borderId="0" xfId="1" applyNumberFormat="1" applyFont="1" applyAlignment="1">
      <alignment vertical="center"/>
    </xf>
    <xf numFmtId="4" fontId="28" fillId="3" borderId="0" xfId="1" applyNumberFormat="1" applyFont="1" applyFill="1" applyBorder="1" applyProtection="1"/>
    <xf numFmtId="3" fontId="28" fillId="3" borderId="8" xfId="1" applyNumberFormat="1" applyFont="1" applyFill="1" applyBorder="1" applyProtection="1"/>
    <xf numFmtId="165" fontId="28" fillId="0" borderId="0" xfId="2" applyNumberFormat="1" applyFont="1" applyBorder="1" applyProtection="1">
      <protection locked="0"/>
    </xf>
    <xf numFmtId="165" fontId="28" fillId="0" borderId="0" xfId="2" applyNumberFormat="1" applyFont="1" applyBorder="1"/>
    <xf numFmtId="9" fontId="28" fillId="0" borderId="0" xfId="2" applyFont="1" applyProtection="1">
      <protection locked="0"/>
    </xf>
    <xf numFmtId="164" fontId="28" fillId="0" borderId="0" xfId="1" applyNumberFormat="1" applyFont="1" applyProtection="1">
      <protection locked="0"/>
    </xf>
    <xf numFmtId="0" fontId="8" fillId="5" borderId="13" xfId="0" applyFont="1" applyFill="1" applyBorder="1" applyAlignment="1" applyProtection="1">
      <alignment horizontal="left"/>
      <protection locked="0"/>
    </xf>
    <xf numFmtId="0" fontId="26" fillId="5" borderId="13" xfId="0" applyFont="1" applyFill="1" applyBorder="1" applyProtection="1">
      <protection locked="0"/>
    </xf>
    <xf numFmtId="0" fontId="8" fillId="5" borderId="13" xfId="0" applyFont="1" applyFill="1" applyBorder="1" applyProtection="1">
      <protection locked="0"/>
    </xf>
    <xf numFmtId="0" fontId="8" fillId="10" borderId="13" xfId="0" applyFont="1" applyFill="1" applyBorder="1" applyProtection="1">
      <protection locked="0"/>
    </xf>
    <xf numFmtId="0" fontId="26" fillId="10" borderId="13" xfId="0" applyFont="1" applyFill="1" applyBorder="1" applyProtection="1">
      <protection locked="0"/>
    </xf>
    <xf numFmtId="0" fontId="27" fillId="0" borderId="13" xfId="0" applyFont="1" applyBorder="1" applyAlignment="1" applyProtection="1">
      <alignment horizontal="center"/>
      <protection locked="0"/>
    </xf>
    <xf numFmtId="0" fontId="27" fillId="0" borderId="13" xfId="0" applyFont="1" applyBorder="1" applyAlignment="1" applyProtection="1">
      <alignment horizontal="center" wrapText="1"/>
      <protection locked="0"/>
    </xf>
    <xf numFmtId="0" fontId="0" fillId="0" borderId="13" xfId="0" applyFont="1" applyFill="1" applyBorder="1" applyAlignment="1" applyProtection="1">
      <alignment horizontal="center"/>
      <protection locked="0"/>
    </xf>
    <xf numFmtId="43" fontId="0" fillId="0" borderId="13" xfId="1" applyFont="1" applyFill="1" applyBorder="1" applyAlignment="1">
      <alignment horizontal="center"/>
    </xf>
    <xf numFmtId="9" fontId="1" fillId="0" borderId="13" xfId="2" applyNumberFormat="1" applyFont="1" applyFill="1" applyBorder="1" applyAlignment="1" applyProtection="1">
      <alignment horizontal="center"/>
      <protection locked="0"/>
    </xf>
    <xf numFmtId="164" fontId="1" fillId="0" borderId="13" xfId="1" applyNumberFormat="1" applyFont="1" applyFill="1" applyBorder="1" applyAlignment="1" applyProtection="1">
      <alignment horizontal="center"/>
      <protection locked="0"/>
    </xf>
    <xf numFmtId="9" fontId="0" fillId="0" borderId="13" xfId="2" applyFont="1" applyFill="1" applyBorder="1" applyAlignment="1">
      <alignment horizontal="center"/>
    </xf>
    <xf numFmtId="164" fontId="30" fillId="11" borderId="13" xfId="1" applyNumberFormat="1" applyFont="1" applyFill="1" applyBorder="1" applyAlignment="1" applyProtection="1">
      <alignment horizontal="center"/>
      <protection locked="0"/>
    </xf>
    <xf numFmtId="0" fontId="30" fillId="11" borderId="13" xfId="0" applyFont="1" applyFill="1" applyBorder="1" applyAlignment="1" applyProtection="1">
      <alignment horizontal="center"/>
      <protection locked="0"/>
    </xf>
    <xf numFmtId="9" fontId="0" fillId="0" borderId="13" xfId="2" applyFont="1" applyFill="1" applyBorder="1" applyAlignment="1" applyProtection="1">
      <alignment horizontal="center"/>
      <protection locked="0"/>
    </xf>
  </cellXfs>
  <cellStyles count="13">
    <cellStyle name="Comma" xfId="1" builtinId="3"/>
    <cellStyle name="Comma 2" xfId="4"/>
    <cellStyle name="Comma 2 2" xfId="12"/>
    <cellStyle name="Comma 2 3" xfId="10"/>
    <cellStyle name="Comma 2 4" xfId="6"/>
    <cellStyle name="Comma 3" xfId="8"/>
    <cellStyle name="Normal" xfId="0" builtinId="0"/>
    <cellStyle name="Normal 2" xfId="3"/>
    <cellStyle name="Normal 2 2" xfId="11"/>
    <cellStyle name="Normal 2 3" xfId="9"/>
    <cellStyle name="Normal 2 4" xfId="5"/>
    <cellStyle name="Normal 3" xfId="7"/>
    <cellStyle name="Percent" xfId="2" builtinId="5"/>
  </cellStyles>
  <dxfs count="34">
    <dxf>
      <font>
        <strike val="0"/>
        <outline val="0"/>
        <shadow val="0"/>
        <u val="none"/>
        <vertAlign val="baseline"/>
        <sz val="10"/>
        <color theme="1"/>
        <name val="Calibri"/>
        <scheme val="minor"/>
      </font>
      <numFmt numFmtId="0" formatCode="General"/>
      <border diagonalUp="0" diagonalDown="0">
        <left style="thin">
          <color indexed="64"/>
        </left>
        <right/>
        <top/>
        <bottom/>
        <vertical/>
        <horizontal/>
      </border>
      <protection locked="0" hidden="0"/>
    </dxf>
    <dxf>
      <font>
        <strike val="0"/>
        <outline val="0"/>
        <shadow val="0"/>
        <u val="none"/>
        <vertAlign val="baseline"/>
        <sz val="10"/>
        <color theme="1"/>
        <name val="Calibri"/>
        <scheme val="minor"/>
      </font>
      <border diagonalUp="0" diagonalDown="0">
        <left style="thin">
          <color indexed="64"/>
        </left>
        <right/>
        <top/>
        <bottom/>
        <vertical/>
        <horizontal/>
      </border>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10"/>
        <color theme="1"/>
        <name val="Calibri"/>
        <scheme val="minor"/>
      </font>
      <border diagonalUp="0" diagonalDown="0">
        <left style="thin">
          <color auto="1"/>
        </left>
        <right style="thin">
          <color indexed="64"/>
        </right>
        <top/>
        <bottom/>
        <vertical/>
        <horizontal/>
      </border>
      <protection locked="0" hidden="0"/>
    </dxf>
    <dxf>
      <font>
        <strike val="0"/>
        <outline val="0"/>
        <shadow val="0"/>
        <u val="none"/>
        <vertAlign val="baseline"/>
        <sz val="10"/>
        <color theme="1"/>
        <name val="Calibri"/>
        <scheme val="minor"/>
      </font>
      <border diagonalUp="0" diagonalDown="0">
        <left/>
        <right style="thin">
          <color auto="1"/>
        </right>
        <top/>
        <bottom/>
        <vertical/>
        <horizontal/>
      </border>
      <protection locked="0" hidden="0"/>
    </dxf>
    <dxf>
      <border diagonalUp="0" diagonalDown="0">
        <left style="thin">
          <color indexed="64"/>
        </left>
        <top/>
        <bottom/>
      </border>
    </dxf>
    <dxf>
      <font>
        <strike val="0"/>
        <outline val="0"/>
        <shadow val="0"/>
        <u val="none"/>
        <vertAlign val="baseline"/>
        <sz val="10"/>
        <color theme="1"/>
        <name val="Calibri"/>
        <scheme val="minor"/>
      </font>
      <protection locked="0" hidden="0"/>
    </dxf>
    <dxf>
      <border>
        <bottom style="thin">
          <color indexed="64"/>
        </bottom>
      </border>
    </dxf>
    <dxf>
      <font>
        <strike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color theme="1"/>
        <name val="Calibri"/>
        <scheme val="minor"/>
      </font>
      <border diagonalUp="0" diagonalDown="0">
        <left style="thin">
          <color auto="1"/>
        </left>
        <right style="thin">
          <color indexed="64"/>
        </right>
        <top/>
        <bottom/>
        <vertical/>
        <horizontal/>
      </border>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8"/>
        <color theme="1"/>
        <name val="Calibri"/>
        <scheme val="minor"/>
      </font>
      <numFmt numFmtId="0" formatCode="General"/>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numFmt numFmtId="3" formatCode="#,##0"/>
      <fill>
        <patternFill patternType="solid">
          <fgColor indexed="64"/>
          <bgColor theme="8" tint="0.79998168889431442"/>
        </patternFill>
      </fill>
      <protection locked="1" hidden="0"/>
    </dxf>
    <dxf>
      <font>
        <b val="0"/>
        <i val="0"/>
        <strike val="0"/>
        <condense val="0"/>
        <extend val="0"/>
        <outline val="0"/>
        <shadow val="0"/>
        <u val="none"/>
        <vertAlign val="baseline"/>
        <sz val="8"/>
        <color theme="1"/>
        <name val="Calibri"/>
        <scheme val="minor"/>
      </font>
      <numFmt numFmtId="4" formatCode="#,##0.00"/>
      <fill>
        <patternFill patternType="solid">
          <fgColor indexed="64"/>
          <bgColor theme="8" tint="0.79998168889431442"/>
        </patternFill>
      </fill>
      <protection locked="1" hidden="0"/>
    </dxf>
    <dxf>
      <font>
        <b val="0"/>
        <i val="0"/>
        <strike val="0"/>
        <condense val="0"/>
        <extend val="0"/>
        <outline val="0"/>
        <shadow val="0"/>
        <u val="none"/>
        <vertAlign val="baseline"/>
        <sz val="8"/>
        <color theme="1"/>
        <name val="Calibri"/>
        <scheme val="minor"/>
      </font>
      <numFmt numFmtId="164" formatCode="_(* #,##0_);_(* \(#,##0\);_(* &quot;-&quot;??_);_(@_)"/>
      <alignment horizontal="general" vertical="center" textRotation="0" wrapText="0" indent="0" justifyLastLine="0" shrinkToFit="0" readingOrder="0"/>
    </dxf>
    <dxf>
      <font>
        <strike val="0"/>
        <outline val="0"/>
        <shadow val="0"/>
        <u val="none"/>
        <vertAlign val="baseline"/>
        <sz val="8"/>
        <color theme="1"/>
        <name val="Calibri"/>
        <scheme val="minor"/>
      </font>
      <numFmt numFmtId="164" formatCode="_(* #,##0_);_(* \(#,##0\);_(* &quot;-&quot;??_);_(@_)"/>
      <border outline="0">
        <left style="thin">
          <color indexed="64"/>
        </left>
      </border>
      <protection locked="0" hidden="0"/>
    </dxf>
    <dxf>
      <font>
        <b val="0"/>
        <i val="0"/>
        <strike val="0"/>
        <condense val="0"/>
        <extend val="0"/>
        <outline val="0"/>
        <shadow val="0"/>
        <u val="none"/>
        <vertAlign val="baseline"/>
        <sz val="8"/>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8"/>
        <color theme="1"/>
        <name val="Calibri"/>
        <scheme val="minor"/>
      </font>
      <border outline="0">
        <right style="thin">
          <color indexed="64"/>
        </right>
      </border>
      <protection locked="0" hidden="0"/>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id="1" name="Table1" displayName="Table1" ref="A1:P54" totalsRowShown="0" headerRowDxfId="31" dataDxfId="30">
  <autoFilter ref="A1:P54"/>
  <tableColumns count="16">
    <tableColumn id="1" name="Standard Power Purchases" dataDxfId="29"/>
    <tableColumn id="15" name="Confid Level/Bucket" dataDxfId="28"/>
    <tableColumn id="2" name="MWh (megawatt hours)" dataDxfId="27"/>
    <tableColumn id="14" name="Sales from Designated Unit (non-retail)" dataDxfId="26" dataCellStyle="Comma"/>
    <tableColumn id="4" name="Resource Allocation (Load/Power)" dataDxfId="25" dataCellStyle="Comma">
      <calculatedColumnFormula>Main!$B$17</calculatedColumnFormula>
    </tableColumn>
    <tableColumn id="3" name="Claims to Report (MWh)" dataDxfId="24">
      <calculatedColumnFormula>Table1[[#This Row],[Standard Power Purchases]]*Main!#REF!</calculatedColumnFormula>
    </tableColumn>
    <tableColumn id="5" name="Hydro" dataDxfId="23"/>
    <tableColumn id="6" name="Coal" dataDxfId="22"/>
    <tableColumn id="7" name="Nuclear" dataDxfId="21"/>
    <tableColumn id="8" name="Cogen" dataDxfId="20"/>
    <tableColumn id="9" name="CCCT - Gas" dataDxfId="19"/>
    <tableColumn id="10" name="Simple-Cycle Gas" dataDxfId="18"/>
    <tableColumn id="11" name="Biomass" dataDxfId="17"/>
    <tableColumn id="12" name="Other" dataDxfId="16"/>
    <tableColumn id="13" name="Unknown/Market" dataDxfId="15"/>
    <tableColumn id="16" name="Total" dataDxfId="14">
      <calculatedColumnFormula>SUM(Table1[[#This Row],[Hydro]:[Unknown/Market]])</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Table13" displayName="Table13" ref="A1:B24" totalsRowShown="0" headerRowDxfId="13" dataDxfId="12">
  <autoFilter ref="A1:B24"/>
  <tableColumns count="2">
    <tableColumn id="1" name="Eligible Renewable Power" dataDxfId="11"/>
    <tableColumn id="2" name="MWh (megawatt hours)" dataDxfId="10" dataCellStyle="Comma"/>
  </tableColumns>
  <tableStyleInfo name="TableStyleLight1" showFirstColumn="0" showLastColumn="0" showRowStripes="1" showColumnStripes="0"/>
</table>
</file>

<file path=xl/tables/table3.xml><?xml version="1.0" encoding="utf-8"?>
<table xmlns="http://schemas.openxmlformats.org/spreadsheetml/2006/main" id="3" name="Table14" displayName="Table14" ref="A1:B21" totalsRowShown="0" headerRowDxfId="9" dataDxfId="7" headerRowBorderDxfId="8" tableBorderDxfId="6">
  <autoFilter ref="A1:B21"/>
  <tableColumns count="2">
    <tableColumn id="1" name="Renewable Energy Credits from Plants" dataDxfId="5"/>
    <tableColumn id="2" name="Units (1 REC= 1 MWh)" dataDxfId="4" dataCellStyle="Comma"/>
  </tableColumns>
  <tableStyleInfo name="TableStyleLight1" showFirstColumn="0" showLastColumn="0" showRowStripes="1" showColumnStripes="0"/>
</table>
</file>

<file path=xl/tables/table4.xml><?xml version="1.0" encoding="utf-8"?>
<table xmlns="http://schemas.openxmlformats.org/spreadsheetml/2006/main" id="4" name="Table15" displayName="Table15" ref="A1:B3" totalsRowShown="0" headerRowDxfId="3" dataDxfId="2">
  <autoFilter ref="A1:B3"/>
  <tableColumns count="2">
    <tableColumn id="1" name="BPA Block Purchase" dataDxfId="1"/>
    <tableColumn id="2" name="MWh (megawatt hours)" dataDxfId="0">
      <calculatedColumnFormula>B1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election activeCell="D1" sqref="D1"/>
    </sheetView>
  </sheetViews>
  <sheetFormatPr defaultColWidth="9.109375" defaultRowHeight="14.4" x14ac:dyDescent="0.3"/>
  <cols>
    <col min="1" max="1" width="94.5546875" style="2" customWidth="1"/>
    <col min="2" max="16384" width="9.109375" style="2"/>
  </cols>
  <sheetData>
    <row r="1" spans="1:2" x14ac:dyDescent="0.3">
      <c r="A1" s="46" t="s">
        <v>22</v>
      </c>
    </row>
    <row r="2" spans="1:2" x14ac:dyDescent="0.3">
      <c r="A2" s="47"/>
    </row>
    <row r="3" spans="1:2" x14ac:dyDescent="0.3">
      <c r="A3" s="48" t="s">
        <v>41</v>
      </c>
      <c r="B3" s="22"/>
    </row>
    <row r="4" spans="1:2" x14ac:dyDescent="0.3">
      <c r="A4" s="29"/>
    </row>
    <row r="5" spans="1:2" ht="43.2" x14ac:dyDescent="0.3">
      <c r="A5" s="49" t="s">
        <v>45</v>
      </c>
    </row>
    <row r="6" spans="1:2" x14ac:dyDescent="0.3">
      <c r="A6" s="29"/>
    </row>
    <row r="7" spans="1:2" x14ac:dyDescent="0.3">
      <c r="A7" s="48" t="s">
        <v>43</v>
      </c>
    </row>
    <row r="8" spans="1:2" x14ac:dyDescent="0.3">
      <c r="A8" s="29"/>
    </row>
    <row r="9" spans="1:2" ht="28.8" x14ac:dyDescent="0.3">
      <c r="A9" s="50" t="s">
        <v>46</v>
      </c>
    </row>
    <row r="10" spans="1:2" x14ac:dyDescent="0.3">
      <c r="A10" s="51"/>
    </row>
    <row r="11" spans="1:2" ht="28.8" x14ac:dyDescent="0.3">
      <c r="A11" s="50" t="s">
        <v>47</v>
      </c>
    </row>
    <row r="12" spans="1:2" x14ac:dyDescent="0.3">
      <c r="A12" s="51"/>
    </row>
    <row r="13" spans="1:2" ht="28.8" x14ac:dyDescent="0.3">
      <c r="A13" s="50" t="s">
        <v>42</v>
      </c>
    </row>
    <row r="14" spans="1:2" x14ac:dyDescent="0.3">
      <c r="A14" s="29"/>
    </row>
    <row r="15" spans="1:2" x14ac:dyDescent="0.3">
      <c r="A15" s="29"/>
    </row>
    <row r="16" spans="1:2" x14ac:dyDescent="0.3">
      <c r="A16" s="29" t="s">
        <v>3</v>
      </c>
    </row>
    <row r="17" spans="1:1" x14ac:dyDescent="0.3">
      <c r="A17" s="29"/>
    </row>
    <row r="18" spans="1:1" x14ac:dyDescent="0.3">
      <c r="A18" s="43" t="s">
        <v>48</v>
      </c>
    </row>
  </sheetData>
  <sheetProtection password="DF62"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36"/>
  <sheetViews>
    <sheetView showGridLines="0" tabSelected="1" zoomScaleNormal="100" workbookViewId="0">
      <selection activeCell="B4" sqref="B4"/>
    </sheetView>
  </sheetViews>
  <sheetFormatPr defaultColWidth="12.6640625" defaultRowHeight="14.4" x14ac:dyDescent="0.3"/>
  <cols>
    <col min="1" max="1" width="47.44140625" style="2" customWidth="1"/>
    <col min="2" max="2" width="20.44140625" style="2" customWidth="1"/>
    <col min="3" max="3" width="18.44140625" style="2" customWidth="1"/>
    <col min="4" max="4" width="18.109375" style="2" customWidth="1"/>
    <col min="5" max="5" width="21.44140625" style="2" customWidth="1"/>
    <col min="6" max="8" width="12.6640625" style="2"/>
    <col min="9" max="9" width="14.5546875" style="2" bestFit="1" customWidth="1"/>
    <col min="10" max="16384" width="12.6640625" style="2"/>
  </cols>
  <sheetData>
    <row r="1" spans="1:9" ht="15.6" x14ac:dyDescent="0.3">
      <c r="A1" s="30" t="s">
        <v>135</v>
      </c>
      <c r="B1" s="43" t="s">
        <v>24</v>
      </c>
    </row>
    <row r="2" spans="1:9" x14ac:dyDescent="0.3">
      <c r="A2" s="32" t="s">
        <v>109</v>
      </c>
      <c r="B2" s="29"/>
      <c r="C2" s="111"/>
      <c r="D2" s="112"/>
      <c r="E2" s="113"/>
      <c r="F2" s="113"/>
      <c r="G2" s="113"/>
    </row>
    <row r="3" spans="1:9" x14ac:dyDescent="0.3">
      <c r="B3" s="52" t="s">
        <v>1</v>
      </c>
    </row>
    <row r="4" spans="1:9" x14ac:dyDescent="0.3">
      <c r="A4" s="31" t="s">
        <v>0</v>
      </c>
      <c r="B4" s="3">
        <v>3321329</v>
      </c>
      <c r="D4" s="44" t="s">
        <v>23</v>
      </c>
      <c r="H4" s="105"/>
      <c r="I4" s="92"/>
    </row>
    <row r="5" spans="1:9" x14ac:dyDescent="0.3">
      <c r="A5" s="37" t="s">
        <v>44</v>
      </c>
      <c r="B5" s="41"/>
      <c r="D5" s="45"/>
    </row>
    <row r="6" spans="1:9" x14ac:dyDescent="0.3">
      <c r="A6" s="32"/>
      <c r="B6" s="42"/>
      <c r="D6" s="29"/>
    </row>
    <row r="7" spans="1:9" x14ac:dyDescent="0.3">
      <c r="A7" s="31" t="s">
        <v>5</v>
      </c>
      <c r="B7" s="5">
        <f>'A standard power purchases'!C54+'B eligible renewables'!B24+'C RECs'!B21+'D BPA block'!B3</f>
        <v>22919037</v>
      </c>
      <c r="D7" s="44" t="s">
        <v>9</v>
      </c>
    </row>
    <row r="8" spans="1:9" x14ac:dyDescent="0.3">
      <c r="A8" s="33"/>
      <c r="B8" s="6"/>
      <c r="D8" s="44"/>
    </row>
    <row r="9" spans="1:9" x14ac:dyDescent="0.3">
      <c r="A9" s="34" t="s">
        <v>7</v>
      </c>
      <c r="B9" s="5">
        <f>'B eligible renewables'!B24+'C RECs'!B21+'D BPA block'!B3</f>
        <v>0</v>
      </c>
      <c r="D9" s="44" t="s">
        <v>8</v>
      </c>
    </row>
    <row r="10" spans="1:9" x14ac:dyDescent="0.3">
      <c r="A10" s="35" t="s">
        <v>6</v>
      </c>
      <c r="B10" s="7"/>
      <c r="D10" s="44"/>
    </row>
    <row r="11" spans="1:9" x14ac:dyDescent="0.3">
      <c r="A11" s="36"/>
      <c r="B11" s="7"/>
      <c r="D11" s="44"/>
    </row>
    <row r="12" spans="1:9" x14ac:dyDescent="0.3">
      <c r="A12" s="34" t="s">
        <v>10</v>
      </c>
      <c r="B12" s="8"/>
      <c r="D12" s="44"/>
    </row>
    <row r="13" spans="1:9" x14ac:dyDescent="0.3">
      <c r="A13" s="35" t="s">
        <v>11</v>
      </c>
      <c r="B13" s="5">
        <f>B4-B9</f>
        <v>3321329</v>
      </c>
      <c r="D13" s="44"/>
    </row>
    <row r="14" spans="1:9" x14ac:dyDescent="0.3">
      <c r="A14" s="37" t="s">
        <v>12</v>
      </c>
      <c r="B14" s="5">
        <f>B7-B9</f>
        <v>22919037</v>
      </c>
      <c r="D14" s="44"/>
    </row>
    <row r="15" spans="1:9" x14ac:dyDescent="0.3">
      <c r="A15" s="32"/>
      <c r="B15" s="6"/>
      <c r="D15" s="44" t="s">
        <v>3</v>
      </c>
    </row>
    <row r="16" spans="1:9" x14ac:dyDescent="0.3">
      <c r="A16" s="31" t="s">
        <v>105</v>
      </c>
      <c r="B16" s="6"/>
      <c r="D16" s="44"/>
    </row>
    <row r="17" spans="1:9" x14ac:dyDescent="0.3">
      <c r="A17" s="38" t="s">
        <v>13</v>
      </c>
      <c r="B17" s="9">
        <f>B13/B14</f>
        <v>0.14491573097072097</v>
      </c>
      <c r="D17" s="44"/>
    </row>
    <row r="18" spans="1:9" x14ac:dyDescent="0.3">
      <c r="A18" s="38"/>
      <c r="B18" s="6"/>
      <c r="D18" s="44"/>
    </row>
    <row r="19" spans="1:9" x14ac:dyDescent="0.3">
      <c r="A19" s="31" t="s">
        <v>15</v>
      </c>
      <c r="B19" s="6"/>
      <c r="C19" s="4"/>
      <c r="D19" s="44"/>
    </row>
    <row r="20" spans="1:9" x14ac:dyDescent="0.3">
      <c r="A20" s="38" t="s">
        <v>14</v>
      </c>
      <c r="B20" s="5">
        <f>'A standard power purchases'!F54</f>
        <v>3321329</v>
      </c>
      <c r="D20" s="44" t="s">
        <v>27</v>
      </c>
    </row>
    <row r="21" spans="1:9" x14ac:dyDescent="0.3">
      <c r="A21" s="39" t="s">
        <v>116</v>
      </c>
      <c r="B21" s="6">
        <f>B9</f>
        <v>0</v>
      </c>
      <c r="D21" s="44" t="s">
        <v>26</v>
      </c>
    </row>
    <row r="22" spans="1:9" ht="15" thickBot="1" x14ac:dyDescent="0.35">
      <c r="A22" s="40" t="s">
        <v>4</v>
      </c>
      <c r="B22" s="10">
        <f>B20+B21</f>
        <v>3321329</v>
      </c>
      <c r="D22" s="44" t="s">
        <v>25</v>
      </c>
    </row>
    <row r="23" spans="1:9" ht="15" thickTop="1" x14ac:dyDescent="0.3">
      <c r="B23" s="4"/>
    </row>
    <row r="25" spans="1:9" s="106" customFormat="1" x14ac:dyDescent="0.3">
      <c r="A25" s="160" t="s">
        <v>123</v>
      </c>
      <c r="B25" s="161"/>
      <c r="C25" s="161"/>
      <c r="D25" s="162"/>
      <c r="E25" s="162"/>
      <c r="F25" s="162"/>
      <c r="G25" s="163" t="s">
        <v>124</v>
      </c>
      <c r="H25" s="164"/>
      <c r="I25" s="164"/>
    </row>
    <row r="26" spans="1:9" s="106" customFormat="1" ht="41.4" x14ac:dyDescent="0.3">
      <c r="A26" s="165" t="s">
        <v>108</v>
      </c>
      <c r="B26" s="165" t="s">
        <v>136</v>
      </c>
      <c r="C26" s="166" t="s">
        <v>125</v>
      </c>
      <c r="D26" s="166" t="s">
        <v>126</v>
      </c>
      <c r="E26" s="166" t="s">
        <v>127</v>
      </c>
      <c r="F26" s="166" t="s">
        <v>107</v>
      </c>
      <c r="G26" s="166" t="s">
        <v>128</v>
      </c>
      <c r="H26" s="166" t="s">
        <v>129</v>
      </c>
      <c r="I26" s="166" t="s">
        <v>130</v>
      </c>
    </row>
    <row r="27" spans="1:9" s="106" customFormat="1" x14ac:dyDescent="0.3">
      <c r="A27" s="107" t="s">
        <v>94</v>
      </c>
      <c r="B27" s="109">
        <f>'A standard power purchases'!Q56</f>
        <v>0.3048933129258441</v>
      </c>
      <c r="C27" s="110">
        <f>'A standard power purchases'!Q55</f>
        <v>1012651.0021266809</v>
      </c>
      <c r="D27" s="110">
        <f>'A standard power purchases'!Q58</f>
        <v>61791.463123570633</v>
      </c>
      <c r="E27" s="110">
        <f>SUM(C27:D27)</f>
        <v>1074442.4652502516</v>
      </c>
      <c r="F27" s="174">
        <f>E27/$E$36</f>
        <v>0.32349775202945918</v>
      </c>
      <c r="G27" s="167">
        <v>0</v>
      </c>
      <c r="H27" s="110">
        <f>'A standard power purchases'!Q61</f>
        <v>0</v>
      </c>
      <c r="I27" s="110">
        <f>H27*0.907</f>
        <v>0</v>
      </c>
    </row>
    <row r="28" spans="1:9" s="106" customFormat="1" x14ac:dyDescent="0.3">
      <c r="A28" s="107" t="s">
        <v>95</v>
      </c>
      <c r="B28" s="109">
        <f>'A standard power purchases'!R56</f>
        <v>0.62053082771322376</v>
      </c>
      <c r="C28" s="110">
        <f>'A standard power purchases'!R55</f>
        <v>2060987.0334779336</v>
      </c>
      <c r="D28" s="110">
        <f>'A standard power purchases'!R58</f>
        <v>54396.541573285307</v>
      </c>
      <c r="E28" s="110">
        <f t="shared" ref="E28:E34" si="0">SUM(C28:D28)</f>
        <v>2115383.5750512187</v>
      </c>
      <c r="F28" s="174">
        <f t="shared" ref="F28:F34" si="1">E28/$E$36</f>
        <v>0.63690877207624386</v>
      </c>
      <c r="G28" s="168">
        <v>1.1338426008459657</v>
      </c>
      <c r="H28" s="110">
        <f>'A standard power purchases'!R62</f>
        <v>2398512.014522911</v>
      </c>
      <c r="I28" s="110">
        <f t="shared" ref="I28:I34" si="2">H28*0.907</f>
        <v>2175450.3971722806</v>
      </c>
    </row>
    <row r="29" spans="1:9" s="106" customFormat="1" x14ac:dyDescent="0.3">
      <c r="A29" s="107" t="s">
        <v>96</v>
      </c>
      <c r="B29" s="109">
        <f>'A standard power purchases'!S56</f>
        <v>3.0214778221266447E-2</v>
      </c>
      <c r="C29" s="110">
        <f>'A standard power purchases'!S55</f>
        <v>100353.21913486067</v>
      </c>
      <c r="D29" s="110">
        <f>'A standard power purchases'!S58</f>
        <v>5640.1944027599966</v>
      </c>
      <c r="E29" s="110">
        <f t="shared" si="0"/>
        <v>105993.41353762067</v>
      </c>
      <c r="F29" s="174">
        <f t="shared" si="1"/>
        <v>3.1912952175957479E-2</v>
      </c>
      <c r="G29" s="167">
        <v>0</v>
      </c>
      <c r="H29" s="110">
        <f>'A standard power purchases'!S62</f>
        <v>0</v>
      </c>
      <c r="I29" s="110">
        <f t="shared" si="2"/>
        <v>0</v>
      </c>
    </row>
    <row r="30" spans="1:9" s="106" customFormat="1" x14ac:dyDescent="0.3">
      <c r="A30" s="107" t="s">
        <v>97</v>
      </c>
      <c r="B30" s="109">
        <f>'A standard power purchases'!T56</f>
        <v>6.6238821465317236E-3</v>
      </c>
      <c r="C30" s="110">
        <f>'A standard power purchases'!T55</f>
        <v>22000.091865858063</v>
      </c>
      <c r="D30" s="110">
        <f>'A standard power purchases'!T58</f>
        <v>0</v>
      </c>
      <c r="E30" s="110">
        <f t="shared" si="0"/>
        <v>22000.091865858063</v>
      </c>
      <c r="F30" s="174">
        <f t="shared" si="1"/>
        <v>6.6238821465317245E-3</v>
      </c>
      <c r="G30" s="167">
        <v>0</v>
      </c>
      <c r="H30" s="110">
        <f>'A standard power purchases'!T62</f>
        <v>0</v>
      </c>
      <c r="I30" s="110">
        <f t="shared" si="2"/>
        <v>0</v>
      </c>
    </row>
    <row r="31" spans="1:9" s="106" customFormat="1" x14ac:dyDescent="0.3">
      <c r="A31" s="107" t="s">
        <v>98</v>
      </c>
      <c r="B31" s="169">
        <f>'A standard power purchases'!U56</f>
        <v>0</v>
      </c>
      <c r="C31" s="170">
        <f>'A standard power purchases'!U55</f>
        <v>0</v>
      </c>
      <c r="D31" s="170">
        <f>'A standard power purchases'!U58</f>
        <v>0</v>
      </c>
      <c r="E31" s="110">
        <f t="shared" si="0"/>
        <v>0</v>
      </c>
      <c r="F31" s="174">
        <f t="shared" si="1"/>
        <v>0</v>
      </c>
      <c r="G31" s="167">
        <v>0</v>
      </c>
      <c r="H31" s="110">
        <f>'A standard power purchases'!U62</f>
        <v>0</v>
      </c>
      <c r="I31" s="110">
        <f t="shared" si="2"/>
        <v>0</v>
      </c>
    </row>
    <row r="32" spans="1:9" s="106" customFormat="1" x14ac:dyDescent="0.3">
      <c r="A32" s="107" t="s">
        <v>99</v>
      </c>
      <c r="B32" s="109">
        <f>'A standard power purchases'!V56</f>
        <v>0</v>
      </c>
      <c r="C32" s="110">
        <f>'A standard power purchases'!V55</f>
        <v>0</v>
      </c>
      <c r="D32" s="110">
        <f>'A standard power purchases'!V58</f>
        <v>1128.0388805519992</v>
      </c>
      <c r="E32" s="110">
        <f t="shared" si="0"/>
        <v>1128.0388805519992</v>
      </c>
      <c r="F32" s="174">
        <f t="shared" si="1"/>
        <v>3.3963479093820556E-4</v>
      </c>
      <c r="G32" s="168">
        <v>0.50154160988887397</v>
      </c>
      <c r="H32" s="110">
        <f>'A standard power purchases'!V62</f>
        <v>565.75843616929285</v>
      </c>
      <c r="I32" s="110">
        <f t="shared" si="2"/>
        <v>513.14290160554867</v>
      </c>
    </row>
    <row r="33" spans="1:9" s="106" customFormat="1" x14ac:dyDescent="0.3">
      <c r="A33" s="107" t="s">
        <v>100</v>
      </c>
      <c r="B33" s="109">
        <f>'A standard power purchases'!W56</f>
        <v>0</v>
      </c>
      <c r="C33" s="110">
        <f>'A standard power purchases'!W55</f>
        <v>0</v>
      </c>
      <c r="D33" s="110">
        <f>'A standard power purchases'!W58</f>
        <v>2381.4154144986655</v>
      </c>
      <c r="E33" s="110">
        <f t="shared" si="0"/>
        <v>2381.4154144986655</v>
      </c>
      <c r="F33" s="174">
        <f t="shared" si="1"/>
        <v>7.1700678086954531E-4</v>
      </c>
      <c r="G33" s="168">
        <v>0</v>
      </c>
      <c r="H33" s="110">
        <f>'A standard power purchases'!W62</f>
        <v>0</v>
      </c>
      <c r="I33" s="110">
        <f t="shared" si="2"/>
        <v>0</v>
      </c>
    </row>
    <row r="34" spans="1:9" s="106" customFormat="1" x14ac:dyDescent="0.3">
      <c r="A34" s="107" t="s">
        <v>101</v>
      </c>
      <c r="B34" s="109">
        <f>'A standard power purchases'!X56</f>
        <v>0</v>
      </c>
      <c r="C34" s="110">
        <f>'A standard power purchases'!X55</f>
        <v>0</v>
      </c>
      <c r="D34" s="110">
        <f>'A standard power purchases'!X58</f>
        <v>0</v>
      </c>
      <c r="E34" s="110">
        <f t="shared" si="0"/>
        <v>0</v>
      </c>
      <c r="F34" s="174">
        <f t="shared" si="1"/>
        <v>0</v>
      </c>
      <c r="G34" s="167">
        <v>0</v>
      </c>
      <c r="H34" s="110">
        <f>'A standard power purchases'!X62</f>
        <v>0</v>
      </c>
      <c r="I34" s="110">
        <f t="shared" si="2"/>
        <v>0</v>
      </c>
    </row>
    <row r="35" spans="1:9" s="106" customFormat="1" x14ac:dyDescent="0.3">
      <c r="A35" s="171" t="s">
        <v>131</v>
      </c>
      <c r="B35" s="109">
        <f>'A standard power purchases'!Y56</f>
        <v>3.7737198993133957E-2</v>
      </c>
      <c r="C35" s="172"/>
      <c r="D35" s="172"/>
      <c r="E35" s="172"/>
      <c r="F35" s="172"/>
      <c r="G35" s="173"/>
      <c r="H35" s="172"/>
      <c r="I35" s="172"/>
    </row>
    <row r="36" spans="1:9" s="106" customFormat="1" x14ac:dyDescent="0.3">
      <c r="A36" s="108"/>
      <c r="B36" s="109">
        <f>SUM(B27:B35)</f>
        <v>1</v>
      </c>
      <c r="C36" s="110">
        <f t="shared" ref="C36:D36" si="3">SUM(C27:C35)</f>
        <v>3195991.3466053335</v>
      </c>
      <c r="D36" s="110">
        <f t="shared" si="3"/>
        <v>125337.6533946666</v>
      </c>
      <c r="E36" s="110">
        <f>SUM(E27:E35)</f>
        <v>3321328.9999999995</v>
      </c>
      <c r="F36" s="174">
        <f>SUM(F27:F35)</f>
        <v>1</v>
      </c>
      <c r="G36" s="167"/>
      <c r="H36" s="110">
        <f>SUM(H27:H35)</f>
        <v>2399077.7729590805</v>
      </c>
      <c r="I36" s="110">
        <f>SUM(I27:I35)</f>
        <v>2175963.540073886</v>
      </c>
    </row>
  </sheetData>
  <sheetProtection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5"/>
  <sheetViews>
    <sheetView zoomScale="80" zoomScaleNormal="80" workbookViewId="0">
      <pane xSplit="2" ySplit="1" topLeftCell="C2" activePane="bottomRight" state="frozen"/>
      <selection pane="topRight" activeCell="C1" sqref="C1"/>
      <selection pane="bottomLeft" activeCell="A2" sqref="A2"/>
      <selection pane="bottomRight" activeCell="C54" sqref="C54"/>
    </sheetView>
  </sheetViews>
  <sheetFormatPr defaultColWidth="9.109375" defaultRowHeight="10.199999999999999" x14ac:dyDescent="0.2"/>
  <cols>
    <col min="1" max="1" width="33.33203125" style="58" customWidth="1"/>
    <col min="2" max="2" width="14.6640625" style="86" customWidth="1"/>
    <col min="3" max="3" width="14" style="58" customWidth="1"/>
    <col min="4" max="4" width="22.88671875" style="58" customWidth="1"/>
    <col min="5" max="5" width="15.88671875" style="58" customWidth="1"/>
    <col min="6" max="6" width="15.33203125" style="58" customWidth="1"/>
    <col min="7" max="16" width="9.109375" style="58"/>
    <col min="17" max="17" width="9.5546875" style="58" bestFit="1" customWidth="1"/>
    <col min="18" max="18" width="10.88671875" style="58" bestFit="1" customWidth="1"/>
    <col min="19" max="24" width="9.33203125" style="58" bestFit="1" customWidth="1"/>
    <col min="25" max="25" width="11.88671875" style="58" customWidth="1"/>
    <col min="26" max="16384" width="9.109375" style="58"/>
  </cols>
  <sheetData>
    <row r="1" spans="1:26" ht="25.5" customHeight="1" x14ac:dyDescent="0.2">
      <c r="A1" s="57" t="s">
        <v>29</v>
      </c>
      <c r="B1" s="149" t="s">
        <v>110</v>
      </c>
      <c r="C1" s="58" t="s">
        <v>17</v>
      </c>
      <c r="D1" s="148" t="s">
        <v>111</v>
      </c>
      <c r="E1" s="96" t="s">
        <v>106</v>
      </c>
      <c r="F1" s="59" t="s">
        <v>16</v>
      </c>
      <c r="G1" s="60" t="s">
        <v>94</v>
      </c>
      <c r="H1" s="60" t="s">
        <v>95</v>
      </c>
      <c r="I1" s="60" t="s">
        <v>96</v>
      </c>
      <c r="J1" s="60" t="s">
        <v>97</v>
      </c>
      <c r="K1" s="60" t="s">
        <v>98</v>
      </c>
      <c r="L1" s="60" t="s">
        <v>99</v>
      </c>
      <c r="M1" s="60" t="s">
        <v>100</v>
      </c>
      <c r="N1" s="60" t="s">
        <v>101</v>
      </c>
      <c r="O1" s="60" t="s">
        <v>102</v>
      </c>
      <c r="P1" s="60" t="s">
        <v>2</v>
      </c>
      <c r="Q1" s="61" t="s">
        <v>94</v>
      </c>
      <c r="R1" s="61" t="s">
        <v>95</v>
      </c>
      <c r="S1" s="61" t="s">
        <v>96</v>
      </c>
      <c r="T1" s="61" t="s">
        <v>97</v>
      </c>
      <c r="U1" s="61" t="s">
        <v>98</v>
      </c>
      <c r="V1" s="61" t="s">
        <v>99</v>
      </c>
      <c r="W1" s="61" t="s">
        <v>100</v>
      </c>
      <c r="X1" s="61" t="s">
        <v>101</v>
      </c>
      <c r="Y1" s="62" t="s">
        <v>102</v>
      </c>
      <c r="Z1" s="62" t="s">
        <v>2</v>
      </c>
    </row>
    <row r="2" spans="1:26" ht="12.75" customHeight="1" x14ac:dyDescent="0.2">
      <c r="A2" s="77" t="s">
        <v>19</v>
      </c>
      <c r="B2" s="81"/>
      <c r="C2" s="101"/>
      <c r="D2" s="89"/>
      <c r="E2" s="72">
        <f>Main!$B$17</f>
        <v>0.14491573097072097</v>
      </c>
      <c r="F2" s="64">
        <f>Table1[[#This Row],[MWh (megawatt hours)]]*Table1[[#This Row],[Resource Allocation (Load/Power)]]</f>
        <v>0</v>
      </c>
      <c r="G2" s="63"/>
      <c r="H2" s="63"/>
      <c r="I2" s="63"/>
      <c r="J2" s="63"/>
      <c r="K2" s="63"/>
      <c r="L2" s="63"/>
      <c r="M2" s="63"/>
      <c r="P2" s="58">
        <f>SUM(Table1[[#This Row],[Hydro]:[Unknown/Market]])</f>
        <v>0</v>
      </c>
      <c r="U2" s="63"/>
      <c r="V2" s="63"/>
      <c r="W2" s="63"/>
      <c r="X2" s="63"/>
      <c r="Y2" s="63"/>
    </row>
    <row r="3" spans="1:26" ht="12.75" customHeight="1" x14ac:dyDescent="0.2">
      <c r="A3" s="78" t="s">
        <v>18</v>
      </c>
      <c r="B3" s="100"/>
      <c r="C3" s="89">
        <v>0</v>
      </c>
      <c r="D3" s="89"/>
      <c r="E3" s="72">
        <f>Main!$B$17</f>
        <v>0.14491573097072097</v>
      </c>
      <c r="F3" s="64">
        <f>Table1[[#This Row],[MWh (megawatt hours)]]*Table1[[#This Row],[Resource Allocation (Load/Power)]]</f>
        <v>0</v>
      </c>
      <c r="G3" s="63"/>
      <c r="H3" s="63"/>
      <c r="I3" s="63"/>
      <c r="J3" s="63"/>
      <c r="K3" s="63"/>
      <c r="L3" s="63"/>
      <c r="M3" s="63"/>
      <c r="P3" s="58">
        <f>SUM(Table1[[#This Row],[Hydro]:[Unknown/Market]])</f>
        <v>0</v>
      </c>
      <c r="U3" s="63"/>
      <c r="V3" s="63"/>
      <c r="W3" s="63"/>
      <c r="X3" s="63"/>
      <c r="Y3" s="63"/>
    </row>
    <row r="4" spans="1:26" s="66" customFormat="1" ht="18" customHeight="1" x14ac:dyDescent="0.3">
      <c r="A4" s="103" t="s">
        <v>33</v>
      </c>
      <c r="B4" s="93"/>
      <c r="C4" s="104"/>
      <c r="D4" s="97"/>
      <c r="E4" s="98"/>
      <c r="F4" s="99"/>
      <c r="G4" s="63"/>
      <c r="H4" s="63"/>
      <c r="I4" s="63"/>
      <c r="J4" s="63"/>
      <c r="K4" s="63"/>
      <c r="L4" s="63"/>
      <c r="M4" s="63"/>
      <c r="N4" s="65"/>
      <c r="O4" s="65"/>
      <c r="P4" s="65">
        <f>SUM(Table1[[#This Row],[Hydro]:[Unknown/Market]])</f>
        <v>0</v>
      </c>
      <c r="U4" s="63"/>
      <c r="V4" s="63"/>
      <c r="W4" s="63"/>
      <c r="X4" s="63"/>
      <c r="Y4" s="63"/>
    </row>
    <row r="5" spans="1:26" ht="11.4" x14ac:dyDescent="0.2">
      <c r="A5" s="102" t="s">
        <v>36</v>
      </c>
      <c r="B5" s="82"/>
      <c r="C5" s="67"/>
      <c r="D5" s="90"/>
      <c r="E5" s="68"/>
      <c r="F5" s="69"/>
      <c r="G5" s="63"/>
      <c r="H5" s="63"/>
      <c r="I5" s="63"/>
      <c r="J5" s="63"/>
      <c r="K5" s="63"/>
      <c r="L5" s="63"/>
      <c r="M5" s="63"/>
      <c r="P5" s="58">
        <f>SUM(Table1[[#This Row],[Hydro]:[Unknown/Market]])</f>
        <v>0</v>
      </c>
      <c r="Q5" s="75"/>
      <c r="R5" s="75"/>
      <c r="S5" s="75"/>
      <c r="T5" s="75"/>
      <c r="U5" s="56"/>
      <c r="V5" s="56"/>
      <c r="W5" s="56"/>
      <c r="X5" s="56"/>
      <c r="Y5" s="56"/>
    </row>
    <row r="6" spans="1:26" x14ac:dyDescent="0.2">
      <c r="A6" s="70" t="s">
        <v>54</v>
      </c>
      <c r="B6" s="83">
        <v>1</v>
      </c>
      <c r="C6" s="71">
        <v>951695</v>
      </c>
      <c r="D6" s="71"/>
      <c r="E6" s="72">
        <f>Main!$B$17</f>
        <v>0.14491573097072097</v>
      </c>
      <c r="F6" s="64">
        <f>Table1[[#This Row],[MWh (megawatt hours)]]*Table1[[#This Row],[Resource Allocation (Load/Power)]]</f>
        <v>137915.57658618028</v>
      </c>
      <c r="G6" s="63"/>
      <c r="H6" s="63">
        <v>1</v>
      </c>
      <c r="I6" s="63"/>
      <c r="J6" s="63"/>
      <c r="K6" s="63"/>
      <c r="L6" s="63"/>
      <c r="M6" s="63"/>
      <c r="P6" s="94">
        <f>SUM(Table1[[#This Row],[Hydro]:[Unknown/Market]])</f>
        <v>1</v>
      </c>
      <c r="Q6" s="75">
        <f t="shared" ref="Q6:X6" si="0">G6*$F$6</f>
        <v>0</v>
      </c>
      <c r="R6" s="75">
        <f t="shared" si="0"/>
        <v>137915.57658618028</v>
      </c>
      <c r="S6" s="75">
        <f t="shared" si="0"/>
        <v>0</v>
      </c>
      <c r="T6" s="75">
        <f t="shared" si="0"/>
        <v>0</v>
      </c>
      <c r="U6" s="75">
        <f t="shared" si="0"/>
        <v>0</v>
      </c>
      <c r="V6" s="75">
        <f t="shared" si="0"/>
        <v>0</v>
      </c>
      <c r="W6" s="75">
        <f t="shared" si="0"/>
        <v>0</v>
      </c>
      <c r="X6" s="75">
        <f t="shared" si="0"/>
        <v>0</v>
      </c>
      <c r="Y6" s="56">
        <v>0</v>
      </c>
      <c r="Z6" s="76">
        <f>SUM(Q6:Y6)</f>
        <v>137915.57658618028</v>
      </c>
    </row>
    <row r="7" spans="1:26" x14ac:dyDescent="0.2">
      <c r="A7" s="70" t="s">
        <v>55</v>
      </c>
      <c r="B7" s="83">
        <v>1</v>
      </c>
      <c r="C7" s="71">
        <v>151813</v>
      </c>
      <c r="D7" s="71"/>
      <c r="E7" s="72">
        <f>Main!$B$17</f>
        <v>0.14491573097072097</v>
      </c>
      <c r="F7" s="64">
        <f>Table1[[#This Row],[MWh (megawatt hours)]]*Table1[[#This Row],[Resource Allocation (Load/Power)]]</f>
        <v>22000.091865858063</v>
      </c>
      <c r="G7" s="63"/>
      <c r="H7" s="63"/>
      <c r="I7" s="63"/>
      <c r="J7" s="63">
        <v>1</v>
      </c>
      <c r="K7" s="63"/>
      <c r="L7" s="63"/>
      <c r="M7" s="63"/>
      <c r="P7" s="94">
        <f>SUM(Table1[[#This Row],[Hydro]:[Unknown/Market]])</f>
        <v>1</v>
      </c>
      <c r="Q7" s="75">
        <f t="shared" ref="Q7:X7" si="1">G7*$F$7</f>
        <v>0</v>
      </c>
      <c r="R7" s="75">
        <f t="shared" si="1"/>
        <v>0</v>
      </c>
      <c r="S7" s="75">
        <f t="shared" si="1"/>
        <v>0</v>
      </c>
      <c r="T7" s="75">
        <f t="shared" si="1"/>
        <v>22000.091865858063</v>
      </c>
      <c r="U7" s="75">
        <f t="shared" si="1"/>
        <v>0</v>
      </c>
      <c r="V7" s="75">
        <f t="shared" si="1"/>
        <v>0</v>
      </c>
      <c r="W7" s="75">
        <f t="shared" si="1"/>
        <v>0</v>
      </c>
      <c r="X7" s="75">
        <f t="shared" si="1"/>
        <v>0</v>
      </c>
      <c r="Y7" s="56">
        <v>0</v>
      </c>
      <c r="Z7" s="76">
        <f t="shared" ref="Z7:Z43" si="2">SUM(Q7:Y7)</f>
        <v>22000.091865858063</v>
      </c>
    </row>
    <row r="8" spans="1:26" x14ac:dyDescent="0.2">
      <c r="A8" s="70" t="s">
        <v>56</v>
      </c>
      <c r="B8" s="83">
        <v>1</v>
      </c>
      <c r="C8" s="71">
        <v>3542601</v>
      </c>
      <c r="D8" s="71"/>
      <c r="E8" s="72">
        <f>Main!$B$17</f>
        <v>0.14491573097072097</v>
      </c>
      <c r="F8" s="64">
        <f>Table1[[#This Row],[MWh (megawatt hours)]]*Table1[[#This Row],[Resource Allocation (Load/Power)]]</f>
        <v>513378.61345260707</v>
      </c>
      <c r="G8" s="63"/>
      <c r="H8" s="63">
        <v>1</v>
      </c>
      <c r="I8" s="63"/>
      <c r="J8" s="63"/>
      <c r="K8" s="63"/>
      <c r="L8" s="63"/>
      <c r="M8" s="63"/>
      <c r="N8" s="65"/>
      <c r="O8" s="65"/>
      <c r="P8" s="95">
        <f>SUM(Table1[[#This Row],[Hydro]:[Unknown/Market]])</f>
        <v>1</v>
      </c>
      <c r="Q8" s="75">
        <f t="shared" ref="Q8:X8" si="3">G8*$F$8</f>
        <v>0</v>
      </c>
      <c r="R8" s="75">
        <f t="shared" si="3"/>
        <v>513378.61345260707</v>
      </c>
      <c r="S8" s="75">
        <f t="shared" si="3"/>
        <v>0</v>
      </c>
      <c r="T8" s="75">
        <f t="shared" si="3"/>
        <v>0</v>
      </c>
      <c r="U8" s="75">
        <f t="shared" si="3"/>
        <v>0</v>
      </c>
      <c r="V8" s="75">
        <f t="shared" si="3"/>
        <v>0</v>
      </c>
      <c r="W8" s="75">
        <f t="shared" si="3"/>
        <v>0</v>
      </c>
      <c r="X8" s="75">
        <f t="shared" si="3"/>
        <v>0</v>
      </c>
      <c r="Y8" s="56">
        <v>0</v>
      </c>
      <c r="Z8" s="76">
        <f t="shared" si="2"/>
        <v>513378.61345260707</v>
      </c>
    </row>
    <row r="9" spans="1:26" x14ac:dyDescent="0.2">
      <c r="A9" s="70" t="s">
        <v>57</v>
      </c>
      <c r="B9" s="83">
        <v>1</v>
      </c>
      <c r="C9" s="71">
        <v>9727673</v>
      </c>
      <c r="D9" s="71"/>
      <c r="E9" s="72">
        <f>Main!$B$17</f>
        <v>0.14491573097072097</v>
      </c>
      <c r="F9" s="64">
        <f>Table1[[#This Row],[MWh (megawatt hours)]]*Table1[[#This Row],[Resource Allocation (Load/Power)]]</f>
        <v>1409692.8434391462</v>
      </c>
      <c r="G9" s="63"/>
      <c r="H9" s="63">
        <v>1</v>
      </c>
      <c r="I9" s="63"/>
      <c r="J9" s="63"/>
      <c r="K9" s="63"/>
      <c r="L9" s="63"/>
      <c r="M9" s="63"/>
      <c r="P9" s="94">
        <f>SUM(Table1[[#This Row],[Hydro]:[Unknown/Market]])</f>
        <v>1</v>
      </c>
      <c r="Q9" s="75">
        <f t="shared" ref="Q9:X9" si="4">G9*$F$9</f>
        <v>0</v>
      </c>
      <c r="R9" s="75">
        <f t="shared" si="4"/>
        <v>1409692.8434391462</v>
      </c>
      <c r="S9" s="75">
        <f t="shared" si="4"/>
        <v>0</v>
      </c>
      <c r="T9" s="75">
        <f t="shared" si="4"/>
        <v>0</v>
      </c>
      <c r="U9" s="75">
        <f t="shared" si="4"/>
        <v>0</v>
      </c>
      <c r="V9" s="75">
        <f t="shared" si="4"/>
        <v>0</v>
      </c>
      <c r="W9" s="75">
        <f t="shared" si="4"/>
        <v>0</v>
      </c>
      <c r="X9" s="75">
        <f t="shared" si="4"/>
        <v>0</v>
      </c>
      <c r="Y9" s="56">
        <v>0</v>
      </c>
      <c r="Z9" s="76">
        <f t="shared" si="2"/>
        <v>1409692.8434391462</v>
      </c>
    </row>
    <row r="10" spans="1:26" x14ac:dyDescent="0.2">
      <c r="A10" s="70" t="s">
        <v>58</v>
      </c>
      <c r="B10" s="83">
        <v>1</v>
      </c>
      <c r="C10" s="71">
        <v>556990</v>
      </c>
      <c r="D10" s="71"/>
      <c r="E10" s="72">
        <f>Main!$B$17</f>
        <v>0.14491573097072097</v>
      </c>
      <c r="F10" s="64">
        <f>Table1[[#This Row],[MWh (megawatt hours)]]*Table1[[#This Row],[Resource Allocation (Load/Power)]]</f>
        <v>80716.612993381874</v>
      </c>
      <c r="G10" s="63">
        <v>1</v>
      </c>
      <c r="H10" s="63"/>
      <c r="I10" s="63"/>
      <c r="J10" s="63"/>
      <c r="K10" s="63"/>
      <c r="L10" s="63"/>
      <c r="M10" s="63"/>
      <c r="P10" s="94">
        <f>SUM(Table1[[#This Row],[Hydro]:[Unknown/Market]])</f>
        <v>1</v>
      </c>
      <c r="Q10" s="75">
        <f t="shared" ref="Q10:Q29" si="5">G10*F10</f>
        <v>80716.612993381874</v>
      </c>
      <c r="R10" s="75">
        <v>0</v>
      </c>
      <c r="S10" s="75">
        <v>0</v>
      </c>
      <c r="T10" s="75">
        <v>0</v>
      </c>
      <c r="U10" s="75">
        <v>0</v>
      </c>
      <c r="V10" s="75">
        <v>0</v>
      </c>
      <c r="W10" s="75">
        <v>0</v>
      </c>
      <c r="X10" s="75">
        <v>0</v>
      </c>
      <c r="Y10" s="75">
        <v>0</v>
      </c>
      <c r="Z10" s="76">
        <f t="shared" si="2"/>
        <v>80716.612993381874</v>
      </c>
    </row>
    <row r="11" spans="1:26" x14ac:dyDescent="0.2">
      <c r="A11" s="70" t="s">
        <v>59</v>
      </c>
      <c r="B11" s="83">
        <v>1</v>
      </c>
      <c r="C11" s="71">
        <v>723927</v>
      </c>
      <c r="D11" s="71"/>
      <c r="E11" s="72">
        <f>Main!$B$17</f>
        <v>0.14491573097072097</v>
      </c>
      <c r="F11" s="64">
        <f>Table1[[#This Row],[MWh (megawatt hours)]]*Table1[[#This Row],[Resource Allocation (Load/Power)]]</f>
        <v>104908.41037444111</v>
      </c>
      <c r="G11" s="63">
        <v>1</v>
      </c>
      <c r="H11" s="63"/>
      <c r="I11" s="63"/>
      <c r="J11" s="63"/>
      <c r="K11" s="63"/>
      <c r="L11" s="63"/>
      <c r="M11" s="63"/>
      <c r="P11" s="94">
        <f>SUM(Table1[[#This Row],[Hydro]:[Unknown/Market]])</f>
        <v>1</v>
      </c>
      <c r="Q11" s="75">
        <f t="shared" si="5"/>
        <v>104908.41037444111</v>
      </c>
      <c r="R11" s="75">
        <v>0</v>
      </c>
      <c r="S11" s="75">
        <v>0</v>
      </c>
      <c r="T11" s="75">
        <v>0</v>
      </c>
      <c r="U11" s="75">
        <v>0</v>
      </c>
      <c r="V11" s="75">
        <v>0</v>
      </c>
      <c r="W11" s="75">
        <v>0</v>
      </c>
      <c r="X11" s="75">
        <v>0</v>
      </c>
      <c r="Y11" s="75">
        <v>0</v>
      </c>
      <c r="Z11" s="76">
        <f t="shared" si="2"/>
        <v>104908.41037444111</v>
      </c>
    </row>
    <row r="12" spans="1:26" x14ac:dyDescent="0.2">
      <c r="A12" s="70" t="s">
        <v>60</v>
      </c>
      <c r="B12" s="83">
        <v>1</v>
      </c>
      <c r="C12" s="71">
        <v>605489</v>
      </c>
      <c r="D12" s="71"/>
      <c r="E12" s="72">
        <f>Main!$B$17</f>
        <v>0.14491573097072097</v>
      </c>
      <c r="F12" s="64">
        <f>Table1[[#This Row],[MWh (megawatt hours)]]*Table1[[#This Row],[Resource Allocation (Load/Power)]]</f>
        <v>87744.881029730866</v>
      </c>
      <c r="G12" s="63">
        <v>1</v>
      </c>
      <c r="H12" s="63"/>
      <c r="I12" s="63"/>
      <c r="J12" s="63"/>
      <c r="K12" s="63"/>
      <c r="L12" s="63"/>
      <c r="M12" s="63"/>
      <c r="P12" s="94">
        <f>SUM(Table1[[#This Row],[Hydro]:[Unknown/Market]])</f>
        <v>1</v>
      </c>
      <c r="Q12" s="75">
        <f t="shared" si="5"/>
        <v>87744.881029730866</v>
      </c>
      <c r="R12" s="75">
        <v>0</v>
      </c>
      <c r="S12" s="75">
        <v>0</v>
      </c>
      <c r="T12" s="75">
        <v>0</v>
      </c>
      <c r="U12" s="75">
        <v>0</v>
      </c>
      <c r="V12" s="75">
        <v>0</v>
      </c>
      <c r="W12" s="75">
        <v>0</v>
      </c>
      <c r="X12" s="75">
        <v>0</v>
      </c>
      <c r="Y12" s="75">
        <v>0</v>
      </c>
      <c r="Z12" s="76">
        <f t="shared" si="2"/>
        <v>87744.881029730866</v>
      </c>
    </row>
    <row r="13" spans="1:26" x14ac:dyDescent="0.2">
      <c r="A13" s="70" t="s">
        <v>61</v>
      </c>
      <c r="B13" s="83">
        <v>1</v>
      </c>
      <c r="C13" s="71">
        <v>193502</v>
      </c>
      <c r="D13" s="71"/>
      <c r="E13" s="72">
        <f>Main!$B$17</f>
        <v>0.14491573097072097</v>
      </c>
      <c r="F13" s="64">
        <f>Table1[[#This Row],[MWh (megawatt hours)]]*Table1[[#This Row],[Resource Allocation (Load/Power)]]</f>
        <v>28041.483774296448</v>
      </c>
      <c r="G13" s="63">
        <v>1</v>
      </c>
      <c r="H13" s="63"/>
      <c r="I13" s="63"/>
      <c r="J13" s="63"/>
      <c r="K13" s="63"/>
      <c r="L13" s="63"/>
      <c r="M13" s="63"/>
      <c r="P13" s="94">
        <f>SUM(Table1[[#This Row],[Hydro]:[Unknown/Market]])</f>
        <v>1</v>
      </c>
      <c r="Q13" s="75">
        <f t="shared" si="5"/>
        <v>28041.483774296448</v>
      </c>
      <c r="R13" s="75">
        <v>0</v>
      </c>
      <c r="S13" s="75">
        <v>0</v>
      </c>
      <c r="T13" s="75">
        <v>0</v>
      </c>
      <c r="U13" s="75">
        <v>0</v>
      </c>
      <c r="V13" s="75">
        <v>0</v>
      </c>
      <c r="W13" s="75">
        <v>0</v>
      </c>
      <c r="X13" s="75">
        <v>0</v>
      </c>
      <c r="Y13" s="75">
        <v>0</v>
      </c>
      <c r="Z13" s="76">
        <f t="shared" si="2"/>
        <v>28041.483774296448</v>
      </c>
    </row>
    <row r="14" spans="1:26" x14ac:dyDescent="0.2">
      <c r="A14" s="70" t="s">
        <v>62</v>
      </c>
      <c r="B14" s="83">
        <v>1</v>
      </c>
      <c r="C14" s="71">
        <v>238417</v>
      </c>
      <c r="D14" s="71"/>
      <c r="E14" s="72">
        <f>Main!$B$17</f>
        <v>0.14491573097072097</v>
      </c>
      <c r="F14" s="64">
        <f>Table1[[#This Row],[MWh (megawatt hours)]]*Table1[[#This Row],[Resource Allocation (Load/Power)]]</f>
        <v>34550.37383084638</v>
      </c>
      <c r="G14" s="63">
        <v>1</v>
      </c>
      <c r="H14" s="63"/>
      <c r="I14" s="63"/>
      <c r="J14" s="63"/>
      <c r="K14" s="63"/>
      <c r="L14" s="63"/>
      <c r="M14" s="63"/>
      <c r="P14" s="94">
        <f>SUM(Table1[[#This Row],[Hydro]:[Unknown/Market]])</f>
        <v>1</v>
      </c>
      <c r="Q14" s="75">
        <f t="shared" si="5"/>
        <v>34550.37383084638</v>
      </c>
      <c r="R14" s="75">
        <v>0</v>
      </c>
      <c r="S14" s="75">
        <v>0</v>
      </c>
      <c r="T14" s="75">
        <v>0</v>
      </c>
      <c r="U14" s="75">
        <v>0</v>
      </c>
      <c r="V14" s="75">
        <v>0</v>
      </c>
      <c r="W14" s="75">
        <v>0</v>
      </c>
      <c r="X14" s="75">
        <v>0</v>
      </c>
      <c r="Y14" s="75">
        <v>0</v>
      </c>
      <c r="Z14" s="76">
        <f t="shared" si="2"/>
        <v>34550.37383084638</v>
      </c>
    </row>
    <row r="15" spans="1:26" x14ac:dyDescent="0.2">
      <c r="A15" s="70" t="s">
        <v>63</v>
      </c>
      <c r="B15" s="83">
        <v>1</v>
      </c>
      <c r="C15" s="71">
        <v>110820</v>
      </c>
      <c r="D15" s="71"/>
      <c r="E15" s="72">
        <f>Main!$B$17</f>
        <v>0.14491573097072097</v>
      </c>
      <c r="F15" s="64">
        <f>Table1[[#This Row],[MWh (megawatt hours)]]*Table1[[#This Row],[Resource Allocation (Load/Power)]]</f>
        <v>16059.561306175297</v>
      </c>
      <c r="G15" s="63">
        <v>1</v>
      </c>
      <c r="H15" s="63"/>
      <c r="I15" s="63"/>
      <c r="J15" s="63"/>
      <c r="K15" s="63"/>
      <c r="L15" s="63"/>
      <c r="M15" s="63"/>
      <c r="P15" s="94">
        <f>SUM(Table1[[#This Row],[Hydro]:[Unknown/Market]])</f>
        <v>1</v>
      </c>
      <c r="Q15" s="75">
        <f t="shared" si="5"/>
        <v>16059.561306175297</v>
      </c>
      <c r="R15" s="75">
        <v>0</v>
      </c>
      <c r="S15" s="75">
        <v>0</v>
      </c>
      <c r="T15" s="75">
        <v>0</v>
      </c>
      <c r="U15" s="75">
        <v>0</v>
      </c>
      <c r="V15" s="75">
        <v>0</v>
      </c>
      <c r="W15" s="75">
        <v>0</v>
      </c>
      <c r="X15" s="75">
        <v>0</v>
      </c>
      <c r="Y15" s="75">
        <v>0</v>
      </c>
      <c r="Z15" s="76">
        <f t="shared" si="2"/>
        <v>16059.561306175297</v>
      </c>
    </row>
    <row r="16" spans="1:26" x14ac:dyDescent="0.2">
      <c r="A16" s="70" t="s">
        <v>64</v>
      </c>
      <c r="B16" s="83">
        <v>1</v>
      </c>
      <c r="C16" s="71">
        <v>62803</v>
      </c>
      <c r="D16" s="71"/>
      <c r="E16" s="72">
        <f>Main!$B$17</f>
        <v>0.14491573097072097</v>
      </c>
      <c r="F16" s="64">
        <f>Table1[[#This Row],[MWh (megawatt hours)]]*Table1[[#This Row],[Resource Allocation (Load/Power)]]</f>
        <v>9101.1426521541889</v>
      </c>
      <c r="G16" s="63">
        <v>1</v>
      </c>
      <c r="H16" s="63"/>
      <c r="I16" s="63"/>
      <c r="J16" s="63"/>
      <c r="K16" s="63"/>
      <c r="L16" s="63"/>
      <c r="M16" s="63"/>
      <c r="P16" s="94">
        <f>SUM(Table1[[#This Row],[Hydro]:[Unknown/Market]])</f>
        <v>1</v>
      </c>
      <c r="Q16" s="75">
        <f t="shared" si="5"/>
        <v>9101.1426521541889</v>
      </c>
      <c r="R16" s="75">
        <v>0</v>
      </c>
      <c r="S16" s="75">
        <v>0</v>
      </c>
      <c r="T16" s="75">
        <v>0</v>
      </c>
      <c r="U16" s="75">
        <v>0</v>
      </c>
      <c r="V16" s="75">
        <v>0</v>
      </c>
      <c r="W16" s="75">
        <v>0</v>
      </c>
      <c r="X16" s="75">
        <v>0</v>
      </c>
      <c r="Y16" s="75">
        <v>0</v>
      </c>
      <c r="Z16" s="76">
        <f t="shared" si="2"/>
        <v>9101.1426521541889</v>
      </c>
    </row>
    <row r="17" spans="1:26" x14ac:dyDescent="0.2">
      <c r="A17" s="70" t="s">
        <v>65</v>
      </c>
      <c r="B17" s="83">
        <v>1</v>
      </c>
      <c r="C17" s="71">
        <v>86996</v>
      </c>
      <c r="D17" s="71"/>
      <c r="E17" s="72">
        <f>Main!$B$17</f>
        <v>0.14491573097072097</v>
      </c>
      <c r="F17" s="64">
        <f>Table1[[#This Row],[MWh (megawatt hours)]]*Table1[[#This Row],[Resource Allocation (Load/Power)]]</f>
        <v>12607.08893152884</v>
      </c>
      <c r="G17" s="63">
        <v>1</v>
      </c>
      <c r="H17" s="63"/>
      <c r="I17" s="63"/>
      <c r="J17" s="63"/>
      <c r="K17" s="63"/>
      <c r="L17" s="63"/>
      <c r="M17" s="63"/>
      <c r="P17" s="94">
        <f>SUM(Table1[[#This Row],[Hydro]:[Unknown/Market]])</f>
        <v>1</v>
      </c>
      <c r="Q17" s="75">
        <f t="shared" si="5"/>
        <v>12607.08893152884</v>
      </c>
      <c r="R17" s="75">
        <v>0</v>
      </c>
      <c r="S17" s="75">
        <v>0</v>
      </c>
      <c r="T17" s="75">
        <v>0</v>
      </c>
      <c r="U17" s="75">
        <v>0</v>
      </c>
      <c r="V17" s="75">
        <v>0</v>
      </c>
      <c r="W17" s="75">
        <v>0</v>
      </c>
      <c r="X17" s="75">
        <v>0</v>
      </c>
      <c r="Y17" s="75">
        <v>0</v>
      </c>
      <c r="Z17" s="76">
        <f t="shared" si="2"/>
        <v>12607.08893152884</v>
      </c>
    </row>
    <row r="18" spans="1:26" x14ac:dyDescent="0.2">
      <c r="A18" s="70" t="s">
        <v>66</v>
      </c>
      <c r="B18" s="83">
        <v>1</v>
      </c>
      <c r="C18" s="71">
        <v>50297</v>
      </c>
      <c r="D18" s="71"/>
      <c r="E18" s="72">
        <f>Main!$B$17</f>
        <v>0.14491573097072097</v>
      </c>
      <c r="F18" s="64">
        <f>Table1[[#This Row],[MWh (megawatt hours)]]*Table1[[#This Row],[Resource Allocation (Load/Power)]]</f>
        <v>7288.8265206343522</v>
      </c>
      <c r="G18" s="63">
        <v>1</v>
      </c>
      <c r="H18" s="63"/>
      <c r="I18" s="63"/>
      <c r="J18" s="63"/>
      <c r="K18" s="63"/>
      <c r="L18" s="63"/>
      <c r="M18" s="63"/>
      <c r="P18" s="94">
        <f>SUM(Table1[[#This Row],[Hydro]:[Unknown/Market]])</f>
        <v>1</v>
      </c>
      <c r="Q18" s="75">
        <f t="shared" si="5"/>
        <v>7288.8265206343522</v>
      </c>
      <c r="R18" s="75">
        <v>0</v>
      </c>
      <c r="S18" s="75">
        <v>0</v>
      </c>
      <c r="T18" s="75">
        <v>0</v>
      </c>
      <c r="U18" s="75">
        <v>0</v>
      </c>
      <c r="V18" s="75">
        <v>0</v>
      </c>
      <c r="W18" s="75">
        <v>0</v>
      </c>
      <c r="X18" s="75">
        <v>0</v>
      </c>
      <c r="Y18" s="75">
        <v>0</v>
      </c>
      <c r="Z18" s="76">
        <f t="shared" si="2"/>
        <v>7288.8265206343522</v>
      </c>
    </row>
    <row r="19" spans="1:26" x14ac:dyDescent="0.2">
      <c r="A19" s="70" t="s">
        <v>67</v>
      </c>
      <c r="B19" s="83">
        <v>1</v>
      </c>
      <c r="C19" s="71">
        <v>100073</v>
      </c>
      <c r="D19" s="71"/>
      <c r="E19" s="72">
        <f>Main!$B$17</f>
        <v>0.14491573097072097</v>
      </c>
      <c r="F19" s="64">
        <f>Table1[[#This Row],[MWh (megawatt hours)]]*Table1[[#This Row],[Resource Allocation (Load/Power)]]</f>
        <v>14502.151945432959</v>
      </c>
      <c r="G19" s="63">
        <v>1</v>
      </c>
      <c r="H19" s="63"/>
      <c r="I19" s="63"/>
      <c r="J19" s="63"/>
      <c r="K19" s="63"/>
      <c r="L19" s="63"/>
      <c r="M19" s="63"/>
      <c r="P19" s="94">
        <f>SUM(Table1[[#This Row],[Hydro]:[Unknown/Market]])</f>
        <v>1</v>
      </c>
      <c r="Q19" s="75">
        <f t="shared" si="5"/>
        <v>14502.151945432959</v>
      </c>
      <c r="R19" s="75">
        <v>0</v>
      </c>
      <c r="S19" s="75">
        <v>0</v>
      </c>
      <c r="T19" s="75">
        <v>0</v>
      </c>
      <c r="U19" s="75">
        <v>0</v>
      </c>
      <c r="V19" s="75">
        <v>0</v>
      </c>
      <c r="W19" s="75">
        <v>0</v>
      </c>
      <c r="X19" s="75">
        <v>0</v>
      </c>
      <c r="Y19" s="75">
        <v>0</v>
      </c>
      <c r="Z19" s="76">
        <f t="shared" si="2"/>
        <v>14502.151945432959</v>
      </c>
    </row>
    <row r="20" spans="1:26" x14ac:dyDescent="0.2">
      <c r="A20" s="70" t="s">
        <v>68</v>
      </c>
      <c r="B20" s="83">
        <v>1</v>
      </c>
      <c r="C20" s="71">
        <v>297173</v>
      </c>
      <c r="D20" s="71"/>
      <c r="E20" s="72">
        <f>Main!$B$17</f>
        <v>0.14491573097072097</v>
      </c>
      <c r="F20" s="64">
        <f>Table1[[#This Row],[MWh (megawatt hours)]]*Table1[[#This Row],[Resource Allocation (Load/Power)]]</f>
        <v>43065.042519762064</v>
      </c>
      <c r="G20" s="63">
        <v>1</v>
      </c>
      <c r="H20" s="63"/>
      <c r="I20" s="63"/>
      <c r="J20" s="63"/>
      <c r="K20" s="63"/>
      <c r="L20" s="63"/>
      <c r="M20" s="63"/>
      <c r="P20" s="94">
        <f>SUM(Table1[[#This Row],[Hydro]:[Unknown/Market]])</f>
        <v>1</v>
      </c>
      <c r="Q20" s="75">
        <f t="shared" si="5"/>
        <v>43065.042519762064</v>
      </c>
      <c r="R20" s="75">
        <v>0</v>
      </c>
      <c r="S20" s="75">
        <v>0</v>
      </c>
      <c r="T20" s="75">
        <v>0</v>
      </c>
      <c r="U20" s="75">
        <v>0</v>
      </c>
      <c r="V20" s="75">
        <v>0</v>
      </c>
      <c r="W20" s="75">
        <v>0</v>
      </c>
      <c r="X20" s="75">
        <v>0</v>
      </c>
      <c r="Y20" s="75">
        <v>0</v>
      </c>
      <c r="Z20" s="76">
        <f t="shared" si="2"/>
        <v>43065.042519762064</v>
      </c>
    </row>
    <row r="21" spans="1:26" x14ac:dyDescent="0.2">
      <c r="A21" s="70" t="s">
        <v>69</v>
      </c>
      <c r="B21" s="83">
        <v>1</v>
      </c>
      <c r="C21" s="71">
        <v>181614</v>
      </c>
      <c r="D21" s="71"/>
      <c r="E21" s="72">
        <f>Main!$B$17</f>
        <v>0.14491573097072097</v>
      </c>
      <c r="F21" s="64">
        <f>Table1[[#This Row],[MWh (megawatt hours)]]*Table1[[#This Row],[Resource Allocation (Load/Power)]]</f>
        <v>26318.725564516517</v>
      </c>
      <c r="G21" s="63">
        <v>1</v>
      </c>
      <c r="H21" s="63"/>
      <c r="I21" s="63"/>
      <c r="J21" s="63"/>
      <c r="K21" s="63"/>
      <c r="L21" s="63"/>
      <c r="M21" s="63"/>
      <c r="P21" s="94">
        <f>SUM(Table1[[#This Row],[Hydro]:[Unknown/Market]])</f>
        <v>1</v>
      </c>
      <c r="Q21" s="75">
        <f t="shared" si="5"/>
        <v>26318.725564516517</v>
      </c>
      <c r="R21" s="75">
        <v>0</v>
      </c>
      <c r="S21" s="75">
        <v>0</v>
      </c>
      <c r="T21" s="75">
        <v>0</v>
      </c>
      <c r="U21" s="75">
        <v>0</v>
      </c>
      <c r="V21" s="75">
        <v>0</v>
      </c>
      <c r="W21" s="75">
        <v>0</v>
      </c>
      <c r="X21" s="75">
        <v>0</v>
      </c>
      <c r="Y21" s="75">
        <v>0</v>
      </c>
      <c r="Z21" s="76">
        <f t="shared" si="2"/>
        <v>26318.725564516517</v>
      </c>
    </row>
    <row r="22" spans="1:26" x14ac:dyDescent="0.2">
      <c r="A22" s="70" t="s">
        <v>70</v>
      </c>
      <c r="B22" s="83">
        <v>1</v>
      </c>
      <c r="C22" s="71">
        <v>228109</v>
      </c>
      <c r="D22" s="71"/>
      <c r="E22" s="72">
        <f>Main!$B$17</f>
        <v>0.14491573097072097</v>
      </c>
      <c r="F22" s="64">
        <f>Table1[[#This Row],[MWh (megawatt hours)]]*Table1[[#This Row],[Resource Allocation (Load/Power)]]</f>
        <v>33056.582476000192</v>
      </c>
      <c r="G22" s="63">
        <v>1</v>
      </c>
      <c r="H22" s="63"/>
      <c r="I22" s="63"/>
      <c r="J22" s="63"/>
      <c r="K22" s="63"/>
      <c r="L22" s="63"/>
      <c r="M22" s="63"/>
      <c r="P22" s="94">
        <f>SUM(Table1[[#This Row],[Hydro]:[Unknown/Market]])</f>
        <v>1</v>
      </c>
      <c r="Q22" s="75">
        <f t="shared" si="5"/>
        <v>33056.582476000192</v>
      </c>
      <c r="R22" s="75">
        <v>0</v>
      </c>
      <c r="S22" s="75">
        <v>0</v>
      </c>
      <c r="T22" s="75">
        <v>0</v>
      </c>
      <c r="U22" s="75">
        <v>0</v>
      </c>
      <c r="V22" s="75">
        <v>0</v>
      </c>
      <c r="W22" s="75">
        <v>0</v>
      </c>
      <c r="X22" s="75">
        <v>0</v>
      </c>
      <c r="Y22" s="75">
        <v>0</v>
      </c>
      <c r="Z22" s="76">
        <f t="shared" si="2"/>
        <v>33056.582476000192</v>
      </c>
    </row>
    <row r="23" spans="1:26" x14ac:dyDescent="0.2">
      <c r="A23" s="70" t="s">
        <v>71</v>
      </c>
      <c r="B23" s="83">
        <v>1</v>
      </c>
      <c r="C23" s="71">
        <v>11370</v>
      </c>
      <c r="D23" s="71"/>
      <c r="E23" s="72">
        <f>Main!$B$17</f>
        <v>0.14491573097072097</v>
      </c>
      <c r="F23" s="64">
        <f>Table1[[#This Row],[MWh (megawatt hours)]]*Table1[[#This Row],[Resource Allocation (Load/Power)]]</f>
        <v>1647.6918611370975</v>
      </c>
      <c r="G23" s="63">
        <v>1</v>
      </c>
      <c r="H23" s="63"/>
      <c r="I23" s="63"/>
      <c r="J23" s="63"/>
      <c r="K23" s="63"/>
      <c r="L23" s="63"/>
      <c r="M23" s="63"/>
      <c r="P23" s="94">
        <f>SUM(Table1[[#This Row],[Hydro]:[Unknown/Market]])</f>
        <v>1</v>
      </c>
      <c r="Q23" s="75">
        <f t="shared" si="5"/>
        <v>1647.6918611370975</v>
      </c>
      <c r="R23" s="75">
        <v>0</v>
      </c>
      <c r="S23" s="75">
        <v>0</v>
      </c>
      <c r="T23" s="75">
        <v>0</v>
      </c>
      <c r="U23" s="75">
        <v>0</v>
      </c>
      <c r="V23" s="75">
        <v>0</v>
      </c>
      <c r="W23" s="75">
        <v>0</v>
      </c>
      <c r="X23" s="75">
        <v>0</v>
      </c>
      <c r="Y23" s="75">
        <v>0</v>
      </c>
      <c r="Z23" s="76">
        <f t="shared" si="2"/>
        <v>1647.6918611370975</v>
      </c>
    </row>
    <row r="24" spans="1:26" x14ac:dyDescent="0.2">
      <c r="A24" s="70" t="s">
        <v>72</v>
      </c>
      <c r="B24" s="83">
        <v>1</v>
      </c>
      <c r="C24" s="71">
        <v>23924</v>
      </c>
      <c r="D24" s="71"/>
      <c r="E24" s="72">
        <f>Main!$B$17</f>
        <v>0.14491573097072097</v>
      </c>
      <c r="F24" s="64">
        <f>Table1[[#This Row],[MWh (megawatt hours)]]*Table1[[#This Row],[Resource Allocation (Load/Power)]]</f>
        <v>3466.9639477435285</v>
      </c>
      <c r="G24" s="63">
        <v>1</v>
      </c>
      <c r="H24" s="63"/>
      <c r="I24" s="63"/>
      <c r="J24" s="63"/>
      <c r="K24" s="63"/>
      <c r="L24" s="63"/>
      <c r="M24" s="63"/>
      <c r="P24" s="94">
        <f>SUM(Table1[[#This Row],[Hydro]:[Unknown/Market]])</f>
        <v>1</v>
      </c>
      <c r="Q24" s="75">
        <f t="shared" si="5"/>
        <v>3466.9639477435285</v>
      </c>
      <c r="R24" s="75">
        <v>0</v>
      </c>
      <c r="S24" s="75">
        <v>0</v>
      </c>
      <c r="T24" s="75">
        <v>0</v>
      </c>
      <c r="U24" s="75">
        <v>0</v>
      </c>
      <c r="V24" s="75">
        <v>0</v>
      </c>
      <c r="W24" s="75">
        <v>0</v>
      </c>
      <c r="X24" s="75">
        <v>0</v>
      </c>
      <c r="Y24" s="75">
        <v>0</v>
      </c>
      <c r="Z24" s="76">
        <f t="shared" si="2"/>
        <v>3466.9639477435285</v>
      </c>
    </row>
    <row r="25" spans="1:26" x14ac:dyDescent="0.2">
      <c r="A25" s="70" t="s">
        <v>73</v>
      </c>
      <c r="B25" s="83">
        <v>1</v>
      </c>
      <c r="C25" s="71">
        <v>31678</v>
      </c>
      <c r="D25" s="71"/>
      <c r="E25" s="72">
        <f>Main!$B$17</f>
        <v>0.14491573097072097</v>
      </c>
      <c r="F25" s="64">
        <f>Table1[[#This Row],[MWh (megawatt hours)]]*Table1[[#This Row],[Resource Allocation (Load/Power)]]</f>
        <v>4590.6405256904991</v>
      </c>
      <c r="G25" s="63">
        <v>1</v>
      </c>
      <c r="H25" s="63"/>
      <c r="I25" s="63"/>
      <c r="J25" s="63"/>
      <c r="K25" s="63"/>
      <c r="L25" s="63"/>
      <c r="M25" s="63"/>
      <c r="P25" s="94">
        <f>SUM(Table1[[#This Row],[Hydro]:[Unknown/Market]])</f>
        <v>1</v>
      </c>
      <c r="Q25" s="75">
        <f t="shared" si="5"/>
        <v>4590.6405256904991</v>
      </c>
      <c r="R25" s="75">
        <v>0</v>
      </c>
      <c r="S25" s="75">
        <v>0</v>
      </c>
      <c r="T25" s="75">
        <v>0</v>
      </c>
      <c r="U25" s="75">
        <v>0</v>
      </c>
      <c r="V25" s="75">
        <v>0</v>
      </c>
      <c r="W25" s="75">
        <v>0</v>
      </c>
      <c r="X25" s="75">
        <v>0</v>
      </c>
      <c r="Y25" s="75">
        <v>0</v>
      </c>
      <c r="Z25" s="76">
        <f t="shared" si="2"/>
        <v>4590.6405256904991</v>
      </c>
    </row>
    <row r="26" spans="1:26" x14ac:dyDescent="0.2">
      <c r="A26" s="70" t="s">
        <v>74</v>
      </c>
      <c r="B26" s="83">
        <v>1</v>
      </c>
      <c r="C26" s="71">
        <v>4930</v>
      </c>
      <c r="D26" s="71"/>
      <c r="E26" s="72">
        <f>Main!$B$17</f>
        <v>0.14491573097072097</v>
      </c>
      <c r="F26" s="64">
        <f>Table1[[#This Row],[MWh (megawatt hours)]]*Table1[[#This Row],[Resource Allocation (Load/Power)]]</f>
        <v>714.43455368565435</v>
      </c>
      <c r="G26" s="63">
        <v>1</v>
      </c>
      <c r="H26" s="63"/>
      <c r="I26" s="63"/>
      <c r="J26" s="63"/>
      <c r="K26" s="63"/>
      <c r="L26" s="63"/>
      <c r="M26" s="63"/>
      <c r="P26" s="94">
        <f>SUM(Table1[[#This Row],[Hydro]:[Unknown/Market]])</f>
        <v>1</v>
      </c>
      <c r="Q26" s="75">
        <f t="shared" si="5"/>
        <v>714.43455368565435</v>
      </c>
      <c r="R26" s="75">
        <v>0</v>
      </c>
      <c r="S26" s="75">
        <v>0</v>
      </c>
      <c r="T26" s="75">
        <v>0</v>
      </c>
      <c r="U26" s="75">
        <v>0</v>
      </c>
      <c r="V26" s="75">
        <v>0</v>
      </c>
      <c r="W26" s="75">
        <v>0</v>
      </c>
      <c r="X26" s="75">
        <v>0</v>
      </c>
      <c r="Y26" s="75">
        <v>0</v>
      </c>
      <c r="Z26" s="76">
        <f t="shared" si="2"/>
        <v>714.43455368565435</v>
      </c>
    </row>
    <row r="27" spans="1:26" x14ac:dyDescent="0.2">
      <c r="A27" s="70" t="s">
        <v>75</v>
      </c>
      <c r="B27" s="83">
        <v>1</v>
      </c>
      <c r="C27" s="71">
        <v>3043</v>
      </c>
      <c r="D27" s="71"/>
      <c r="E27" s="72">
        <f>Main!$B$17</f>
        <v>0.14491573097072097</v>
      </c>
      <c r="F27" s="64">
        <f>Table1[[#This Row],[MWh (megawatt hours)]]*Table1[[#This Row],[Resource Allocation (Load/Power)]]</f>
        <v>440.97856934390393</v>
      </c>
      <c r="G27" s="63">
        <v>1</v>
      </c>
      <c r="H27" s="63"/>
      <c r="I27" s="63"/>
      <c r="J27" s="63"/>
      <c r="K27" s="63"/>
      <c r="L27" s="63"/>
      <c r="M27" s="63"/>
      <c r="P27" s="94">
        <f>SUM(Table1[[#This Row],[Hydro]:[Unknown/Market]])</f>
        <v>1</v>
      </c>
      <c r="Q27" s="75">
        <f t="shared" si="5"/>
        <v>440.97856934390393</v>
      </c>
      <c r="R27" s="75">
        <v>0</v>
      </c>
      <c r="S27" s="75">
        <v>0</v>
      </c>
      <c r="T27" s="75">
        <v>0</v>
      </c>
      <c r="U27" s="75">
        <v>0</v>
      </c>
      <c r="V27" s="75">
        <v>0</v>
      </c>
      <c r="W27" s="75">
        <v>0</v>
      </c>
      <c r="X27" s="75">
        <v>0</v>
      </c>
      <c r="Y27" s="75">
        <v>0</v>
      </c>
      <c r="Z27" s="76">
        <f t="shared" si="2"/>
        <v>440.97856934390393</v>
      </c>
    </row>
    <row r="28" spans="1:26" x14ac:dyDescent="0.2">
      <c r="A28" s="70" t="s">
        <v>76</v>
      </c>
      <c r="B28" s="83">
        <v>1</v>
      </c>
      <c r="C28" s="71">
        <v>11090</v>
      </c>
      <c r="D28" s="71"/>
      <c r="E28" s="72">
        <f>Main!$B$17</f>
        <v>0.14491573097072097</v>
      </c>
      <c r="F28" s="64">
        <f>Table1[[#This Row],[MWh (megawatt hours)]]*Table1[[#This Row],[Resource Allocation (Load/Power)]]</f>
        <v>1607.1154564652954</v>
      </c>
      <c r="G28" s="63">
        <v>1</v>
      </c>
      <c r="H28" s="63"/>
      <c r="I28" s="63"/>
      <c r="J28" s="63"/>
      <c r="K28" s="63"/>
      <c r="L28" s="63"/>
      <c r="M28" s="63"/>
      <c r="P28" s="94">
        <f>SUM(Table1[[#This Row],[Hydro]:[Unknown/Market]])</f>
        <v>1</v>
      </c>
      <c r="Q28" s="75">
        <f t="shared" si="5"/>
        <v>1607.1154564652954</v>
      </c>
      <c r="R28" s="75">
        <v>0</v>
      </c>
      <c r="S28" s="75">
        <v>0</v>
      </c>
      <c r="T28" s="75">
        <v>0</v>
      </c>
      <c r="U28" s="75">
        <v>0</v>
      </c>
      <c r="V28" s="75">
        <v>0</v>
      </c>
      <c r="W28" s="75">
        <v>0</v>
      </c>
      <c r="X28" s="75">
        <v>0</v>
      </c>
      <c r="Y28" s="75">
        <v>0</v>
      </c>
      <c r="Z28" s="76">
        <f t="shared" si="2"/>
        <v>1607.1154564652954</v>
      </c>
    </row>
    <row r="29" spans="1:26" x14ac:dyDescent="0.2">
      <c r="A29" s="70" t="s">
        <v>77</v>
      </c>
      <c r="B29" s="83">
        <v>1</v>
      </c>
      <c r="C29" s="71">
        <v>3930</v>
      </c>
      <c r="D29" s="71"/>
      <c r="E29" s="72">
        <f>Main!$B$17</f>
        <v>0.14491573097072097</v>
      </c>
      <c r="F29" s="64">
        <f>Table1[[#This Row],[MWh (megawatt hours)]]*Table1[[#This Row],[Resource Allocation (Load/Power)]]</f>
        <v>569.51882271493344</v>
      </c>
      <c r="G29" s="63">
        <v>1</v>
      </c>
      <c r="H29" s="63"/>
      <c r="I29" s="63"/>
      <c r="J29" s="63"/>
      <c r="K29" s="63"/>
      <c r="L29" s="63"/>
      <c r="M29" s="63"/>
      <c r="P29" s="94">
        <f>SUM(Table1[[#This Row],[Hydro]:[Unknown/Market]])</f>
        <v>1</v>
      </c>
      <c r="Q29" s="75">
        <f t="shared" si="5"/>
        <v>569.51882271493344</v>
      </c>
      <c r="R29" s="75">
        <v>0</v>
      </c>
      <c r="S29" s="75">
        <v>0</v>
      </c>
      <c r="T29" s="75">
        <v>0</v>
      </c>
      <c r="U29" s="75">
        <v>0</v>
      </c>
      <c r="V29" s="75">
        <v>0</v>
      </c>
      <c r="W29" s="75">
        <v>0</v>
      </c>
      <c r="X29" s="75">
        <v>0</v>
      </c>
      <c r="Y29" s="75">
        <v>0</v>
      </c>
      <c r="Z29" s="76">
        <f t="shared" si="2"/>
        <v>569.51882271493344</v>
      </c>
    </row>
    <row r="30" spans="1:26" s="137" customFormat="1" ht="12" x14ac:dyDescent="0.25">
      <c r="A30" s="151" t="s">
        <v>79</v>
      </c>
      <c r="B30" s="152">
        <v>2</v>
      </c>
      <c r="C30" s="153">
        <v>927642</v>
      </c>
      <c r="D30" s="153"/>
      <c r="E30" s="154">
        <f>Main!$B$17</f>
        <v>0.14491573097072097</v>
      </c>
      <c r="F30" s="155">
        <f>Table1[[#This Row],[MWh (megawatt hours)]]*Table1[[#This Row],[Resource Allocation (Load/Power)]]</f>
        <v>134429.91850914154</v>
      </c>
      <c r="G30" s="156">
        <v>0.86</v>
      </c>
      <c r="H30" s="157"/>
      <c r="I30" s="157">
        <v>0.11</v>
      </c>
      <c r="J30" s="157"/>
      <c r="K30" s="157"/>
      <c r="L30" s="156"/>
      <c r="M30" s="156"/>
      <c r="N30" s="157"/>
      <c r="O30" s="157">
        <v>0.03</v>
      </c>
      <c r="P30" s="158">
        <f>SUM(Table1[[#This Row],[Hydro]:[Unknown/Market]])</f>
        <v>1</v>
      </c>
      <c r="Q30" s="159">
        <f t="shared" ref="Q30:Q40" si="6">G30*$F30</f>
        <v>115609.72991786172</v>
      </c>
      <c r="R30" s="159">
        <f t="shared" ref="R30:R40" si="7">H30*$F30</f>
        <v>0</v>
      </c>
      <c r="S30" s="159">
        <f t="shared" ref="S30:S40" si="8">I30*$F30</f>
        <v>14787.29103600557</v>
      </c>
      <c r="T30" s="159">
        <f t="shared" ref="T30:T40" si="9">J30*$F30</f>
        <v>0</v>
      </c>
      <c r="U30" s="159">
        <f t="shared" ref="U30:U40" si="10">K30*$F30</f>
        <v>0</v>
      </c>
      <c r="V30" s="159">
        <f t="shared" ref="V30:V40" si="11">L30*$F30</f>
        <v>0</v>
      </c>
      <c r="W30" s="159">
        <f t="shared" ref="W30:W40" si="12">M30*$F30</f>
        <v>0</v>
      </c>
      <c r="X30" s="159">
        <f t="shared" ref="X30:X40" si="13">N30*$F30</f>
        <v>0</v>
      </c>
      <c r="Y30" s="159">
        <f t="shared" ref="Y30:Y40" si="14">O30*$F30</f>
        <v>4032.8975552742463</v>
      </c>
      <c r="Z30" s="76">
        <f t="shared" si="2"/>
        <v>134429.91850914154</v>
      </c>
    </row>
    <row r="31" spans="1:26" ht="12" x14ac:dyDescent="0.25">
      <c r="A31" s="70" t="s">
        <v>80</v>
      </c>
      <c r="B31" s="84">
        <v>1</v>
      </c>
      <c r="C31" s="71">
        <v>382891</v>
      </c>
      <c r="D31" s="71"/>
      <c r="E31" s="73">
        <f>Main!$B$17</f>
        <v>0.14491573097072097</v>
      </c>
      <c r="F31" s="64">
        <f>Table1[[#This Row],[MWh (megawatt hours)]]*Table1[[#This Row],[Resource Allocation (Load/Power)]]</f>
        <v>55486.929147110321</v>
      </c>
      <c r="G31" s="63">
        <v>1</v>
      </c>
      <c r="H31" s="63"/>
      <c r="I31" s="63"/>
      <c r="J31" s="63"/>
      <c r="K31" s="63"/>
      <c r="L31" s="63"/>
      <c r="M31" s="63"/>
      <c r="P31" s="94">
        <f>SUM(Table1[[#This Row],[Hydro]:[Unknown/Market]])</f>
        <v>1</v>
      </c>
      <c r="Q31" s="75">
        <f t="shared" si="6"/>
        <v>55486.929147110321</v>
      </c>
      <c r="R31" s="75">
        <f t="shared" si="7"/>
        <v>0</v>
      </c>
      <c r="S31" s="75">
        <f t="shared" si="8"/>
        <v>0</v>
      </c>
      <c r="T31" s="75">
        <f t="shared" si="9"/>
        <v>0</v>
      </c>
      <c r="U31" s="75">
        <f t="shared" si="10"/>
        <v>0</v>
      </c>
      <c r="V31" s="75">
        <f t="shared" si="11"/>
        <v>0</v>
      </c>
      <c r="W31" s="75">
        <f t="shared" si="12"/>
        <v>0</v>
      </c>
      <c r="X31" s="75">
        <f t="shared" si="13"/>
        <v>0</v>
      </c>
      <c r="Y31" s="75">
        <f t="shared" si="14"/>
        <v>0</v>
      </c>
      <c r="Z31" s="76">
        <f t="shared" si="2"/>
        <v>55486.929147110321</v>
      </c>
    </row>
    <row r="32" spans="1:26" ht="12" x14ac:dyDescent="0.25">
      <c r="A32" s="70" t="s">
        <v>80</v>
      </c>
      <c r="B32" s="84">
        <v>2</v>
      </c>
      <c r="C32" s="71">
        <v>19525</v>
      </c>
      <c r="D32" s="71"/>
      <c r="E32" s="73">
        <f>Main!$B$17</f>
        <v>0.14491573097072097</v>
      </c>
      <c r="F32" s="64">
        <f>Table1[[#This Row],[MWh (megawatt hours)]]*Table1[[#This Row],[Resource Allocation (Load/Power)]]</f>
        <v>2829.4796472033267</v>
      </c>
      <c r="G32" s="63">
        <v>1</v>
      </c>
      <c r="H32" s="63"/>
      <c r="I32" s="63"/>
      <c r="J32" s="63"/>
      <c r="K32" s="63"/>
      <c r="L32" s="63"/>
      <c r="M32" s="63"/>
      <c r="P32" s="94">
        <f>SUM(Table1[[#This Row],[Hydro]:[Unknown/Market]])</f>
        <v>1</v>
      </c>
      <c r="Q32" s="75">
        <f t="shared" si="6"/>
        <v>2829.4796472033267</v>
      </c>
      <c r="R32" s="75">
        <f t="shared" si="7"/>
        <v>0</v>
      </c>
      <c r="S32" s="75">
        <f t="shared" si="8"/>
        <v>0</v>
      </c>
      <c r="T32" s="75">
        <f t="shared" si="9"/>
        <v>0</v>
      </c>
      <c r="U32" s="75">
        <f t="shared" si="10"/>
        <v>0</v>
      </c>
      <c r="V32" s="75">
        <f t="shared" si="11"/>
        <v>0</v>
      </c>
      <c r="W32" s="75">
        <f t="shared" si="12"/>
        <v>0</v>
      </c>
      <c r="X32" s="75">
        <f t="shared" si="13"/>
        <v>0</v>
      </c>
      <c r="Y32" s="75">
        <f t="shared" si="14"/>
        <v>0</v>
      </c>
      <c r="Z32" s="76">
        <f t="shared" si="2"/>
        <v>2829.4796472033267</v>
      </c>
    </row>
    <row r="33" spans="1:26" ht="12" x14ac:dyDescent="0.25">
      <c r="A33" s="70" t="s">
        <v>81</v>
      </c>
      <c r="B33" s="84">
        <v>4</v>
      </c>
      <c r="C33" s="71">
        <v>11085</v>
      </c>
      <c r="D33" s="71"/>
      <c r="E33" s="73">
        <f>Main!$B$17</f>
        <v>0.14491573097072097</v>
      </c>
      <c r="F33" s="64">
        <f>Table1[[#This Row],[MWh (megawatt hours)]]*Table1[[#This Row],[Resource Allocation (Load/Power)]]</f>
        <v>1606.3908778104419</v>
      </c>
      <c r="G33" s="63"/>
      <c r="H33" s="63"/>
      <c r="I33" s="63"/>
      <c r="J33" s="63"/>
      <c r="K33" s="63"/>
      <c r="L33" s="63"/>
      <c r="M33" s="63"/>
      <c r="O33" s="74">
        <v>1</v>
      </c>
      <c r="P33" s="94">
        <f>SUM(Table1[[#This Row],[Hydro]:[Unknown/Market]])</f>
        <v>1</v>
      </c>
      <c r="Q33" s="75">
        <f t="shared" si="6"/>
        <v>0</v>
      </c>
      <c r="R33" s="75">
        <f t="shared" si="7"/>
        <v>0</v>
      </c>
      <c r="S33" s="75">
        <f t="shared" si="8"/>
        <v>0</v>
      </c>
      <c r="T33" s="75">
        <f t="shared" si="9"/>
        <v>0</v>
      </c>
      <c r="U33" s="75">
        <f t="shared" si="10"/>
        <v>0</v>
      </c>
      <c r="V33" s="75">
        <f t="shared" si="11"/>
        <v>0</v>
      </c>
      <c r="W33" s="75">
        <f t="shared" si="12"/>
        <v>0</v>
      </c>
      <c r="X33" s="75">
        <f t="shared" si="13"/>
        <v>0</v>
      </c>
      <c r="Y33" s="75">
        <f t="shared" si="14"/>
        <v>1606.3908778104419</v>
      </c>
      <c r="Z33" s="76">
        <f t="shared" si="2"/>
        <v>1606.3908778104419</v>
      </c>
    </row>
    <row r="34" spans="1:26" ht="12" x14ac:dyDescent="0.25">
      <c r="A34" s="70" t="s">
        <v>82</v>
      </c>
      <c r="B34" s="84">
        <v>2</v>
      </c>
      <c r="C34" s="71">
        <v>282920</v>
      </c>
      <c r="D34" s="71"/>
      <c r="E34" s="73">
        <f>Main!$B$17</f>
        <v>0.14491573097072097</v>
      </c>
      <c r="F34" s="64">
        <f>Table1[[#This Row],[MWh (megawatt hours)]]*Table1[[#This Row],[Resource Allocation (Load/Power)]]</f>
        <v>40999.55860623638</v>
      </c>
      <c r="G34" s="63">
        <v>1</v>
      </c>
      <c r="H34" s="63"/>
      <c r="I34" s="63"/>
      <c r="J34" s="63"/>
      <c r="K34" s="63"/>
      <c r="L34" s="63"/>
      <c r="M34" s="63"/>
      <c r="P34" s="94">
        <f>SUM(Table1[[#This Row],[Hydro]:[Unknown/Market]])</f>
        <v>1</v>
      </c>
      <c r="Q34" s="75">
        <f t="shared" si="6"/>
        <v>40999.55860623638</v>
      </c>
      <c r="R34" s="75">
        <f t="shared" si="7"/>
        <v>0</v>
      </c>
      <c r="S34" s="75">
        <f t="shared" si="8"/>
        <v>0</v>
      </c>
      <c r="T34" s="75">
        <f t="shared" si="9"/>
        <v>0</v>
      </c>
      <c r="U34" s="75">
        <f t="shared" si="10"/>
        <v>0</v>
      </c>
      <c r="V34" s="75">
        <f t="shared" si="11"/>
        <v>0</v>
      </c>
      <c r="W34" s="75">
        <f t="shared" si="12"/>
        <v>0</v>
      </c>
      <c r="X34" s="75">
        <f t="shared" si="13"/>
        <v>0</v>
      </c>
      <c r="Y34" s="75">
        <f t="shared" si="14"/>
        <v>0</v>
      </c>
      <c r="Z34" s="76">
        <f t="shared" si="2"/>
        <v>40999.55860623638</v>
      </c>
    </row>
    <row r="35" spans="1:26" ht="12" x14ac:dyDescent="0.25">
      <c r="A35" s="70" t="s">
        <v>83</v>
      </c>
      <c r="B35" s="84">
        <v>1</v>
      </c>
      <c r="C35" s="71">
        <v>306875</v>
      </c>
      <c r="D35" s="71"/>
      <c r="E35" s="73">
        <f>Main!$B$17</f>
        <v>0.14491573097072097</v>
      </c>
      <c r="F35" s="64">
        <f>Table1[[#This Row],[MWh (megawatt hours)]]*Table1[[#This Row],[Resource Allocation (Load/Power)]]</f>
        <v>44471.014941639995</v>
      </c>
      <c r="G35" s="63">
        <v>1</v>
      </c>
      <c r="H35" s="63"/>
      <c r="I35" s="63"/>
      <c r="J35" s="63"/>
      <c r="K35" s="63"/>
      <c r="L35" s="63"/>
      <c r="M35" s="63"/>
      <c r="P35" s="94">
        <f>SUM(Table1[[#This Row],[Hydro]:[Unknown/Market]])</f>
        <v>1</v>
      </c>
      <c r="Q35" s="75">
        <f t="shared" si="6"/>
        <v>44471.014941639995</v>
      </c>
      <c r="R35" s="75">
        <f t="shared" si="7"/>
        <v>0</v>
      </c>
      <c r="S35" s="75">
        <f t="shared" si="8"/>
        <v>0</v>
      </c>
      <c r="T35" s="75">
        <f t="shared" si="9"/>
        <v>0</v>
      </c>
      <c r="U35" s="75">
        <f t="shared" si="10"/>
        <v>0</v>
      </c>
      <c r="V35" s="75">
        <f t="shared" si="11"/>
        <v>0</v>
      </c>
      <c r="W35" s="75">
        <f t="shared" si="12"/>
        <v>0</v>
      </c>
      <c r="X35" s="75">
        <f t="shared" si="13"/>
        <v>0</v>
      </c>
      <c r="Y35" s="75">
        <f t="shared" si="14"/>
        <v>0</v>
      </c>
      <c r="Z35" s="76">
        <f t="shared" si="2"/>
        <v>44471.014941639995</v>
      </c>
    </row>
    <row r="36" spans="1:26" ht="12" x14ac:dyDescent="0.25">
      <c r="A36" s="70" t="s">
        <v>83</v>
      </c>
      <c r="B36" s="84">
        <v>2</v>
      </c>
      <c r="C36" s="71">
        <v>58176</v>
      </c>
      <c r="D36" s="71"/>
      <c r="E36" s="73">
        <f>Main!$B$17</f>
        <v>0.14491573097072097</v>
      </c>
      <c r="F36" s="64">
        <f>Table1[[#This Row],[MWh (megawatt hours)]]*Table1[[#This Row],[Resource Allocation (Load/Power)]]</f>
        <v>8430.6175649526631</v>
      </c>
      <c r="G36" s="63"/>
      <c r="H36" s="63"/>
      <c r="I36" s="63"/>
      <c r="J36" s="63"/>
      <c r="K36" s="63"/>
      <c r="L36" s="63"/>
      <c r="M36" s="63"/>
      <c r="O36" s="74">
        <v>1</v>
      </c>
      <c r="P36" s="94">
        <f>SUM(Table1[[#This Row],[Hydro]:[Unknown/Market]])</f>
        <v>1</v>
      </c>
      <c r="Q36" s="75">
        <f t="shared" si="6"/>
        <v>0</v>
      </c>
      <c r="R36" s="75">
        <f t="shared" si="7"/>
        <v>0</v>
      </c>
      <c r="S36" s="75">
        <f t="shared" si="8"/>
        <v>0</v>
      </c>
      <c r="T36" s="75">
        <f t="shared" si="9"/>
        <v>0</v>
      </c>
      <c r="U36" s="75">
        <f t="shared" si="10"/>
        <v>0</v>
      </c>
      <c r="V36" s="75">
        <f t="shared" si="11"/>
        <v>0</v>
      </c>
      <c r="W36" s="75">
        <f t="shared" si="12"/>
        <v>0</v>
      </c>
      <c r="X36" s="75">
        <f t="shared" si="13"/>
        <v>0</v>
      </c>
      <c r="Y36" s="75">
        <f t="shared" si="14"/>
        <v>8430.6175649526631</v>
      </c>
      <c r="Z36" s="76">
        <f t="shared" si="2"/>
        <v>8430.6175649526631</v>
      </c>
    </row>
    <row r="37" spans="1:26" ht="12" x14ac:dyDescent="0.25">
      <c r="A37" s="70" t="s">
        <v>84</v>
      </c>
      <c r="B37" s="84">
        <v>1</v>
      </c>
      <c r="C37" s="71">
        <v>717984</v>
      </c>
      <c r="D37" s="71"/>
      <c r="E37" s="73">
        <f>Main!$B$17</f>
        <v>0.14491573097072097</v>
      </c>
      <c r="F37" s="64">
        <f>Table1[[#This Row],[MWh (megawatt hours)]]*Table1[[#This Row],[Resource Allocation (Load/Power)]]</f>
        <v>104047.17618528212</v>
      </c>
      <c r="G37" s="63">
        <v>1</v>
      </c>
      <c r="H37" s="63"/>
      <c r="I37" s="63"/>
      <c r="J37" s="63"/>
      <c r="K37" s="63"/>
      <c r="L37" s="63"/>
      <c r="M37" s="63"/>
      <c r="P37" s="94">
        <f>SUM(Table1[[#This Row],[Hydro]:[Unknown/Market]])</f>
        <v>1</v>
      </c>
      <c r="Q37" s="75">
        <f t="shared" si="6"/>
        <v>104047.17618528212</v>
      </c>
      <c r="R37" s="75">
        <f t="shared" si="7"/>
        <v>0</v>
      </c>
      <c r="S37" s="75">
        <f t="shared" si="8"/>
        <v>0</v>
      </c>
      <c r="T37" s="75">
        <f t="shared" si="9"/>
        <v>0</v>
      </c>
      <c r="U37" s="75">
        <f t="shared" si="10"/>
        <v>0</v>
      </c>
      <c r="V37" s="75">
        <f t="shared" si="11"/>
        <v>0</v>
      </c>
      <c r="W37" s="75">
        <f t="shared" si="12"/>
        <v>0</v>
      </c>
      <c r="X37" s="75">
        <f t="shared" si="13"/>
        <v>0</v>
      </c>
      <c r="Y37" s="75">
        <f t="shared" si="14"/>
        <v>0</v>
      </c>
      <c r="Z37" s="76">
        <f t="shared" si="2"/>
        <v>104047.17618528212</v>
      </c>
    </row>
    <row r="38" spans="1:26" ht="12" x14ac:dyDescent="0.25">
      <c r="A38" s="70" t="s">
        <v>84</v>
      </c>
      <c r="B38" s="84">
        <v>1</v>
      </c>
      <c r="C38" s="71">
        <v>928937</v>
      </c>
      <c r="D38" s="71"/>
      <c r="E38" s="73">
        <f>Main!$B$17</f>
        <v>0.14491573097072097</v>
      </c>
      <c r="F38" s="64">
        <f>Table1[[#This Row],[MWh (megawatt hours)]]*Table1[[#This Row],[Resource Allocation (Load/Power)]]</f>
        <v>134617.58438074862</v>
      </c>
      <c r="G38" s="63">
        <v>1</v>
      </c>
      <c r="H38" s="63"/>
      <c r="I38" s="63"/>
      <c r="J38" s="63"/>
      <c r="K38" s="63"/>
      <c r="L38" s="63"/>
      <c r="M38" s="63"/>
      <c r="P38" s="94">
        <f>SUM(Table1[[#This Row],[Hydro]:[Unknown/Market]])</f>
        <v>1</v>
      </c>
      <c r="Q38" s="75">
        <f t="shared" si="6"/>
        <v>134617.58438074862</v>
      </c>
      <c r="R38" s="75">
        <f t="shared" si="7"/>
        <v>0</v>
      </c>
      <c r="S38" s="75">
        <f t="shared" si="8"/>
        <v>0</v>
      </c>
      <c r="T38" s="75">
        <f t="shared" si="9"/>
        <v>0</v>
      </c>
      <c r="U38" s="75">
        <f t="shared" si="10"/>
        <v>0</v>
      </c>
      <c r="V38" s="75">
        <f t="shared" si="11"/>
        <v>0</v>
      </c>
      <c r="W38" s="75">
        <f t="shared" si="12"/>
        <v>0</v>
      </c>
      <c r="X38" s="75">
        <f t="shared" si="13"/>
        <v>0</v>
      </c>
      <c r="Y38" s="75">
        <f t="shared" si="14"/>
        <v>0</v>
      </c>
      <c r="Z38" s="76">
        <f t="shared" si="2"/>
        <v>134617.58438074862</v>
      </c>
    </row>
    <row r="39" spans="1:26" ht="12" x14ac:dyDescent="0.25">
      <c r="A39" s="70" t="s">
        <v>84</v>
      </c>
      <c r="B39" s="84">
        <v>2</v>
      </c>
      <c r="C39" s="71">
        <v>87600</v>
      </c>
      <c r="D39" s="71"/>
      <c r="E39" s="73">
        <f>Main!$B$17</f>
        <v>0.14491573097072097</v>
      </c>
      <c r="F39" s="64">
        <f>Table1[[#This Row],[MWh (megawatt hours)]]*Table1[[#This Row],[Resource Allocation (Load/Power)]]</f>
        <v>12694.618033035156</v>
      </c>
      <c r="G39" s="63"/>
      <c r="H39" s="63"/>
      <c r="I39" s="63"/>
      <c r="J39" s="63"/>
      <c r="K39" s="63"/>
      <c r="L39" s="63"/>
      <c r="M39" s="63"/>
      <c r="O39" s="74">
        <v>1</v>
      </c>
      <c r="P39" s="94">
        <f>SUM(Table1[[#This Row],[Hydro]:[Unknown/Market]])</f>
        <v>1</v>
      </c>
      <c r="Q39" s="75">
        <f t="shared" si="6"/>
        <v>0</v>
      </c>
      <c r="R39" s="75">
        <f t="shared" si="7"/>
        <v>0</v>
      </c>
      <c r="S39" s="75">
        <f t="shared" si="8"/>
        <v>0</v>
      </c>
      <c r="T39" s="75">
        <f t="shared" si="9"/>
        <v>0</v>
      </c>
      <c r="U39" s="75">
        <f t="shared" si="10"/>
        <v>0</v>
      </c>
      <c r="V39" s="75">
        <f t="shared" si="11"/>
        <v>0</v>
      </c>
      <c r="W39" s="75">
        <f t="shared" si="12"/>
        <v>0</v>
      </c>
      <c r="X39" s="75">
        <f t="shared" si="13"/>
        <v>0</v>
      </c>
      <c r="Y39" s="75">
        <f t="shared" si="14"/>
        <v>12694.618033035156</v>
      </c>
      <c r="Z39" s="76">
        <f t="shared" si="2"/>
        <v>12694.618033035156</v>
      </c>
    </row>
    <row r="40" spans="1:26" ht="12" x14ac:dyDescent="0.25">
      <c r="A40" s="70" t="s">
        <v>84</v>
      </c>
      <c r="B40" s="84">
        <v>2</v>
      </c>
      <c r="C40" s="71">
        <v>38668</v>
      </c>
      <c r="D40" s="71"/>
      <c r="E40" s="73">
        <f>Main!$B$17</f>
        <v>0.14491573097072097</v>
      </c>
      <c r="F40" s="64">
        <f>Table1[[#This Row],[MWh (megawatt hours)]]*Table1[[#This Row],[Resource Allocation (Load/Power)]]</f>
        <v>5603.6014851758382</v>
      </c>
      <c r="G40" s="63"/>
      <c r="H40" s="63"/>
      <c r="I40" s="63"/>
      <c r="J40" s="63"/>
      <c r="K40" s="63"/>
      <c r="L40" s="63"/>
      <c r="M40" s="63"/>
      <c r="O40" s="74">
        <v>1</v>
      </c>
      <c r="P40" s="94">
        <f>SUM(Table1[[#This Row],[Hydro]:[Unknown/Market]])</f>
        <v>1</v>
      </c>
      <c r="Q40" s="75">
        <f t="shared" si="6"/>
        <v>0</v>
      </c>
      <c r="R40" s="75">
        <f t="shared" si="7"/>
        <v>0</v>
      </c>
      <c r="S40" s="75">
        <f t="shared" si="8"/>
        <v>0</v>
      </c>
      <c r="T40" s="75">
        <f t="shared" si="9"/>
        <v>0</v>
      </c>
      <c r="U40" s="75">
        <f t="shared" si="10"/>
        <v>0</v>
      </c>
      <c r="V40" s="75">
        <f t="shared" si="11"/>
        <v>0</v>
      </c>
      <c r="W40" s="75">
        <f t="shared" si="12"/>
        <v>0</v>
      </c>
      <c r="X40" s="75">
        <f t="shared" si="13"/>
        <v>0</v>
      </c>
      <c r="Y40" s="75">
        <f t="shared" si="14"/>
        <v>5603.6014851758382</v>
      </c>
      <c r="Z40" s="76">
        <f t="shared" si="2"/>
        <v>5603.6014851758382</v>
      </c>
    </row>
    <row r="41" spans="1:26" ht="12" x14ac:dyDescent="0.25">
      <c r="A41" s="70" t="s">
        <v>85</v>
      </c>
      <c r="B41" s="84">
        <v>4</v>
      </c>
      <c r="C41" s="71">
        <v>24000</v>
      </c>
      <c r="D41" s="71"/>
      <c r="E41" s="73">
        <f>Main!$B$17</f>
        <v>0.14491573097072097</v>
      </c>
      <c r="F41" s="64">
        <f>Table1[[#This Row],[MWh (megawatt hours)]]*Table1[[#This Row],[Resource Allocation (Load/Power)]]</f>
        <v>3477.9775432973033</v>
      </c>
      <c r="G41" s="63"/>
      <c r="H41" s="63"/>
      <c r="I41" s="63"/>
      <c r="J41" s="63"/>
      <c r="K41" s="63"/>
      <c r="L41" s="63"/>
      <c r="M41" s="63"/>
      <c r="O41" s="74">
        <v>1</v>
      </c>
      <c r="P41" s="94">
        <f>SUM(Table1[[#This Row],[Hydro]:[Unknown/Market]])</f>
        <v>1</v>
      </c>
      <c r="Q41" s="75">
        <f t="shared" ref="Q41:Q54" si="15">G41*$F41</f>
        <v>0</v>
      </c>
      <c r="R41" s="75">
        <f t="shared" ref="R41:R54" si="16">H41*$F41</f>
        <v>0</v>
      </c>
      <c r="S41" s="75">
        <f t="shared" ref="S41:S54" si="17">I41*$F41</f>
        <v>0</v>
      </c>
      <c r="T41" s="75">
        <f t="shared" ref="T41:T54" si="18">J41*$F41</f>
        <v>0</v>
      </c>
      <c r="U41" s="75">
        <f t="shared" ref="U41:U54" si="19">K41*$F41</f>
        <v>0</v>
      </c>
      <c r="V41" s="75">
        <f t="shared" ref="V41:V54" si="20">L41*$F41</f>
        <v>0</v>
      </c>
      <c r="W41" s="75">
        <f t="shared" ref="W41:W54" si="21">M41*$F41</f>
        <v>0</v>
      </c>
      <c r="X41" s="75">
        <f t="shared" ref="X41:X54" si="22">N41*$F41</f>
        <v>0</v>
      </c>
      <c r="Y41" s="75">
        <f t="shared" ref="Y41:Y54" si="23">O41*$F41</f>
        <v>3477.9775432973033</v>
      </c>
      <c r="Z41" s="76">
        <f t="shared" si="2"/>
        <v>3477.9775432973033</v>
      </c>
    </row>
    <row r="42" spans="1:26" ht="12" x14ac:dyDescent="0.25">
      <c r="A42" s="70" t="s">
        <v>85</v>
      </c>
      <c r="B42" s="84">
        <v>4</v>
      </c>
      <c r="C42" s="71">
        <v>620</v>
      </c>
      <c r="D42" s="71"/>
      <c r="E42" s="73">
        <f>Main!$B$17</f>
        <v>0.14491573097072097</v>
      </c>
      <c r="F42" s="64">
        <f>Table1[[#This Row],[MWh (megawatt hours)]]*Table1[[#This Row],[Resource Allocation (Load/Power)]]</f>
        <v>89.847753201846999</v>
      </c>
      <c r="G42" s="63"/>
      <c r="H42" s="63"/>
      <c r="I42" s="63"/>
      <c r="J42" s="63"/>
      <c r="K42" s="63"/>
      <c r="L42" s="63"/>
      <c r="M42" s="63"/>
      <c r="O42" s="74">
        <v>1</v>
      </c>
      <c r="P42" s="94">
        <f>SUM(Table1[[#This Row],[Hydro]:[Unknown/Market]])</f>
        <v>1</v>
      </c>
      <c r="Q42" s="75">
        <f t="shared" si="15"/>
        <v>0</v>
      </c>
      <c r="R42" s="75">
        <f t="shared" si="16"/>
        <v>0</v>
      </c>
      <c r="S42" s="75">
        <f t="shared" si="17"/>
        <v>0</v>
      </c>
      <c r="T42" s="75">
        <f t="shared" si="18"/>
        <v>0</v>
      </c>
      <c r="U42" s="75">
        <f t="shared" si="19"/>
        <v>0</v>
      </c>
      <c r="V42" s="75">
        <f t="shared" si="20"/>
        <v>0</v>
      </c>
      <c r="W42" s="75">
        <f t="shared" si="21"/>
        <v>0</v>
      </c>
      <c r="X42" s="75">
        <f t="shared" si="22"/>
        <v>0</v>
      </c>
      <c r="Y42" s="75">
        <f t="shared" si="23"/>
        <v>89.847753201846999</v>
      </c>
      <c r="Z42" s="76">
        <f t="shared" si="2"/>
        <v>89.847753201846999</v>
      </c>
    </row>
    <row r="43" spans="1:26" ht="12" x14ac:dyDescent="0.25">
      <c r="A43" s="70" t="s">
        <v>86</v>
      </c>
      <c r="B43" s="84">
        <v>2</v>
      </c>
      <c r="C43" s="71">
        <v>18950</v>
      </c>
      <c r="D43" s="71"/>
      <c r="E43" s="73">
        <f>Main!$B$17</f>
        <v>0.14491573097072097</v>
      </c>
      <c r="F43" s="64">
        <f>Table1[[#This Row],[MWh (megawatt hours)]]*Table1[[#This Row],[Resource Allocation (Load/Power)]]</f>
        <v>2746.1531018951623</v>
      </c>
      <c r="G43" s="63"/>
      <c r="H43" s="63"/>
      <c r="I43" s="63"/>
      <c r="J43" s="63"/>
      <c r="K43" s="63"/>
      <c r="L43" s="63"/>
      <c r="M43" s="63"/>
      <c r="O43" s="74">
        <v>1</v>
      </c>
      <c r="P43" s="94">
        <f>SUM(Table1[[#This Row],[Hydro]:[Unknown/Market]])</f>
        <v>1</v>
      </c>
      <c r="Q43" s="75">
        <f t="shared" si="15"/>
        <v>0</v>
      </c>
      <c r="R43" s="75">
        <f t="shared" si="16"/>
        <v>0</v>
      </c>
      <c r="S43" s="75">
        <f t="shared" si="17"/>
        <v>0</v>
      </c>
      <c r="T43" s="75">
        <f t="shared" si="18"/>
        <v>0</v>
      </c>
      <c r="U43" s="75">
        <f t="shared" si="19"/>
        <v>0</v>
      </c>
      <c r="V43" s="75">
        <f t="shared" si="20"/>
        <v>0</v>
      </c>
      <c r="W43" s="75">
        <f t="shared" si="21"/>
        <v>0</v>
      </c>
      <c r="X43" s="75">
        <f t="shared" si="22"/>
        <v>0</v>
      </c>
      <c r="Y43" s="75">
        <f t="shared" si="23"/>
        <v>2746.1531018951623</v>
      </c>
      <c r="Z43" s="76">
        <f t="shared" si="2"/>
        <v>2746.1531018951623</v>
      </c>
    </row>
    <row r="44" spans="1:26" ht="12" x14ac:dyDescent="0.25">
      <c r="A44" s="70" t="s">
        <v>87</v>
      </c>
      <c r="B44" s="84">
        <v>4</v>
      </c>
      <c r="C44" s="71">
        <v>19137</v>
      </c>
      <c r="D44" s="71"/>
      <c r="E44" s="73">
        <f>Main!$B$17</f>
        <v>0.14491573097072097</v>
      </c>
      <c r="F44" s="64">
        <f>Table1[[#This Row],[MWh (megawatt hours)]]*Table1[[#This Row],[Resource Allocation (Load/Power)]]</f>
        <v>2773.2523435866869</v>
      </c>
      <c r="G44" s="63"/>
      <c r="H44" s="63"/>
      <c r="I44" s="63"/>
      <c r="J44" s="63"/>
      <c r="K44" s="63"/>
      <c r="L44" s="63"/>
      <c r="M44" s="63"/>
      <c r="O44" s="74">
        <v>1</v>
      </c>
      <c r="P44" s="94">
        <f>SUM(Table1[[#This Row],[Hydro]:[Unknown/Market]])</f>
        <v>1</v>
      </c>
      <c r="Q44" s="75">
        <f t="shared" si="15"/>
        <v>0</v>
      </c>
      <c r="R44" s="75">
        <f t="shared" si="16"/>
        <v>0</v>
      </c>
      <c r="S44" s="75">
        <f t="shared" si="17"/>
        <v>0</v>
      </c>
      <c r="T44" s="75">
        <f t="shared" si="18"/>
        <v>0</v>
      </c>
      <c r="U44" s="75">
        <f t="shared" si="19"/>
        <v>0</v>
      </c>
      <c r="V44" s="75">
        <f t="shared" si="20"/>
        <v>0</v>
      </c>
      <c r="W44" s="75">
        <f t="shared" si="21"/>
        <v>0</v>
      </c>
      <c r="X44" s="75">
        <f t="shared" si="22"/>
        <v>0</v>
      </c>
      <c r="Y44" s="75">
        <f t="shared" si="23"/>
        <v>2773.2523435866869</v>
      </c>
      <c r="Z44" s="76">
        <f t="shared" ref="Z44:Z53" si="24">SUM(Q44:Y44)</f>
        <v>2773.2523435866869</v>
      </c>
    </row>
    <row r="45" spans="1:26" ht="12" x14ac:dyDescent="0.25">
      <c r="A45" s="70" t="s">
        <v>88</v>
      </c>
      <c r="B45" s="84">
        <v>4</v>
      </c>
      <c r="C45" s="71">
        <v>425</v>
      </c>
      <c r="D45" s="71"/>
      <c r="E45" s="73">
        <f>Main!$B$17</f>
        <v>0.14491573097072097</v>
      </c>
      <c r="F45" s="64">
        <f>Table1[[#This Row],[MWh (megawatt hours)]]*Table1[[#This Row],[Resource Allocation (Load/Power)]]</f>
        <v>61.58918566255641</v>
      </c>
      <c r="G45" s="63"/>
      <c r="H45" s="63"/>
      <c r="I45" s="63"/>
      <c r="J45" s="63"/>
      <c r="K45" s="63"/>
      <c r="L45" s="63"/>
      <c r="M45" s="63"/>
      <c r="O45" s="74">
        <v>1</v>
      </c>
      <c r="P45" s="94">
        <f>SUM(Table1[[#This Row],[Hydro]:[Unknown/Market]])</f>
        <v>1</v>
      </c>
      <c r="Q45" s="75">
        <f t="shared" si="15"/>
        <v>0</v>
      </c>
      <c r="R45" s="75">
        <f t="shared" si="16"/>
        <v>0</v>
      </c>
      <c r="S45" s="75">
        <f t="shared" si="17"/>
        <v>0</v>
      </c>
      <c r="T45" s="75">
        <f t="shared" si="18"/>
        <v>0</v>
      </c>
      <c r="U45" s="75">
        <f t="shared" si="19"/>
        <v>0</v>
      </c>
      <c r="V45" s="75">
        <f t="shared" si="20"/>
        <v>0</v>
      </c>
      <c r="W45" s="75">
        <f t="shared" si="21"/>
        <v>0</v>
      </c>
      <c r="X45" s="75">
        <f t="shared" si="22"/>
        <v>0</v>
      </c>
      <c r="Y45" s="75">
        <f t="shared" si="23"/>
        <v>61.58918566255641</v>
      </c>
      <c r="Z45" s="76">
        <f t="shared" si="24"/>
        <v>61.58918566255641</v>
      </c>
    </row>
    <row r="46" spans="1:26" ht="12" x14ac:dyDescent="0.25">
      <c r="A46" s="70" t="s">
        <v>89</v>
      </c>
      <c r="B46" s="84">
        <v>4</v>
      </c>
      <c r="C46" s="71">
        <v>6270</v>
      </c>
      <c r="D46" s="71"/>
      <c r="E46" s="73">
        <f>Main!$B$17</f>
        <v>0.14491573097072097</v>
      </c>
      <c r="F46" s="64">
        <f>Table1[[#This Row],[MWh (megawatt hours)]]*Table1[[#This Row],[Resource Allocation (Load/Power)]]</f>
        <v>908.62163318642047</v>
      </c>
      <c r="G46" s="63"/>
      <c r="H46" s="63"/>
      <c r="I46" s="63"/>
      <c r="J46" s="63"/>
      <c r="K46" s="63"/>
      <c r="L46" s="63"/>
      <c r="M46" s="63"/>
      <c r="O46" s="74">
        <v>1</v>
      </c>
      <c r="P46" s="94">
        <f>SUM(Table1[[#This Row],[Hydro]:[Unknown/Market]])</f>
        <v>1</v>
      </c>
      <c r="Q46" s="75">
        <f t="shared" si="15"/>
        <v>0</v>
      </c>
      <c r="R46" s="75">
        <f t="shared" si="16"/>
        <v>0</v>
      </c>
      <c r="S46" s="75">
        <f t="shared" si="17"/>
        <v>0</v>
      </c>
      <c r="T46" s="75">
        <f t="shared" si="18"/>
        <v>0</v>
      </c>
      <c r="U46" s="75">
        <f t="shared" si="19"/>
        <v>0</v>
      </c>
      <c r="V46" s="75">
        <f t="shared" si="20"/>
        <v>0</v>
      </c>
      <c r="W46" s="75">
        <f t="shared" si="21"/>
        <v>0</v>
      </c>
      <c r="X46" s="75">
        <f t="shared" si="22"/>
        <v>0</v>
      </c>
      <c r="Y46" s="75">
        <f t="shared" si="23"/>
        <v>908.62163318642047</v>
      </c>
      <c r="Z46" s="76">
        <f t="shared" si="24"/>
        <v>908.62163318642047</v>
      </c>
    </row>
    <row r="47" spans="1:26" ht="12" x14ac:dyDescent="0.25">
      <c r="A47" s="70" t="s">
        <v>90</v>
      </c>
      <c r="B47" s="84">
        <v>2</v>
      </c>
      <c r="C47" s="71">
        <v>438000</v>
      </c>
      <c r="D47" s="71"/>
      <c r="E47" s="73">
        <f>Main!$B$17</f>
        <v>0.14491573097072097</v>
      </c>
      <c r="F47" s="64">
        <f>Table1[[#This Row],[MWh (megawatt hours)]]*Table1[[#This Row],[Resource Allocation (Load/Power)]]</f>
        <v>63473.090165175781</v>
      </c>
      <c r="G47" s="63"/>
      <c r="H47" s="63"/>
      <c r="I47" s="63"/>
      <c r="J47" s="63"/>
      <c r="K47" s="63"/>
      <c r="L47" s="63"/>
      <c r="M47" s="63"/>
      <c r="O47" s="74">
        <v>1</v>
      </c>
      <c r="P47" s="94">
        <f>SUM(Table1[[#This Row],[Hydro]:[Unknown/Market]])</f>
        <v>1</v>
      </c>
      <c r="Q47" s="75">
        <f t="shared" si="15"/>
        <v>0</v>
      </c>
      <c r="R47" s="75">
        <f t="shared" si="16"/>
        <v>0</v>
      </c>
      <c r="S47" s="75">
        <f t="shared" si="17"/>
        <v>0</v>
      </c>
      <c r="T47" s="75">
        <f t="shared" si="18"/>
        <v>0</v>
      </c>
      <c r="U47" s="75">
        <f t="shared" si="19"/>
        <v>0</v>
      </c>
      <c r="V47" s="75">
        <f t="shared" si="20"/>
        <v>0</v>
      </c>
      <c r="W47" s="75">
        <f t="shared" si="21"/>
        <v>0</v>
      </c>
      <c r="X47" s="75">
        <f t="shared" si="22"/>
        <v>0</v>
      </c>
      <c r="Y47" s="75">
        <f t="shared" si="23"/>
        <v>63473.090165175781</v>
      </c>
      <c r="Z47" s="76">
        <f t="shared" si="24"/>
        <v>63473.090165175781</v>
      </c>
    </row>
    <row r="48" spans="1:26" ht="12" x14ac:dyDescent="0.25">
      <c r="A48" s="70" t="s">
        <v>90</v>
      </c>
      <c r="B48" s="84">
        <v>2</v>
      </c>
      <c r="C48" s="71">
        <v>20100</v>
      </c>
      <c r="D48" s="71"/>
      <c r="E48" s="73">
        <f>Main!$B$17</f>
        <v>0.14491573097072097</v>
      </c>
      <c r="F48" s="64">
        <f>Table1[[#This Row],[MWh (megawatt hours)]]*Table1[[#This Row],[Resource Allocation (Load/Power)]]</f>
        <v>2912.8061925114916</v>
      </c>
      <c r="G48" s="63"/>
      <c r="H48" s="63"/>
      <c r="I48" s="63"/>
      <c r="J48" s="63"/>
      <c r="K48" s="63"/>
      <c r="L48" s="63"/>
      <c r="M48" s="63"/>
      <c r="O48" s="74">
        <v>1</v>
      </c>
      <c r="P48" s="94">
        <f>SUM(Table1[[#This Row],[Hydro]:[Unknown/Market]])</f>
        <v>1</v>
      </c>
      <c r="Q48" s="75">
        <f t="shared" si="15"/>
        <v>0</v>
      </c>
      <c r="R48" s="75">
        <f t="shared" si="16"/>
        <v>0</v>
      </c>
      <c r="S48" s="75">
        <f t="shared" si="17"/>
        <v>0</v>
      </c>
      <c r="T48" s="75">
        <f t="shared" si="18"/>
        <v>0</v>
      </c>
      <c r="U48" s="75">
        <f t="shared" si="19"/>
        <v>0</v>
      </c>
      <c r="V48" s="75">
        <f t="shared" si="20"/>
        <v>0</v>
      </c>
      <c r="W48" s="75">
        <f t="shared" si="21"/>
        <v>0</v>
      </c>
      <c r="X48" s="75">
        <f t="shared" si="22"/>
        <v>0</v>
      </c>
      <c r="Y48" s="75">
        <f t="shared" si="23"/>
        <v>2912.8061925114916</v>
      </c>
      <c r="Z48" s="76">
        <f t="shared" si="24"/>
        <v>2912.8061925114916</v>
      </c>
    </row>
    <row r="49" spans="1:27" ht="12" x14ac:dyDescent="0.25">
      <c r="A49" s="70" t="s">
        <v>90</v>
      </c>
      <c r="B49" s="84">
        <v>2</v>
      </c>
      <c r="C49" s="71">
        <v>45443</v>
      </c>
      <c r="D49" s="71"/>
      <c r="E49" s="73">
        <f>Main!$B$17</f>
        <v>0.14491573097072097</v>
      </c>
      <c r="F49" s="64">
        <f>Table1[[#This Row],[MWh (megawatt hours)]]*Table1[[#This Row],[Resource Allocation (Load/Power)]]</f>
        <v>6585.405562502473</v>
      </c>
      <c r="G49" s="63"/>
      <c r="H49" s="63"/>
      <c r="I49" s="63"/>
      <c r="J49" s="63"/>
      <c r="K49" s="63"/>
      <c r="L49" s="63"/>
      <c r="M49" s="63"/>
      <c r="O49" s="74">
        <v>1</v>
      </c>
      <c r="P49" s="94">
        <f>SUM(Table1[[#This Row],[Hydro]:[Unknown/Market]])</f>
        <v>1</v>
      </c>
      <c r="Q49" s="75">
        <f t="shared" si="15"/>
        <v>0</v>
      </c>
      <c r="R49" s="75">
        <f t="shared" si="16"/>
        <v>0</v>
      </c>
      <c r="S49" s="75">
        <f t="shared" si="17"/>
        <v>0</v>
      </c>
      <c r="T49" s="75">
        <f t="shared" si="18"/>
        <v>0</v>
      </c>
      <c r="U49" s="75">
        <f t="shared" si="19"/>
        <v>0</v>
      </c>
      <c r="V49" s="75">
        <f t="shared" si="20"/>
        <v>0</v>
      </c>
      <c r="W49" s="75">
        <f t="shared" si="21"/>
        <v>0</v>
      </c>
      <c r="X49" s="75">
        <f t="shared" si="22"/>
        <v>0</v>
      </c>
      <c r="Y49" s="75">
        <f t="shared" si="23"/>
        <v>6585.405562502473</v>
      </c>
      <c r="Z49" s="76">
        <f t="shared" si="24"/>
        <v>6585.405562502473</v>
      </c>
    </row>
    <row r="50" spans="1:27" ht="12" x14ac:dyDescent="0.25">
      <c r="A50" s="70" t="s">
        <v>90</v>
      </c>
      <c r="B50" s="84">
        <v>2</v>
      </c>
      <c r="C50" s="71">
        <v>68597</v>
      </c>
      <c r="D50" s="71"/>
      <c r="E50" s="73">
        <f>Main!$B$17</f>
        <v>0.14491573097072097</v>
      </c>
      <c r="F50" s="64">
        <f>Table1[[#This Row],[MWh (megawatt hours)]]*Table1[[#This Row],[Resource Allocation (Load/Power)]]</f>
        <v>9940.7843973985455</v>
      </c>
      <c r="G50" s="63"/>
      <c r="H50" s="63"/>
      <c r="I50" s="63"/>
      <c r="J50" s="63"/>
      <c r="K50" s="63"/>
      <c r="L50" s="63"/>
      <c r="M50" s="63"/>
      <c r="O50" s="74">
        <v>1</v>
      </c>
      <c r="P50" s="94">
        <f>SUM(Table1[[#This Row],[Hydro]:[Unknown/Market]])</f>
        <v>1</v>
      </c>
      <c r="Q50" s="75">
        <f t="shared" si="15"/>
        <v>0</v>
      </c>
      <c r="R50" s="75">
        <f t="shared" si="16"/>
        <v>0</v>
      </c>
      <c r="S50" s="75">
        <f t="shared" si="17"/>
        <v>0</v>
      </c>
      <c r="T50" s="75">
        <f t="shared" si="18"/>
        <v>0</v>
      </c>
      <c r="U50" s="75">
        <f t="shared" si="19"/>
        <v>0</v>
      </c>
      <c r="V50" s="75">
        <f t="shared" si="20"/>
        <v>0</v>
      </c>
      <c r="W50" s="75">
        <f t="shared" si="21"/>
        <v>0</v>
      </c>
      <c r="X50" s="75">
        <f t="shared" si="22"/>
        <v>0</v>
      </c>
      <c r="Y50" s="75">
        <f t="shared" si="23"/>
        <v>9940.7843973985455</v>
      </c>
      <c r="Z50" s="76">
        <f t="shared" si="24"/>
        <v>9940.7843973985455</v>
      </c>
    </row>
    <row r="51" spans="1:27" ht="12" x14ac:dyDescent="0.25">
      <c r="A51" s="70" t="s">
        <v>91</v>
      </c>
      <c r="B51" s="84">
        <v>2</v>
      </c>
      <c r="C51" s="71">
        <v>16622</v>
      </c>
      <c r="D51" s="71"/>
      <c r="E51" s="73">
        <f>Main!$B$17</f>
        <v>0.14491573097072097</v>
      </c>
      <c r="F51" s="64">
        <f>Table1[[#This Row],[MWh (megawatt hours)]]*Table1[[#This Row],[Resource Allocation (Load/Power)]]</f>
        <v>2408.789280195324</v>
      </c>
      <c r="G51" s="63">
        <v>1</v>
      </c>
      <c r="H51" s="63"/>
      <c r="I51" s="63"/>
      <c r="J51" s="63"/>
      <c r="K51" s="63"/>
      <c r="L51" s="63"/>
      <c r="M51" s="63"/>
      <c r="O51" s="74"/>
      <c r="P51" s="94">
        <f>SUM(Table1[[#This Row],[Hydro]:[Unknown/Market]])</f>
        <v>1</v>
      </c>
      <c r="Q51" s="75">
        <f t="shared" si="15"/>
        <v>2408.789280195324</v>
      </c>
      <c r="R51" s="75">
        <f t="shared" si="16"/>
        <v>0</v>
      </c>
      <c r="S51" s="75">
        <f t="shared" si="17"/>
        <v>0</v>
      </c>
      <c r="T51" s="75">
        <f t="shared" si="18"/>
        <v>0</v>
      </c>
      <c r="U51" s="75">
        <f t="shared" si="19"/>
        <v>0</v>
      </c>
      <c r="V51" s="75">
        <f t="shared" si="20"/>
        <v>0</v>
      </c>
      <c r="W51" s="75">
        <f t="shared" si="21"/>
        <v>0</v>
      </c>
      <c r="X51" s="75">
        <f t="shared" si="22"/>
        <v>0</v>
      </c>
      <c r="Y51" s="75">
        <f t="shared" si="23"/>
        <v>0</v>
      </c>
      <c r="Z51" s="76">
        <f t="shared" si="24"/>
        <v>2408.789280195324</v>
      </c>
    </row>
    <row r="52" spans="1:27" ht="12" x14ac:dyDescent="0.25">
      <c r="A52" s="70" t="s">
        <v>92</v>
      </c>
      <c r="B52" s="84">
        <v>2</v>
      </c>
      <c r="C52" s="71">
        <v>590453</v>
      </c>
      <c r="D52" s="71"/>
      <c r="E52" s="73">
        <f>Main!$B$17</f>
        <v>0.14491573097072097</v>
      </c>
      <c r="F52" s="64">
        <f>Table1[[#This Row],[MWh (megawatt hours)]]*Table1[[#This Row],[Resource Allocation (Load/Power)]]</f>
        <v>85565.928098855104</v>
      </c>
      <c r="G52" s="63"/>
      <c r="H52" s="63"/>
      <c r="I52" s="63">
        <v>1</v>
      </c>
      <c r="J52" s="63"/>
      <c r="K52" s="63"/>
      <c r="L52" s="63"/>
      <c r="M52" s="63"/>
      <c r="O52" s="74"/>
      <c r="P52" s="94">
        <f>SUM(Table1[[#This Row],[Hydro]:[Unknown/Market]])</f>
        <v>1</v>
      </c>
      <c r="Q52" s="75">
        <f t="shared" si="15"/>
        <v>0</v>
      </c>
      <c r="R52" s="75">
        <f t="shared" si="16"/>
        <v>0</v>
      </c>
      <c r="S52" s="75">
        <f t="shared" si="17"/>
        <v>85565.928098855104</v>
      </c>
      <c r="T52" s="75">
        <f t="shared" si="18"/>
        <v>0</v>
      </c>
      <c r="U52" s="75">
        <f t="shared" si="19"/>
        <v>0</v>
      </c>
      <c r="V52" s="75">
        <f t="shared" si="20"/>
        <v>0</v>
      </c>
      <c r="W52" s="75">
        <f t="shared" si="21"/>
        <v>0</v>
      </c>
      <c r="X52" s="75">
        <f t="shared" si="22"/>
        <v>0</v>
      </c>
      <c r="Y52" s="75">
        <f t="shared" si="23"/>
        <v>0</v>
      </c>
      <c r="Z52" s="76">
        <f t="shared" si="24"/>
        <v>85565.928098855104</v>
      </c>
    </row>
    <row r="53" spans="1:27" ht="12" x14ac:dyDescent="0.25">
      <c r="A53" s="70" t="s">
        <v>93</v>
      </c>
      <c r="B53" s="84">
        <v>1</v>
      </c>
      <c r="C53" s="71">
        <v>8160</v>
      </c>
      <c r="D53" s="71"/>
      <c r="E53" s="73">
        <f>Main!$B$17</f>
        <v>0.14491573097072097</v>
      </c>
      <c r="F53" s="64">
        <f>Table1[[#This Row],[MWh (megawatt hours)]]*Table1[[#This Row],[Resource Allocation (Load/Power)]]</f>
        <v>1182.512364721083</v>
      </c>
      <c r="G53" s="63">
        <v>1</v>
      </c>
      <c r="H53" s="63"/>
      <c r="I53" s="63"/>
      <c r="J53" s="63"/>
      <c r="K53" s="63"/>
      <c r="L53" s="63"/>
      <c r="M53" s="63"/>
      <c r="P53" s="94">
        <f>SUM(Table1[[#This Row],[Hydro]:[Unknown/Market]])</f>
        <v>1</v>
      </c>
      <c r="Q53" s="75">
        <f t="shared" si="15"/>
        <v>1182.512364721083</v>
      </c>
      <c r="R53" s="75">
        <f t="shared" si="16"/>
        <v>0</v>
      </c>
      <c r="S53" s="75">
        <f t="shared" si="17"/>
        <v>0</v>
      </c>
      <c r="T53" s="75">
        <f t="shared" si="18"/>
        <v>0</v>
      </c>
      <c r="U53" s="75">
        <f t="shared" si="19"/>
        <v>0</v>
      </c>
      <c r="V53" s="75">
        <f t="shared" si="20"/>
        <v>0</v>
      </c>
      <c r="W53" s="75">
        <f t="shared" si="21"/>
        <v>0</v>
      </c>
      <c r="X53" s="75">
        <f t="shared" si="22"/>
        <v>0</v>
      </c>
      <c r="Y53" s="75">
        <f t="shared" si="23"/>
        <v>0</v>
      </c>
      <c r="Z53" s="76">
        <f t="shared" si="24"/>
        <v>1182.512364721083</v>
      </c>
    </row>
    <row r="54" spans="1:27" x14ac:dyDescent="0.2">
      <c r="A54" s="79" t="s">
        <v>34</v>
      </c>
      <c r="B54" s="85"/>
      <c r="C54" s="80">
        <f>SUM(C2:C53)</f>
        <v>22919037</v>
      </c>
      <c r="D54" s="91"/>
      <c r="E54" s="73"/>
      <c r="F54" s="64">
        <f>SUBTOTAL(109,F2:F53)</f>
        <v>3321329</v>
      </c>
      <c r="P54" s="58">
        <f>SUM(Table1[[#This Row],[Hydro]:[Unknown/Market]])</f>
        <v>0</v>
      </c>
      <c r="Q54" s="75">
        <f t="shared" si="15"/>
        <v>0</v>
      </c>
      <c r="R54" s="75">
        <f t="shared" si="16"/>
        <v>0</v>
      </c>
      <c r="S54" s="75">
        <f t="shared" si="17"/>
        <v>0</v>
      </c>
      <c r="T54" s="75">
        <f t="shared" si="18"/>
        <v>0</v>
      </c>
      <c r="U54" s="75">
        <f t="shared" si="19"/>
        <v>0</v>
      </c>
      <c r="V54" s="75">
        <f t="shared" si="20"/>
        <v>0</v>
      </c>
      <c r="W54" s="75">
        <f t="shared" si="21"/>
        <v>0</v>
      </c>
      <c r="X54" s="75">
        <f t="shared" si="22"/>
        <v>0</v>
      </c>
      <c r="Y54" s="75">
        <f t="shared" si="23"/>
        <v>0</v>
      </c>
    </row>
    <row r="55" spans="1:27" x14ac:dyDescent="0.2">
      <c r="F55" s="150">
        <f>C54*E53</f>
        <v>3321329</v>
      </c>
      <c r="Q55" s="75">
        <f t="shared" ref="Q55:V55" si="25">SUM(Q6:Q54)</f>
        <v>1012651.0021266809</v>
      </c>
      <c r="R55" s="75">
        <f t="shared" si="25"/>
        <v>2060987.0334779336</v>
      </c>
      <c r="S55" s="75">
        <f t="shared" si="25"/>
        <v>100353.21913486067</v>
      </c>
      <c r="T55" s="75">
        <f t="shared" si="25"/>
        <v>22000.091865858063</v>
      </c>
      <c r="U55" s="75">
        <f t="shared" si="25"/>
        <v>0</v>
      </c>
      <c r="V55" s="75">
        <f t="shared" si="25"/>
        <v>0</v>
      </c>
      <c r="W55" s="75">
        <f>'B eligible renewables'!B24+SUM(W6:W53)</f>
        <v>0</v>
      </c>
      <c r="X55" s="75">
        <f>SUM(X6:X54)</f>
        <v>0</v>
      </c>
      <c r="Y55" s="75">
        <f>SUM(Y6:Y54)</f>
        <v>125337.6533946666</v>
      </c>
      <c r="Z55" s="76">
        <f>SUM(Q55:Y55)</f>
        <v>3321329</v>
      </c>
      <c r="AA55" s="76"/>
    </row>
    <row r="56" spans="1:27" x14ac:dyDescent="0.2">
      <c r="A56" s="112"/>
      <c r="Q56" s="87">
        <f>Q55/Z55</f>
        <v>0.3048933129258441</v>
      </c>
      <c r="R56" s="87">
        <f>R55/Z55</f>
        <v>0.62053082771322376</v>
      </c>
      <c r="S56" s="87">
        <f>S55/Z55</f>
        <v>3.0214778221266447E-2</v>
      </c>
      <c r="T56" s="87">
        <f>T55/Z55</f>
        <v>6.6238821465317236E-3</v>
      </c>
      <c r="U56" s="87">
        <f>U55/Z55</f>
        <v>0</v>
      </c>
      <c r="V56" s="87">
        <f>V55/Z55</f>
        <v>0</v>
      </c>
      <c r="W56" s="87">
        <f>W55/Z55</f>
        <v>0</v>
      </c>
      <c r="X56" s="87">
        <f>X55/Z55</f>
        <v>0</v>
      </c>
      <c r="Y56" s="87">
        <f>Y55/Z55</f>
        <v>3.7737198993133957E-2</v>
      </c>
      <c r="Z56" s="88">
        <f>SUM(Q56:Y56)</f>
        <v>1</v>
      </c>
    </row>
    <row r="57" spans="1:27" x14ac:dyDescent="0.2">
      <c r="A57" s="115"/>
      <c r="Q57" s="138" t="s">
        <v>94</v>
      </c>
      <c r="R57" s="138" t="s">
        <v>95</v>
      </c>
      <c r="S57" s="138" t="s">
        <v>96</v>
      </c>
      <c r="T57" s="138" t="s">
        <v>97</v>
      </c>
      <c r="U57" s="138" t="s">
        <v>98</v>
      </c>
      <c r="V57" s="138" t="s">
        <v>99</v>
      </c>
      <c r="W57" s="138" t="s">
        <v>100</v>
      </c>
      <c r="X57" s="138" t="s">
        <v>101</v>
      </c>
      <c r="Y57" s="139" t="s">
        <v>2</v>
      </c>
      <c r="Z57" s="116"/>
    </row>
    <row r="58" spans="1:27" x14ac:dyDescent="0.2">
      <c r="Q58" s="140">
        <f>Y55*G62</f>
        <v>61791.463123570633</v>
      </c>
      <c r="R58" s="140">
        <f>Y55*H62</f>
        <v>54396.541573285307</v>
      </c>
      <c r="S58" s="140">
        <f>Y55*I62</f>
        <v>5640.1944027599966</v>
      </c>
      <c r="T58" s="140">
        <f>Y55*J62</f>
        <v>0</v>
      </c>
      <c r="U58" s="140">
        <f>Y55*K62</f>
        <v>0</v>
      </c>
      <c r="V58" s="140">
        <f>Y55*L62</f>
        <v>1128.0388805519992</v>
      </c>
      <c r="W58" s="140">
        <f>Y55*M62</f>
        <v>2381.4154144986655</v>
      </c>
      <c r="X58" s="141">
        <f>Y55*N62</f>
        <v>0</v>
      </c>
      <c r="Y58" s="142">
        <f>SUM(Q58:X58)</f>
        <v>125337.6533946666</v>
      </c>
      <c r="Z58" s="143" t="s">
        <v>134</v>
      </c>
    </row>
    <row r="59" spans="1:27" x14ac:dyDescent="0.2">
      <c r="A59" s="118" t="s">
        <v>112</v>
      </c>
      <c r="B59" s="121"/>
      <c r="C59" s="121"/>
      <c r="D59" s="121"/>
      <c r="E59" s="121"/>
      <c r="F59" s="121"/>
      <c r="G59" s="121"/>
      <c r="H59" s="121"/>
      <c r="I59" s="121"/>
      <c r="J59" s="121"/>
      <c r="K59" s="121"/>
      <c r="L59" s="121"/>
      <c r="M59" s="121"/>
      <c r="N59" s="121"/>
      <c r="O59" s="121"/>
      <c r="P59" s="122"/>
      <c r="Q59" s="144">
        <f>Q55+Q58</f>
        <v>1074442.4652502516</v>
      </c>
      <c r="R59" s="144">
        <f t="shared" ref="R59:X59" si="26">R55+R58</f>
        <v>2115383.5750512187</v>
      </c>
      <c r="S59" s="144">
        <f t="shared" si="26"/>
        <v>105993.41353762067</v>
      </c>
      <c r="T59" s="144">
        <f t="shared" si="26"/>
        <v>22000.091865858063</v>
      </c>
      <c r="U59" s="144">
        <f t="shared" si="26"/>
        <v>0</v>
      </c>
      <c r="V59" s="144">
        <f t="shared" si="26"/>
        <v>1128.0388805519992</v>
      </c>
      <c r="W59" s="144">
        <f t="shared" si="26"/>
        <v>2381.4154144986655</v>
      </c>
      <c r="X59" s="144">
        <f t="shared" si="26"/>
        <v>0</v>
      </c>
      <c r="Y59" s="142">
        <f>SUM(Q59:X59)</f>
        <v>3321328.9999999995</v>
      </c>
      <c r="Z59" s="143" t="s">
        <v>133</v>
      </c>
    </row>
    <row r="60" spans="1:27" x14ac:dyDescent="0.2">
      <c r="A60" s="119" t="s">
        <v>78</v>
      </c>
      <c r="B60" s="123"/>
      <c r="C60" s="123"/>
      <c r="D60" s="123"/>
      <c r="E60" s="123"/>
      <c r="F60" s="123"/>
      <c r="G60" s="124">
        <v>0.93</v>
      </c>
      <c r="H60" s="125"/>
      <c r="I60" s="125"/>
      <c r="J60" s="125"/>
      <c r="K60" s="125"/>
      <c r="L60" s="124">
        <v>0.05</v>
      </c>
      <c r="M60" s="124">
        <v>0.02</v>
      </c>
      <c r="N60" s="125"/>
      <c r="O60" s="125"/>
      <c r="P60" s="126">
        <f>SUM(G60:O60)</f>
        <v>1</v>
      </c>
      <c r="Q60" s="145">
        <f>Q59/$Y$59</f>
        <v>0.32349775202945918</v>
      </c>
      <c r="R60" s="145">
        <f t="shared" ref="R60:X60" si="27">R59/$Y$59</f>
        <v>0.63690877207624386</v>
      </c>
      <c r="S60" s="145">
        <f t="shared" si="27"/>
        <v>3.1912952175957479E-2</v>
      </c>
      <c r="T60" s="145">
        <f t="shared" si="27"/>
        <v>6.6238821465317245E-3</v>
      </c>
      <c r="U60" s="145">
        <f t="shared" si="27"/>
        <v>0</v>
      </c>
      <c r="V60" s="145">
        <f t="shared" si="27"/>
        <v>3.3963479093820556E-4</v>
      </c>
      <c r="W60" s="145">
        <f t="shared" si="27"/>
        <v>7.1700678086954531E-4</v>
      </c>
      <c r="X60" s="145">
        <f t="shared" si="27"/>
        <v>0</v>
      </c>
      <c r="Y60" s="145">
        <f>SUM(Q60:X60)</f>
        <v>1</v>
      </c>
      <c r="Z60" s="143" t="s">
        <v>121</v>
      </c>
    </row>
    <row r="61" spans="1:27" x14ac:dyDescent="0.2">
      <c r="A61" s="119" t="s">
        <v>104</v>
      </c>
      <c r="B61" s="123"/>
      <c r="C61" s="123"/>
      <c r="D61" s="123"/>
      <c r="E61" s="123"/>
      <c r="F61" s="123"/>
      <c r="G61" s="127">
        <v>0.86</v>
      </c>
      <c r="H61" s="128"/>
      <c r="I61" s="128">
        <v>0.11</v>
      </c>
      <c r="J61" s="128"/>
      <c r="K61" s="128"/>
      <c r="L61" s="127"/>
      <c r="M61" s="127"/>
      <c r="N61" s="128"/>
      <c r="O61" s="128">
        <v>0.03</v>
      </c>
      <c r="P61" s="126">
        <f t="shared" ref="P61" si="28">SUM(G61:O61)</f>
        <v>1</v>
      </c>
      <c r="Q61" s="146">
        <v>0</v>
      </c>
      <c r="R61" s="147">
        <v>1.1338426008459657</v>
      </c>
      <c r="S61" s="146">
        <v>0</v>
      </c>
      <c r="T61" s="146">
        <v>0</v>
      </c>
      <c r="U61" s="146">
        <v>0</v>
      </c>
      <c r="V61" s="147">
        <v>0.50154160988887397</v>
      </c>
      <c r="W61" s="147">
        <v>0</v>
      </c>
      <c r="X61" s="146">
        <v>0</v>
      </c>
      <c r="Y61" s="145"/>
      <c r="Z61" s="143" t="s">
        <v>132</v>
      </c>
    </row>
    <row r="62" spans="1:27" x14ac:dyDescent="0.2">
      <c r="A62" s="129" t="s">
        <v>113</v>
      </c>
      <c r="B62" s="130"/>
      <c r="C62" s="130"/>
      <c r="D62" s="130"/>
      <c r="E62" s="130"/>
      <c r="F62" s="130"/>
      <c r="G62" s="131">
        <v>0.49299999999999999</v>
      </c>
      <c r="H62" s="132">
        <v>0.434</v>
      </c>
      <c r="I62" s="132">
        <v>4.4999999999999998E-2</v>
      </c>
      <c r="J62" s="132"/>
      <c r="K62" s="132"/>
      <c r="L62" s="132">
        <v>8.9999999999999993E-3</v>
      </c>
      <c r="M62" s="132">
        <v>1.9E-2</v>
      </c>
      <c r="N62" s="132"/>
      <c r="O62" s="132"/>
      <c r="P62" s="133">
        <f>SUM(G62:O62)</f>
        <v>1</v>
      </c>
      <c r="Q62" s="144">
        <f>Q61*Q59</f>
        <v>0</v>
      </c>
      <c r="R62" s="144">
        <f t="shared" ref="R62:X62" si="29">R61*R59</f>
        <v>2398512.014522911</v>
      </c>
      <c r="S62" s="144">
        <f t="shared" si="29"/>
        <v>0</v>
      </c>
      <c r="T62" s="144">
        <f t="shared" si="29"/>
        <v>0</v>
      </c>
      <c r="U62" s="144">
        <f t="shared" si="29"/>
        <v>0</v>
      </c>
      <c r="V62" s="144">
        <f t="shared" si="29"/>
        <v>565.75843616929285</v>
      </c>
      <c r="W62" s="144">
        <f t="shared" si="29"/>
        <v>0</v>
      </c>
      <c r="X62" s="144">
        <f t="shared" si="29"/>
        <v>0</v>
      </c>
      <c r="Y62" s="142">
        <f t="shared" ref="Y62" si="30">SUM(Q62:X62)</f>
        <v>2399077.7729590805</v>
      </c>
      <c r="Z62" s="143" t="s">
        <v>122</v>
      </c>
    </row>
    <row r="63" spans="1:27" ht="14.4" x14ac:dyDescent="0.3">
      <c r="A63" s="120"/>
      <c r="B63" s="134"/>
      <c r="C63" s="135"/>
      <c r="D63" s="120"/>
      <c r="E63" s="120"/>
      <c r="F63" s="120"/>
      <c r="G63" s="136"/>
      <c r="H63" s="120"/>
      <c r="I63" s="120"/>
      <c r="J63" s="120"/>
      <c r="K63" s="120"/>
      <c r="L63" s="74"/>
      <c r="M63" s="74"/>
      <c r="N63" s="120"/>
      <c r="O63" s="120"/>
      <c r="P63" s="120"/>
      <c r="Q63" s="114"/>
      <c r="R63" s="114"/>
      <c r="S63" s="114"/>
      <c r="T63" s="114"/>
      <c r="U63" s="114"/>
      <c r="V63" s="114"/>
      <c r="W63" s="114"/>
      <c r="X63" s="114"/>
      <c r="Y63" s="114"/>
      <c r="Z63" s="114"/>
    </row>
    <row r="64" spans="1:27" x14ac:dyDescent="0.2">
      <c r="A64" s="117" t="s">
        <v>114</v>
      </c>
      <c r="B64" s="134"/>
      <c r="C64" s="135"/>
      <c r="D64" s="116"/>
      <c r="E64" s="116"/>
      <c r="F64" s="116"/>
      <c r="G64" s="116"/>
      <c r="H64" s="116"/>
      <c r="I64" s="116"/>
      <c r="J64" s="116"/>
      <c r="K64" s="116"/>
      <c r="L64" s="116"/>
      <c r="M64" s="116"/>
      <c r="N64" s="116"/>
      <c r="O64" s="116"/>
      <c r="P64" s="116"/>
    </row>
    <row r="65" spans="1:16" x14ac:dyDescent="0.2">
      <c r="A65" s="117" t="s">
        <v>78</v>
      </c>
      <c r="B65" s="134"/>
      <c r="C65" s="135"/>
      <c r="D65" s="116"/>
      <c r="E65" s="116"/>
      <c r="F65" s="116"/>
      <c r="G65" s="116"/>
      <c r="H65" s="116"/>
      <c r="I65" s="116"/>
      <c r="J65" s="116"/>
      <c r="K65" s="116"/>
      <c r="L65" s="116"/>
      <c r="M65" s="116"/>
      <c r="N65" s="116"/>
      <c r="O65" s="116"/>
      <c r="P65" s="116"/>
    </row>
    <row r="66" spans="1:16" x14ac:dyDescent="0.2">
      <c r="A66" s="116" t="s">
        <v>103</v>
      </c>
      <c r="B66" s="134"/>
      <c r="C66" s="135"/>
      <c r="D66" s="116"/>
      <c r="E66" s="116"/>
      <c r="F66" s="116"/>
      <c r="G66" s="116"/>
      <c r="H66" s="116"/>
      <c r="I66" s="116"/>
      <c r="J66" s="116"/>
      <c r="K66" s="116"/>
      <c r="L66" s="116"/>
      <c r="M66" s="116"/>
      <c r="N66" s="116"/>
      <c r="O66" s="116"/>
      <c r="P66" s="116"/>
    </row>
    <row r="67" spans="1:16" x14ac:dyDescent="0.2">
      <c r="A67" s="116"/>
      <c r="B67" s="134"/>
      <c r="C67" s="135"/>
      <c r="D67" s="116"/>
      <c r="E67" s="116"/>
      <c r="F67" s="116"/>
      <c r="G67" s="116"/>
      <c r="H67" s="116"/>
      <c r="I67" s="116"/>
      <c r="J67" s="116"/>
      <c r="K67" s="116"/>
      <c r="L67" s="116"/>
      <c r="M67" s="116"/>
      <c r="N67" s="116"/>
      <c r="O67" s="116"/>
      <c r="P67" s="116"/>
    </row>
    <row r="68" spans="1:16" x14ac:dyDescent="0.2">
      <c r="A68" s="117" t="s">
        <v>104</v>
      </c>
      <c r="B68" s="134"/>
      <c r="C68" s="135"/>
      <c r="D68" s="116"/>
      <c r="E68" s="116"/>
      <c r="F68" s="116"/>
      <c r="G68" s="116"/>
      <c r="H68" s="116"/>
      <c r="I68" s="116"/>
      <c r="J68" s="116"/>
      <c r="K68" s="116"/>
      <c r="L68" s="116"/>
      <c r="M68" s="116"/>
      <c r="N68" s="116"/>
      <c r="O68" s="116"/>
      <c r="P68" s="116"/>
    </row>
    <row r="69" spans="1:16" x14ac:dyDescent="0.2">
      <c r="A69" s="137" t="s">
        <v>117</v>
      </c>
      <c r="B69" s="134"/>
      <c r="C69" s="135"/>
      <c r="D69" s="116"/>
      <c r="E69" s="116"/>
      <c r="F69" s="116"/>
      <c r="G69" s="116"/>
      <c r="H69" s="116"/>
      <c r="I69" s="116"/>
      <c r="J69" s="116"/>
      <c r="K69" s="116"/>
      <c r="L69" s="116"/>
      <c r="M69" s="116"/>
      <c r="N69" s="116"/>
      <c r="O69" s="116"/>
      <c r="P69" s="116"/>
    </row>
    <row r="70" spans="1:16" x14ac:dyDescent="0.2">
      <c r="A70" s="120"/>
      <c r="B70" s="134"/>
      <c r="C70" s="135"/>
      <c r="D70" s="116"/>
      <c r="E70" s="116"/>
      <c r="F70" s="116"/>
      <c r="G70" s="116"/>
      <c r="H70" s="116"/>
      <c r="I70" s="116"/>
      <c r="J70" s="116"/>
      <c r="K70" s="116"/>
      <c r="L70" s="116"/>
      <c r="M70" s="116"/>
      <c r="N70" s="116"/>
      <c r="O70" s="116"/>
      <c r="P70" s="116"/>
    </row>
    <row r="71" spans="1:16" x14ac:dyDescent="0.2">
      <c r="A71" s="117" t="s">
        <v>115</v>
      </c>
      <c r="B71" s="134"/>
      <c r="C71" s="135"/>
      <c r="D71" s="116"/>
      <c r="E71" s="116"/>
      <c r="F71" s="116"/>
      <c r="G71" s="116"/>
      <c r="H71" s="116"/>
      <c r="I71" s="116"/>
      <c r="J71" s="116"/>
      <c r="K71" s="116"/>
      <c r="L71" s="116"/>
      <c r="M71" s="116"/>
      <c r="N71" s="116"/>
      <c r="O71" s="116"/>
      <c r="P71" s="116"/>
    </row>
    <row r="72" spans="1:16" x14ac:dyDescent="0.2">
      <c r="A72" s="137" t="s">
        <v>118</v>
      </c>
      <c r="B72" s="134"/>
      <c r="C72" s="135"/>
      <c r="D72" s="116"/>
      <c r="E72" s="116"/>
      <c r="F72" s="116"/>
      <c r="G72" s="116"/>
      <c r="H72" s="116"/>
      <c r="I72" s="116"/>
      <c r="J72" s="116"/>
      <c r="K72" s="116"/>
      <c r="L72" s="116"/>
      <c r="M72" s="116"/>
      <c r="N72" s="116"/>
      <c r="O72" s="116"/>
      <c r="P72" s="116"/>
    </row>
    <row r="73" spans="1:16" x14ac:dyDescent="0.2">
      <c r="A73" s="116"/>
      <c r="B73" s="134"/>
      <c r="C73" s="135"/>
      <c r="D73" s="116"/>
      <c r="E73" s="116"/>
      <c r="F73" s="116"/>
      <c r="G73" s="116"/>
      <c r="H73" s="116"/>
      <c r="I73" s="116"/>
      <c r="J73" s="116"/>
      <c r="K73" s="116"/>
      <c r="L73" s="116"/>
      <c r="M73" s="116"/>
      <c r="N73" s="116"/>
      <c r="O73" s="116"/>
      <c r="P73" s="116"/>
    </row>
    <row r="74" spans="1:16" x14ac:dyDescent="0.2">
      <c r="A74" s="117" t="s">
        <v>119</v>
      </c>
      <c r="B74" s="134"/>
      <c r="C74" s="135"/>
      <c r="D74" s="116"/>
      <c r="E74" s="116"/>
      <c r="F74" s="116"/>
      <c r="G74" s="116"/>
      <c r="H74" s="116"/>
      <c r="I74" s="116"/>
      <c r="J74" s="116"/>
      <c r="K74" s="116"/>
      <c r="L74" s="116"/>
      <c r="M74" s="116"/>
      <c r="N74" s="116"/>
      <c r="O74" s="116"/>
      <c r="P74" s="116"/>
    </row>
    <row r="75" spans="1:16" x14ac:dyDescent="0.2">
      <c r="A75" s="116" t="s">
        <v>120</v>
      </c>
      <c r="B75" s="134"/>
      <c r="C75" s="135"/>
      <c r="D75" s="116"/>
      <c r="E75" s="116"/>
      <c r="F75" s="116"/>
      <c r="G75" s="116"/>
      <c r="H75" s="116"/>
      <c r="I75" s="116"/>
      <c r="J75" s="116"/>
      <c r="K75" s="116"/>
      <c r="L75" s="116"/>
      <c r="M75" s="116"/>
      <c r="N75" s="116"/>
      <c r="O75" s="116"/>
      <c r="P75" s="116"/>
    </row>
  </sheetData>
  <sheetProtection selectLockedCells="1"/>
  <conditionalFormatting sqref="B30:B53">
    <cfRule type="cellIs" dxfId="33" priority="1" operator="equal">
      <formula>3</formula>
    </cfRule>
    <cfRule type="cellIs" dxfId="32" priority="2" operator="equal">
      <formula>2</formula>
    </cfRule>
  </conditionalFormatting>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4"/>
  <sheetViews>
    <sheetView workbookViewId="0">
      <selection activeCell="B12" sqref="B12"/>
    </sheetView>
  </sheetViews>
  <sheetFormatPr defaultColWidth="9.109375" defaultRowHeight="13.8" x14ac:dyDescent="0.3"/>
  <cols>
    <col min="1" max="1" width="67.5546875" style="11" customWidth="1"/>
    <col min="2" max="2" width="27.5546875" style="11" customWidth="1"/>
    <col min="3" max="16384" width="9.109375" style="11"/>
  </cols>
  <sheetData>
    <row r="1" spans="1:3" ht="15.6" x14ac:dyDescent="0.3">
      <c r="A1" s="24" t="s">
        <v>31</v>
      </c>
      <c r="B1" s="28" t="s">
        <v>17</v>
      </c>
      <c r="C1" s="13" t="s">
        <v>28</v>
      </c>
    </row>
    <row r="2" spans="1:3" ht="14.4" x14ac:dyDescent="0.3">
      <c r="A2" s="54"/>
      <c r="B2" s="55"/>
      <c r="C2" s="13" t="s">
        <v>35</v>
      </c>
    </row>
    <row r="3" spans="1:3" x14ac:dyDescent="0.3">
      <c r="A3" s="54"/>
      <c r="B3" s="55"/>
    </row>
    <row r="4" spans="1:3" x14ac:dyDescent="0.3">
      <c r="A4" s="54"/>
      <c r="B4" s="55"/>
    </row>
    <row r="5" spans="1:3" x14ac:dyDescent="0.3">
      <c r="A5" s="54"/>
      <c r="B5" s="55"/>
    </row>
    <row r="6" spans="1:3" x14ac:dyDescent="0.3">
      <c r="A6" s="54"/>
      <c r="B6" s="55"/>
    </row>
    <row r="7" spans="1:3" x14ac:dyDescent="0.3">
      <c r="B7" s="14"/>
    </row>
    <row r="8" spans="1:3" x14ac:dyDescent="0.3">
      <c r="B8" s="14"/>
    </row>
    <row r="9" spans="1:3" x14ac:dyDescent="0.3">
      <c r="B9" s="14"/>
    </row>
    <row r="10" spans="1:3" x14ac:dyDescent="0.3">
      <c r="B10" s="14"/>
    </row>
    <row r="11" spans="1:3" x14ac:dyDescent="0.3">
      <c r="B11" s="14"/>
    </row>
    <row r="12" spans="1:3" x14ac:dyDescent="0.3">
      <c r="B12" s="14"/>
    </row>
    <row r="13" spans="1:3" x14ac:dyDescent="0.3">
      <c r="B13" s="14"/>
    </row>
    <row r="14" spans="1:3" x14ac:dyDescent="0.3">
      <c r="B14" s="14"/>
    </row>
    <row r="15" spans="1:3" x14ac:dyDescent="0.3">
      <c r="B15" s="14"/>
    </row>
    <row r="16" spans="1:3" x14ac:dyDescent="0.3">
      <c r="B16" s="14"/>
    </row>
    <row r="17" spans="1:2" x14ac:dyDescent="0.3">
      <c r="B17" s="14"/>
    </row>
    <row r="18" spans="1:2" x14ac:dyDescent="0.3">
      <c r="B18" s="14"/>
    </row>
    <row r="19" spans="1:2" x14ac:dyDescent="0.3">
      <c r="B19" s="14"/>
    </row>
    <row r="20" spans="1:2" x14ac:dyDescent="0.3">
      <c r="B20" s="14"/>
    </row>
    <row r="21" spans="1:2" x14ac:dyDescent="0.3">
      <c r="B21" s="14"/>
    </row>
    <row r="22" spans="1:2" x14ac:dyDescent="0.3">
      <c r="B22" s="14"/>
    </row>
    <row r="23" spans="1:2" x14ac:dyDescent="0.3">
      <c r="B23" s="14"/>
    </row>
    <row r="24" spans="1:2" x14ac:dyDescent="0.3">
      <c r="A24" s="12" t="s">
        <v>2</v>
      </c>
      <c r="B24" s="15">
        <f>SUM(B2:B23)</f>
        <v>0</v>
      </c>
    </row>
  </sheetData>
  <sheetProtection password="DF62" sheet="1" objects="1" scenarios="1" selectLockedCells="1"/>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8"/>
  <sheetViews>
    <sheetView zoomScale="80" zoomScaleNormal="80" workbookViewId="0">
      <selection activeCell="B2" sqref="B2:B5"/>
    </sheetView>
  </sheetViews>
  <sheetFormatPr defaultColWidth="9.109375" defaultRowHeight="13.8" x14ac:dyDescent="0.3"/>
  <cols>
    <col min="1" max="1" width="67.5546875" style="11" customWidth="1"/>
    <col min="2" max="2" width="29.109375" style="11" customWidth="1"/>
    <col min="3" max="3" width="9.109375" style="11"/>
    <col min="4" max="4" width="12" style="11" bestFit="1" customWidth="1"/>
    <col min="5" max="16384" width="9.109375" style="11"/>
  </cols>
  <sheetData>
    <row r="1" spans="1:5" ht="15.6" x14ac:dyDescent="0.3">
      <c r="A1" s="26" t="s">
        <v>21</v>
      </c>
      <c r="B1" s="27" t="s">
        <v>32</v>
      </c>
      <c r="C1" s="13" t="s">
        <v>28</v>
      </c>
      <c r="D1" s="13"/>
    </row>
    <row r="2" spans="1:5" ht="14.4" x14ac:dyDescent="0.3">
      <c r="A2" s="16"/>
      <c r="B2" s="14"/>
      <c r="D2" s="53">
        <f>Main!B4-B21</f>
        <v>3321329</v>
      </c>
      <c r="E2" s="11" t="s">
        <v>52</v>
      </c>
    </row>
    <row r="3" spans="1:5" x14ac:dyDescent="0.3">
      <c r="A3" s="16"/>
      <c r="B3" s="14"/>
      <c r="E3" s="11" t="s">
        <v>49</v>
      </c>
    </row>
    <row r="4" spans="1:5" x14ac:dyDescent="0.3">
      <c r="A4" s="16"/>
      <c r="B4" s="14"/>
      <c r="E4" s="11" t="s">
        <v>50</v>
      </c>
    </row>
    <row r="5" spans="1:5" x14ac:dyDescent="0.3">
      <c r="A5" s="16"/>
      <c r="B5" s="14"/>
      <c r="E5" s="11" t="s">
        <v>51</v>
      </c>
    </row>
    <row r="6" spans="1:5" x14ac:dyDescent="0.3">
      <c r="A6" s="16"/>
      <c r="B6" s="14"/>
    </row>
    <row r="7" spans="1:5" x14ac:dyDescent="0.3">
      <c r="A7" s="16"/>
      <c r="B7" s="14"/>
      <c r="E7" s="11" t="s">
        <v>53</v>
      </c>
    </row>
    <row r="8" spans="1:5" x14ac:dyDescent="0.3">
      <c r="A8" s="16"/>
      <c r="B8" s="14"/>
    </row>
    <row r="9" spans="1:5" x14ac:dyDescent="0.3">
      <c r="A9" s="16"/>
      <c r="B9" s="14"/>
    </row>
    <row r="10" spans="1:5" x14ac:dyDescent="0.3">
      <c r="A10" s="16"/>
      <c r="B10" s="14"/>
    </row>
    <row r="11" spans="1:5" x14ac:dyDescent="0.3">
      <c r="A11" s="16"/>
      <c r="B11" s="14"/>
    </row>
    <row r="12" spans="1:5" x14ac:dyDescent="0.3">
      <c r="A12" s="16"/>
      <c r="B12" s="14"/>
    </row>
    <row r="13" spans="1:5" x14ac:dyDescent="0.3">
      <c r="A13" s="16"/>
      <c r="B13" s="14"/>
    </row>
    <row r="14" spans="1:5" x14ac:dyDescent="0.3">
      <c r="A14" s="16"/>
      <c r="B14" s="14"/>
    </row>
    <row r="15" spans="1:5" x14ac:dyDescent="0.3">
      <c r="A15" s="16"/>
      <c r="B15" s="14"/>
    </row>
    <row r="16" spans="1:5" x14ac:dyDescent="0.3">
      <c r="A16" s="16"/>
      <c r="B16" s="14"/>
    </row>
    <row r="17" spans="1:2" x14ac:dyDescent="0.3">
      <c r="A17" s="16"/>
      <c r="B17" s="14"/>
    </row>
    <row r="18" spans="1:2" x14ac:dyDescent="0.3">
      <c r="A18" s="16"/>
      <c r="B18" s="14"/>
    </row>
    <row r="19" spans="1:2" x14ac:dyDescent="0.3">
      <c r="A19" s="16"/>
      <c r="B19" s="14"/>
    </row>
    <row r="20" spans="1:2" x14ac:dyDescent="0.3">
      <c r="A20" s="16"/>
      <c r="B20" s="14"/>
    </row>
    <row r="21" spans="1:2" x14ac:dyDescent="0.3">
      <c r="A21" s="17" t="s">
        <v>2</v>
      </c>
      <c r="B21" s="15">
        <f>SUM(B2:B20)</f>
        <v>0</v>
      </c>
    </row>
    <row r="28" spans="1:2" x14ac:dyDescent="0.3">
      <c r="B28" s="25"/>
    </row>
  </sheetData>
  <sheetProtection password="DF62" sheet="1" objects="1" scenarios="1" selectLockedCells="1"/>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4"/>
  <sheetViews>
    <sheetView workbookViewId="0">
      <selection activeCell="B2" sqref="B2"/>
    </sheetView>
  </sheetViews>
  <sheetFormatPr defaultColWidth="9.109375" defaultRowHeight="13.8" x14ac:dyDescent="0.3"/>
  <cols>
    <col min="1" max="1" width="67.5546875" style="11" customWidth="1"/>
    <col min="2" max="2" width="23.44140625" style="11" customWidth="1"/>
    <col min="3" max="3" width="3.88671875" style="11" customWidth="1"/>
    <col min="4" max="16384" width="9.109375" style="11"/>
  </cols>
  <sheetData>
    <row r="1" spans="1:4" ht="15.6" x14ac:dyDescent="0.3">
      <c r="A1" s="24" t="s">
        <v>30</v>
      </c>
      <c r="B1" s="21" t="s">
        <v>17</v>
      </c>
      <c r="D1" s="1" t="s">
        <v>37</v>
      </c>
    </row>
    <row r="2" spans="1:4" ht="14.4" x14ac:dyDescent="0.3">
      <c r="A2" s="23" t="s">
        <v>20</v>
      </c>
      <c r="B2" s="19"/>
      <c r="D2" s="1" t="s">
        <v>40</v>
      </c>
    </row>
    <row r="3" spans="1:4" ht="14.4" x14ac:dyDescent="0.3">
      <c r="A3" s="18" t="s">
        <v>2</v>
      </c>
      <c r="B3" s="20">
        <f t="shared" ref="B3" si="0">B2</f>
        <v>0</v>
      </c>
      <c r="D3" s="1" t="s">
        <v>38</v>
      </c>
    </row>
    <row r="4" spans="1:4" ht="14.4" x14ac:dyDescent="0.3">
      <c r="D4" s="1" t="s">
        <v>39</v>
      </c>
    </row>
  </sheetData>
  <sheetProtection password="DF62" sheet="1" objects="1" scenarios="1" selectLockedCells="1"/>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IsConfidential xmlns="dc463f71-b30c-4ab2-9473-d307f9d35888">false</IsConfidential>
    <AgendaOrder xmlns="dc463f71-b30c-4ab2-9473-d307f9d35888">false</AgendaOrder>
    <CaseType xmlns="dc463f71-b30c-4ab2-9473-d307f9d35888">Rulemaking</CaseType>
    <IndustryCode xmlns="dc463f71-b30c-4ab2-9473-d307f9d35888">140</IndustryCode>
    <CaseStatus xmlns="dc463f71-b30c-4ab2-9473-d307f9d35888">Closed</CaseStatus>
    <OpenedDate xmlns="dc463f71-b30c-4ab2-9473-d307f9d35888">2013-09-12T07:00:00+00:00</OpenedDate>
    <Date1 xmlns="dc463f71-b30c-4ab2-9473-d307f9d35888">2015-08-07T07:00:00+00:00</Date1>
    <IsDocumentOrder xmlns="dc463f71-b30c-4ab2-9473-d307f9d35888" xsi:nil="true"/>
    <IsHighlyConfidential xmlns="dc463f71-b30c-4ab2-9473-d307f9d35888">false</IsHighlyConfidential>
    <CaseCompanyNames xmlns="dc463f71-b30c-4ab2-9473-d307f9d35888" xsi:nil="true"/>
    <DocketNumber xmlns="dc463f71-b30c-4ab2-9473-d307f9d35888">131723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1828D9AD7978C44B84C17DE6D43F527" ma:contentTypeVersion="127" ma:contentTypeDescription="" ma:contentTypeScope="" ma:versionID="995f3c42ef647c7b178ad2fd96aeb6a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465A689-55DF-40B2-B1D8-F7B3FAEA22EE}"/>
</file>

<file path=customXml/itemProps2.xml><?xml version="1.0" encoding="utf-8"?>
<ds:datastoreItem xmlns:ds="http://schemas.openxmlformats.org/officeDocument/2006/customXml" ds:itemID="{81FA656C-3754-4984-AD45-EDD6A6ACA4F9}"/>
</file>

<file path=customXml/itemProps3.xml><?xml version="1.0" encoding="utf-8"?>
<ds:datastoreItem xmlns:ds="http://schemas.openxmlformats.org/officeDocument/2006/customXml" ds:itemID="{3A0D0839-D18F-4260-8AC8-BC5B87CCC893}"/>
</file>

<file path=customXml/itemProps4.xml><?xml version="1.0" encoding="utf-8"?>
<ds:datastoreItem xmlns:ds="http://schemas.openxmlformats.org/officeDocument/2006/customXml" ds:itemID="{D5679BDD-C398-4920-A620-37A2CE6CC8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Main</vt:lpstr>
      <vt:lpstr>A standard power purchases</vt:lpstr>
      <vt:lpstr>B eligible renewables</vt:lpstr>
      <vt:lpstr>C RECs</vt:lpstr>
      <vt:lpstr>D BPA block</vt:lpstr>
    </vt:vector>
  </TitlesOfParts>
  <Company>Washington State Department of Commerce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Mix Disclosure Workbook 2014</dc:title>
  <dc:subject>fuel mix disclosure</dc:subject>
  <dc:creator>Burrell, Angela (COM)</dc:creator>
  <cp:keywords>fuel mix, workbook, electric utilities</cp:keywords>
  <cp:lastModifiedBy>Jennifer Snyder</cp:lastModifiedBy>
  <dcterms:created xsi:type="dcterms:W3CDTF">2014-05-01T17:39:12Z</dcterms:created>
  <dcterms:modified xsi:type="dcterms:W3CDTF">2015-08-10T17:55:42Z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0x0101006E56B4D1795A2E4DB2F0B01679ED314A0031828D9AD7978C44B84C17DE6D43F527</vt:lpwstr>
  </property>
  <property fmtid="{D5CDD505-2E9C-101B-9397-08002B2CF9AE}" pid="3" name="_docset_NoMedatataSyncRequired">
    <vt:lpwstr>False</vt:lpwstr>
  </property>
</Properties>
</file>