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__DRs\WA\WA UE-191024 2021 GRC\Data Resp\Bench Request\Bench Request (1)\"/>
    </mc:Choice>
  </mc:AlternateContent>
  <bookViews>
    <workbookView xWindow="0" yWindow="0" windowWidth="19410" windowHeight="11910"/>
  </bookViews>
  <sheets>
    <sheet name="Exhibit No. SEM-2 pg 1" sheetId="2" r:id="rId1"/>
    <sheet name="Exhibit No. SEM-2 pg 2 - 3" sheetId="3" r:id="rId2"/>
    <sheet name="Variables" sheetId="1" r:id="rId3"/>
  </sheets>
  <definedNames>
    <definedName name="Cost_Debt">Variables!$D$8</definedName>
    <definedName name="Cost_equity">Variables!$D$10</definedName>
    <definedName name="Cost_pref">Variables!$D$9</definedName>
    <definedName name="gross_up_factor">Variables!$D$34</definedName>
    <definedName name="Overall_ROR">Variables!$E$11</definedName>
    <definedName name="Percent_common">Variables!$C$10</definedName>
    <definedName name="Percent_debt">Variables!$C$8</definedName>
    <definedName name="Percent_pref">Variables!$C$9</definedName>
    <definedName name="_xlnm.Print_Area" localSheetId="0">'Exhibit No. SEM-2 pg 1'!$A$1:$G$87</definedName>
    <definedName name="_xlnm.Print_Area" localSheetId="1">'Exhibit No. SEM-2 pg 2 - 3'!$A$1:$O$83</definedName>
    <definedName name="_xlnm.Print_Titles" localSheetId="1">'Exhibit No. SEM-2 pg 2 - 3'!$A:$B,'Exhibit No. SEM-2 pg 2 - 3'!$1:$4</definedName>
    <definedName name="uncollectible_perc">Variables!$D$20</definedName>
    <definedName name="WA_rev_tax_perc">Variables!$D$22</definedName>
    <definedName name="Weighted_cost_debt">Variables!$E$8</definedName>
    <definedName name="Weighted_cost_equity">Variables!$E$10</definedName>
    <definedName name="Weighted_cost_pref">Variables!$E$9</definedName>
    <definedName name="WUTC_reg_fee_perc">Variables!$D$21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 l="1"/>
  <c r="K15" i="3"/>
  <c r="M12" i="3"/>
  <c r="I15" i="3"/>
  <c r="F15" i="3"/>
  <c r="G15" i="3"/>
  <c r="M18" i="3"/>
  <c r="M19" i="3"/>
  <c r="O19" i="3" s="1"/>
  <c r="I28" i="3"/>
  <c r="M22" i="3"/>
  <c r="J28" i="3"/>
  <c r="J37" i="3" s="1"/>
  <c r="M25" i="3"/>
  <c r="O25" i="3" s="1"/>
  <c r="M26" i="3"/>
  <c r="M27" i="3"/>
  <c r="O27" i="3" s="1"/>
  <c r="F28" i="3"/>
  <c r="F37" i="3" s="1"/>
  <c r="F39" i="3" s="1"/>
  <c r="M30" i="3"/>
  <c r="M34" i="3"/>
  <c r="M35" i="3"/>
  <c r="O35" i="3" s="1"/>
  <c r="M45" i="3"/>
  <c r="O45" i="3" s="1"/>
  <c r="I53" i="3"/>
  <c r="M48" i="3"/>
  <c r="H53" i="3"/>
  <c r="M49" i="3"/>
  <c r="M52" i="3"/>
  <c r="E53" i="3"/>
  <c r="M56" i="3"/>
  <c r="F64" i="3"/>
  <c r="M59" i="3"/>
  <c r="O59" i="3" s="1"/>
  <c r="M60" i="3"/>
  <c r="M61" i="3"/>
  <c r="O61" i="3" s="1"/>
  <c r="O63" i="3"/>
  <c r="J64" i="3"/>
  <c r="M72" i="3"/>
  <c r="M74" i="3"/>
  <c r="O74" i="3" s="1"/>
  <c r="M76" i="3"/>
  <c r="O76" i="3" s="1"/>
  <c r="M77" i="3"/>
  <c r="A12" i="2"/>
  <c r="A13" i="2"/>
  <c r="A14" i="2" s="1"/>
  <c r="A15" i="2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D30" i="2"/>
  <c r="D37" i="2"/>
  <c r="D73" i="2"/>
  <c r="E8" i="1"/>
  <c r="E9" i="1"/>
  <c r="E10" i="1"/>
  <c r="D26" i="1"/>
  <c r="D30" i="1" s="1"/>
  <c r="F68" i="2" l="1"/>
  <c r="D44" i="2"/>
  <c r="M80" i="3"/>
  <c r="O80" i="3" s="1"/>
  <c r="D79" i="2"/>
  <c r="D32" i="1"/>
  <c r="D34" i="1" s="1"/>
  <c r="E11" i="1"/>
  <c r="M47" i="3"/>
  <c r="M44" i="3"/>
  <c r="O43" i="3"/>
  <c r="O77" i="3"/>
  <c r="O60" i="3"/>
  <c r="I64" i="3"/>
  <c r="E64" i="3"/>
  <c r="E66" i="3" s="1"/>
  <c r="M57" i="3"/>
  <c r="O57" i="3" s="1"/>
  <c r="O49" i="3"/>
  <c r="M36" i="3"/>
  <c r="O36" i="3" s="1"/>
  <c r="M20" i="3"/>
  <c r="O20" i="3" s="1"/>
  <c r="E28" i="3"/>
  <c r="E37" i="3" s="1"/>
  <c r="E15" i="3"/>
  <c r="E39" i="3" s="1"/>
  <c r="M13" i="3"/>
  <c r="O13" i="3" s="1"/>
  <c r="J39" i="3"/>
  <c r="I66" i="3"/>
  <c r="J53" i="3"/>
  <c r="J66" i="3" s="1"/>
  <c r="F53" i="3"/>
  <c r="F66" i="3" s="1"/>
  <c r="M31" i="3"/>
  <c r="O31" i="3" s="1"/>
  <c r="E44" i="2"/>
  <c r="F34" i="2"/>
  <c r="F36" i="2"/>
  <c r="M62" i="3"/>
  <c r="O62" i="3" s="1"/>
  <c r="O34" i="3"/>
  <c r="O26" i="3"/>
  <c r="M23" i="3"/>
  <c r="O23" i="3" s="1"/>
  <c r="H28" i="3"/>
  <c r="H37" i="3" s="1"/>
  <c r="O18" i="3"/>
  <c r="C28" i="3"/>
  <c r="C37" i="3" s="1"/>
  <c r="F19" i="2"/>
  <c r="M50" i="3"/>
  <c r="O50" i="3" s="1"/>
  <c r="O48" i="3"/>
  <c r="K53" i="3"/>
  <c r="K66" i="3" s="1"/>
  <c r="G53" i="3"/>
  <c r="M42" i="3"/>
  <c r="M29" i="3"/>
  <c r="O29" i="3" s="1"/>
  <c r="K28" i="3"/>
  <c r="K37" i="3" s="1"/>
  <c r="K39" i="3" s="1"/>
  <c r="G28" i="3"/>
  <c r="G37" i="3" s="1"/>
  <c r="G39" i="3" s="1"/>
  <c r="M11" i="3"/>
  <c r="D15" i="2"/>
  <c r="M58" i="3"/>
  <c r="O58" i="3" s="1"/>
  <c r="M64" i="3"/>
  <c r="H64" i="3"/>
  <c r="H66" i="3" s="1"/>
  <c r="O56" i="3"/>
  <c r="C64" i="3"/>
  <c r="C53" i="3"/>
  <c r="C66" i="3" s="1"/>
  <c r="M51" i="3"/>
  <c r="O51" i="3" s="1"/>
  <c r="O47" i="3"/>
  <c r="M43" i="3"/>
  <c r="O30" i="3"/>
  <c r="M24" i="3"/>
  <c r="O24" i="3" s="1"/>
  <c r="O22" i="3"/>
  <c r="M21" i="3"/>
  <c r="O21" i="3" s="1"/>
  <c r="M14" i="3"/>
  <c r="O14" i="3" s="1"/>
  <c r="H15" i="3"/>
  <c r="O12" i="3"/>
  <c r="C15" i="3"/>
  <c r="C39" i="3" s="1"/>
  <c r="F29" i="2"/>
  <c r="K64" i="3"/>
  <c r="G64" i="3"/>
  <c r="O52" i="3"/>
  <c r="M46" i="3"/>
  <c r="O46" i="3" s="1"/>
  <c r="O44" i="3"/>
  <c r="M33" i="3"/>
  <c r="O33" i="3" s="1"/>
  <c r="F41" i="2" l="1"/>
  <c r="F66" i="2"/>
  <c r="F70" i="2"/>
  <c r="F72" i="2"/>
  <c r="F20" i="2"/>
  <c r="F27" i="2"/>
  <c r="F40" i="2"/>
  <c r="F18" i="2"/>
  <c r="F62" i="2"/>
  <c r="F76" i="2"/>
  <c r="F12" i="2"/>
  <c r="F25" i="2"/>
  <c r="E30" i="2"/>
  <c r="F17" i="2"/>
  <c r="M28" i="3"/>
  <c r="F8" i="2"/>
  <c r="F24" i="2"/>
  <c r="F28" i="2"/>
  <c r="F77" i="2"/>
  <c r="F26" i="2"/>
  <c r="F63" i="2"/>
  <c r="F13" i="2"/>
  <c r="M15" i="3"/>
  <c r="O11" i="3"/>
  <c r="O42" i="3"/>
  <c r="M53" i="3"/>
  <c r="M66" i="3" s="1"/>
  <c r="F23" i="2"/>
  <c r="F33" i="2"/>
  <c r="F43" i="2"/>
  <c r="F14" i="2"/>
  <c r="F69" i="2"/>
  <c r="F61" i="2"/>
  <c r="E79" i="2"/>
  <c r="E58" i="2"/>
  <c r="F65" i="2"/>
  <c r="F22" i="2"/>
  <c r="F35" i="2"/>
  <c r="E37" i="2"/>
  <c r="F32" i="2"/>
  <c r="E15" i="2"/>
  <c r="F75" i="2"/>
  <c r="F71" i="2"/>
  <c r="E73" i="2"/>
  <c r="H39" i="3"/>
  <c r="O64" i="3"/>
  <c r="G66" i="3"/>
  <c r="F21" i="2"/>
  <c r="O28" i="3"/>
  <c r="F11" i="2"/>
  <c r="F15" i="2" s="1"/>
  <c r="F42" i="2"/>
  <c r="F64" i="2"/>
  <c r="F60" i="2"/>
  <c r="F39" i="2"/>
  <c r="F67" i="2"/>
  <c r="F78" i="2"/>
  <c r="F37" i="2" l="1"/>
  <c r="F44" i="2"/>
  <c r="F79" i="2"/>
  <c r="F30" i="2"/>
  <c r="O15" i="3"/>
  <c r="F73" i="2"/>
  <c r="E81" i="2"/>
  <c r="E83" i="2" s="1"/>
  <c r="O53" i="3"/>
  <c r="O72" i="3" l="1"/>
  <c r="O66" i="3"/>
  <c r="M75" i="3" l="1"/>
  <c r="O75" i="3" s="1"/>
  <c r="M78" i="3" l="1"/>
  <c r="O78" i="3" s="1"/>
  <c r="M81" i="3" l="1"/>
  <c r="O81" i="3" s="1"/>
  <c r="M83" i="3" l="1"/>
  <c r="O83" i="3" s="1"/>
  <c r="M32" i="3" l="1"/>
  <c r="I37" i="3"/>
  <c r="I39" i="3" s="1"/>
  <c r="F50" i="2" l="1"/>
  <c r="F51" i="2"/>
  <c r="F52" i="2"/>
  <c r="F53" i="2"/>
  <c r="F56" i="2"/>
  <c r="F47" i="2"/>
  <c r="F54" i="2"/>
  <c r="F49" i="2"/>
  <c r="F48" i="2"/>
  <c r="F55" i="2"/>
  <c r="F57" i="2"/>
  <c r="O32" i="3"/>
  <c r="M37" i="3"/>
  <c r="M39" i="3" s="1"/>
  <c r="M69" i="3" s="1"/>
  <c r="F46" i="2" l="1"/>
  <c r="F58" i="2" s="1"/>
  <c r="D58" i="2"/>
  <c r="D81" i="2" s="1"/>
  <c r="D83" i="2" s="1"/>
  <c r="O37" i="3"/>
  <c r="O39" i="3" l="1"/>
  <c r="F81" i="2"/>
  <c r="F83" i="2" s="1"/>
  <c r="O69" i="3" l="1"/>
</calcChain>
</file>

<file path=xl/sharedStrings.xml><?xml version="1.0" encoding="utf-8"?>
<sst xmlns="http://schemas.openxmlformats.org/spreadsheetml/2006/main" count="308" uniqueCount="262">
  <si>
    <t>Net Operating Income</t>
  </si>
  <si>
    <t>Federal Income Tax @ 21.00%</t>
  </si>
  <si>
    <t>Sub-Total</t>
  </si>
  <si>
    <t>State Taxes</t>
  </si>
  <si>
    <t>Taxes Other - Gross Receipts</t>
  </si>
  <si>
    <t>Taxes Other - Resource Supplier</t>
  </si>
  <si>
    <t>WUTC Public Utility Tax</t>
  </si>
  <si>
    <t>WUTC Regulatory Fee</t>
  </si>
  <si>
    <t>Uncollectable Accounts</t>
  </si>
  <si>
    <t>Operating Deductions</t>
  </si>
  <si>
    <t>Operating Revenue</t>
  </si>
  <si>
    <t>Net to Gross Bump-up Factor</t>
  </si>
  <si>
    <t>COMMON %</t>
  </si>
  <si>
    <t>PREFERRED %</t>
  </si>
  <si>
    <t>DEBT%</t>
  </si>
  <si>
    <t>Weighted Cost</t>
  </si>
  <si>
    <t>Embedded Cost</t>
  </si>
  <si>
    <t xml:space="preserve">Capital Structure </t>
  </si>
  <si>
    <t>Capital Structure and Cost</t>
  </si>
  <si>
    <t>Variables</t>
  </si>
  <si>
    <t>Washington General Rate Case - 2021</t>
  </si>
  <si>
    <t>PacifiCorp</t>
  </si>
  <si>
    <t>The development of these percentages can be found in Exhibit No. SEM-3 on pages 2.1 and 1.3 respectively.</t>
  </si>
  <si>
    <t>(1) The revenue requirement column is calculated using the Company's proposed return on rate base of 7.69% and the NOI conversion factor of 75.315%.</t>
  </si>
  <si>
    <t xml:space="preserve">Notes: </t>
  </si>
  <si>
    <t>(SEM-3) Page 1.0</t>
  </si>
  <si>
    <t>Total Adjusted Results</t>
  </si>
  <si>
    <t>Subtotal Normalizing Adjustments</t>
  </si>
  <si>
    <t>Tab 9 - Other Adjustments - Subtotal</t>
  </si>
  <si>
    <t>(SEM-3), Page 9.0 Total</t>
  </si>
  <si>
    <t>Tab 8 - Rate Base- Subtotal</t>
  </si>
  <si>
    <t>(SEM-3), Page 8.0.3 Total</t>
  </si>
  <si>
    <t>(SEM-3), Page 8.0.2 Total</t>
  </si>
  <si>
    <t>(SEM-3), Page 8.0.1 Total</t>
  </si>
  <si>
    <t>(SEM-3), Page 8.0 Total</t>
  </si>
  <si>
    <t>(SEM-3), Page 8.0/8.0.1 Total</t>
  </si>
  <si>
    <t>Tab 7 - Tax- Subtotal</t>
  </si>
  <si>
    <t>(SEM-3), Page 7.0.1 Total</t>
  </si>
  <si>
    <t>(SEM-3), Page 7.0 Total</t>
  </si>
  <si>
    <t>Tab 6 - Depreciation/Amortization - Subtotal</t>
  </si>
  <si>
    <t>(SEM-3), Page 6.0.1/6.0.2 Total</t>
  </si>
  <si>
    <t>(SEM-3), Page 6.0.1 Total</t>
  </si>
  <si>
    <t>(SEM-3), Page 6.0/6.0.1 Total</t>
  </si>
  <si>
    <t>(SEM-3), Page 6.0 Total</t>
  </si>
  <si>
    <t>Tab 5 - NPC - Subtotal</t>
  </si>
  <si>
    <t>(SEM-3), Page 5.0 Total</t>
  </si>
  <si>
    <t>Tab 4 - O&amp;M - Subtotal</t>
  </si>
  <si>
    <t>(SEM-3), Page 4.0.1 Total</t>
  </si>
  <si>
    <t>(SEM-3), Page 4.0 Total</t>
  </si>
  <si>
    <t>Tab 3 - Revenue - Subtotal</t>
  </si>
  <si>
    <t>(SEM-3), Page 3.0 Total</t>
  </si>
  <si>
    <t>Adj. No.</t>
  </si>
  <si>
    <t>Line No.</t>
  </si>
  <si>
    <t>Unadjusted Washington Allocated Data (Per Books)</t>
  </si>
  <si>
    <t>Reference</t>
  </si>
  <si>
    <t>Rev. Req.</t>
  </si>
  <si>
    <t>Rate Base</t>
  </si>
  <si>
    <t>NOI</t>
  </si>
  <si>
    <t>F</t>
  </si>
  <si>
    <t>E</t>
  </si>
  <si>
    <t>D</t>
  </si>
  <si>
    <t>C</t>
  </si>
  <si>
    <t>B</t>
  </si>
  <si>
    <t>A</t>
  </si>
  <si>
    <t>The table below presents the Company's restating and pro forma ratemaking adjustments and their impact on net operating income (NOI), rate base, and the Washington revenue requirement.</t>
  </si>
  <si>
    <t>Revenue Requirement Adjustment Summary</t>
  </si>
  <si>
    <t>Federal Income Taxes + Other</t>
  </si>
  <si>
    <t>Taxable Income</t>
  </si>
  <si>
    <t>State Income Taxes</t>
  </si>
  <si>
    <t>Income Before Tax</t>
  </si>
  <si>
    <t>Schedule "M" Deductions</t>
  </si>
  <si>
    <t>Schedule "M" Additions</t>
  </si>
  <si>
    <t>Interest</t>
  </si>
  <si>
    <t>Interest (AFUDC)</t>
  </si>
  <si>
    <t>Other Deductions</t>
  </si>
  <si>
    <t>TAX CALCULATION:</t>
  </si>
  <si>
    <t>Price Change</t>
  </si>
  <si>
    <t>Return on Equity</t>
  </si>
  <si>
    <t xml:space="preserve">   Total Rate Base:</t>
  </si>
  <si>
    <t xml:space="preserve">     Total Rate Base Deductions</t>
  </si>
  <si>
    <t>Misc Rate Base Deductions</t>
  </si>
  <si>
    <t>Customer Service Deposits</t>
  </si>
  <si>
    <t>Customer Adv For Const</t>
  </si>
  <si>
    <t>Unamortized ITC</t>
  </si>
  <si>
    <t>Accum Def Income Tax</t>
  </si>
  <si>
    <t>Accum Prov For Amort</t>
  </si>
  <si>
    <t>Accum Prov For Deprec</t>
  </si>
  <si>
    <t>Rate Base Deductions:</t>
  </si>
  <si>
    <t xml:space="preserve">   Total Electric Plant:</t>
  </si>
  <si>
    <t xml:space="preserve">Misc Rate Base </t>
  </si>
  <si>
    <t>Weatherization</t>
  </si>
  <si>
    <t>Working Capital</t>
  </si>
  <si>
    <t>Material &amp; Supplies</t>
  </si>
  <si>
    <t>Fuel Stock</t>
  </si>
  <si>
    <t>Prepayments</t>
  </si>
  <si>
    <t>Nuclear Fuel</t>
  </si>
  <si>
    <t>Elec Plant Acq Adj</t>
  </si>
  <si>
    <t>Misc Deferred Debits</t>
  </si>
  <si>
    <t>Plant Held for Future Use</t>
  </si>
  <si>
    <t>Electric Plant In Service</t>
  </si>
  <si>
    <t xml:space="preserve">   Rate Base:</t>
  </si>
  <si>
    <t xml:space="preserve">   Operating Rev For Return:</t>
  </si>
  <si>
    <t xml:space="preserve">   Total Operating Expenses:</t>
  </si>
  <si>
    <t>Misc Revenue &amp; Expense</t>
  </si>
  <si>
    <t>Investment Tax Credit Adj.</t>
  </si>
  <si>
    <t>Income Taxes - Def Net</t>
  </si>
  <si>
    <t>Income Taxes - State</t>
  </si>
  <si>
    <t>Income Taxes - Federal</t>
  </si>
  <si>
    <t>Taxes Other Than Income</t>
  </si>
  <si>
    <t xml:space="preserve">Amortization </t>
  </si>
  <si>
    <t>Depreciation</t>
  </si>
  <si>
    <t xml:space="preserve">   Total O&amp;M Expenses</t>
  </si>
  <si>
    <t>Administrative &amp; General</t>
  </si>
  <si>
    <t>Sales</t>
  </si>
  <si>
    <t>Customer Service &amp; Info</t>
  </si>
  <si>
    <t>Customer Accounting</t>
  </si>
  <si>
    <t>Distribution</t>
  </si>
  <si>
    <t>Transmission</t>
  </si>
  <si>
    <t>Other Power Supply</t>
  </si>
  <si>
    <t>Hydro Production</t>
  </si>
  <si>
    <t>Nuclear Production</t>
  </si>
  <si>
    <t>Steam Production</t>
  </si>
  <si>
    <t xml:space="preserve">   Operating Expenses:</t>
  </si>
  <si>
    <t xml:space="preserve">   Total Operating Revenues</t>
  </si>
  <si>
    <t>Other Operating Revenues</t>
  </si>
  <si>
    <t>Special Sales</t>
  </si>
  <si>
    <t>Interdepartmental</t>
  </si>
  <si>
    <t>General Business Revenues</t>
  </si>
  <si>
    <t xml:space="preserve">   Operating Revenues:</t>
  </si>
  <si>
    <t>Washington Normalized Results</t>
  </si>
  <si>
    <t>Normalizing Adjustments</t>
  </si>
  <si>
    <t>Other Adjustments</t>
  </si>
  <si>
    <t>Rate Base Adjustments</t>
  </si>
  <si>
    <t>Tax Adjustments</t>
  </si>
  <si>
    <t>Depreciation &amp; Amortization Adjustments</t>
  </si>
  <si>
    <t>Net Power Cost Adjustments</t>
  </si>
  <si>
    <t>O&amp;M Adjustments</t>
  </si>
  <si>
    <t>Revenue Adjustments</t>
  </si>
  <si>
    <t>Washington Allocated Actual Results June 2019</t>
  </si>
  <si>
    <t>Tabs 3-9</t>
  </si>
  <si>
    <t>Tab 9</t>
  </si>
  <si>
    <t>Tab 8</t>
  </si>
  <si>
    <t>Tab 7</t>
  </si>
  <si>
    <t>Tab 6</t>
  </si>
  <si>
    <t>Tab 5</t>
  </si>
  <si>
    <t>Tab 4</t>
  </si>
  <si>
    <t>Tab 3</t>
  </si>
  <si>
    <t>Total</t>
  </si>
  <si>
    <t>Exhibit No. SEM-3</t>
  </si>
  <si>
    <t>12 Months Ended June 2019</t>
  </si>
  <si>
    <t>Summary</t>
  </si>
  <si>
    <t>Miscellaneous Expense &amp; Revenue</t>
  </si>
  <si>
    <t>General Wage Increase (Annualizing)</t>
  </si>
  <si>
    <t>General Wage Increase 
(Pro Forma)</t>
  </si>
  <si>
    <t>Insurance Expense</t>
  </si>
  <si>
    <t>Advertising</t>
  </si>
  <si>
    <t>Memberships &amp; Subscriptions</t>
  </si>
  <si>
    <t>Revenue-Sensitive/ Uncollectible Expense</t>
  </si>
  <si>
    <t>Legal Expenses</t>
  </si>
  <si>
    <t>Payment Fees and Bill Credits</t>
  </si>
  <si>
    <t>Remove Non-Recurring Entries</t>
  </si>
  <si>
    <t>Environmental Remediation</t>
  </si>
  <si>
    <t>Credit Facility Fee Adjustment</t>
  </si>
  <si>
    <t>Amortization of Pension Settlement Adjustment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</si>
  <si>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</si>
  <si>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</si>
  <si>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</si>
  <si>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</si>
  <si>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</si>
  <si>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</si>
  <si>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</si>
  <si>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</si>
  <si>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</si>
  <si>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</si>
  <si>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</si>
  <si>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</si>
  <si>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</si>
  <si>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</si>
  <si>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</si>
  <si>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</si>
  <si>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</si>
  <si>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Temperature Normalization</t>
  </si>
  <si>
    <t>Revenue Normalizing</t>
  </si>
  <si>
    <t>Wheeling Revenue</t>
  </si>
  <si>
    <t>Ancillary Revenue</t>
  </si>
  <si>
    <t>5.1</t>
  </si>
  <si>
    <t>5.2</t>
  </si>
  <si>
    <t>5.3</t>
  </si>
  <si>
    <t>5.4</t>
  </si>
  <si>
    <t>5.5</t>
  </si>
  <si>
    <t>Production Factor</t>
  </si>
  <si>
    <t>System Non-Emitting Resources Adjustment</t>
  </si>
  <si>
    <t>System Transmission - New Adjustment</t>
  </si>
  <si>
    <t>System Transmission - Existing Adjustment</t>
  </si>
  <si>
    <t>Interest True Up</t>
  </si>
  <si>
    <t>Property Tax Expense</t>
  </si>
  <si>
    <t>Production Tax Credit</t>
  </si>
  <si>
    <t>PowerTax ADIT Balance</t>
  </si>
  <si>
    <t>Permanent Schedule M Adjustment</t>
  </si>
  <si>
    <t>Remove Deferred State Tax Expense &amp; Balance</t>
  </si>
  <si>
    <t>WA Public Utility Tax Adjustment</t>
  </si>
  <si>
    <t>AFUDC Equity</t>
  </si>
  <si>
    <t>WA Low Income Tax Credit</t>
  </si>
  <si>
    <t>Wyoming Wind Generation Tax</t>
  </si>
  <si>
    <t>Removal of TCJA Deferred Balances</t>
  </si>
  <si>
    <t>Depreciation Study Adjustment Tax Impacts</t>
  </si>
  <si>
    <t>Jim Bridger Mine Rate Base</t>
  </si>
  <si>
    <t>Regulatory Assets and Liabilities Amortization</t>
  </si>
  <si>
    <t>Customer Advances for Construction</t>
  </si>
  <si>
    <t>Pro Forma Major Plant Additions</t>
  </si>
  <si>
    <t>Miscellaneous Rate Base</t>
  </si>
  <si>
    <t>Removal of Colstrip #4 AFUDC</t>
  </si>
  <si>
    <t>Investor Supplied Working Capital</t>
  </si>
  <si>
    <t>Removal of Bridger SCR</t>
  </si>
  <si>
    <t>End-of-Period Plant Balances</t>
  </si>
  <si>
    <t>Idaho Asset Exchange</t>
  </si>
  <si>
    <t>Repowering Project Capital Additions</t>
  </si>
  <si>
    <t>New Wind Generation and Associated Transmission Capital Additions</t>
  </si>
  <si>
    <t>6.1</t>
  </si>
  <si>
    <t>6.2</t>
  </si>
  <si>
    <t>6.3</t>
  </si>
  <si>
    <t>6.4</t>
  </si>
  <si>
    <t>6.5</t>
  </si>
  <si>
    <t>Pro Forma Depreciation &amp; Amortization Expense</t>
  </si>
  <si>
    <t>Pro Forma Depreciation &amp; Amortization Reserves</t>
  </si>
  <si>
    <t>End-of-Period Reserves</t>
  </si>
  <si>
    <t>Accelerated Depreciation on Jim Bridger &amp; Colstrip</t>
  </si>
  <si>
    <t>Depreciation Study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</si>
  <si>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</si>
  <si>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</si>
  <si>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</si>
  <si>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</si>
  <si>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</si>
  <si>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</si>
  <si>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</si>
  <si>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</si>
  <si>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</si>
  <si>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</si>
  <si>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</si>
  <si>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</si>
  <si>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Net Power Costs - Restating</t>
  </si>
  <si>
    <t>Net Power Costs - Pro Forma</t>
  </si>
  <si>
    <t>Colstrip #3 Removal</t>
  </si>
  <si>
    <t>REC Purchase Adjustment</t>
  </si>
  <si>
    <t>Nodal Pricing Model Adjustment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</si>
  <si>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</si>
  <si>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</si>
  <si>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</si>
  <si>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</si>
  <si>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</si>
  <si>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</si>
  <si>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</si>
  <si>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</si>
  <si>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</si>
  <si>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</si>
  <si>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</si>
  <si>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</si>
  <si>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</si>
  <si>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9.1</t>
  </si>
  <si>
    <t>9.2</t>
  </si>
  <si>
    <t>9.3</t>
  </si>
  <si>
    <t>9.4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</si>
</sst>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8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1" fillId="0" borderId="0" xfId="0" applyFont="1"/>
    <xf numFmtId="164" fontId="1" fillId="0" borderId="0" xfId="2" quotePrefix="1" applyNumberFormat="1" applyFont="1" applyBorder="1"/>
    <xf numFmtId="164" fontId="1" fillId="0" borderId="1" xfId="2" quotePrefix="1" applyNumberFormat="1" applyFont="1" applyBorder="1"/>
    <xf numFmtId="10" fontId="1" fillId="0" borderId="0" xfId="2" applyNumberFormat="1" applyFont="1"/>
    <xf numFmtId="164" fontId="1" fillId="0" borderId="2" xfId="2" applyNumberFormat="1" applyFont="1" applyBorder="1"/>
    <xf numFmtId="164" fontId="1" fillId="0" borderId="0" xfId="2" applyNumberFormat="1" applyFont="1"/>
    <xf numFmtId="164" fontId="1" fillId="0" borderId="0" xfId="2" quotePrefix="1" applyNumberFormat="1" applyFont="1"/>
    <xf numFmtId="164" fontId="1" fillId="0" borderId="2" xfId="2" applyNumberFormat="1" applyFont="1" applyFill="1" applyBorder="1"/>
    <xf numFmtId="164" fontId="1" fillId="0" borderId="0" xfId="2" applyNumberFormat="1" applyFont="1" applyFill="1"/>
    <xf numFmtId="0" fontId="1" fillId="0" borderId="0" xfId="0" quotePrefix="1" applyFont="1" applyAlignment="1">
      <alignment horizontal="left"/>
    </xf>
    <xf numFmtId="0" fontId="1" fillId="0" borderId="2" xfId="0" applyFont="1" applyBorder="1"/>
    <xf numFmtId="0" fontId="2" fillId="0" borderId="2" xfId="0" applyFont="1" applyBorder="1"/>
    <xf numFmtId="10" fontId="1" fillId="0" borderId="3" xfId="0" applyNumberFormat="1" applyFont="1" applyBorder="1"/>
    <xf numFmtId="10" fontId="1" fillId="0" borderId="4" xfId="2" applyNumberFormat="1" applyFont="1" applyBorder="1"/>
    <xf numFmtId="164" fontId="1" fillId="0" borderId="4" xfId="2" applyNumberFormat="1" applyFont="1" applyFill="1" applyBorder="1"/>
    <xf numFmtId="0" fontId="1" fillId="0" borderId="4" xfId="0" applyFont="1" applyBorder="1"/>
    <xf numFmtId="10" fontId="1" fillId="0" borderId="5" xfId="2" applyNumberFormat="1" applyFont="1" applyBorder="1"/>
    <xf numFmtId="164" fontId="1" fillId="0" borderId="0" xfId="2" applyNumberFormat="1" applyFont="1" applyFill="1" applyBorder="1"/>
    <xf numFmtId="164" fontId="1" fillId="0" borderId="5" xfId="2" applyNumberFormat="1" applyFont="1" applyFill="1" applyBorder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5" fontId="4" fillId="0" borderId="0" xfId="1" applyNumberFormat="1" applyFont="1" applyFill="1"/>
    <xf numFmtId="165" fontId="5" fillId="0" borderId="0" xfId="1" applyNumberFormat="1" applyFont="1" applyFill="1" applyBorder="1"/>
    <xf numFmtId="0" fontId="5" fillId="0" borderId="0" xfId="0" applyFont="1" applyFill="1" applyBorder="1"/>
    <xf numFmtId="0" fontId="3" fillId="0" borderId="0" xfId="0" applyFont="1"/>
    <xf numFmtId="165" fontId="3" fillId="0" borderId="0" xfId="1" applyNumberFormat="1" applyFont="1"/>
    <xf numFmtId="165" fontId="5" fillId="0" borderId="7" xfId="0" applyNumberFormat="1" applyFont="1" applyBorder="1"/>
    <xf numFmtId="165" fontId="3" fillId="0" borderId="0" xfId="0" applyNumberFormat="1" applyFont="1" applyFill="1"/>
    <xf numFmtId="165" fontId="3" fillId="0" borderId="0" xfId="1" applyNumberFormat="1" applyFont="1" applyFill="1"/>
    <xf numFmtId="165" fontId="5" fillId="0" borderId="0" xfId="1" applyNumberFormat="1" applyFont="1" applyFill="1"/>
    <xf numFmtId="0" fontId="5" fillId="0" borderId="0" xfId="0" applyFont="1" applyFill="1" applyAlignment="1">
      <alignment horizontal="right"/>
    </xf>
    <xf numFmtId="165" fontId="3" fillId="0" borderId="2" xfId="1" applyNumberFormat="1" applyFont="1" applyFill="1" applyBorder="1"/>
    <xf numFmtId="0" fontId="3" fillId="0" borderId="0" xfId="0" quotePrefix="1" applyNumberFormat="1" applyFont="1" applyFill="1" applyAlignment="1">
      <alignment horizontal="center"/>
    </xf>
    <xf numFmtId="165" fontId="3" fillId="0" borderId="0" xfId="1" applyNumberFormat="1" applyFont="1" applyFill="1" applyBorder="1"/>
    <xf numFmtId="0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3" fontId="3" fillId="0" borderId="0" xfId="0" applyNumberFormat="1" applyFont="1" applyFill="1"/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0" fontId="3" fillId="0" borderId="0" xfId="3" applyFont="1"/>
    <xf numFmtId="0" fontId="4" fillId="0" borderId="0" xfId="3" applyFont="1" applyBorder="1"/>
    <xf numFmtId="0" fontId="9" fillId="0" borderId="0" xfId="3" applyFont="1" applyBorder="1"/>
    <xf numFmtId="165" fontId="3" fillId="0" borderId="0" xfId="3" applyNumberFormat="1" applyFont="1"/>
    <xf numFmtId="165" fontId="4" fillId="0" borderId="0" xfId="3" applyNumberFormat="1" applyFont="1" applyBorder="1"/>
    <xf numFmtId="165" fontId="9" fillId="0" borderId="0" xfId="3" applyNumberFormat="1" applyFont="1" applyBorder="1"/>
    <xf numFmtId="165" fontId="3" fillId="0" borderId="8" xfId="3" applyNumberFormat="1" applyFont="1" applyBorder="1"/>
    <xf numFmtId="165" fontId="3" fillId="0" borderId="0" xfId="1" applyNumberFormat="1" applyFont="1" applyBorder="1" applyAlignment="1">
      <alignment vertical="center"/>
    </xf>
    <xf numFmtId="0" fontId="3" fillId="0" borderId="0" xfId="3" quotePrefix="1" applyFont="1" applyAlignment="1">
      <alignment horizontal="left" vertical="center"/>
    </xf>
    <xf numFmtId="0" fontId="3" fillId="0" borderId="0" xfId="3" applyFont="1" applyAlignment="1">
      <alignment vertical="center"/>
    </xf>
    <xf numFmtId="0" fontId="1" fillId="0" borderId="0" xfId="3"/>
    <xf numFmtId="165" fontId="3" fillId="0" borderId="0" xfId="1" applyNumberFormat="1" applyFont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3" fillId="0" borderId="8" xfId="1" applyNumberFormat="1" applyFont="1" applyBorder="1" applyAlignment="1">
      <alignment vertical="center"/>
    </xf>
    <xf numFmtId="0" fontId="3" fillId="0" borderId="8" xfId="3" applyFont="1" applyBorder="1"/>
    <xf numFmtId="165" fontId="3" fillId="0" borderId="2" xfId="1" applyNumberFormat="1" applyFont="1" applyBorder="1" applyAlignment="1">
      <alignment vertical="center"/>
    </xf>
    <xf numFmtId="165" fontId="3" fillId="0" borderId="0" xfId="3" applyNumberFormat="1" applyFont="1" applyBorder="1"/>
    <xf numFmtId="165" fontId="3" fillId="0" borderId="9" xfId="1" applyNumberFormat="1" applyFont="1" applyBorder="1" applyAlignment="1">
      <alignment vertical="center"/>
    </xf>
    <xf numFmtId="165" fontId="3" fillId="0" borderId="0" xfId="1" applyNumberFormat="1" applyFont="1" applyBorder="1"/>
    <xf numFmtId="165" fontId="3" fillId="0" borderId="9" xfId="1" applyNumberFormat="1" applyFont="1" applyBorder="1"/>
    <xf numFmtId="165" fontId="3" fillId="0" borderId="2" xfId="3" applyNumberFormat="1" applyFont="1" applyBorder="1"/>
    <xf numFmtId="165" fontId="3" fillId="0" borderId="0" xfId="1" quotePrefix="1" applyNumberFormat="1" applyFont="1"/>
    <xf numFmtId="164" fontId="9" fillId="0" borderId="0" xfId="2" applyNumberFormat="1" applyFont="1" applyBorder="1"/>
    <xf numFmtId="164" fontId="3" fillId="0" borderId="0" xfId="2" applyNumberFormat="1" applyFont="1" applyAlignment="1">
      <alignment vertical="center"/>
    </xf>
    <xf numFmtId="0" fontId="3" fillId="0" borderId="0" xfId="3" applyFont="1" applyFill="1"/>
    <xf numFmtId="164" fontId="9" fillId="0" borderId="0" xfId="2" applyNumberFormat="1" applyFont="1" applyFill="1" applyBorder="1"/>
    <xf numFmtId="10" fontId="3" fillId="0" borderId="0" xfId="2" applyNumberFormat="1" applyFont="1" applyFill="1"/>
    <xf numFmtId="10" fontId="3" fillId="0" borderId="0" xfId="3" applyNumberFormat="1" applyFont="1" applyFill="1"/>
    <xf numFmtId="164" fontId="3" fillId="0" borderId="0" xfId="2" applyNumberFormat="1" applyFont="1" applyFill="1"/>
    <xf numFmtId="10" fontId="3" fillId="0" borderId="0" xfId="2" applyNumberFormat="1" applyFont="1" applyFill="1" applyAlignment="1">
      <alignment vertical="center"/>
    </xf>
    <xf numFmtId="0" fontId="3" fillId="0" borderId="0" xfId="3" applyFont="1" applyFill="1" applyAlignment="1">
      <alignment vertical="center"/>
    </xf>
    <xf numFmtId="165" fontId="3" fillId="0" borderId="1" xfId="3" applyNumberFormat="1" applyFont="1" applyBorder="1"/>
    <xf numFmtId="165" fontId="3" fillId="0" borderId="7" xfId="3" applyNumberFormat="1" applyFont="1" applyBorder="1"/>
    <xf numFmtId="165" fontId="9" fillId="0" borderId="0" xfId="1" applyNumberFormat="1" applyFont="1" applyBorder="1" applyAlignment="1"/>
    <xf numFmtId="165" fontId="3" fillId="0" borderId="0" xfId="1" applyNumberFormat="1" applyFont="1" applyBorder="1" applyAlignment="1"/>
    <xf numFmtId="0" fontId="3" fillId="0" borderId="0" xfId="3" applyFont="1" applyAlignment="1"/>
    <xf numFmtId="165" fontId="3" fillId="0" borderId="9" xfId="3" applyNumberFormat="1" applyFont="1" applyBorder="1"/>
    <xf numFmtId="165" fontId="3" fillId="0" borderId="2" xfId="1" applyNumberFormat="1" applyFont="1" applyBorder="1"/>
    <xf numFmtId="0" fontId="3" fillId="0" borderId="0" xfId="3" applyFont="1" applyAlignment="1">
      <alignment horizontal="right" vertical="center"/>
    </xf>
    <xf numFmtId="165" fontId="9" fillId="0" borderId="0" xfId="1" applyNumberFormat="1" applyFont="1" applyBorder="1"/>
    <xf numFmtId="165" fontId="3" fillId="0" borderId="7" xfId="1" applyNumberFormat="1" applyFont="1" applyBorder="1"/>
    <xf numFmtId="17" fontId="10" fillId="0" borderId="0" xfId="3" applyNumberFormat="1" applyFont="1" applyBorder="1" applyAlignment="1">
      <alignment horizontal="center" wrapText="1"/>
    </xf>
    <xf numFmtId="17" fontId="5" fillId="0" borderId="2" xfId="3" applyNumberFormat="1" applyFont="1" applyBorder="1" applyAlignment="1">
      <alignment horizontal="center" wrapText="1"/>
    </xf>
    <xf numFmtId="17" fontId="3" fillId="0" borderId="0" xfId="3" applyNumberFormat="1" applyFont="1" applyAlignment="1">
      <alignment horizontal="center" wrapText="1"/>
    </xf>
    <xf numFmtId="0" fontId="5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9" fillId="0" borderId="0" xfId="3" applyFont="1" applyBorder="1" applyAlignment="1">
      <alignment horizontal="center"/>
    </xf>
    <xf numFmtId="0" fontId="3" fillId="0" borderId="0" xfId="3" applyFont="1" applyBorder="1" applyAlignment="1">
      <alignment horizontal="centerContinuous"/>
    </xf>
    <xf numFmtId="0" fontId="5" fillId="0" borderId="0" xfId="3" applyFont="1" applyBorder="1" applyAlignment="1">
      <alignment horizontal="centerContinuous"/>
    </xf>
    <xf numFmtId="0" fontId="3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Continuous"/>
    </xf>
    <xf numFmtId="0" fontId="3" fillId="0" borderId="0" xfId="3" applyFont="1" applyBorder="1"/>
    <xf numFmtId="0" fontId="3" fillId="0" borderId="2" xfId="3" applyFont="1" applyBorder="1"/>
    <xf numFmtId="0" fontId="3" fillId="0" borderId="2" xfId="3" applyFont="1" applyBorder="1" applyAlignment="1">
      <alignment horizontal="centerContinuous"/>
    </xf>
    <xf numFmtId="0" fontId="5" fillId="0" borderId="2" xfId="3" applyFont="1" applyBorder="1" applyAlignment="1">
      <alignment horizontal="centerContinuous"/>
    </xf>
    <xf numFmtId="0" fontId="11" fillId="0" borderId="2" xfId="3" applyFont="1" applyBorder="1" applyAlignment="1">
      <alignment horizontal="centerContinuous"/>
    </xf>
    <xf numFmtId="0" fontId="5" fillId="0" borderId="0" xfId="3" applyFont="1"/>
    <xf numFmtId="0" fontId="3" fillId="0" borderId="0" xfId="3" applyFont="1" applyAlignment="1">
      <alignment horizontal="left"/>
    </xf>
    <xf numFmtId="0" fontId="2" fillId="0" borderId="0" xfId="3" quotePrefix="1" applyFont="1"/>
    <xf numFmtId="0" fontId="12" fillId="0" borderId="0" xfId="3" applyFont="1"/>
    <xf numFmtId="0" fontId="13" fillId="0" borderId="0" xfId="3" quotePrefix="1" applyFont="1"/>
    <xf numFmtId="0" fontId="13" fillId="0" borderId="0" xfId="3" applyFont="1" applyAlignment="1">
      <alignment wrapText="1"/>
    </xf>
    <xf numFmtId="0" fontId="3" fillId="0" borderId="0" xfId="3" applyFont="1" applyAlignment="1">
      <alignment horizontal="right"/>
    </xf>
    <xf numFmtId="0" fontId="12" fillId="0" borderId="0" xfId="3" applyFont="1" applyAlignment="1"/>
    <xf numFmtId="0" fontId="13" fillId="0" borderId="0" xfId="3" applyFont="1" applyAlignment="1">
      <alignment horizontal="left" wrapText="1"/>
    </xf>
    <xf numFmtId="0" fontId="5" fillId="0" borderId="0" xfId="3" applyFont="1" applyAlignment="1">
      <alignment horizontal="right"/>
    </xf>
    <xf numFmtId="0" fontId="13" fillId="0" borderId="0" xfId="3" applyFont="1"/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tabSelected="1" view="pageBreakPreview" zoomScaleNormal="100" zoomScaleSheetLayoutView="100" workbookViewId="0">
      <selection activeCell="C94" sqref="C94"/>
    </sheetView>
  </sheetViews>
  <sheetFormatPr defaultRowHeight="11.25" x14ac:dyDescent="0.2"/>
  <cols>
    <col min="1" max="1" width="4.28515625" style="27" customWidth="1"/>
    <col min="2" max="2" width="11.140625" style="29" customWidth="1"/>
    <col min="3" max="3" width="51.5703125" style="27" bestFit="1" customWidth="1"/>
    <col min="4" max="4" width="10.7109375" style="27" customWidth="1"/>
    <col min="5" max="5" width="12" style="27" bestFit="1" customWidth="1"/>
    <col min="6" max="6" width="10.7109375" style="27" customWidth="1"/>
    <col min="7" max="7" width="22.7109375" style="28" customWidth="1"/>
    <col min="8" max="8" width="10.42578125" style="27" bestFit="1" customWidth="1"/>
    <col min="9" max="16384" width="9.140625" style="27"/>
  </cols>
  <sheetData>
    <row r="1" spans="1:8" ht="19.5" x14ac:dyDescent="0.3">
      <c r="A1" s="59" t="s">
        <v>65</v>
      </c>
      <c r="C1" s="58"/>
      <c r="D1" s="58"/>
      <c r="E1" s="58"/>
      <c r="F1" s="58"/>
      <c r="G1" s="57"/>
    </row>
    <row r="2" spans="1:8" ht="6" customHeight="1" x14ac:dyDescent="0.2">
      <c r="A2" s="30"/>
    </row>
    <row r="3" spans="1:8" ht="12.75" customHeight="1" x14ac:dyDescent="0.2">
      <c r="A3" s="56" t="s">
        <v>64</v>
      </c>
      <c r="B3" s="56"/>
      <c r="C3" s="56"/>
      <c r="D3" s="56"/>
      <c r="E3" s="56"/>
      <c r="F3" s="56"/>
      <c r="G3" s="56"/>
    </row>
    <row r="4" spans="1:8" ht="12.75" customHeight="1" x14ac:dyDescent="0.2">
      <c r="A4" s="56"/>
      <c r="B4" s="56"/>
      <c r="C4" s="56"/>
      <c r="D4" s="56"/>
      <c r="E4" s="56"/>
      <c r="F4" s="56"/>
      <c r="G4" s="56"/>
    </row>
    <row r="5" spans="1:8" ht="12.75" x14ac:dyDescent="0.2">
      <c r="B5" s="55"/>
      <c r="G5" s="27"/>
    </row>
    <row r="6" spans="1:8" x14ac:dyDescent="0.2">
      <c r="B6" s="54" t="s">
        <v>63</v>
      </c>
      <c r="C6" s="54" t="s">
        <v>62</v>
      </c>
      <c r="D6" s="54" t="s">
        <v>61</v>
      </c>
      <c r="E6" s="54" t="s">
        <v>60</v>
      </c>
      <c r="F6" s="54" t="s">
        <v>59</v>
      </c>
      <c r="G6" s="54" t="s">
        <v>58</v>
      </c>
    </row>
    <row r="7" spans="1:8" x14ac:dyDescent="0.2">
      <c r="D7" s="52" t="s">
        <v>57</v>
      </c>
      <c r="E7" s="53" t="s">
        <v>56</v>
      </c>
      <c r="F7" s="52" t="s">
        <v>55</v>
      </c>
      <c r="G7" s="51" t="s">
        <v>54</v>
      </c>
    </row>
    <row r="8" spans="1:8" x14ac:dyDescent="0.2">
      <c r="C8" s="40" t="s">
        <v>53</v>
      </c>
      <c r="D8" s="39">
        <v>65862798.296151578</v>
      </c>
      <c r="E8" s="39">
        <v>778699634.34485626</v>
      </c>
      <c r="F8" s="39">
        <f>-(D8-(E8*Overall_ROR))/gross_up_factor</f>
        <v>-7891176.7000832269</v>
      </c>
      <c r="G8" s="38" t="s">
        <v>25</v>
      </c>
    </row>
    <row r="9" spans="1:8" x14ac:dyDescent="0.2">
      <c r="C9" s="40"/>
      <c r="D9" s="39"/>
      <c r="E9" s="39"/>
      <c r="F9" s="39"/>
      <c r="G9" s="31"/>
    </row>
    <row r="10" spans="1:8" s="47" customFormat="1" ht="24.75" customHeight="1" x14ac:dyDescent="0.2">
      <c r="A10" s="50" t="s">
        <v>52</v>
      </c>
      <c r="B10" s="50" t="s">
        <v>51</v>
      </c>
      <c r="C10" s="50"/>
      <c r="D10" s="50"/>
      <c r="E10" s="50"/>
      <c r="F10" s="49"/>
      <c r="G10" s="48"/>
    </row>
    <row r="11" spans="1:8" x14ac:dyDescent="0.2">
      <c r="A11" s="29">
        <v>1</v>
      </c>
      <c r="B11" s="44" t="s">
        <v>164</v>
      </c>
      <c r="C11" s="27" t="s">
        <v>181</v>
      </c>
      <c r="D11" s="38">
        <v>-5106556.0026000002</v>
      </c>
      <c r="E11" s="38">
        <v>0</v>
      </c>
      <c r="F11" s="38">
        <f>-(D11-(E11*Overall_ROR))/gross_up_factor</f>
        <v>6780264.2270464059</v>
      </c>
      <c r="G11" s="38" t="s">
        <v>50</v>
      </c>
      <c r="H11" s="46"/>
    </row>
    <row r="12" spans="1:8" x14ac:dyDescent="0.2">
      <c r="A12" s="29">
        <f>A11+1</f>
        <v>2</v>
      </c>
      <c r="B12" s="44" t="s">
        <v>165</v>
      </c>
      <c r="C12" s="27" t="s">
        <v>182</v>
      </c>
      <c r="D12" s="38">
        <v>23163903.480510969</v>
      </c>
      <c r="E12" s="38">
        <v>0</v>
      </c>
      <c r="F12" s="38">
        <f>-(D12-(E12*Overall_ROR))/gross_up_factor</f>
        <v>-30756029.317547593</v>
      </c>
      <c r="G12" s="38" t="s">
        <v>50</v>
      </c>
    </row>
    <row r="13" spans="1:8" x14ac:dyDescent="0.2">
      <c r="A13" s="29">
        <f>A12+1</f>
        <v>3</v>
      </c>
      <c r="B13" s="44" t="s">
        <v>166</v>
      </c>
      <c r="C13" s="27" t="s">
        <v>183</v>
      </c>
      <c r="D13" s="38">
        <v>49005.722064279988</v>
      </c>
      <c r="E13" s="38">
        <v>0</v>
      </c>
      <c r="F13" s="38">
        <f>-(D13-(E13*Overall_ROR))/gross_up_factor</f>
        <v>-65067.678502662136</v>
      </c>
      <c r="G13" s="38" t="s">
        <v>50</v>
      </c>
    </row>
    <row r="14" spans="1:8" x14ac:dyDescent="0.2">
      <c r="A14" s="29">
        <f>A13+1</f>
        <v>4</v>
      </c>
      <c r="B14" s="44" t="s">
        <v>167</v>
      </c>
      <c r="C14" s="27" t="s">
        <v>184</v>
      </c>
      <c r="D14" s="41">
        <v>360722.63381521613</v>
      </c>
      <c r="E14" s="41">
        <v>0</v>
      </c>
      <c r="F14" s="41">
        <f>-(D14-(E14*Overall_ROR))/gross_up_factor</f>
        <v>-478951.91371601424</v>
      </c>
      <c r="G14" s="38" t="s">
        <v>50</v>
      </c>
    </row>
    <row r="15" spans="1:8" x14ac:dyDescent="0.2">
      <c r="A15" s="29">
        <f>A14+1</f>
        <v>5</v>
      </c>
      <c r="B15" s="44"/>
      <c r="C15" s="40" t="s">
        <v>49</v>
      </c>
      <c r="D15" s="39">
        <f>SUM(D11:D14)</f>
        <v>18467075.833790466</v>
      </c>
      <c r="E15" s="39">
        <f>SUM(E11:E14)</f>
        <v>0</v>
      </c>
      <c r="F15" s="39">
        <f>SUM(F11:F14)</f>
        <v>-24519784.682719868</v>
      </c>
      <c r="G15" s="31"/>
    </row>
    <row r="16" spans="1:8" x14ac:dyDescent="0.2">
      <c r="A16" s="29">
        <f>A15+1</f>
        <v>6</v>
      </c>
      <c r="D16" s="38"/>
      <c r="E16" s="38"/>
      <c r="F16" s="38"/>
      <c r="G16" s="31"/>
      <c r="H16" s="37"/>
    </row>
    <row r="17" spans="1:8" x14ac:dyDescent="0.2">
      <c r="A17" s="29">
        <f>A16+1</f>
        <v>7</v>
      </c>
      <c r="B17" s="29" t="s">
        <v>168</v>
      </c>
      <c r="C17" s="27" t="s">
        <v>151</v>
      </c>
      <c r="D17" s="38">
        <v>166706.21383796388</v>
      </c>
      <c r="E17" s="38">
        <v>0</v>
      </c>
      <c r="F17" s="38">
        <f>-(D17-(E17*Overall_ROR))/gross_up_factor</f>
        <v>-221345.30151757802</v>
      </c>
      <c r="G17" s="38" t="s">
        <v>48</v>
      </c>
      <c r="H17" s="37"/>
    </row>
    <row r="18" spans="1:8" x14ac:dyDescent="0.2">
      <c r="A18" s="29">
        <f>A17+1</f>
        <v>8</v>
      </c>
      <c r="B18" s="29" t="s">
        <v>169</v>
      </c>
      <c r="C18" s="27" t="s">
        <v>152</v>
      </c>
      <c r="D18" s="38">
        <v>-140580.44927912476</v>
      </c>
      <c r="E18" s="38">
        <v>0</v>
      </c>
      <c r="F18" s="38">
        <f>-(D18-(E18*Overall_ROR))/gross_up_factor</f>
        <v>186656.64114601974</v>
      </c>
      <c r="G18" s="38" t="s">
        <v>48</v>
      </c>
      <c r="H18" s="38"/>
    </row>
    <row r="19" spans="1:8" x14ac:dyDescent="0.2">
      <c r="A19" s="29">
        <f>A18+1</f>
        <v>9</v>
      </c>
      <c r="B19" s="29" t="s">
        <v>170</v>
      </c>
      <c r="C19" s="27" t="s">
        <v>153</v>
      </c>
      <c r="D19" s="38">
        <v>-1004902.1933376188</v>
      </c>
      <c r="E19" s="38">
        <v>0</v>
      </c>
      <c r="F19" s="38">
        <f>-(D19-(E19*Overall_ROR))/gross_up_factor</f>
        <v>1334265.6752806464</v>
      </c>
      <c r="G19" s="38" t="s">
        <v>48</v>
      </c>
      <c r="H19" s="37"/>
    </row>
    <row r="20" spans="1:8" x14ac:dyDescent="0.2">
      <c r="A20" s="29">
        <f>A19+1</f>
        <v>10</v>
      </c>
      <c r="B20" s="44" t="s">
        <v>171</v>
      </c>
      <c r="C20" s="27" t="s">
        <v>154</v>
      </c>
      <c r="D20" s="38">
        <v>431317.01073983655</v>
      </c>
      <c r="E20" s="38">
        <v>0</v>
      </c>
      <c r="F20" s="38">
        <f>-(D20-(E20*Overall_ROR))/gross_up_factor</f>
        <v>-572684.07454004721</v>
      </c>
      <c r="G20" s="38" t="s">
        <v>48</v>
      </c>
    </row>
    <row r="21" spans="1:8" x14ac:dyDescent="0.2">
      <c r="A21" s="29">
        <f>A20+1</f>
        <v>11</v>
      </c>
      <c r="B21" s="44" t="s">
        <v>172</v>
      </c>
      <c r="C21" s="27" t="s">
        <v>155</v>
      </c>
      <c r="D21" s="38">
        <v>10270.60809163968</v>
      </c>
      <c r="E21" s="38">
        <v>0</v>
      </c>
      <c r="F21" s="38">
        <f>-(D21-(E21*Overall_ROR))/gross_up_factor</f>
        <v>-13636.869271247004</v>
      </c>
      <c r="G21" s="38" t="s">
        <v>48</v>
      </c>
    </row>
    <row r="22" spans="1:8" x14ac:dyDescent="0.2">
      <c r="A22" s="29">
        <f>A21+1</f>
        <v>12</v>
      </c>
      <c r="B22" s="44" t="s">
        <v>173</v>
      </c>
      <c r="C22" s="27" t="s">
        <v>156</v>
      </c>
      <c r="D22" s="38">
        <v>-12541.604483466414</v>
      </c>
      <c r="E22" s="38">
        <v>0</v>
      </c>
      <c r="F22" s="38">
        <f>-(D22-(E22*Overall_ROR))/gross_up_factor</f>
        <v>16652.200070990391</v>
      </c>
      <c r="G22" s="38" t="s">
        <v>48</v>
      </c>
    </row>
    <row r="23" spans="1:8" x14ac:dyDescent="0.2">
      <c r="A23" s="29">
        <f>A22+1</f>
        <v>13</v>
      </c>
      <c r="B23" s="44" t="s">
        <v>174</v>
      </c>
      <c r="C23" s="27" t="s">
        <v>157</v>
      </c>
      <c r="D23" s="38">
        <v>-49184.515258546809</v>
      </c>
      <c r="E23" s="38">
        <v>0</v>
      </c>
      <c r="F23" s="38">
        <f>-(D23-(E23*Overall_ROR))/gross_up_factor</f>
        <v>65305.072374091229</v>
      </c>
      <c r="G23" s="38" t="s">
        <v>47</v>
      </c>
    </row>
    <row r="24" spans="1:8" x14ac:dyDescent="0.2">
      <c r="A24" s="29">
        <f>A23+1</f>
        <v>14</v>
      </c>
      <c r="B24" s="44" t="s">
        <v>175</v>
      </c>
      <c r="C24" s="27" t="s">
        <v>158</v>
      </c>
      <c r="D24" s="38">
        <v>-30760.944884667053</v>
      </c>
      <c r="E24" s="38">
        <v>0</v>
      </c>
      <c r="F24" s="38">
        <f>-(D24-(E24*Overall_ROR))/gross_up_factor</f>
        <v>40843.052359645561</v>
      </c>
      <c r="G24" s="38" t="s">
        <v>47</v>
      </c>
    </row>
    <row r="25" spans="1:8" x14ac:dyDescent="0.2">
      <c r="A25" s="29">
        <f>A24+1</f>
        <v>15</v>
      </c>
      <c r="B25" s="44" t="s">
        <v>176</v>
      </c>
      <c r="C25" s="27" t="s">
        <v>159</v>
      </c>
      <c r="D25" s="38">
        <v>-1031460.2780545783</v>
      </c>
      <c r="E25" s="38">
        <v>0</v>
      </c>
      <c r="F25" s="38">
        <f>-(D25-(E25*Overall_ROR))/gross_up_factor</f>
        <v>1369528.3516624556</v>
      </c>
      <c r="G25" s="38" t="s">
        <v>47</v>
      </c>
    </row>
    <row r="26" spans="1:8" x14ac:dyDescent="0.2">
      <c r="A26" s="29">
        <f>A25+1</f>
        <v>16</v>
      </c>
      <c r="B26" s="44" t="s">
        <v>177</v>
      </c>
      <c r="C26" s="27" t="s">
        <v>160</v>
      </c>
      <c r="D26" s="38">
        <v>-199240.9467</v>
      </c>
      <c r="E26" s="38">
        <v>0</v>
      </c>
      <c r="F26" s="38">
        <f>-(D26-(E26*Overall_ROR))/gross_up_factor</f>
        <v>264543.51284604659</v>
      </c>
      <c r="G26" s="38" t="s">
        <v>47</v>
      </c>
    </row>
    <row r="27" spans="1:8" x14ac:dyDescent="0.2">
      <c r="A27" s="29">
        <f>A26+1</f>
        <v>17</v>
      </c>
      <c r="B27" s="44" t="s">
        <v>178</v>
      </c>
      <c r="C27" s="27" t="s">
        <v>161</v>
      </c>
      <c r="D27" s="38">
        <v>-346607.33541061811</v>
      </c>
      <c r="E27" s="38">
        <v>-20743.75673634035</v>
      </c>
      <c r="F27" s="38">
        <f>-(D27-(E27*Overall_ROR))/gross_up_factor</f>
        <v>458090.87173366011</v>
      </c>
      <c r="G27" s="38" t="s">
        <v>47</v>
      </c>
    </row>
    <row r="28" spans="1:8" x14ac:dyDescent="0.2">
      <c r="A28" s="29">
        <f>A27+1</f>
        <v>18</v>
      </c>
      <c r="B28" s="44" t="s">
        <v>179</v>
      </c>
      <c r="C28" s="27" t="s">
        <v>162</v>
      </c>
      <c r="D28" s="38">
        <v>-80284.29031160046</v>
      </c>
      <c r="E28" s="38">
        <v>0</v>
      </c>
      <c r="F28" s="38">
        <f>-(D28-(E28*Overall_ROR))/gross_up_factor</f>
        <v>106598.00877859717</v>
      </c>
      <c r="G28" s="38" t="s">
        <v>47</v>
      </c>
    </row>
    <row r="29" spans="1:8" x14ac:dyDescent="0.2">
      <c r="A29" s="29">
        <f>A28+1</f>
        <v>19</v>
      </c>
      <c r="B29" s="45" t="s">
        <v>180</v>
      </c>
      <c r="C29" s="27" t="s">
        <v>163</v>
      </c>
      <c r="D29" s="41">
        <v>-116541.73817039606</v>
      </c>
      <c r="E29" s="41">
        <v>0</v>
      </c>
      <c r="F29" s="41">
        <f>-(D29-(E29*Overall_ROR))/gross_up_factor</f>
        <v>154739.08009081334</v>
      </c>
      <c r="G29" s="38" t="s">
        <v>47</v>
      </c>
    </row>
    <row r="30" spans="1:8" x14ac:dyDescent="0.2">
      <c r="A30" s="29">
        <f>A29+1</f>
        <v>20</v>
      </c>
      <c r="B30" s="44"/>
      <c r="C30" s="40" t="s">
        <v>46</v>
      </c>
      <c r="D30" s="32">
        <f>SUM(D17:D29)</f>
        <v>-2403810.4632211765</v>
      </c>
      <c r="E30" s="32">
        <f>SUM(E17:E29)</f>
        <v>-20743.75673634035</v>
      </c>
      <c r="F30" s="32">
        <f>SUM(F17:F29)</f>
        <v>3189556.2210140945</v>
      </c>
      <c r="G30" s="31"/>
      <c r="H30" s="37"/>
    </row>
    <row r="31" spans="1:8" x14ac:dyDescent="0.2">
      <c r="A31" s="29">
        <f>A30+1</f>
        <v>21</v>
      </c>
      <c r="D31" s="38"/>
      <c r="E31" s="38"/>
      <c r="F31" s="38"/>
      <c r="G31" s="31"/>
    </row>
    <row r="32" spans="1:8" x14ac:dyDescent="0.2">
      <c r="A32" s="29">
        <f>A31+1</f>
        <v>22</v>
      </c>
      <c r="B32" s="44" t="s">
        <v>185</v>
      </c>
      <c r="C32" s="27" t="s">
        <v>240</v>
      </c>
      <c r="D32" s="38">
        <v>4483748.6087659467</v>
      </c>
      <c r="E32" s="38">
        <v>0</v>
      </c>
      <c r="F32" s="38">
        <f>-(D32-(E32*Overall_ROR))/gross_up_factor</f>
        <v>-5953327.5028426563</v>
      </c>
      <c r="G32" s="38" t="s">
        <v>45</v>
      </c>
    </row>
    <row r="33" spans="1:8" x14ac:dyDescent="0.2">
      <c r="A33" s="29">
        <f>A32+1</f>
        <v>23</v>
      </c>
      <c r="B33" s="44" t="s">
        <v>186</v>
      </c>
      <c r="C33" s="27" t="s">
        <v>241</v>
      </c>
      <c r="D33" s="38">
        <v>7050728.3050301075</v>
      </c>
      <c r="E33" s="38">
        <v>0</v>
      </c>
      <c r="F33" s="38">
        <f>-(D33-(E33*Overall_ROR))/gross_up_factor</f>
        <v>-9361652.1344089601</v>
      </c>
      <c r="G33" s="38" t="s">
        <v>45</v>
      </c>
    </row>
    <row r="34" spans="1:8" x14ac:dyDescent="0.2">
      <c r="A34" s="29">
        <f>A33+1</f>
        <v>24</v>
      </c>
      <c r="B34" s="44" t="s">
        <v>187</v>
      </c>
      <c r="C34" s="27" t="s">
        <v>242</v>
      </c>
      <c r="D34" s="38">
        <v>433100.79308502469</v>
      </c>
      <c r="E34" s="38">
        <v>-5100655.5156755038</v>
      </c>
      <c r="F34" s="38">
        <f>-(D34-(E34*Overall_ROR))/gross_up_factor</f>
        <v>-1096178.9907136585</v>
      </c>
      <c r="G34" s="38" t="s">
        <v>45</v>
      </c>
    </row>
    <row r="35" spans="1:8" x14ac:dyDescent="0.2">
      <c r="A35" s="29">
        <f>A34+1</f>
        <v>25</v>
      </c>
      <c r="B35" s="44" t="s">
        <v>188</v>
      </c>
      <c r="C35" s="27" t="s">
        <v>243</v>
      </c>
      <c r="D35" s="38">
        <v>-126400</v>
      </c>
      <c r="E35" s="38">
        <v>0</v>
      </c>
      <c r="F35" s="38">
        <f>-(D35-(E35*Overall_ROR))/gross_up_factor</f>
        <v>167828.45382725884</v>
      </c>
      <c r="G35" s="38" t="s">
        <v>45</v>
      </c>
    </row>
    <row r="36" spans="1:8" x14ac:dyDescent="0.2">
      <c r="A36" s="29">
        <f>A35+1</f>
        <v>26</v>
      </c>
      <c r="B36" s="29" t="s">
        <v>189</v>
      </c>
      <c r="C36" s="27" t="s">
        <v>244</v>
      </c>
      <c r="D36" s="41">
        <v>-35145.107831941234</v>
      </c>
      <c r="E36" s="41">
        <v>286535.21479052107</v>
      </c>
      <c r="F36" s="41">
        <f>-(D36-(E36*Overall_ROR))/gross_up_factor</f>
        <v>75939.03663644912</v>
      </c>
      <c r="G36" s="38" t="s">
        <v>45</v>
      </c>
    </row>
    <row r="37" spans="1:8" x14ac:dyDescent="0.2">
      <c r="A37" s="29">
        <f>A36+1</f>
        <v>27</v>
      </c>
      <c r="B37" s="44"/>
      <c r="C37" s="40" t="s">
        <v>44</v>
      </c>
      <c r="D37" s="39">
        <f>SUM(D32:D36)</f>
        <v>11806032.599049138</v>
      </c>
      <c r="E37" s="39">
        <f>SUM(E32:E36)</f>
        <v>-4814120.3008849826</v>
      </c>
      <c r="F37" s="39">
        <f>SUM(F32:F36)</f>
        <v>-16167391.137501566</v>
      </c>
      <c r="G37" s="31"/>
      <c r="H37" s="37"/>
    </row>
    <row r="38" spans="1:8" x14ac:dyDescent="0.2">
      <c r="A38" s="29">
        <f>A37+1</f>
        <v>28</v>
      </c>
      <c r="D38" s="38"/>
      <c r="E38" s="38"/>
      <c r="F38" s="38"/>
      <c r="G38" s="31"/>
    </row>
    <row r="39" spans="1:8" x14ac:dyDescent="0.2">
      <c r="A39" s="29">
        <f>A38+1</f>
        <v>29</v>
      </c>
      <c r="B39" s="42" t="s">
        <v>218</v>
      </c>
      <c r="C39" s="27" t="s">
        <v>223</v>
      </c>
      <c r="D39" s="43">
        <v>1936993.8255180337</v>
      </c>
      <c r="E39" s="43">
        <v>0</v>
      </c>
      <c r="F39" s="43">
        <f>-(D39-(E39*Overall_ROR))/gross_up_factor</f>
        <v>-2571856.6361522055</v>
      </c>
      <c r="G39" s="38" t="s">
        <v>43</v>
      </c>
    </row>
    <row r="40" spans="1:8" x14ac:dyDescent="0.2">
      <c r="A40" s="29">
        <f>A39+1</f>
        <v>30</v>
      </c>
      <c r="B40" s="42" t="s">
        <v>219</v>
      </c>
      <c r="C40" s="27" t="s">
        <v>224</v>
      </c>
      <c r="D40" s="43">
        <v>0</v>
      </c>
      <c r="E40" s="43">
        <v>-55137271.460930869</v>
      </c>
      <c r="F40" s="43">
        <f>-(D40-(E40*Overall_ROR))/gross_up_factor</f>
        <v>-5633294.092741346</v>
      </c>
      <c r="G40" s="38" t="s">
        <v>43</v>
      </c>
    </row>
    <row r="41" spans="1:8" x14ac:dyDescent="0.2">
      <c r="A41" s="29">
        <f>A40+1</f>
        <v>31</v>
      </c>
      <c r="B41" s="42" t="s">
        <v>220</v>
      </c>
      <c r="C41" s="27" t="s">
        <v>225</v>
      </c>
      <c r="D41" s="43">
        <v>0</v>
      </c>
      <c r="E41" s="43">
        <v>-19123219.719212715</v>
      </c>
      <c r="F41" s="43">
        <f>-(D41-(E41*Overall_ROR))/gross_up_factor</f>
        <v>-1953791.2889789753</v>
      </c>
      <c r="G41" s="38" t="s">
        <v>42</v>
      </c>
    </row>
    <row r="42" spans="1:8" x14ac:dyDescent="0.2">
      <c r="A42" s="29">
        <f>A41+1</f>
        <v>32</v>
      </c>
      <c r="B42" s="42" t="s">
        <v>221</v>
      </c>
      <c r="C42" s="27" t="s">
        <v>226</v>
      </c>
      <c r="D42" s="43">
        <v>-48067136.469283372</v>
      </c>
      <c r="E42" s="43">
        <v>-20663158.979136657</v>
      </c>
      <c r="F42" s="43">
        <f>-(D42-(E42*Overall_ROR))/gross_up_factor</f>
        <v>61710340.516006373</v>
      </c>
      <c r="G42" s="38" t="s">
        <v>41</v>
      </c>
    </row>
    <row r="43" spans="1:8" x14ac:dyDescent="0.2">
      <c r="A43" s="29">
        <f>A42+1</f>
        <v>33</v>
      </c>
      <c r="B43" s="42" t="s">
        <v>222</v>
      </c>
      <c r="C43" s="27" t="s">
        <v>227</v>
      </c>
      <c r="D43" s="41">
        <v>-1863186.9613754379</v>
      </c>
      <c r="E43" s="41">
        <v>-470359.61073893483</v>
      </c>
      <c r="F43" s="41">
        <f>-(D43-(E43*Overall_ROR))/gross_up_factor</f>
        <v>2425803.1227054209</v>
      </c>
      <c r="G43" s="38" t="s">
        <v>40</v>
      </c>
    </row>
    <row r="44" spans="1:8" x14ac:dyDescent="0.2">
      <c r="A44" s="29">
        <f>A43+1</f>
        <v>34</v>
      </c>
      <c r="B44" s="44"/>
      <c r="C44" s="40" t="s">
        <v>39</v>
      </c>
      <c r="D44" s="39">
        <f>SUM(D39:D43)</f>
        <v>-47993329.605140775</v>
      </c>
      <c r="E44" s="39">
        <f>SUM(E39:E43)</f>
        <v>-95394009.770019174</v>
      </c>
      <c r="F44" s="39">
        <f>SUM(F39:F43)</f>
        <v>53977201.620839268</v>
      </c>
      <c r="G44" s="31"/>
      <c r="H44" s="37"/>
    </row>
    <row r="45" spans="1:8" x14ac:dyDescent="0.2">
      <c r="A45" s="29">
        <f>A44+1</f>
        <v>35</v>
      </c>
      <c r="D45" s="38"/>
      <c r="E45" s="38"/>
      <c r="F45" s="38"/>
      <c r="G45" s="31"/>
    </row>
    <row r="46" spans="1:8" x14ac:dyDescent="0.2">
      <c r="A46" s="29">
        <f>A45+1</f>
        <v>36</v>
      </c>
      <c r="B46" s="44" t="s">
        <v>228</v>
      </c>
      <c r="C46" s="27" t="s">
        <v>194</v>
      </c>
      <c r="D46" s="38">
        <v>389399.9427375166</v>
      </c>
      <c r="E46" s="38">
        <v>0</v>
      </c>
      <c r="F46" s="38">
        <f>-(D46-(E46*Overall_ROR))/gross_up_factor</f>
        <v>-517028.4043517448</v>
      </c>
      <c r="G46" s="38" t="s">
        <v>38</v>
      </c>
    </row>
    <row r="47" spans="1:8" x14ac:dyDescent="0.2">
      <c r="A47" s="29">
        <f>A46+1</f>
        <v>37</v>
      </c>
      <c r="B47" s="44" t="s">
        <v>229</v>
      </c>
      <c r="C47" s="27" t="s">
        <v>195</v>
      </c>
      <c r="D47" s="38">
        <v>-1692139.71</v>
      </c>
      <c r="E47" s="38">
        <v>0</v>
      </c>
      <c r="F47" s="38">
        <f>-(D47-(E47*Overall_ROR))/gross_up_factor</f>
        <v>2246749.9302927703</v>
      </c>
      <c r="G47" s="38" t="s">
        <v>38</v>
      </c>
    </row>
    <row r="48" spans="1:8" x14ac:dyDescent="0.2">
      <c r="A48" s="29">
        <f>A47+1</f>
        <v>38</v>
      </c>
      <c r="B48" s="44" t="s">
        <v>230</v>
      </c>
      <c r="C48" s="27" t="s">
        <v>196</v>
      </c>
      <c r="D48" s="38">
        <v>13886566.662875105</v>
      </c>
      <c r="E48" s="38">
        <v>0</v>
      </c>
      <c r="F48" s="38">
        <f>-(D48-(E48*Overall_ROR))/gross_up_factor</f>
        <v>-18437982.689869355</v>
      </c>
      <c r="G48" s="38" t="s">
        <v>38</v>
      </c>
    </row>
    <row r="49" spans="1:8" x14ac:dyDescent="0.2">
      <c r="A49" s="29">
        <f>A48+1</f>
        <v>39</v>
      </c>
      <c r="B49" s="44" t="s">
        <v>231</v>
      </c>
      <c r="C49" s="27" t="s">
        <v>197</v>
      </c>
      <c r="D49" s="38">
        <v>0</v>
      </c>
      <c r="E49" s="38">
        <v>7638007.5587933287</v>
      </c>
      <c r="F49" s="38">
        <f>-(D49-(E49*Overall_ROR))/gross_up_factor</f>
        <v>780364.02094638185</v>
      </c>
      <c r="G49" s="38" t="s">
        <v>38</v>
      </c>
    </row>
    <row r="50" spans="1:8" x14ac:dyDescent="0.2">
      <c r="A50" s="29">
        <f>A49+1</f>
        <v>40</v>
      </c>
      <c r="B50" s="44" t="s">
        <v>232</v>
      </c>
      <c r="C50" s="27" t="s">
        <v>198</v>
      </c>
      <c r="D50" s="38">
        <v>115264.60668345177</v>
      </c>
      <c r="E50" s="38">
        <v>0</v>
      </c>
      <c r="F50" s="38">
        <f>-(D50-(E50*Overall_ROR))/gross_up_factor</f>
        <v>-153043.36013204776</v>
      </c>
      <c r="G50" s="38" t="s">
        <v>38</v>
      </c>
    </row>
    <row r="51" spans="1:8" x14ac:dyDescent="0.2">
      <c r="A51" s="29">
        <f>A50+1</f>
        <v>41</v>
      </c>
      <c r="B51" s="44" t="s">
        <v>233</v>
      </c>
      <c r="C51" s="27" t="s">
        <v>199</v>
      </c>
      <c r="D51" s="38">
        <v>-1412856</v>
      </c>
      <c r="E51" s="38">
        <v>26236760</v>
      </c>
      <c r="F51" s="38">
        <f>-(D51-(E51*Overall_ROR))/gross_up_factor</f>
        <v>4556500.3557522399</v>
      </c>
      <c r="G51" s="38" t="s">
        <v>38</v>
      </c>
    </row>
    <row r="52" spans="1:8" x14ac:dyDescent="0.2">
      <c r="A52" s="29">
        <f>A51+1</f>
        <v>42</v>
      </c>
      <c r="B52" s="44" t="s">
        <v>234</v>
      </c>
      <c r="C52" s="27" t="s">
        <v>200</v>
      </c>
      <c r="D52" s="38">
        <v>197797.04</v>
      </c>
      <c r="E52" s="38">
        <v>0</v>
      </c>
      <c r="F52" s="38">
        <f>-(D52-(E52*Overall_ROR))/gross_up_factor</f>
        <v>-262626.35597158602</v>
      </c>
      <c r="G52" s="38" t="s">
        <v>37</v>
      </c>
    </row>
    <row r="53" spans="1:8" x14ac:dyDescent="0.2">
      <c r="A53" s="29">
        <f>A52+1</f>
        <v>43</v>
      </c>
      <c r="B53" s="44" t="s">
        <v>235</v>
      </c>
      <c r="C53" s="27" t="s">
        <v>201</v>
      </c>
      <c r="D53" s="38">
        <v>-970.25057353796319</v>
      </c>
      <c r="E53" s="38">
        <v>0</v>
      </c>
      <c r="F53" s="38">
        <f>-(D53-(E53*Overall_ROR))/gross_up_factor</f>
        <v>1288.2567530212616</v>
      </c>
      <c r="G53" s="38" t="s">
        <v>37</v>
      </c>
    </row>
    <row r="54" spans="1:8" x14ac:dyDescent="0.2">
      <c r="A54" s="29">
        <f>A53+1</f>
        <v>44</v>
      </c>
      <c r="B54" s="44" t="s">
        <v>236</v>
      </c>
      <c r="C54" s="27" t="s">
        <v>202</v>
      </c>
      <c r="D54" s="38">
        <v>2613.3200000000002</v>
      </c>
      <c r="E54" s="38">
        <v>0</v>
      </c>
      <c r="F54" s="38">
        <f>-(D54-(E54*Overall_ROR))/gross_up_factor</f>
        <v>-3469.8532828785769</v>
      </c>
      <c r="G54" s="38" t="s">
        <v>37</v>
      </c>
    </row>
    <row r="55" spans="1:8" x14ac:dyDescent="0.2">
      <c r="A55" s="29">
        <f>A54+1</f>
        <v>45</v>
      </c>
      <c r="B55" s="29" t="s">
        <v>237</v>
      </c>
      <c r="C55" s="27" t="s">
        <v>203</v>
      </c>
      <c r="D55" s="38">
        <v>-142524.41419412399</v>
      </c>
      <c r="E55" s="38">
        <v>0</v>
      </c>
      <c r="F55" s="38">
        <f>-(D55-(E55*Overall_ROR))/gross_up_factor</f>
        <v>189237.75369332006</v>
      </c>
      <c r="G55" s="38" t="s">
        <v>37</v>
      </c>
    </row>
    <row r="56" spans="1:8" x14ac:dyDescent="0.2">
      <c r="A56" s="29">
        <f>A55+1</f>
        <v>46</v>
      </c>
      <c r="B56" s="29" t="s">
        <v>238</v>
      </c>
      <c r="C56" s="27" t="s">
        <v>204</v>
      </c>
      <c r="D56" s="38">
        <v>4996016.26</v>
      </c>
      <c r="E56" s="38">
        <v>13617936</v>
      </c>
      <c r="F56" s="38">
        <f>-(D56-(E56*Overall_ROR))/gross_up_factor</f>
        <v>-5242169.8048817897</v>
      </c>
      <c r="G56" s="38" t="s">
        <v>37</v>
      </c>
    </row>
    <row r="57" spans="1:8" x14ac:dyDescent="0.2">
      <c r="A57" s="29">
        <f>A56+1</f>
        <v>47</v>
      </c>
      <c r="B57" s="44" t="s">
        <v>239</v>
      </c>
      <c r="C57" s="27" t="s">
        <v>205</v>
      </c>
      <c r="D57" s="41">
        <v>-2877084.4045112403</v>
      </c>
      <c r="E57" s="41">
        <v>-344082.29787929845</v>
      </c>
      <c r="F57" s="41">
        <f>-(D57-(E57*Overall_ROR))/gross_up_factor</f>
        <v>3784913.8693687785</v>
      </c>
      <c r="G57" s="38" t="s">
        <v>37</v>
      </c>
    </row>
    <row r="58" spans="1:8" x14ac:dyDescent="0.2">
      <c r="A58" s="29">
        <f>A57+1</f>
        <v>48</v>
      </c>
      <c r="B58" s="44"/>
      <c r="C58" s="40" t="s">
        <v>36</v>
      </c>
      <c r="D58" s="39">
        <f>SUM(D46:D57)</f>
        <v>13462083.053017169</v>
      </c>
      <c r="E58" s="39">
        <f>SUM(E46:E57)</f>
        <v>47148621.260914028</v>
      </c>
      <c r="F58" s="39">
        <f>SUM(F46:F57)</f>
        <v>-13057266.281682888</v>
      </c>
      <c r="G58" s="31"/>
      <c r="H58" s="37"/>
    </row>
    <row r="59" spans="1:8" x14ac:dyDescent="0.2">
      <c r="A59" s="29">
        <f>A58+1</f>
        <v>49</v>
      </c>
      <c r="B59" s="44"/>
      <c r="C59" s="40"/>
      <c r="D59" s="39"/>
      <c r="E59" s="39"/>
      <c r="F59" s="39"/>
      <c r="G59" s="31"/>
      <c r="H59" s="37"/>
    </row>
    <row r="60" spans="1:8" x14ac:dyDescent="0.2">
      <c r="A60" s="29">
        <f>A59+1</f>
        <v>50</v>
      </c>
      <c r="B60" s="29" t="s">
        <v>245</v>
      </c>
      <c r="C60" s="27" t="s">
        <v>206</v>
      </c>
      <c r="D60" s="38">
        <v>0</v>
      </c>
      <c r="E60" s="38">
        <v>11495810.820444435</v>
      </c>
      <c r="F60" s="38">
        <f>-(D60-(E60*Overall_ROR))/gross_up_factor</f>
        <v>1174510.1175702675</v>
      </c>
      <c r="G60" s="38" t="s">
        <v>34</v>
      </c>
    </row>
    <row r="61" spans="1:8" x14ac:dyDescent="0.2">
      <c r="A61" s="29">
        <f>A60+1</f>
        <v>51</v>
      </c>
      <c r="B61" s="44" t="s">
        <v>246</v>
      </c>
      <c r="C61" s="27" t="s">
        <v>207</v>
      </c>
      <c r="D61" s="38">
        <v>13462897.911036085</v>
      </c>
      <c r="E61" s="38">
        <v>-12227254.634166686</v>
      </c>
      <c r="F61" s="38">
        <f>-(D61-(E61*Overall_ROR))/gross_up_factor</f>
        <v>-19124694.30112794</v>
      </c>
      <c r="G61" s="38" t="s">
        <v>34</v>
      </c>
    </row>
    <row r="62" spans="1:8" x14ac:dyDescent="0.2">
      <c r="A62" s="29">
        <f>A61+1</f>
        <v>52</v>
      </c>
      <c r="B62" s="44" t="s">
        <v>247</v>
      </c>
      <c r="C62" s="27" t="s">
        <v>208</v>
      </c>
      <c r="D62" s="38">
        <v>0</v>
      </c>
      <c r="E62" s="38">
        <v>-2502028.2767103352</v>
      </c>
      <c r="F62" s="38">
        <f>-(D62-(E62*Overall_ROR))/gross_up_factor</f>
        <v>-255628.55646658764</v>
      </c>
      <c r="G62" s="38" t="s">
        <v>34</v>
      </c>
    </row>
    <row r="63" spans="1:8" x14ac:dyDescent="0.2">
      <c r="A63" s="29">
        <f>A62+1</f>
        <v>53</v>
      </c>
      <c r="B63" s="44" t="s">
        <v>248</v>
      </c>
      <c r="C63" s="27" t="s">
        <v>209</v>
      </c>
      <c r="D63" s="38">
        <v>-232480.14574271906</v>
      </c>
      <c r="E63" s="38">
        <v>70839343.314627215</v>
      </c>
      <c r="F63" s="38">
        <f>-(D63-(E63*Overall_ROR))/gross_up_factor</f>
        <v>7546228.8098859675</v>
      </c>
      <c r="G63" s="38" t="s">
        <v>35</v>
      </c>
    </row>
    <row r="64" spans="1:8" x14ac:dyDescent="0.2">
      <c r="A64" s="29">
        <f>A63+1</f>
        <v>54</v>
      </c>
      <c r="B64" s="42" t="s">
        <v>249</v>
      </c>
      <c r="C64" s="27" t="s">
        <v>210</v>
      </c>
      <c r="D64" s="38">
        <v>0</v>
      </c>
      <c r="E64" s="38">
        <v>-22786730.767553866</v>
      </c>
      <c r="F64" s="38">
        <f>-(D64-(E64*Overall_ROR))/gross_up_factor</f>
        <v>-2328086.8353579119</v>
      </c>
      <c r="G64" s="38" t="s">
        <v>34</v>
      </c>
    </row>
    <row r="65" spans="1:10" x14ac:dyDescent="0.2">
      <c r="A65" s="29">
        <f>A64+1</f>
        <v>55</v>
      </c>
      <c r="B65" s="42" t="s">
        <v>250</v>
      </c>
      <c r="C65" s="27" t="s">
        <v>211</v>
      </c>
      <c r="D65" s="38">
        <v>208716</v>
      </c>
      <c r="E65" s="38">
        <v>-119616.25699999859</v>
      </c>
      <c r="F65" s="38">
        <f>-(D65-(E65*Overall_ROR))/gross_up_factor</f>
        <v>-289345.09626950143</v>
      </c>
      <c r="G65" s="38" t="s">
        <v>33</v>
      </c>
    </row>
    <row r="66" spans="1:10" x14ac:dyDescent="0.2">
      <c r="A66" s="29">
        <f>A65+1</f>
        <v>56</v>
      </c>
      <c r="B66" s="29" t="s">
        <v>251</v>
      </c>
      <c r="C66" s="27" t="s">
        <v>81</v>
      </c>
      <c r="D66" s="38">
        <v>-47731.484000000004</v>
      </c>
      <c r="E66" s="38">
        <v>-2829106.1541666668</v>
      </c>
      <c r="F66" s="38">
        <f>-(D66-(E66*Overall_ROR))/gross_up_factor</f>
        <v>-225669.82280453044</v>
      </c>
      <c r="G66" s="38" t="s">
        <v>33</v>
      </c>
    </row>
    <row r="67" spans="1:10" x14ac:dyDescent="0.2">
      <c r="A67" s="29">
        <f>A66+1</f>
        <v>57</v>
      </c>
      <c r="B67" s="29" t="s">
        <v>252</v>
      </c>
      <c r="C67" s="27" t="s">
        <v>212</v>
      </c>
      <c r="D67" s="38">
        <v>0</v>
      </c>
      <c r="E67" s="38">
        <v>23459504.952026334</v>
      </c>
      <c r="F67" s="38">
        <f>-(D67-(E67*Overall_ROR))/gross_up_factor</f>
        <v>2396823.1862639068</v>
      </c>
      <c r="G67" s="38" t="s">
        <v>33</v>
      </c>
    </row>
    <row r="68" spans="1:10" x14ac:dyDescent="0.2">
      <c r="A68" s="29">
        <f>A67+1</f>
        <v>58</v>
      </c>
      <c r="B68" s="29" t="s">
        <v>253</v>
      </c>
      <c r="C68" s="27" t="s">
        <v>213</v>
      </c>
      <c r="D68" s="38">
        <v>0</v>
      </c>
      <c r="E68" s="38">
        <v>-41383475.633493833</v>
      </c>
      <c r="F68" s="38">
        <f>-(D68-(E68*Overall_ROR))/gross_up_factor</f>
        <v>-4228088.9613562757</v>
      </c>
      <c r="G68" s="38" t="s">
        <v>33</v>
      </c>
    </row>
    <row r="69" spans="1:10" x14ac:dyDescent="0.2">
      <c r="A69" s="29">
        <f>A68+1</f>
        <v>59</v>
      </c>
      <c r="B69" s="44" t="s">
        <v>254</v>
      </c>
      <c r="C69" s="27" t="s">
        <v>214</v>
      </c>
      <c r="D69" s="38">
        <v>0</v>
      </c>
      <c r="E69" s="38">
        <v>26891641.18377804</v>
      </c>
      <c r="F69" s="38">
        <f>-(D69-(E69*Overall_ROR))/gross_up_factor</f>
        <v>2747479.5072519747</v>
      </c>
      <c r="G69" s="38" t="s">
        <v>32</v>
      </c>
    </row>
    <row r="70" spans="1:10" x14ac:dyDescent="0.2">
      <c r="A70" s="29">
        <f>A69+1</f>
        <v>60</v>
      </c>
      <c r="B70" s="44" t="s">
        <v>255</v>
      </c>
      <c r="C70" s="27" t="s">
        <v>215</v>
      </c>
      <c r="D70" s="38">
        <v>0</v>
      </c>
      <c r="E70" s="38">
        <v>6343966.0640676692</v>
      </c>
      <c r="F70" s="38">
        <f>-(D70-(E70*Overall_ROR))/gross_up_factor</f>
        <v>648153.70086977852</v>
      </c>
      <c r="G70" s="38" t="s">
        <v>32</v>
      </c>
    </row>
    <row r="71" spans="1:10" s="34" customFormat="1" x14ac:dyDescent="0.2">
      <c r="A71" s="29">
        <f>A70+1</f>
        <v>61</v>
      </c>
      <c r="B71" s="44" t="s">
        <v>256</v>
      </c>
      <c r="C71" s="27" t="s">
        <v>216</v>
      </c>
      <c r="D71" s="38">
        <v>207428.12541090255</v>
      </c>
      <c r="E71" s="38">
        <v>86363975.252362356</v>
      </c>
      <c r="F71" s="38">
        <f>-(D71-(E71*Overall_ROR))/gross_up_factor</f>
        <v>8548266.4887767155</v>
      </c>
      <c r="G71" s="38" t="s">
        <v>31</v>
      </c>
      <c r="H71" s="27"/>
      <c r="I71" s="27"/>
      <c r="J71" s="27"/>
    </row>
    <row r="72" spans="1:10" x14ac:dyDescent="0.2">
      <c r="A72" s="29">
        <f>A71+1</f>
        <v>62</v>
      </c>
      <c r="B72" s="44" t="s">
        <v>257</v>
      </c>
      <c r="C72" s="27" t="s">
        <v>217</v>
      </c>
      <c r="D72" s="41">
        <v>-2412364.1983237248</v>
      </c>
      <c r="E72" s="41">
        <v>182406898.66774014</v>
      </c>
      <c r="F72" s="41">
        <f>-(D72-(E72*Overall_ROR))/gross_up_factor</f>
        <v>21839277.95339001</v>
      </c>
      <c r="G72" s="38" t="s">
        <v>31</v>
      </c>
    </row>
    <row r="73" spans="1:10" x14ac:dyDescent="0.2">
      <c r="A73" s="29">
        <f>A72+1</f>
        <v>63</v>
      </c>
      <c r="B73" s="44"/>
      <c r="C73" s="40" t="s">
        <v>30</v>
      </c>
      <c r="D73" s="39">
        <f>SUM(D60:D72)</f>
        <v>11186466.208380546</v>
      </c>
      <c r="E73" s="39">
        <f>SUM(E60:E72)</f>
        <v>325952928.53195477</v>
      </c>
      <c r="F73" s="39">
        <f>SUM(F60:F72)</f>
        <v>18449226.190625872</v>
      </c>
      <c r="G73" s="31"/>
      <c r="H73" s="37"/>
    </row>
    <row r="74" spans="1:10" x14ac:dyDescent="0.2">
      <c r="A74" s="29">
        <f>A73+1</f>
        <v>64</v>
      </c>
      <c r="B74" s="44"/>
      <c r="C74" s="40"/>
      <c r="D74" s="39"/>
      <c r="E74" s="39"/>
      <c r="F74" s="39"/>
      <c r="G74" s="31"/>
      <c r="H74" s="37"/>
    </row>
    <row r="75" spans="1:10" x14ac:dyDescent="0.2">
      <c r="A75" s="29">
        <f>A74+1</f>
        <v>65</v>
      </c>
      <c r="B75" s="42" t="s">
        <v>258</v>
      </c>
      <c r="C75" s="27" t="s">
        <v>190</v>
      </c>
      <c r="D75" s="43">
        <v>1847944.1649138411</v>
      </c>
      <c r="E75" s="43">
        <v>-4261950.6440678341</v>
      </c>
      <c r="F75" s="43">
        <f>-(D75-(E75*Overall_ROR))/gross_up_factor</f>
        <v>-2889057.5892215641</v>
      </c>
      <c r="G75" s="38" t="s">
        <v>29</v>
      </c>
      <c r="H75" s="37"/>
    </row>
    <row r="76" spans="1:10" x14ac:dyDescent="0.2">
      <c r="A76" s="29">
        <f>A75+1</f>
        <v>66</v>
      </c>
      <c r="B76" s="42" t="s">
        <v>259</v>
      </c>
      <c r="C76" s="27" t="s">
        <v>191</v>
      </c>
      <c r="D76" s="43">
        <v>4129653.7761807274</v>
      </c>
      <c r="E76" s="43">
        <v>-56434564.101593889</v>
      </c>
      <c r="F76" s="43">
        <f>-(D76-(E76*Overall_ROR))/gross_up_factor</f>
        <v>-11249012.274606543</v>
      </c>
      <c r="G76" s="38" t="s">
        <v>29</v>
      </c>
      <c r="H76" s="37"/>
    </row>
    <row r="77" spans="1:10" x14ac:dyDescent="0.2">
      <c r="A77" s="29">
        <f>A76+1</f>
        <v>67</v>
      </c>
      <c r="B77" s="42" t="s">
        <v>260</v>
      </c>
      <c r="C77" s="27" t="s">
        <v>192</v>
      </c>
      <c r="D77" s="43">
        <v>-128220.47159986952</v>
      </c>
      <c r="E77" s="43">
        <v>1427866.196623839</v>
      </c>
      <c r="F77" s="43">
        <f>-(D77-(E77*Overall_ROR))/gross_up_factor</f>
        <v>316128.59072814963</v>
      </c>
      <c r="G77" s="38" t="s">
        <v>29</v>
      </c>
      <c r="H77" s="37"/>
    </row>
    <row r="78" spans="1:10" x14ac:dyDescent="0.2">
      <c r="A78" s="29">
        <f>A77+1</f>
        <v>68</v>
      </c>
      <c r="B78" s="42" t="s">
        <v>261</v>
      </c>
      <c r="C78" s="27" t="s">
        <v>193</v>
      </c>
      <c r="D78" s="41">
        <v>182146.86661090842</v>
      </c>
      <c r="E78" s="41">
        <v>31529447.076732036</v>
      </c>
      <c r="F78" s="41">
        <f>-(D78-(E78*Overall_ROR))/gross_up_factor</f>
        <v>2979470.5952629568</v>
      </c>
      <c r="G78" s="38" t="s">
        <v>29</v>
      </c>
      <c r="H78" s="37"/>
    </row>
    <row r="79" spans="1:10" x14ac:dyDescent="0.2">
      <c r="A79" s="29">
        <f>A78+1</f>
        <v>69</v>
      </c>
      <c r="C79" s="40" t="s">
        <v>28</v>
      </c>
      <c r="D79" s="39">
        <f>SUM(D75:D78)</f>
        <v>6031524.3361056075</v>
      </c>
      <c r="E79" s="39">
        <f>SUM(E75:E78)</f>
        <v>-27739201.472305845</v>
      </c>
      <c r="F79" s="39">
        <f>SUM(F75:F78)</f>
        <v>-10842470.677837003</v>
      </c>
      <c r="G79" s="38"/>
      <c r="H79" s="37"/>
    </row>
    <row r="80" spans="1:10" x14ac:dyDescent="0.2">
      <c r="A80" s="29">
        <f>A79+1</f>
        <v>70</v>
      </c>
      <c r="D80" s="38"/>
      <c r="E80" s="38"/>
      <c r="F80" s="38"/>
      <c r="G80" s="31"/>
    </row>
    <row r="81" spans="1:9" x14ac:dyDescent="0.2">
      <c r="A81" s="29">
        <f>A80+1</f>
        <v>71</v>
      </c>
      <c r="C81" s="33" t="s">
        <v>27</v>
      </c>
      <c r="D81" s="32">
        <f>D15+D30+D37+D44+D58+D73+D79</f>
        <v>10556041.961980972</v>
      </c>
      <c r="E81" s="32">
        <f>E15+E30+E37+E44+E58+E73+E79</f>
        <v>245133474.49292248</v>
      </c>
      <c r="F81" s="32">
        <f>F15+F30+F37+F44+F58+F73+F79</f>
        <v>11029071.252737906</v>
      </c>
      <c r="G81" s="31"/>
      <c r="H81" s="37"/>
    </row>
    <row r="82" spans="1:9" x14ac:dyDescent="0.2">
      <c r="A82" s="29">
        <f>A81+1</f>
        <v>72</v>
      </c>
      <c r="B82" s="34"/>
      <c r="C82" s="33"/>
      <c r="D82" s="32"/>
      <c r="E82" s="32"/>
      <c r="F82" s="32"/>
      <c r="G82" s="31"/>
    </row>
    <row r="83" spans="1:9" x14ac:dyDescent="0.2">
      <c r="A83" s="29">
        <f>A82+1</f>
        <v>73</v>
      </c>
      <c r="C83" s="36" t="s">
        <v>26</v>
      </c>
      <c r="D83" s="36">
        <f>D8+D81</f>
        <v>76418840.258132547</v>
      </c>
      <c r="E83" s="36">
        <f>E8+E81</f>
        <v>1023833108.8377788</v>
      </c>
      <c r="F83" s="36">
        <f>F8+F81</f>
        <v>3137894.5526546789</v>
      </c>
      <c r="G83" s="35" t="s">
        <v>25</v>
      </c>
      <c r="H83" s="34"/>
      <c r="I83" s="34"/>
    </row>
    <row r="84" spans="1:9" x14ac:dyDescent="0.2">
      <c r="A84" s="29">
        <f>A83+1</f>
        <v>74</v>
      </c>
      <c r="C84" s="33"/>
      <c r="D84" s="32"/>
      <c r="E84" s="32"/>
      <c r="F84" s="32"/>
      <c r="G84" s="31"/>
    </row>
    <row r="85" spans="1:9" x14ac:dyDescent="0.2">
      <c r="A85" s="29">
        <f>A84+1</f>
        <v>75</v>
      </c>
      <c r="B85" s="30" t="s">
        <v>24</v>
      </c>
      <c r="C85" s="33"/>
      <c r="D85" s="32"/>
      <c r="E85" s="32"/>
      <c r="F85" s="32"/>
      <c r="G85" s="31"/>
    </row>
    <row r="86" spans="1:9" x14ac:dyDescent="0.2">
      <c r="A86" s="29">
        <f>A85+1</f>
        <v>76</v>
      </c>
      <c r="B86" s="30" t="s">
        <v>23</v>
      </c>
    </row>
    <row r="87" spans="1:9" x14ac:dyDescent="0.2">
      <c r="A87" s="29">
        <f>A86+1</f>
        <v>77</v>
      </c>
      <c r="B87" s="30" t="s">
        <v>22</v>
      </c>
    </row>
    <row r="88" spans="1:9" x14ac:dyDescent="0.2">
      <c r="A88" s="29"/>
    </row>
    <row r="89" spans="1:9" x14ac:dyDescent="0.2">
      <c r="A89" s="29"/>
    </row>
    <row r="90" spans="1:9" x14ac:dyDescent="0.2">
      <c r="A90" s="29"/>
    </row>
    <row r="91" spans="1:9" x14ac:dyDescent="0.2">
      <c r="A91" s="29"/>
    </row>
    <row r="92" spans="1:9" x14ac:dyDescent="0.2">
      <c r="A92" s="29"/>
    </row>
    <row r="93" spans="1:9" x14ac:dyDescent="0.2">
      <c r="A93" s="29"/>
    </row>
    <row r="94" spans="1:9" x14ac:dyDescent="0.2">
      <c r="A94" s="29"/>
    </row>
    <row r="95" spans="1:9" x14ac:dyDescent="0.2">
      <c r="A95" s="29"/>
    </row>
  </sheetData>
  <mergeCells count="1">
    <mergeCell ref="A3:G4"/>
  </mergeCells>
  <pageMargins left="0.7" right="0.7" top="0.75" bottom="0.75" header="0.3" footer="0.3"/>
  <pageSetup scale="70" orientation="portrait" r:id="rId1"/>
  <headerFooter>
    <oddHeader>&amp;RExhibit No. SEM-2
Page &amp;P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view="pageBreakPreview" zoomScale="90" zoomScaleNormal="100" zoomScaleSheetLayoutView="90" workbookViewId="0">
      <selection activeCell="A86" sqref="A86"/>
    </sheetView>
  </sheetViews>
  <sheetFormatPr defaultRowHeight="11.25" x14ac:dyDescent="0.2"/>
  <cols>
    <col min="1" max="1" width="3.42578125" style="60" customWidth="1"/>
    <col min="2" max="2" width="24.28515625" style="60" customWidth="1"/>
    <col min="3" max="3" width="12.28515625" style="60" customWidth="1"/>
    <col min="4" max="4" width="3.28515625" style="60" customWidth="1"/>
    <col min="5" max="7" width="11.85546875" style="60" customWidth="1"/>
    <col min="8" max="8" width="12.85546875" style="60" customWidth="1"/>
    <col min="9" max="11" width="11.85546875" style="60" customWidth="1"/>
    <col min="12" max="12" width="3" style="60" customWidth="1"/>
    <col min="13" max="13" width="11.85546875" style="60" customWidth="1"/>
    <col min="14" max="14" width="3.140625" style="60" customWidth="1"/>
    <col min="15" max="15" width="13.140625" style="60" bestFit="1" customWidth="1"/>
    <col min="16" max="16" width="12.28515625" style="62" bestFit="1" customWidth="1"/>
    <col min="17" max="17" width="11.28515625" style="61" bestFit="1" customWidth="1"/>
    <col min="18" max="16384" width="9.140625" style="60"/>
  </cols>
  <sheetData>
    <row r="1" spans="1:17" ht="12" x14ac:dyDescent="0.2">
      <c r="A1" s="126" t="s">
        <v>21</v>
      </c>
      <c r="B1" s="119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25"/>
    </row>
    <row r="2" spans="1:17" ht="12" x14ac:dyDescent="0.2">
      <c r="A2" s="124" t="s">
        <v>150</v>
      </c>
      <c r="B2" s="123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22"/>
    </row>
    <row r="3" spans="1:17" ht="12" customHeight="1" x14ac:dyDescent="0.2">
      <c r="A3" s="121" t="s">
        <v>20</v>
      </c>
      <c r="B3" s="121"/>
      <c r="C3" s="121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7" ht="12" x14ac:dyDescent="0.2">
      <c r="A4" s="120" t="s">
        <v>149</v>
      </c>
      <c r="B4" s="119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7" ht="12.75" x14ac:dyDescent="0.2">
      <c r="A5" s="118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7" x14ac:dyDescent="0.2">
      <c r="A6" s="116"/>
      <c r="C6" s="115"/>
      <c r="D6" s="105"/>
      <c r="E6" s="114" t="s">
        <v>148</v>
      </c>
      <c r="F6" s="113"/>
      <c r="G6" s="113"/>
      <c r="H6" s="113"/>
      <c r="I6" s="113"/>
      <c r="J6" s="113"/>
      <c r="K6" s="113"/>
      <c r="L6" s="107"/>
      <c r="M6" s="113"/>
      <c r="O6" s="112"/>
      <c r="P6" s="111"/>
    </row>
    <row r="7" spans="1:17" x14ac:dyDescent="0.2">
      <c r="C7" s="110"/>
      <c r="D7" s="109"/>
      <c r="E7" s="108"/>
      <c r="F7" s="107"/>
      <c r="G7" s="107"/>
      <c r="H7" s="107"/>
      <c r="I7" s="107"/>
      <c r="J7" s="107"/>
      <c r="K7" s="107"/>
      <c r="M7" s="104" t="s">
        <v>147</v>
      </c>
      <c r="P7" s="106"/>
    </row>
    <row r="8" spans="1:17" x14ac:dyDescent="0.2">
      <c r="C8" s="104"/>
      <c r="D8" s="105"/>
      <c r="E8" s="104" t="s">
        <v>146</v>
      </c>
      <c r="F8" s="104" t="s">
        <v>145</v>
      </c>
      <c r="G8" s="104" t="s">
        <v>144</v>
      </c>
      <c r="H8" s="104" t="s">
        <v>143</v>
      </c>
      <c r="I8" s="104" t="s">
        <v>142</v>
      </c>
      <c r="J8" s="104" t="s">
        <v>141</v>
      </c>
      <c r="K8" s="104" t="s">
        <v>140</v>
      </c>
      <c r="L8" s="105"/>
      <c r="M8" s="104" t="s">
        <v>139</v>
      </c>
    </row>
    <row r="9" spans="1:17" ht="57.75" customHeight="1" x14ac:dyDescent="0.2">
      <c r="C9" s="102" t="s">
        <v>138</v>
      </c>
      <c r="D9" s="103"/>
      <c r="E9" s="102" t="s">
        <v>137</v>
      </c>
      <c r="F9" s="102" t="s">
        <v>136</v>
      </c>
      <c r="G9" s="102" t="s">
        <v>135</v>
      </c>
      <c r="H9" s="102" t="s">
        <v>134</v>
      </c>
      <c r="I9" s="102" t="s">
        <v>133</v>
      </c>
      <c r="J9" s="102" t="s">
        <v>132</v>
      </c>
      <c r="K9" s="102" t="s">
        <v>131</v>
      </c>
      <c r="L9" s="103"/>
      <c r="M9" s="102" t="s">
        <v>130</v>
      </c>
      <c r="O9" s="102" t="s">
        <v>129</v>
      </c>
      <c r="P9" s="101"/>
    </row>
    <row r="10" spans="1:17" x14ac:dyDescent="0.2">
      <c r="A10" s="69">
        <v>1</v>
      </c>
      <c r="B10" s="69" t="s">
        <v>128</v>
      </c>
    </row>
    <row r="11" spans="1:17" x14ac:dyDescent="0.2">
      <c r="A11" s="69">
        <v>2</v>
      </c>
      <c r="B11" s="69" t="s">
        <v>127</v>
      </c>
      <c r="C11" s="35">
        <v>326549201.78999996</v>
      </c>
      <c r="D11" s="71"/>
      <c r="E11" s="35">
        <v>22857401.870773375</v>
      </c>
      <c r="F11" s="35">
        <v>-252203.73</v>
      </c>
      <c r="G11" s="35">
        <v>0</v>
      </c>
      <c r="H11" s="35">
        <v>0</v>
      </c>
      <c r="I11" s="35">
        <v>0</v>
      </c>
      <c r="J11" s="35">
        <v>17418111.240000013</v>
      </c>
      <c r="K11" s="35">
        <v>0</v>
      </c>
      <c r="M11" s="35">
        <f>SUM(E11:L11)</f>
        <v>40023309.380773388</v>
      </c>
      <c r="O11" s="63">
        <f>+C11+M11</f>
        <v>366572511.17077333</v>
      </c>
      <c r="P11" s="65"/>
      <c r="Q11" s="64"/>
    </row>
    <row r="12" spans="1:17" x14ac:dyDescent="0.2">
      <c r="A12" s="69">
        <v>3</v>
      </c>
      <c r="B12" s="69" t="s">
        <v>126</v>
      </c>
      <c r="C12" s="35">
        <v>0</v>
      </c>
      <c r="D12" s="71"/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M12" s="35">
        <f>SUM(E12:L12)</f>
        <v>0</v>
      </c>
      <c r="O12" s="63">
        <f>+C12+M12</f>
        <v>0</v>
      </c>
      <c r="P12" s="65"/>
      <c r="Q12" s="64"/>
    </row>
    <row r="13" spans="1:17" x14ac:dyDescent="0.2">
      <c r="A13" s="69">
        <v>4</v>
      </c>
      <c r="B13" s="69" t="s">
        <v>125</v>
      </c>
      <c r="C13" s="35">
        <v>17019166.449027743</v>
      </c>
      <c r="D13" s="71"/>
      <c r="E13" s="35">
        <v>0</v>
      </c>
      <c r="F13" s="35">
        <v>0</v>
      </c>
      <c r="G13" s="35">
        <v>-14033497.759075094</v>
      </c>
      <c r="H13" s="35">
        <v>0</v>
      </c>
      <c r="I13" s="35">
        <v>0</v>
      </c>
      <c r="J13" s="35">
        <v>0</v>
      </c>
      <c r="K13" s="35">
        <v>-65386.144309964031</v>
      </c>
      <c r="M13" s="35">
        <f>SUM(E13:L13)</f>
        <v>-14098883.903385058</v>
      </c>
      <c r="O13" s="63">
        <f>+C13+M13</f>
        <v>2920282.5456426851</v>
      </c>
      <c r="P13" s="65"/>
      <c r="Q13" s="64"/>
    </row>
    <row r="14" spans="1:17" x14ac:dyDescent="0.2">
      <c r="A14" s="69">
        <v>5</v>
      </c>
      <c r="B14" s="69" t="s">
        <v>124</v>
      </c>
      <c r="C14" s="35">
        <v>10619467.010369893</v>
      </c>
      <c r="D14" s="71"/>
      <c r="E14" s="35">
        <v>518643.48845505848</v>
      </c>
      <c r="F14" s="35">
        <v>-427912.20158807386</v>
      </c>
      <c r="G14" s="35">
        <v>0</v>
      </c>
      <c r="H14" s="35">
        <v>0</v>
      </c>
      <c r="I14" s="35">
        <v>0</v>
      </c>
      <c r="J14" s="35">
        <v>47809.260000000009</v>
      </c>
      <c r="K14" s="35">
        <v>1023734.3863624266</v>
      </c>
      <c r="M14" s="35">
        <f>SUM(E14:L14)</f>
        <v>1162274.9332294113</v>
      </c>
      <c r="O14" s="63">
        <f>+C14+M14</f>
        <v>11781741.943599304</v>
      </c>
      <c r="P14" s="65"/>
      <c r="Q14" s="64"/>
    </row>
    <row r="15" spans="1:17" x14ac:dyDescent="0.2">
      <c r="A15" s="69">
        <v>6</v>
      </c>
      <c r="B15" s="69" t="s">
        <v>123</v>
      </c>
      <c r="C15" s="100">
        <f>SUM(C11:C14)</f>
        <v>354187835.24939758</v>
      </c>
      <c r="D15" s="67"/>
      <c r="E15" s="100">
        <f>SUM(E11:E14)</f>
        <v>23376045.359228432</v>
      </c>
      <c r="F15" s="100">
        <f>SUM(F11:F14)</f>
        <v>-680115.93158807384</v>
      </c>
      <c r="G15" s="100">
        <f>SUM(G11:G14)</f>
        <v>-14033497.759075094</v>
      </c>
      <c r="H15" s="100">
        <f>SUM(H11:H14)</f>
        <v>0</v>
      </c>
      <c r="I15" s="100">
        <f>SUM(I11:I14)</f>
        <v>0</v>
      </c>
      <c r="J15" s="100">
        <f>SUM(J11:J14)</f>
        <v>17465920.500000015</v>
      </c>
      <c r="K15" s="100">
        <f>SUM(K11:K14)</f>
        <v>958348.24205246253</v>
      </c>
      <c r="M15" s="100">
        <f>SUM(M11:M14)</f>
        <v>27086700.410617743</v>
      </c>
      <c r="O15" s="100">
        <f>SUM(O11:O14)</f>
        <v>381274535.66001529</v>
      </c>
      <c r="P15" s="99"/>
      <c r="Q15" s="64"/>
    </row>
    <row r="16" spans="1:17" ht="12.75" x14ac:dyDescent="0.2">
      <c r="A16" s="69">
        <v>7</v>
      </c>
      <c r="B16" s="69"/>
      <c r="C16" s="70"/>
      <c r="D16" s="71"/>
      <c r="E16" s="70"/>
      <c r="F16" s="70"/>
      <c r="G16" s="70"/>
      <c r="H16" s="70"/>
      <c r="I16" s="70"/>
      <c r="J16" s="70"/>
      <c r="K16" s="70"/>
      <c r="M16" s="70"/>
      <c r="Q16" s="64"/>
    </row>
    <row r="17" spans="1:17" ht="12.75" x14ac:dyDescent="0.2">
      <c r="A17" s="69">
        <v>8</v>
      </c>
      <c r="B17" s="69" t="s">
        <v>122</v>
      </c>
      <c r="C17" s="70"/>
      <c r="D17" s="71"/>
      <c r="E17" s="70"/>
      <c r="F17" s="70"/>
      <c r="G17" s="70"/>
      <c r="H17" s="70"/>
      <c r="I17" s="70"/>
      <c r="J17" s="70"/>
      <c r="K17" s="70"/>
      <c r="M17" s="70"/>
      <c r="Q17" s="64"/>
    </row>
    <row r="18" spans="1:17" x14ac:dyDescent="0.2">
      <c r="A18" s="69">
        <v>9</v>
      </c>
      <c r="B18" s="69" t="s">
        <v>121</v>
      </c>
      <c r="C18" s="35">
        <v>70560214.284559131</v>
      </c>
      <c r="D18" s="71"/>
      <c r="E18" s="35">
        <v>0</v>
      </c>
      <c r="F18" s="35">
        <v>252912.35782985672</v>
      </c>
      <c r="G18" s="35">
        <v>-4307597.5344699332</v>
      </c>
      <c r="H18" s="35">
        <v>51760.195371981739</v>
      </c>
      <c r="I18" s="35">
        <v>0</v>
      </c>
      <c r="J18" s="35">
        <v>0</v>
      </c>
      <c r="K18" s="35">
        <v>-529290.74321827292</v>
      </c>
      <c r="M18" s="35">
        <f>SUM(E18:L18)</f>
        <v>-4532215.7244863678</v>
      </c>
      <c r="O18" s="63">
        <f>+C18+M18</f>
        <v>66027998.560072765</v>
      </c>
      <c r="P18" s="65"/>
      <c r="Q18" s="64"/>
    </row>
    <row r="19" spans="1:17" x14ac:dyDescent="0.2">
      <c r="A19" s="69">
        <v>10</v>
      </c>
      <c r="B19" s="69" t="s">
        <v>120</v>
      </c>
      <c r="C19" s="35">
        <v>0</v>
      </c>
      <c r="D19" s="71"/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M19" s="35">
        <f>SUM(E19:L19)</f>
        <v>0</v>
      </c>
      <c r="O19" s="63">
        <f>+C19+M19</f>
        <v>0</v>
      </c>
      <c r="P19" s="65"/>
      <c r="Q19" s="64"/>
    </row>
    <row r="20" spans="1:17" x14ac:dyDescent="0.2">
      <c r="A20" s="98">
        <v>11</v>
      </c>
      <c r="B20" s="69" t="s">
        <v>119</v>
      </c>
      <c r="C20" s="35">
        <v>6841672.160289838</v>
      </c>
      <c r="D20" s="71"/>
      <c r="E20" s="35">
        <v>0</v>
      </c>
      <c r="F20" s="35">
        <v>162287.63932202672</v>
      </c>
      <c r="G20" s="35">
        <v>0</v>
      </c>
      <c r="H20" s="35">
        <v>17854.508316736094</v>
      </c>
      <c r="I20" s="35">
        <v>0</v>
      </c>
      <c r="J20" s="35">
        <v>0</v>
      </c>
      <c r="K20" s="35">
        <v>-3614806.387901755</v>
      </c>
      <c r="M20" s="35">
        <f>SUM(E20:L20)</f>
        <v>-3434664.2402629922</v>
      </c>
      <c r="O20" s="63">
        <f>+C20+M20</f>
        <v>3407007.9200268458</v>
      </c>
      <c r="P20" s="65"/>
      <c r="Q20" s="64"/>
    </row>
    <row r="21" spans="1:17" x14ac:dyDescent="0.2">
      <c r="A21" s="69">
        <v>12</v>
      </c>
      <c r="B21" s="69" t="s">
        <v>118</v>
      </c>
      <c r="C21" s="35">
        <v>63424679.078787863</v>
      </c>
      <c r="D21" s="71"/>
      <c r="E21" s="35">
        <v>0</v>
      </c>
      <c r="F21" s="35">
        <v>294554.31401885068</v>
      </c>
      <c r="G21" s="35">
        <v>-9067407.6529566683</v>
      </c>
      <c r="H21" s="35">
        <v>15623.621030583408</v>
      </c>
      <c r="I21" s="35">
        <v>0</v>
      </c>
      <c r="J21" s="35">
        <v>1657310.668266339</v>
      </c>
      <c r="K21" s="35">
        <v>-1043463.1553988494</v>
      </c>
      <c r="M21" s="35">
        <f>SUM(E21:L21)</f>
        <v>-8143382.2050397433</v>
      </c>
      <c r="O21" s="63">
        <f>+C21+M21</f>
        <v>55281296.873748124</v>
      </c>
      <c r="P21" s="65"/>
      <c r="Q21" s="64"/>
    </row>
    <row r="22" spans="1:17" x14ac:dyDescent="0.2">
      <c r="A22" s="69">
        <v>13</v>
      </c>
      <c r="B22" s="69" t="s">
        <v>117</v>
      </c>
      <c r="C22" s="35">
        <v>32375787.706417251</v>
      </c>
      <c r="D22" s="71"/>
      <c r="E22" s="35">
        <v>0</v>
      </c>
      <c r="F22" s="35">
        <v>-211865.07845120516</v>
      </c>
      <c r="G22" s="35">
        <v>-15589077.80184127</v>
      </c>
      <c r="H22" s="35">
        <v>9961.9123770073802</v>
      </c>
      <c r="I22" s="35">
        <v>0</v>
      </c>
      <c r="J22" s="35">
        <v>0</v>
      </c>
      <c r="K22" s="35">
        <v>-156525.32208448392</v>
      </c>
      <c r="M22" s="35">
        <f>SUM(E22:L22)</f>
        <v>-15947506.289999953</v>
      </c>
      <c r="O22" s="63">
        <f>+C22+M22</f>
        <v>16428281.416417299</v>
      </c>
      <c r="P22" s="65"/>
      <c r="Q22" s="64"/>
    </row>
    <row r="23" spans="1:17" x14ac:dyDescent="0.2">
      <c r="A23" s="69">
        <v>14</v>
      </c>
      <c r="B23" s="69" t="s">
        <v>116</v>
      </c>
      <c r="C23" s="35">
        <v>11761768.183577189</v>
      </c>
      <c r="D23" s="71"/>
      <c r="E23" s="35">
        <v>0</v>
      </c>
      <c r="F23" s="35">
        <v>579266.54530209105</v>
      </c>
      <c r="G23" s="35">
        <v>0</v>
      </c>
      <c r="H23" s="35">
        <v>33905.455499260992</v>
      </c>
      <c r="I23" s="35">
        <v>0</v>
      </c>
      <c r="J23" s="35">
        <v>0</v>
      </c>
      <c r="K23" s="35">
        <v>0</v>
      </c>
      <c r="M23" s="35">
        <f>SUM(E23:L23)</f>
        <v>613172.00080135209</v>
      </c>
      <c r="O23" s="63">
        <f>+C23+M23</f>
        <v>12374940.184378542</v>
      </c>
      <c r="P23" s="65"/>
      <c r="Q23" s="64"/>
    </row>
    <row r="24" spans="1:17" x14ac:dyDescent="0.2">
      <c r="A24" s="69">
        <v>15</v>
      </c>
      <c r="B24" s="69" t="s">
        <v>115</v>
      </c>
      <c r="C24" s="35">
        <v>5981921.510807883</v>
      </c>
      <c r="D24" s="71"/>
      <c r="E24" s="35">
        <v>0</v>
      </c>
      <c r="F24" s="35">
        <v>1108766.9445375141</v>
      </c>
      <c r="G24" s="35">
        <v>0</v>
      </c>
      <c r="H24" s="35">
        <v>12321.352910648453</v>
      </c>
      <c r="I24" s="35">
        <v>0</v>
      </c>
      <c r="J24" s="35">
        <v>0</v>
      </c>
      <c r="K24" s="35">
        <v>0</v>
      </c>
      <c r="M24" s="35">
        <f>SUM(E24:L24)</f>
        <v>1121088.2974481627</v>
      </c>
      <c r="O24" s="63">
        <f>+C24+M24</f>
        <v>7103009.8082560459</v>
      </c>
      <c r="P24" s="65"/>
      <c r="Q24" s="64"/>
    </row>
    <row r="25" spans="1:17" x14ac:dyDescent="0.2">
      <c r="A25" s="69">
        <v>16</v>
      </c>
      <c r="B25" s="69" t="s">
        <v>114</v>
      </c>
      <c r="C25" s="35">
        <v>1003434.513881115</v>
      </c>
      <c r="D25" s="71"/>
      <c r="E25" s="35">
        <v>0</v>
      </c>
      <c r="F25" s="35">
        <v>31872.059269140238</v>
      </c>
      <c r="G25" s="35">
        <v>0</v>
      </c>
      <c r="H25" s="35">
        <v>2407.286320388333</v>
      </c>
      <c r="I25" s="35">
        <v>0</v>
      </c>
      <c r="J25" s="35">
        <v>0</v>
      </c>
      <c r="K25" s="35">
        <v>0</v>
      </c>
      <c r="M25" s="35">
        <f>SUM(E25:L25)</f>
        <v>34279.345589528573</v>
      </c>
      <c r="O25" s="63">
        <f>+C25+M25</f>
        <v>1037713.8594706436</v>
      </c>
      <c r="P25" s="65"/>
      <c r="Q25" s="64"/>
    </row>
    <row r="26" spans="1:17" x14ac:dyDescent="0.2">
      <c r="A26" s="69">
        <v>17</v>
      </c>
      <c r="B26" s="69" t="s">
        <v>113</v>
      </c>
      <c r="C26" s="35">
        <v>0</v>
      </c>
      <c r="D26" s="71"/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M26" s="35">
        <f>SUM(E26:L26)</f>
        <v>0</v>
      </c>
      <c r="O26" s="63">
        <f>+C26+M26</f>
        <v>0</v>
      </c>
      <c r="P26" s="65"/>
      <c r="Q26" s="64"/>
    </row>
    <row r="27" spans="1:17" x14ac:dyDescent="0.2">
      <c r="A27" s="69">
        <v>18</v>
      </c>
      <c r="B27" s="69" t="s">
        <v>112</v>
      </c>
      <c r="C27" s="35">
        <v>9015079.8499425296</v>
      </c>
      <c r="D27" s="71"/>
      <c r="E27" s="35">
        <v>0</v>
      </c>
      <c r="F27" s="35">
        <v>364522.55815997685</v>
      </c>
      <c r="G27" s="35">
        <v>-4014.8687836292347</v>
      </c>
      <c r="H27" s="35">
        <v>14076.147500311941</v>
      </c>
      <c r="I27" s="35">
        <v>0</v>
      </c>
      <c r="J27" s="35">
        <v>0</v>
      </c>
      <c r="K27" s="35">
        <v>0</v>
      </c>
      <c r="M27" s="97">
        <f>SUM(E27:L27)</f>
        <v>374583.8368766596</v>
      </c>
      <c r="O27" s="63">
        <f>+C27+M27</f>
        <v>9389663.6868191883</v>
      </c>
      <c r="P27" s="65"/>
      <c r="Q27" s="64"/>
    </row>
    <row r="28" spans="1:17" x14ac:dyDescent="0.2">
      <c r="A28" s="69">
        <v>19</v>
      </c>
      <c r="B28" s="69" t="s">
        <v>111</v>
      </c>
      <c r="C28" s="96">
        <f>SUM(C18:C27)</f>
        <v>200964557.28826278</v>
      </c>
      <c r="D28" s="67"/>
      <c r="E28" s="96">
        <f>SUM(E18:E27)</f>
        <v>0</v>
      </c>
      <c r="F28" s="96">
        <f>SUM(F18:F27)</f>
        <v>2582317.3399882512</v>
      </c>
      <c r="G28" s="96">
        <f>SUM(G18:G27)</f>
        <v>-28968097.858051501</v>
      </c>
      <c r="H28" s="96">
        <f>SUM(H18:H27)</f>
        <v>157910.47932691837</v>
      </c>
      <c r="I28" s="96">
        <f>SUM(I18:I27)</f>
        <v>0</v>
      </c>
      <c r="J28" s="96">
        <f>SUM(J18:J27)</f>
        <v>1657310.668266339</v>
      </c>
      <c r="K28" s="96">
        <f>SUM(K18:K27)</f>
        <v>-5344085.6086033611</v>
      </c>
      <c r="M28" s="63">
        <f>SUM(M18:M27)</f>
        <v>-29914644.979073353</v>
      </c>
      <c r="O28" s="96">
        <f>SUM(O18:O27)</f>
        <v>171049912.30918944</v>
      </c>
      <c r="P28" s="72"/>
      <c r="Q28" s="64"/>
    </row>
    <row r="29" spans="1:17" x14ac:dyDescent="0.2">
      <c r="A29" s="69">
        <v>20</v>
      </c>
      <c r="B29" s="69" t="s">
        <v>110</v>
      </c>
      <c r="C29" s="35">
        <v>48982077.056560166</v>
      </c>
      <c r="D29" s="71"/>
      <c r="E29" s="35">
        <v>0</v>
      </c>
      <c r="F29" s="35">
        <v>-485148.8497193756</v>
      </c>
      <c r="G29" s="35">
        <v>0</v>
      </c>
      <c r="H29" s="35">
        <v>70111833.855854481</v>
      </c>
      <c r="I29" s="35">
        <v>0</v>
      </c>
      <c r="J29" s="35">
        <v>-378804.47238388716</v>
      </c>
      <c r="K29" s="35">
        <v>-864713.90878106561</v>
      </c>
      <c r="M29" s="35">
        <f>SUM(E29:L29)</f>
        <v>68383166.624970153</v>
      </c>
      <c r="O29" s="63">
        <f>+C29+M29</f>
        <v>117365243.68153033</v>
      </c>
      <c r="P29" s="65"/>
      <c r="Q29" s="64"/>
    </row>
    <row r="30" spans="1:17" x14ac:dyDescent="0.2">
      <c r="A30" s="69">
        <v>21</v>
      </c>
      <c r="B30" s="69" t="s">
        <v>109</v>
      </c>
      <c r="C30" s="35">
        <v>5113848.0447265487</v>
      </c>
      <c r="D30" s="71"/>
      <c r="E30" s="35">
        <v>0</v>
      </c>
      <c r="F30" s="35">
        <v>0</v>
      </c>
      <c r="G30" s="35">
        <v>737.58465057384717</v>
      </c>
      <c r="H30" s="35">
        <v>-1870637.0501716251</v>
      </c>
      <c r="I30" s="35">
        <v>0</v>
      </c>
      <c r="J30" s="35">
        <v>573050.93356392439</v>
      </c>
      <c r="K30" s="35">
        <v>-382836.84431530652</v>
      </c>
      <c r="M30" s="35">
        <f>SUM(E30:L30)</f>
        <v>-1679685.3762724334</v>
      </c>
      <c r="O30" s="63">
        <f>+C30+M30</f>
        <v>3434162.6684541153</v>
      </c>
      <c r="P30" s="65"/>
      <c r="Q30" s="64"/>
    </row>
    <row r="31" spans="1:17" x14ac:dyDescent="0.2">
      <c r="A31" s="69">
        <v>22</v>
      </c>
      <c r="B31" s="69" t="s">
        <v>108</v>
      </c>
      <c r="C31" s="35">
        <v>22603339.188917331</v>
      </c>
      <c r="D31" s="71"/>
      <c r="E31" s="35">
        <v>0</v>
      </c>
      <c r="F31" s="35">
        <v>0</v>
      </c>
      <c r="G31" s="35">
        <v>-37468.940999178878</v>
      </c>
      <c r="H31" s="35">
        <v>0</v>
      </c>
      <c r="I31" s="35">
        <v>2068675.650878638</v>
      </c>
      <c r="J31" s="35">
        <v>0</v>
      </c>
      <c r="K31" s="35">
        <v>0</v>
      </c>
      <c r="M31" s="35">
        <f>SUM(E31:L31)</f>
        <v>2031206.7098794591</v>
      </c>
      <c r="O31" s="63">
        <f>+C31+M31</f>
        <v>24634545.898796789</v>
      </c>
      <c r="P31" s="65"/>
      <c r="Q31" s="64"/>
    </row>
    <row r="32" spans="1:17" x14ac:dyDescent="0.2">
      <c r="A32" s="69">
        <v>23</v>
      </c>
      <c r="B32" s="69" t="s">
        <v>107</v>
      </c>
      <c r="C32" s="35">
        <v>18041169.881600775</v>
      </c>
      <c r="D32" s="71"/>
      <c r="E32" s="35">
        <v>4908969.5254379706</v>
      </c>
      <c r="F32" s="35">
        <v>-640597.99929913564</v>
      </c>
      <c r="G32" s="35">
        <v>3056885.233708126</v>
      </c>
      <c r="H32" s="35">
        <v>1417759.0162333176</v>
      </c>
      <c r="I32" s="35">
        <v>-21993915.367144041</v>
      </c>
      <c r="J32" s="35">
        <v>-3462307.2983391811</v>
      </c>
      <c r="K32" s="35">
        <v>1977691.6847788664</v>
      </c>
      <c r="M32" s="35">
        <f>SUM(E32:L32)</f>
        <v>-14735515.204624075</v>
      </c>
      <c r="O32" s="63">
        <f>+C32+M32</f>
        <v>3305654.6769766994</v>
      </c>
      <c r="P32" s="65"/>
      <c r="Q32" s="64"/>
    </row>
    <row r="33" spans="1:17" x14ac:dyDescent="0.2">
      <c r="A33" s="69">
        <v>24</v>
      </c>
      <c r="B33" s="69" t="s">
        <v>106</v>
      </c>
      <c r="C33" s="35">
        <v>0</v>
      </c>
      <c r="D33" s="71"/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M33" s="35">
        <f>SUM(E33:L33)</f>
        <v>0</v>
      </c>
      <c r="O33" s="63">
        <f>+C33+M33</f>
        <v>0</v>
      </c>
      <c r="P33" s="65"/>
      <c r="Q33" s="64"/>
    </row>
    <row r="34" spans="1:17" x14ac:dyDescent="0.2">
      <c r="A34" s="69">
        <v>25</v>
      </c>
      <c r="B34" s="69" t="s">
        <v>105</v>
      </c>
      <c r="C34" s="35">
        <v>-7119820.7090670364</v>
      </c>
      <c r="D34" s="71"/>
      <c r="E34" s="35">
        <v>0</v>
      </c>
      <c r="F34" s="35">
        <v>1974.7413444922713</v>
      </c>
      <c r="G34" s="35">
        <v>108413.62256774821</v>
      </c>
      <c r="H34" s="35">
        <v>-21823536.69610231</v>
      </c>
      <c r="I34" s="35">
        <v>6463156.6632482335</v>
      </c>
      <c r="J34" s="35">
        <v>7829784.8605122771</v>
      </c>
      <c r="K34" s="35">
        <v>-459231.41713227727</v>
      </c>
      <c r="M34" s="35">
        <f>SUM(E34:L34)</f>
        <v>-7879438.2255618367</v>
      </c>
      <c r="O34" s="63">
        <f>+C34+M34</f>
        <v>-14999258.934628874</v>
      </c>
      <c r="P34" s="65"/>
      <c r="Q34" s="64"/>
    </row>
    <row r="35" spans="1:17" x14ac:dyDescent="0.2">
      <c r="A35" s="69">
        <v>26</v>
      </c>
      <c r="B35" s="69" t="s">
        <v>104</v>
      </c>
      <c r="C35" s="35">
        <v>0</v>
      </c>
      <c r="D35" s="71"/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M35" s="35">
        <f>SUM(E35:L35)</f>
        <v>0</v>
      </c>
      <c r="O35" s="63">
        <f>+C35+M35</f>
        <v>0</v>
      </c>
      <c r="P35" s="65"/>
      <c r="Q35" s="64"/>
    </row>
    <row r="36" spans="1:17" x14ac:dyDescent="0.2">
      <c r="A36" s="69">
        <v>27</v>
      </c>
      <c r="B36" s="69" t="s">
        <v>103</v>
      </c>
      <c r="C36" s="35">
        <v>-260133.79775457806</v>
      </c>
      <c r="D36" s="71"/>
      <c r="E36" s="35">
        <v>0</v>
      </c>
      <c r="F36" s="35">
        <v>265149.29931887088</v>
      </c>
      <c r="G36" s="35">
        <v>0</v>
      </c>
      <c r="H36" s="35">
        <v>0</v>
      </c>
      <c r="I36" s="35">
        <v>0</v>
      </c>
      <c r="J36" s="35">
        <v>60419.600000000006</v>
      </c>
      <c r="K36" s="35">
        <v>0</v>
      </c>
      <c r="M36" s="35">
        <f>SUM(E36:L36)</f>
        <v>325568.89931887086</v>
      </c>
      <c r="O36" s="63">
        <f>+C36+M36</f>
        <v>65435.101564292796</v>
      </c>
      <c r="P36" s="65"/>
      <c r="Q36" s="64"/>
    </row>
    <row r="37" spans="1:17" x14ac:dyDescent="0.2">
      <c r="A37" s="69">
        <v>28</v>
      </c>
      <c r="B37" s="69" t="s">
        <v>102</v>
      </c>
      <c r="C37" s="92">
        <f>SUM(C28:C36)</f>
        <v>288325036.953246</v>
      </c>
      <c r="D37" s="67"/>
      <c r="E37" s="92">
        <f>SUM(E28:E36)</f>
        <v>4908969.5254379706</v>
      </c>
      <c r="F37" s="92">
        <f>SUM(F28:F36)</f>
        <v>1723694.5316331033</v>
      </c>
      <c r="G37" s="92">
        <f>SUM(G28:G36)</f>
        <v>-25839530.358124238</v>
      </c>
      <c r="H37" s="92">
        <f>SUM(H28:H36)</f>
        <v>47993329.60514079</v>
      </c>
      <c r="I37" s="92">
        <f>SUM(I28:I36)</f>
        <v>-13462083.053017169</v>
      </c>
      <c r="J37" s="92">
        <f>SUM(J28:J36)</f>
        <v>6279454.2916194722</v>
      </c>
      <c r="K37" s="92">
        <f>SUM(K28:K36)</f>
        <v>-5073176.0940531436</v>
      </c>
      <c r="M37" s="92">
        <f>SUM(M28:M36)</f>
        <v>16530658.448636783</v>
      </c>
      <c r="O37" s="92">
        <f>SUM(O28:O36)</f>
        <v>304855695.40188277</v>
      </c>
      <c r="P37" s="72"/>
      <c r="Q37" s="64"/>
    </row>
    <row r="38" spans="1:17" ht="12.75" x14ac:dyDescent="0.2">
      <c r="A38" s="69">
        <v>29</v>
      </c>
      <c r="B38" s="69"/>
      <c r="C38" s="70"/>
      <c r="D38" s="71"/>
      <c r="E38" s="70"/>
      <c r="F38" s="70"/>
      <c r="G38" s="70"/>
      <c r="H38" s="70"/>
      <c r="I38" s="70"/>
      <c r="J38" s="70"/>
      <c r="K38" s="70"/>
      <c r="M38" s="70"/>
      <c r="O38" s="71"/>
      <c r="P38" s="72"/>
      <c r="Q38" s="64"/>
    </row>
    <row r="39" spans="1:17" ht="12" thickBot="1" x14ac:dyDescent="0.25">
      <c r="A39" s="69">
        <v>30</v>
      </c>
      <c r="B39" s="95" t="s">
        <v>101</v>
      </c>
      <c r="C39" s="91">
        <f>C15-C37</f>
        <v>65862798.296151578</v>
      </c>
      <c r="D39" s="94"/>
      <c r="E39" s="91">
        <f>E15-E37</f>
        <v>18467075.833790462</v>
      </c>
      <c r="F39" s="91">
        <f>F15-F37</f>
        <v>-2403810.463221177</v>
      </c>
      <c r="G39" s="91">
        <f>G15-G37</f>
        <v>11806032.599049143</v>
      </c>
      <c r="H39" s="91">
        <f>H15-H37</f>
        <v>-47993329.60514079</v>
      </c>
      <c r="I39" s="91">
        <f>I15-I37</f>
        <v>13462083.053017169</v>
      </c>
      <c r="J39" s="91">
        <f>J15-J37</f>
        <v>11186466.208380543</v>
      </c>
      <c r="K39" s="91">
        <f>K15-K37</f>
        <v>6031524.3361056065</v>
      </c>
      <c r="M39" s="91">
        <f>M15-M37</f>
        <v>10556041.961980959</v>
      </c>
      <c r="O39" s="91">
        <f>O15-O37</f>
        <v>76418840.258132517</v>
      </c>
      <c r="P39" s="93"/>
      <c r="Q39" s="64"/>
    </row>
    <row r="40" spans="1:17" ht="13.5" thickTop="1" x14ac:dyDescent="0.2">
      <c r="A40" s="69">
        <v>31</v>
      </c>
      <c r="B40" s="69"/>
      <c r="C40" s="70"/>
      <c r="D40" s="71"/>
      <c r="E40" s="70"/>
      <c r="F40" s="70"/>
      <c r="G40" s="70"/>
      <c r="H40" s="70"/>
      <c r="I40" s="70"/>
      <c r="J40" s="70"/>
      <c r="K40" s="70"/>
      <c r="M40" s="70"/>
      <c r="Q40" s="64"/>
    </row>
    <row r="41" spans="1:17" ht="12.75" x14ac:dyDescent="0.2">
      <c r="A41" s="69">
        <v>32</v>
      </c>
      <c r="B41" s="69" t="s">
        <v>100</v>
      </c>
      <c r="C41" s="70"/>
      <c r="D41" s="71"/>
      <c r="E41" s="70"/>
      <c r="F41" s="70"/>
      <c r="G41" s="70"/>
      <c r="H41" s="70"/>
      <c r="I41" s="70"/>
      <c r="J41" s="70"/>
      <c r="K41" s="70"/>
      <c r="M41" s="70"/>
      <c r="Q41" s="64"/>
    </row>
    <row r="42" spans="1:17" x14ac:dyDescent="0.2">
      <c r="A42" s="69">
        <v>33</v>
      </c>
      <c r="B42" s="69" t="s">
        <v>99</v>
      </c>
      <c r="C42" s="35">
        <v>1869127179.5559554</v>
      </c>
      <c r="D42" s="71"/>
      <c r="E42" s="35">
        <v>0</v>
      </c>
      <c r="F42" s="35">
        <v>0</v>
      </c>
      <c r="G42" s="35">
        <v>-27315181.895597834</v>
      </c>
      <c r="H42" s="35">
        <v>0</v>
      </c>
      <c r="I42" s="35">
        <v>0</v>
      </c>
      <c r="J42" s="35">
        <v>307126761.63907075</v>
      </c>
      <c r="K42" s="35">
        <v>-54526035.089904122</v>
      </c>
      <c r="M42" s="35">
        <f>SUM(E42:L42)</f>
        <v>225285544.6535688</v>
      </c>
      <c r="O42" s="63">
        <f>+C42+M42</f>
        <v>2094412724.2095242</v>
      </c>
      <c r="P42" s="65"/>
      <c r="Q42" s="64"/>
    </row>
    <row r="43" spans="1:17" x14ac:dyDescent="0.2">
      <c r="A43" s="69">
        <v>34</v>
      </c>
      <c r="B43" s="69" t="s">
        <v>98</v>
      </c>
      <c r="C43" s="35">
        <v>34942.962564657755</v>
      </c>
      <c r="D43" s="71"/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M43" s="35">
        <f>SUM(E43:L43)</f>
        <v>0</v>
      </c>
      <c r="O43" s="63">
        <f>+C43+M43</f>
        <v>34942.962564657755</v>
      </c>
      <c r="P43" s="65"/>
      <c r="Q43" s="64"/>
    </row>
    <row r="44" spans="1:17" x14ac:dyDescent="0.2">
      <c r="A44" s="69">
        <v>35</v>
      </c>
      <c r="B44" s="69" t="s">
        <v>97</v>
      </c>
      <c r="C44" s="35">
        <v>4541409.743199857</v>
      </c>
      <c r="D44" s="71"/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-3860837.6868859874</v>
      </c>
      <c r="K44" s="35">
        <v>0</v>
      </c>
      <c r="M44" s="35">
        <f>SUM(E44:L44)</f>
        <v>-3860837.6868859874</v>
      </c>
      <c r="O44" s="63">
        <f>+C44+M44</f>
        <v>680572.05631386954</v>
      </c>
      <c r="P44" s="65"/>
      <c r="Q44" s="64"/>
    </row>
    <row r="45" spans="1:17" x14ac:dyDescent="0.2">
      <c r="A45" s="69">
        <v>36</v>
      </c>
      <c r="B45" s="69" t="s">
        <v>96</v>
      </c>
      <c r="C45" s="35">
        <v>0</v>
      </c>
      <c r="D45" s="71"/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M45" s="35">
        <f>SUM(E45:L45)</f>
        <v>0</v>
      </c>
      <c r="O45" s="63">
        <f>+C45+M45</f>
        <v>0</v>
      </c>
      <c r="P45" s="65"/>
      <c r="Q45" s="64"/>
    </row>
    <row r="46" spans="1:17" x14ac:dyDescent="0.2">
      <c r="A46" s="69">
        <v>37</v>
      </c>
      <c r="B46" s="69" t="s">
        <v>95</v>
      </c>
      <c r="C46" s="35">
        <v>0</v>
      </c>
      <c r="D46" s="71"/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M46" s="35">
        <f>SUM(E46:L46)</f>
        <v>0</v>
      </c>
      <c r="O46" s="63">
        <f>+C46+M46</f>
        <v>0</v>
      </c>
      <c r="P46" s="65"/>
      <c r="Q46" s="64"/>
    </row>
    <row r="47" spans="1:17" x14ac:dyDescent="0.2">
      <c r="A47" s="69">
        <v>38</v>
      </c>
      <c r="B47" s="69" t="s">
        <v>94</v>
      </c>
      <c r="C47" s="35">
        <v>2033329.3412143218</v>
      </c>
      <c r="D47" s="71"/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-2033329.3412143218</v>
      </c>
      <c r="K47" s="35">
        <v>0</v>
      </c>
      <c r="M47" s="35">
        <f>SUM(E47:L47)</f>
        <v>-2033329.3412143218</v>
      </c>
      <c r="O47" s="63">
        <f>+C47+M47</f>
        <v>0</v>
      </c>
      <c r="P47" s="65"/>
      <c r="Q47" s="64"/>
    </row>
    <row r="48" spans="1:17" x14ac:dyDescent="0.2">
      <c r="A48" s="69">
        <v>39</v>
      </c>
      <c r="B48" s="69" t="s">
        <v>93</v>
      </c>
      <c r="C48" s="35">
        <v>5721215.855558129</v>
      </c>
      <c r="D48" s="71"/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-5721215.8555581281</v>
      </c>
      <c r="K48" s="35">
        <v>0</v>
      </c>
      <c r="M48" s="35">
        <f>SUM(E48:L48)</f>
        <v>-5721215.8555581281</v>
      </c>
      <c r="O48" s="63">
        <f>+C48+M48</f>
        <v>0</v>
      </c>
      <c r="P48" s="65"/>
      <c r="Q48" s="64"/>
    </row>
    <row r="49" spans="1:17" x14ac:dyDescent="0.2">
      <c r="A49" s="69">
        <v>40</v>
      </c>
      <c r="B49" s="69" t="s">
        <v>92</v>
      </c>
      <c r="C49" s="35">
        <v>8818868.4866138063</v>
      </c>
      <c r="D49" s="71"/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-8818868.4865037892</v>
      </c>
      <c r="K49" s="35">
        <v>0</v>
      </c>
      <c r="M49" s="35">
        <f>SUM(E49:L49)</f>
        <v>-8818868.4865037892</v>
      </c>
      <c r="O49" s="63">
        <f>+C49+M49</f>
        <v>1.1001713573932648E-4</v>
      </c>
      <c r="P49" s="65"/>
      <c r="Q49" s="64"/>
    </row>
    <row r="50" spans="1:17" x14ac:dyDescent="0.2">
      <c r="A50" s="69">
        <v>41</v>
      </c>
      <c r="B50" s="69" t="s">
        <v>91</v>
      </c>
      <c r="C50" s="35">
        <v>2839473.9421010017</v>
      </c>
      <c r="D50" s="71"/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20620031.009925332</v>
      </c>
      <c r="K50" s="35">
        <v>0</v>
      </c>
      <c r="M50" s="35">
        <f>SUM(E50:L50)</f>
        <v>20620031.009925332</v>
      </c>
      <c r="O50" s="63">
        <f>+C50+M50</f>
        <v>23459504.952026334</v>
      </c>
      <c r="P50" s="65"/>
      <c r="Q50" s="64"/>
    </row>
    <row r="51" spans="1:17" x14ac:dyDescent="0.2">
      <c r="A51" s="69">
        <v>42</v>
      </c>
      <c r="B51" s="69" t="s">
        <v>90</v>
      </c>
      <c r="C51" s="35">
        <v>5092.6441051398033</v>
      </c>
      <c r="D51" s="71"/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M51" s="35">
        <f>SUM(E51:L51)</f>
        <v>0</v>
      </c>
      <c r="O51" s="63">
        <f>+C51+M51</f>
        <v>5092.6441051398033</v>
      </c>
      <c r="P51" s="65"/>
      <c r="Q51" s="64"/>
    </row>
    <row r="52" spans="1:17" x14ac:dyDescent="0.2">
      <c r="A52" s="69">
        <v>43</v>
      </c>
      <c r="B52" s="69" t="s">
        <v>89</v>
      </c>
      <c r="C52" s="35">
        <v>0</v>
      </c>
      <c r="D52" s="71"/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M52" s="35">
        <f>SUM(E52:L52)</f>
        <v>0</v>
      </c>
      <c r="O52" s="63">
        <f>+C52+M52</f>
        <v>0</v>
      </c>
      <c r="P52" s="65"/>
      <c r="Q52" s="64"/>
    </row>
    <row r="53" spans="1:17" x14ac:dyDescent="0.2">
      <c r="A53" s="69">
        <v>44</v>
      </c>
      <c r="B53" s="69" t="s">
        <v>88</v>
      </c>
      <c r="C53" s="92">
        <f>SUM(C42:C52)</f>
        <v>1893121512.5313125</v>
      </c>
      <c r="D53" s="67"/>
      <c r="E53" s="92">
        <f>SUM(E42:E52)</f>
        <v>0</v>
      </c>
      <c r="F53" s="92">
        <f>SUM(F42:F52)</f>
        <v>0</v>
      </c>
      <c r="G53" s="92">
        <f>SUM(G42:G52)</f>
        <v>-27315181.895597834</v>
      </c>
      <c r="H53" s="92">
        <f>SUM(H42:H52)</f>
        <v>0</v>
      </c>
      <c r="I53" s="92">
        <f>SUM(I42:I52)</f>
        <v>0</v>
      </c>
      <c r="J53" s="92">
        <f>SUM(J42:J52)</f>
        <v>307312541.27883381</v>
      </c>
      <c r="K53" s="92">
        <f>SUM(K42:K52)</f>
        <v>-54526035.089904122</v>
      </c>
      <c r="M53" s="92">
        <f>SUM(M42:M52)</f>
        <v>225471324.29333192</v>
      </c>
      <c r="O53" s="92">
        <f>SUM(O42:O52)</f>
        <v>2118592836.8246441</v>
      </c>
      <c r="P53" s="72"/>
      <c r="Q53" s="64"/>
    </row>
    <row r="54" spans="1:17" ht="12.75" x14ac:dyDescent="0.2">
      <c r="A54" s="69">
        <v>45</v>
      </c>
      <c r="B54" s="69"/>
      <c r="C54" s="70"/>
      <c r="D54" s="71"/>
      <c r="E54" s="70"/>
      <c r="F54" s="70"/>
      <c r="G54" s="70"/>
      <c r="H54" s="70"/>
      <c r="I54" s="70"/>
      <c r="J54" s="70"/>
      <c r="K54" s="70"/>
      <c r="M54" s="70"/>
      <c r="Q54" s="64"/>
    </row>
    <row r="55" spans="1:17" ht="12.75" x14ac:dyDescent="0.2">
      <c r="A55" s="69">
        <v>46</v>
      </c>
      <c r="B55" s="69" t="s">
        <v>87</v>
      </c>
      <c r="C55" s="70"/>
      <c r="D55" s="71"/>
      <c r="E55" s="70"/>
      <c r="F55" s="70"/>
      <c r="G55" s="70"/>
      <c r="H55" s="70"/>
      <c r="I55" s="70"/>
      <c r="J55" s="70"/>
      <c r="K55" s="70"/>
      <c r="M55" s="70"/>
      <c r="Q55" s="64"/>
    </row>
    <row r="56" spans="1:17" x14ac:dyDescent="0.2">
      <c r="A56" s="69">
        <v>47</v>
      </c>
      <c r="B56" s="69" t="s">
        <v>86</v>
      </c>
      <c r="C56" s="35">
        <v>-743720454.69041991</v>
      </c>
      <c r="D56" s="71"/>
      <c r="E56" s="35">
        <v>0</v>
      </c>
      <c r="F56" s="35">
        <v>0</v>
      </c>
      <c r="G56" s="35">
        <v>20667243.049652372</v>
      </c>
      <c r="H56" s="35">
        <v>-98949387.887954578</v>
      </c>
      <c r="I56" s="35">
        <v>0</v>
      </c>
      <c r="J56" s="35">
        <v>41265364.262999192</v>
      </c>
      <c r="K56" s="35">
        <v>24744508.865580995</v>
      </c>
      <c r="M56" s="35">
        <f>SUM(E56:L56)</f>
        <v>-12272271.709722023</v>
      </c>
      <c r="O56" s="63">
        <f>+C56+M56</f>
        <v>-755992726.40014195</v>
      </c>
      <c r="P56" s="65"/>
      <c r="Q56" s="64"/>
    </row>
    <row r="57" spans="1:17" x14ac:dyDescent="0.2">
      <c r="A57" s="69">
        <v>48</v>
      </c>
      <c r="B57" s="69" t="s">
        <v>85</v>
      </c>
      <c r="C57" s="35">
        <v>-61553794.228224881</v>
      </c>
      <c r="D57" s="71"/>
      <c r="E57" s="35">
        <v>0</v>
      </c>
      <c r="F57" s="35">
        <v>0</v>
      </c>
      <c r="G57" s="35">
        <v>-399.52501906083393</v>
      </c>
      <c r="H57" s="35">
        <v>-5683079.0028291726</v>
      </c>
      <c r="I57" s="35">
        <v>0</v>
      </c>
      <c r="J57" s="35">
        <v>0</v>
      </c>
      <c r="K57" s="35">
        <v>5363476.1424726378</v>
      </c>
      <c r="M57" s="35">
        <f>SUM(E57:L57)</f>
        <v>-320002.38537559565</v>
      </c>
      <c r="O57" s="63">
        <f>+C57+M57</f>
        <v>-61873796.613600478</v>
      </c>
      <c r="P57" s="65"/>
      <c r="Q57" s="64"/>
    </row>
    <row r="58" spans="1:17" x14ac:dyDescent="0.2">
      <c r="A58" s="69">
        <v>49</v>
      </c>
      <c r="B58" s="69" t="s">
        <v>84</v>
      </c>
      <c r="C58" s="35">
        <v>-272700960.75965124</v>
      </c>
      <c r="D58" s="71"/>
      <c r="E58" s="35">
        <v>0</v>
      </c>
      <c r="F58" s="35">
        <v>-20743.75673634035</v>
      </c>
      <c r="G58" s="35">
        <v>1834218.0700795404</v>
      </c>
      <c r="H58" s="35">
        <v>9238457.1207645666</v>
      </c>
      <c r="I58" s="35">
        <v>44077928.260914028</v>
      </c>
      <c r="J58" s="35">
        <v>-1841764.6200244986</v>
      </c>
      <c r="K58" s="35">
        <v>-3321151.3904553587</v>
      </c>
      <c r="M58" s="35">
        <f>SUM(E58:L58)</f>
        <v>49966943.684541933</v>
      </c>
      <c r="O58" s="63">
        <f>+C58+M58</f>
        <v>-222734017.0751093</v>
      </c>
      <c r="P58" s="65"/>
      <c r="Q58" s="64"/>
    </row>
    <row r="59" spans="1:17" x14ac:dyDescent="0.2">
      <c r="A59" s="69">
        <v>50</v>
      </c>
      <c r="B59" s="69" t="s">
        <v>83</v>
      </c>
      <c r="C59" s="35">
        <v>-19597.460327859608</v>
      </c>
      <c r="D59" s="71"/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M59" s="35">
        <f>SUM(E59:L59)</f>
        <v>0</v>
      </c>
      <c r="O59" s="63">
        <f>+C59+M59</f>
        <v>-19597.460327859608</v>
      </c>
      <c r="P59" s="65"/>
      <c r="Q59" s="64"/>
    </row>
    <row r="60" spans="1:17" x14ac:dyDescent="0.2">
      <c r="A60" s="69">
        <v>51</v>
      </c>
      <c r="B60" s="69" t="s">
        <v>82</v>
      </c>
      <c r="C60" s="35">
        <v>22214.951184419831</v>
      </c>
      <c r="D60" s="71"/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-2502028.2767103352</v>
      </c>
      <c r="K60" s="35">
        <v>0</v>
      </c>
      <c r="M60" s="35">
        <f>SUM(E60:L60)</f>
        <v>-2502028.2767103352</v>
      </c>
      <c r="O60" s="63">
        <f>+C60+M60</f>
        <v>-2479813.3255259153</v>
      </c>
      <c r="P60" s="65"/>
      <c r="Q60" s="64"/>
    </row>
    <row r="61" spans="1:17" x14ac:dyDescent="0.2">
      <c r="A61" s="69">
        <v>52</v>
      </c>
      <c r="B61" s="69" t="s">
        <v>81</v>
      </c>
      <c r="C61" s="35">
        <v>0</v>
      </c>
      <c r="D61" s="71"/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-2829106.1541666668</v>
      </c>
      <c r="K61" s="35">
        <v>0</v>
      </c>
      <c r="M61" s="35">
        <f>SUM(E61:L61)</f>
        <v>-2829106.1541666668</v>
      </c>
      <c r="O61" s="63">
        <f>+C61+M61</f>
        <v>-2829106.1541666668</v>
      </c>
      <c r="P61" s="65"/>
      <c r="Q61" s="64"/>
    </row>
    <row r="62" spans="1:17" x14ac:dyDescent="0.2">
      <c r="A62" s="69">
        <v>53</v>
      </c>
      <c r="B62" s="69" t="s">
        <v>80</v>
      </c>
      <c r="C62" s="35">
        <v>-36449285.999016821</v>
      </c>
      <c r="D62" s="71"/>
      <c r="E62" s="35">
        <v>0</v>
      </c>
      <c r="F62" s="35">
        <v>0</v>
      </c>
      <c r="G62" s="35">
        <v>0</v>
      </c>
      <c r="H62" s="35">
        <v>0</v>
      </c>
      <c r="I62" s="35">
        <v>3070693</v>
      </c>
      <c r="J62" s="35">
        <v>-15452077.95897677</v>
      </c>
      <c r="K62" s="35">
        <v>0</v>
      </c>
      <c r="M62" s="35">
        <f>SUM(E62:L62)</f>
        <v>-12381384.95897677</v>
      </c>
      <c r="O62" s="63">
        <f>+C62+M62</f>
        <v>-48830670.957993589</v>
      </c>
      <c r="P62" s="65"/>
      <c r="Q62" s="64"/>
    </row>
    <row r="63" spans="1:17" ht="12.75" x14ac:dyDescent="0.2">
      <c r="A63" s="69">
        <v>54</v>
      </c>
      <c r="B63" s="69"/>
      <c r="C63" s="70"/>
      <c r="D63" s="71"/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M63" s="70"/>
      <c r="O63" s="63">
        <f>+C63+M63</f>
        <v>0</v>
      </c>
      <c r="P63" s="65"/>
      <c r="Q63" s="64"/>
    </row>
    <row r="64" spans="1:17" x14ac:dyDescent="0.2">
      <c r="A64" s="69">
        <v>55</v>
      </c>
      <c r="B64" s="69" t="s">
        <v>79</v>
      </c>
      <c r="C64" s="92">
        <f>SUM(C56:C63)</f>
        <v>-1114421878.1864562</v>
      </c>
      <c r="D64" s="67"/>
      <c r="E64" s="92">
        <f>SUM(E56:E63)</f>
        <v>0</v>
      </c>
      <c r="F64" s="92">
        <f>SUM(F56:F63)</f>
        <v>-20743.75673634035</v>
      </c>
      <c r="G64" s="92">
        <f>SUM(G56:G63)</f>
        <v>22501061.59471285</v>
      </c>
      <c r="H64" s="92">
        <f>SUM(H56:H63)</f>
        <v>-95394009.770019189</v>
      </c>
      <c r="I64" s="92">
        <f>SUM(I56:I63)</f>
        <v>47148621.260914028</v>
      </c>
      <c r="J64" s="92">
        <f>SUM(J56:J63)</f>
        <v>18640387.253120922</v>
      </c>
      <c r="K64" s="92">
        <f>SUM(K56:K63)</f>
        <v>26786833.617598273</v>
      </c>
      <c r="M64" s="92">
        <f>SUM(M56:M63)</f>
        <v>19662150.199590541</v>
      </c>
      <c r="O64" s="92">
        <f>SUM(O56:O63)</f>
        <v>-1094759727.9868658</v>
      </c>
      <c r="P64" s="72"/>
      <c r="Q64" s="64"/>
    </row>
    <row r="65" spans="1:17" ht="12.75" x14ac:dyDescent="0.2">
      <c r="A65" s="69">
        <v>56</v>
      </c>
      <c r="B65" s="69"/>
      <c r="C65" s="70"/>
      <c r="D65" s="71"/>
      <c r="E65" s="70"/>
      <c r="F65" s="70"/>
      <c r="G65" s="70"/>
      <c r="H65" s="70"/>
      <c r="I65" s="70"/>
      <c r="J65" s="70"/>
      <c r="K65" s="70"/>
      <c r="M65" s="70"/>
      <c r="O65" s="71"/>
      <c r="P65" s="72"/>
      <c r="Q65" s="64"/>
    </row>
    <row r="66" spans="1:17" ht="12" thickBot="1" x14ac:dyDescent="0.25">
      <c r="A66" s="69">
        <v>57</v>
      </c>
      <c r="B66" s="69" t="s">
        <v>78</v>
      </c>
      <c r="C66" s="91">
        <f>C53+C64</f>
        <v>778699634.34485626</v>
      </c>
      <c r="D66" s="67"/>
      <c r="E66" s="91">
        <f>E53+E64</f>
        <v>0</v>
      </c>
      <c r="F66" s="91">
        <f>F53+F64</f>
        <v>-20743.75673634035</v>
      </c>
      <c r="G66" s="91">
        <f>G53+G64</f>
        <v>-4814120.3008849844</v>
      </c>
      <c r="H66" s="91">
        <f>H53+H64</f>
        <v>-95394009.770019189</v>
      </c>
      <c r="I66" s="91">
        <f>I53+I64</f>
        <v>47148621.260914028</v>
      </c>
      <c r="J66" s="91">
        <f>J53+J64</f>
        <v>325952928.53195471</v>
      </c>
      <c r="K66" s="91">
        <f>K53+K64</f>
        <v>-27739201.472305849</v>
      </c>
      <c r="M66" s="91">
        <f>M53+M64</f>
        <v>245133474.49292246</v>
      </c>
      <c r="O66" s="91">
        <f>O53+O64</f>
        <v>1023833108.8377783</v>
      </c>
      <c r="P66" s="72"/>
      <c r="Q66" s="64"/>
    </row>
    <row r="67" spans="1:17" ht="13.5" thickTop="1" x14ac:dyDescent="0.2">
      <c r="A67" s="69">
        <v>58</v>
      </c>
      <c r="B67" s="69"/>
      <c r="C67" s="70"/>
      <c r="D67" s="71"/>
      <c r="E67" s="70"/>
      <c r="F67" s="70"/>
      <c r="G67" s="70"/>
      <c r="H67" s="70"/>
      <c r="I67" s="70"/>
      <c r="J67" s="70"/>
      <c r="K67" s="70"/>
      <c r="M67" s="70"/>
      <c r="Q67" s="64"/>
    </row>
    <row r="68" spans="1:17" s="84" customFormat="1" x14ac:dyDescent="0.2">
      <c r="A68" s="90">
        <v>59</v>
      </c>
      <c r="B68" s="90" t="s">
        <v>77</v>
      </c>
      <c r="C68" s="86">
        <v>0.1165238099568558</v>
      </c>
      <c r="D68" s="89"/>
      <c r="E68" s="88">
        <v>4.5128972072199403E-2</v>
      </c>
      <c r="F68" s="88">
        <v>-5.8701878134184426E-3</v>
      </c>
      <c r="G68" s="88">
        <v>3.0031740520198386E-2</v>
      </c>
      <c r="H68" s="88">
        <v>-0.11118742096609065</v>
      </c>
      <c r="I68" s="88">
        <v>2.1830863937162021E-2</v>
      </c>
      <c r="J68" s="88">
        <v>-2.8222112345545169E-2</v>
      </c>
      <c r="K68" s="88">
        <v>2.1229318242676487E-2</v>
      </c>
      <c r="L68" s="87"/>
      <c r="M68" s="86"/>
      <c r="N68" s="87"/>
      <c r="O68" s="86">
        <v>9.7607437251502352E-2</v>
      </c>
      <c r="P68" s="85"/>
      <c r="Q68" s="64"/>
    </row>
    <row r="69" spans="1:17" x14ac:dyDescent="0.2">
      <c r="A69" s="69">
        <v>60</v>
      </c>
      <c r="B69" s="60" t="s">
        <v>76</v>
      </c>
      <c r="C69" s="35">
        <v>-7891176.7000832269</v>
      </c>
      <c r="D69" s="83"/>
      <c r="E69" s="35">
        <v>-24519784.68271986</v>
      </c>
      <c r="F69" s="35">
        <v>3189556.2210140941</v>
      </c>
      <c r="G69" s="35">
        <v>-16167391.137501575</v>
      </c>
      <c r="H69" s="35">
        <v>53977201.62083929</v>
      </c>
      <c r="I69" s="35">
        <v>-13057266.281682886</v>
      </c>
      <c r="J69" s="35">
        <v>18449226.190625865</v>
      </c>
      <c r="K69" s="35">
        <v>-10842470.677836999</v>
      </c>
      <c r="M69" s="35">
        <f>-(M39-(M66*Overall_ROR))/gross_up_factor</f>
        <v>11029071.252737924</v>
      </c>
      <c r="O69" s="35">
        <f>-(O39-(O66*Overall_ROR))/gross_up_factor</f>
        <v>3137894.5526546757</v>
      </c>
      <c r="P69" s="82"/>
      <c r="Q69" s="64"/>
    </row>
    <row r="70" spans="1:17" x14ac:dyDescent="0.2">
      <c r="A70" s="69">
        <v>61</v>
      </c>
      <c r="B70" s="69"/>
      <c r="C70" s="81"/>
      <c r="D70" s="71"/>
      <c r="E70" s="81"/>
      <c r="F70" s="81"/>
      <c r="G70" s="81"/>
      <c r="H70" s="81"/>
      <c r="I70" s="81"/>
      <c r="J70" s="81"/>
      <c r="K70" s="81"/>
      <c r="M70" s="81"/>
      <c r="Q70" s="64"/>
    </row>
    <row r="71" spans="1:17" ht="12.75" x14ac:dyDescent="0.2">
      <c r="A71" s="69">
        <v>62</v>
      </c>
      <c r="B71" s="69" t="s">
        <v>75</v>
      </c>
      <c r="C71" s="70"/>
      <c r="D71" s="71"/>
      <c r="E71" s="70"/>
      <c r="F71" s="70"/>
      <c r="G71" s="70"/>
      <c r="H71" s="70"/>
      <c r="I71" s="70"/>
      <c r="J71" s="70"/>
      <c r="K71" s="70"/>
      <c r="M71" s="70"/>
      <c r="P71" s="65"/>
      <c r="Q71" s="64"/>
    </row>
    <row r="72" spans="1:17" x14ac:dyDescent="0.2">
      <c r="A72" s="69">
        <v>63</v>
      </c>
      <c r="B72" s="69" t="s">
        <v>10</v>
      </c>
      <c r="C72" s="63">
        <v>76784147.468685314</v>
      </c>
      <c r="D72" s="63"/>
      <c r="E72" s="63">
        <v>23376045.359228432</v>
      </c>
      <c r="F72" s="63">
        <v>-3042433.7211758201</v>
      </c>
      <c r="G72" s="63">
        <v>14971331.455325011</v>
      </c>
      <c r="H72" s="63">
        <v>-68399107.285009772</v>
      </c>
      <c r="I72" s="63">
        <v>-2068675.650878638</v>
      </c>
      <c r="J72" s="63">
        <v>15553943.770553639</v>
      </c>
      <c r="K72" s="63">
        <v>7549984.6037521958</v>
      </c>
      <c r="M72" s="63">
        <f>SUM(E72:L72)</f>
        <v>-12058911.468204953</v>
      </c>
      <c r="O72" s="63">
        <f>+O15-O28-O29-O30-O31-O36</f>
        <v>64725236.000480324</v>
      </c>
      <c r="P72" s="65"/>
      <c r="Q72" s="64"/>
    </row>
    <row r="73" spans="1:17" x14ac:dyDescent="0.2">
      <c r="A73" s="69">
        <v>64</v>
      </c>
      <c r="B73" s="69" t="s">
        <v>74</v>
      </c>
      <c r="C73" s="63">
        <v>0</v>
      </c>
      <c r="D73" s="71"/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Q73" s="64"/>
    </row>
    <row r="74" spans="1:17" x14ac:dyDescent="0.2">
      <c r="A74" s="69">
        <v>65</v>
      </c>
      <c r="B74" s="69" t="s">
        <v>73</v>
      </c>
      <c r="C74" s="63">
        <v>-3011899.3628875981</v>
      </c>
      <c r="D74" s="71"/>
      <c r="E74" s="63">
        <v>0</v>
      </c>
      <c r="F74" s="63">
        <v>0</v>
      </c>
      <c r="G74" s="63">
        <v>0</v>
      </c>
      <c r="H74" s="63">
        <v>0</v>
      </c>
      <c r="I74" s="63">
        <v>-4620.2408263712532</v>
      </c>
      <c r="J74" s="63">
        <v>0</v>
      </c>
      <c r="K74" s="63">
        <v>0</v>
      </c>
      <c r="M74" s="63">
        <f>SUM(E74:L74)</f>
        <v>-4620.2408263712532</v>
      </c>
      <c r="O74" s="63">
        <f>+C74+M74</f>
        <v>-3016519.6037139692</v>
      </c>
      <c r="P74" s="65"/>
      <c r="Q74" s="64"/>
    </row>
    <row r="75" spans="1:17" x14ac:dyDescent="0.2">
      <c r="A75" s="69">
        <v>66</v>
      </c>
      <c r="B75" s="69" t="s">
        <v>72</v>
      </c>
      <c r="C75" s="63">
        <v>22042470.758558765</v>
      </c>
      <c r="D75" s="71"/>
      <c r="E75" s="63">
        <v>0</v>
      </c>
      <c r="F75" s="63">
        <v>0</v>
      </c>
      <c r="G75" s="63">
        <v>0</v>
      </c>
      <c r="H75" s="63">
        <v>0</v>
      </c>
      <c r="I75" s="63">
        <v>1854285.441607222</v>
      </c>
      <c r="J75" s="63">
        <v>0</v>
      </c>
      <c r="K75" s="63">
        <v>0</v>
      </c>
      <c r="M75" s="63">
        <f>SUM(E75:L75)</f>
        <v>1854285.441607222</v>
      </c>
      <c r="O75" s="63">
        <f>+C75+M75</f>
        <v>23896756.200165987</v>
      </c>
      <c r="P75" s="65"/>
      <c r="Q75" s="64"/>
    </row>
    <row r="76" spans="1:17" x14ac:dyDescent="0.2">
      <c r="A76" s="69">
        <v>67</v>
      </c>
      <c r="B76" s="68" t="s">
        <v>71</v>
      </c>
      <c r="C76" s="63">
        <v>91716240.228935182</v>
      </c>
      <c r="D76" s="67"/>
      <c r="E76" s="63">
        <v>0</v>
      </c>
      <c r="F76" s="63">
        <v>-133728.44429361407</v>
      </c>
      <c r="G76" s="63">
        <v>-51450.415349426155</v>
      </c>
      <c r="H76" s="63">
        <v>75150340.695644617</v>
      </c>
      <c r="I76" s="63">
        <v>-16168841.656383418</v>
      </c>
      <c r="J76" s="63">
        <v>3377952.2720344192</v>
      </c>
      <c r="K76" s="63">
        <v>1222073.8364296062</v>
      </c>
      <c r="M76" s="63">
        <f>SUM(E76:L76)</f>
        <v>63396346.288082182</v>
      </c>
      <c r="O76" s="63">
        <f>+C76+M76</f>
        <v>155112586.51701736</v>
      </c>
      <c r="P76" s="65"/>
      <c r="Q76" s="64"/>
    </row>
    <row r="77" spans="1:17" x14ac:dyDescent="0.2">
      <c r="A77" s="69">
        <v>68</v>
      </c>
      <c r="B77" s="68" t="s">
        <v>70</v>
      </c>
      <c r="C77" s="63">
        <v>58295026.136140451</v>
      </c>
      <c r="D77" s="67"/>
      <c r="E77" s="63">
        <v>0</v>
      </c>
      <c r="F77" s="63">
        <v>-125695.50214021644</v>
      </c>
      <c r="G77" s="63">
        <v>363284.68898450816</v>
      </c>
      <c r="H77" s="63">
        <v>0</v>
      </c>
      <c r="I77" s="63">
        <v>18519239.893237747</v>
      </c>
      <c r="J77" s="63">
        <v>35419073.653727017</v>
      </c>
      <c r="K77" s="63">
        <v>-645521.01114613097</v>
      </c>
      <c r="M77" s="80">
        <f>SUM(E77:L77)</f>
        <v>53530381.722662926</v>
      </c>
      <c r="O77" s="63">
        <f>+C77+M77</f>
        <v>111825407.85880338</v>
      </c>
      <c r="P77" s="65"/>
      <c r="Q77" s="64"/>
    </row>
    <row r="78" spans="1:17" x14ac:dyDescent="0.2">
      <c r="A78" s="69">
        <v>69</v>
      </c>
      <c r="B78" s="69" t="s">
        <v>69</v>
      </c>
      <c r="C78" s="79">
        <v>91174790.165808871</v>
      </c>
      <c r="D78" s="71"/>
      <c r="E78" s="79">
        <v>23376045.359228432</v>
      </c>
      <c r="F78" s="79">
        <v>-3050466.6633292176</v>
      </c>
      <c r="G78" s="79">
        <v>14556596.350991078</v>
      </c>
      <c r="H78" s="79">
        <v>6751233.4106348455</v>
      </c>
      <c r="I78" s="79">
        <v>-38606422.401280656</v>
      </c>
      <c r="J78" s="79">
        <v>-16487177.611138958</v>
      </c>
      <c r="K78" s="79">
        <v>9417579.4513279349</v>
      </c>
      <c r="M78" s="78">
        <f>SUM(E78:L78)</f>
        <v>-4042612.103566546</v>
      </c>
      <c r="O78" s="77">
        <f>+C78+M78</f>
        <v>87132178.062242329</v>
      </c>
      <c r="P78" s="72"/>
      <c r="Q78" s="64"/>
    </row>
    <row r="79" spans="1:17" x14ac:dyDescent="0.2">
      <c r="A79" s="69">
        <v>70</v>
      </c>
      <c r="B79" s="69"/>
      <c r="C79" s="76"/>
      <c r="D79" s="71"/>
      <c r="E79" s="76"/>
      <c r="F79" s="76"/>
      <c r="G79" s="76"/>
      <c r="H79" s="76"/>
      <c r="I79" s="76"/>
      <c r="J79" s="76"/>
      <c r="K79" s="76"/>
      <c r="M79" s="76"/>
      <c r="Q79" s="64"/>
    </row>
    <row r="80" spans="1:17" x14ac:dyDescent="0.2">
      <c r="A80" s="69">
        <v>71</v>
      </c>
      <c r="B80" s="69" t="s">
        <v>68</v>
      </c>
      <c r="C80" s="63">
        <v>0</v>
      </c>
      <c r="D80" s="67"/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M80" s="63">
        <f>SUM(E80:L80)</f>
        <v>0</v>
      </c>
      <c r="O80" s="75">
        <f>+C80+M80</f>
        <v>0</v>
      </c>
      <c r="P80" s="72"/>
      <c r="Q80" s="64"/>
    </row>
    <row r="81" spans="1:17" ht="12" thickBot="1" x14ac:dyDescent="0.25">
      <c r="A81" s="69">
        <v>72</v>
      </c>
      <c r="B81" s="69" t="s">
        <v>67</v>
      </c>
      <c r="C81" s="66">
        <v>91174790.165808871</v>
      </c>
      <c r="D81" s="67"/>
      <c r="E81" s="66">
        <v>23376045.359228432</v>
      </c>
      <c r="F81" s="66">
        <v>-3050466.6633292176</v>
      </c>
      <c r="G81" s="66">
        <v>14556596.350991078</v>
      </c>
      <c r="H81" s="66">
        <v>6751233.4106348455</v>
      </c>
      <c r="I81" s="66">
        <v>-38606422.401280656</v>
      </c>
      <c r="J81" s="66">
        <v>-16487177.611138958</v>
      </c>
      <c r="K81" s="66">
        <v>9417579.4513279349</v>
      </c>
      <c r="L81" s="74"/>
      <c r="M81" s="66">
        <f>SUM(E81:L81)</f>
        <v>-4042612.103566546</v>
      </c>
      <c r="O81" s="73">
        <f>+C81+M81</f>
        <v>87132178.062242329</v>
      </c>
      <c r="P81" s="72"/>
      <c r="Q81" s="64"/>
    </row>
    <row r="82" spans="1:17" ht="13.5" thickTop="1" x14ac:dyDescent="0.2">
      <c r="A82" s="69">
        <v>73</v>
      </c>
      <c r="B82" s="69"/>
      <c r="C82" s="70"/>
      <c r="D82" s="71"/>
      <c r="E82" s="70"/>
      <c r="F82" s="70"/>
      <c r="G82" s="70"/>
      <c r="H82" s="70"/>
      <c r="I82" s="70"/>
      <c r="J82" s="70"/>
      <c r="K82" s="70"/>
      <c r="M82" s="70"/>
      <c r="Q82" s="64"/>
    </row>
    <row r="83" spans="1:17" ht="12" thickBot="1" x14ac:dyDescent="0.25">
      <c r="A83" s="69">
        <v>74</v>
      </c>
      <c r="B83" s="68" t="s">
        <v>66</v>
      </c>
      <c r="C83" s="66">
        <v>18041169.881600775</v>
      </c>
      <c r="D83" s="67"/>
      <c r="E83" s="66">
        <v>4908969.5254379706</v>
      </c>
      <c r="F83" s="66">
        <v>-640597.99929913564</v>
      </c>
      <c r="G83" s="66">
        <v>3056885.233708126</v>
      </c>
      <c r="H83" s="66">
        <v>1417759.0162333176</v>
      </c>
      <c r="I83" s="66">
        <v>-21993915.367144041</v>
      </c>
      <c r="J83" s="66">
        <v>-3462307.2983391811</v>
      </c>
      <c r="K83" s="66">
        <v>1977691.6847788664</v>
      </c>
      <c r="M83" s="66">
        <f>SUM(E83:L83)</f>
        <v>-14735515.204624075</v>
      </c>
      <c r="O83" s="66">
        <f>+C83+M83</f>
        <v>3305654.6769766994</v>
      </c>
      <c r="P83" s="65"/>
      <c r="Q83" s="64"/>
    </row>
    <row r="84" spans="1:17" ht="12" thickTop="1" x14ac:dyDescent="0.2"/>
    <row r="85" spans="1:17" x14ac:dyDescent="0.2">
      <c r="O85" s="63"/>
    </row>
  </sheetData>
  <mergeCells count="2">
    <mergeCell ref="A2:B2"/>
    <mergeCell ref="A3:C3"/>
  </mergeCells>
  <pageMargins left="0.7" right="0.7" top="0.75" bottom="0.75" header="0.3" footer="0.3"/>
  <pageSetup scale="64" firstPageNumber="2" fitToWidth="0" orientation="portrait" useFirstPageNumber="1" r:id="rId1"/>
  <headerFooter>
    <oddHeader>&amp;RExhibit No. SEM-2
Page &amp;P</oddHeader>
  </headerFooter>
  <colBreaks count="1" manualBreakCount="1">
    <brk id="11" max="1048575" man="1"/>
  </colBreaks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5"/>
  <sheetViews>
    <sheetView workbookViewId="0">
      <selection activeCell="C44" sqref="C44"/>
    </sheetView>
  </sheetViews>
  <sheetFormatPr defaultRowHeight="12.75" x14ac:dyDescent="0.2"/>
  <cols>
    <col min="1" max="1" width="3.85546875" style="1" customWidth="1"/>
    <col min="2" max="4" width="15.7109375" style="1" customWidth="1"/>
    <col min="5" max="5" width="13.42578125" style="1" bestFit="1" customWidth="1"/>
    <col min="6" max="16384" width="9.140625" style="1"/>
  </cols>
  <sheetData>
    <row r="1" spans="2:5" x14ac:dyDescent="0.2">
      <c r="B1" s="26" t="s">
        <v>21</v>
      </c>
    </row>
    <row r="2" spans="2:5" x14ac:dyDescent="0.2">
      <c r="B2" s="26" t="s">
        <v>20</v>
      </c>
    </row>
    <row r="3" spans="2:5" x14ac:dyDescent="0.2">
      <c r="B3" s="26" t="s">
        <v>19</v>
      </c>
    </row>
    <row r="6" spans="2:5" x14ac:dyDescent="0.2">
      <c r="B6" s="25" t="s">
        <v>18</v>
      </c>
      <c r="C6" s="24"/>
      <c r="D6" s="24"/>
      <c r="E6" s="24"/>
    </row>
    <row r="7" spans="2:5" s="21" customFormat="1" x14ac:dyDescent="0.2">
      <c r="B7" s="22"/>
      <c r="C7" s="22" t="s">
        <v>17</v>
      </c>
      <c r="D7" s="23" t="s">
        <v>16</v>
      </c>
      <c r="E7" s="22" t="s">
        <v>15</v>
      </c>
    </row>
    <row r="8" spans="2:5" x14ac:dyDescent="0.2">
      <c r="B8" s="20" t="s">
        <v>14</v>
      </c>
      <c r="C8" s="19">
        <v>0.47439999999999999</v>
      </c>
      <c r="D8" s="18">
        <v>4.9200000000000001E-2</v>
      </c>
      <c r="E8" s="17">
        <f>C8*D8</f>
        <v>2.334048E-2</v>
      </c>
    </row>
    <row r="9" spans="2:5" x14ac:dyDescent="0.2">
      <c r="B9" s="20" t="s">
        <v>13</v>
      </c>
      <c r="C9" s="19">
        <v>1E-4</v>
      </c>
      <c r="D9" s="18">
        <v>6.7500000000000004E-2</v>
      </c>
      <c r="E9" s="17">
        <f>C9*D9</f>
        <v>6.7500000000000006E-6</v>
      </c>
    </row>
    <row r="10" spans="2:5" x14ac:dyDescent="0.2">
      <c r="B10" s="16" t="s">
        <v>12</v>
      </c>
      <c r="C10" s="15">
        <v>0.52549999999999997</v>
      </c>
      <c r="D10" s="8">
        <v>0.10199999999999999</v>
      </c>
      <c r="E10" s="14">
        <f>C10*D10</f>
        <v>5.3600999999999996E-2</v>
      </c>
    </row>
    <row r="11" spans="2:5" x14ac:dyDescent="0.2">
      <c r="E11" s="13">
        <f>SUM(E8:E10)</f>
        <v>7.6948229999999992E-2</v>
      </c>
    </row>
    <row r="16" spans="2:5" x14ac:dyDescent="0.2">
      <c r="B16" s="12" t="s">
        <v>11</v>
      </c>
      <c r="C16" s="11"/>
    </row>
    <row r="17" spans="2:6" x14ac:dyDescent="0.2">
      <c r="B17" s="1" t="s">
        <v>10</v>
      </c>
      <c r="D17" s="6">
        <v>1</v>
      </c>
    </row>
    <row r="18" spans="2:6" x14ac:dyDescent="0.2">
      <c r="D18" s="6"/>
    </row>
    <row r="19" spans="2:6" x14ac:dyDescent="0.2">
      <c r="B19" s="1" t="s">
        <v>9</v>
      </c>
      <c r="D19" s="6"/>
    </row>
    <row r="20" spans="2:6" x14ac:dyDescent="0.2">
      <c r="B20" s="1" t="s">
        <v>8</v>
      </c>
      <c r="D20" s="9">
        <v>5.1435834186224598E-3</v>
      </c>
      <c r="F20" s="10"/>
    </row>
    <row r="21" spans="2:6" x14ac:dyDescent="0.2">
      <c r="B21" s="1" t="s">
        <v>7</v>
      </c>
      <c r="D21" s="9">
        <v>2E-3</v>
      </c>
    </row>
    <row r="22" spans="2:6" x14ac:dyDescent="0.2">
      <c r="B22" s="1" t="s">
        <v>6</v>
      </c>
      <c r="D22" s="9">
        <v>3.95E-2</v>
      </c>
    </row>
    <row r="23" spans="2:6" x14ac:dyDescent="0.2">
      <c r="B23" s="1" t="s">
        <v>5</v>
      </c>
      <c r="D23" s="9">
        <v>0</v>
      </c>
    </row>
    <row r="24" spans="2:6" x14ac:dyDescent="0.2">
      <c r="B24" s="1" t="s">
        <v>4</v>
      </c>
      <c r="D24" s="8">
        <v>0</v>
      </c>
    </row>
    <row r="25" spans="2:6" x14ac:dyDescent="0.2">
      <c r="D25" s="6"/>
    </row>
    <row r="26" spans="2:6" x14ac:dyDescent="0.2">
      <c r="B26" s="1" t="s">
        <v>2</v>
      </c>
      <c r="D26" s="7">
        <f>D17-SUM(D19:D24)</f>
        <v>0.95335641658137749</v>
      </c>
    </row>
    <row r="27" spans="2:6" x14ac:dyDescent="0.2">
      <c r="D27" s="6"/>
    </row>
    <row r="28" spans="2:6" x14ac:dyDescent="0.2">
      <c r="B28" s="1" t="s">
        <v>3</v>
      </c>
      <c r="D28" s="5">
        <v>0</v>
      </c>
    </row>
    <row r="29" spans="2:6" x14ac:dyDescent="0.2">
      <c r="D29" s="6"/>
    </row>
    <row r="30" spans="2:6" x14ac:dyDescent="0.2">
      <c r="B30" s="1" t="s">
        <v>2</v>
      </c>
      <c r="D30" s="7">
        <f>D26-D28</f>
        <v>0.95335641658137749</v>
      </c>
    </row>
    <row r="31" spans="2:6" x14ac:dyDescent="0.2">
      <c r="D31" s="6"/>
    </row>
    <row r="32" spans="2:6" x14ac:dyDescent="0.2">
      <c r="B32" s="1" t="s">
        <v>1</v>
      </c>
      <c r="D32" s="5">
        <f>D30*0.21</f>
        <v>0.20020484748208928</v>
      </c>
    </row>
    <row r="33" spans="2:4" x14ac:dyDescent="0.2">
      <c r="D33" s="4"/>
    </row>
    <row r="34" spans="2:4" ht="13.5" thickBot="1" x14ac:dyDescent="0.25">
      <c r="B34" s="1" t="s">
        <v>0</v>
      </c>
      <c r="D34" s="3">
        <f>ROUND(D30-D32,5)</f>
        <v>0.75314999999999999</v>
      </c>
    </row>
    <row r="35" spans="2:4" ht="13.5" thickTop="1" x14ac:dyDescent="0.2">
      <c r="D35" s="2"/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5A5214-E1E1-43B1-9B9E-7AD4C05F0295}"/>
</file>

<file path=customXml/itemProps2.xml><?xml version="1.0" encoding="utf-8"?>
<ds:datastoreItem xmlns:ds="http://schemas.openxmlformats.org/officeDocument/2006/customXml" ds:itemID="{8E5C5470-734F-4181-AF0B-2286B4990BB7}"/>
</file>

<file path=customXml/itemProps3.xml><?xml version="1.0" encoding="utf-8"?>
<ds:datastoreItem xmlns:ds="http://schemas.openxmlformats.org/officeDocument/2006/customXml" ds:itemID="{E1A5A5AD-8467-474E-ADDF-242891FFA865}"/>
</file>

<file path=customXml/itemProps4.xml><?xml version="1.0" encoding="utf-8"?>
<ds:datastoreItem xmlns:ds="http://schemas.openxmlformats.org/officeDocument/2006/customXml" ds:itemID="{672FEC7E-C187-482F-9233-199883D520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Exhibit No. SEM-2 pg 1</vt:lpstr>
      <vt:lpstr>Exhibit No. SEM-2 pg 2 - 3</vt:lpstr>
      <vt:lpstr>Variables</vt:lpstr>
      <vt:lpstr>Cost_Debt</vt:lpstr>
      <vt:lpstr>Cost_equity</vt:lpstr>
      <vt:lpstr>Cost_pref</vt:lpstr>
      <vt:lpstr>gross_up_factor</vt:lpstr>
      <vt:lpstr>Overall_ROR</vt:lpstr>
      <vt:lpstr>Percent_common</vt:lpstr>
      <vt:lpstr>Percent_debt</vt:lpstr>
      <vt:lpstr>Percent_pref</vt:lpstr>
      <vt:lpstr>'Exhibit No. SEM-2 pg 1'!Print_Area</vt:lpstr>
      <vt:lpstr>'Exhibit No. SEM-2 pg 2 - 3'!Print_Area</vt:lpstr>
      <vt:lpstr>'Exhibit No. SEM-2 pg 2 - 3'!Print_Titles</vt:lpstr>
      <vt:lpstr>uncollectible_perc</vt:lpstr>
      <vt:lpstr>WA_rev_tax_perc</vt:lpstr>
      <vt:lpstr>Weighted_cost_debt</vt:lpstr>
      <vt:lpstr>Weighted_cost_equity</vt:lpstr>
      <vt:lpstr>Weighted_cost_pref</vt:lpstr>
      <vt:lpstr>WUTC_reg_fee_perc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</dc:creator>
  <cp:lastModifiedBy>Cheung, Sherona</cp:lastModifiedBy>
  <dcterms:created xsi:type="dcterms:W3CDTF">2020-02-24T17:49:21Z</dcterms:created>
  <dcterms:modified xsi:type="dcterms:W3CDTF">2020-02-24T17:52:17Z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