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Install Cst (Exsting Pole) pg 1" sheetId="9" r:id="rId1"/>
    <sheet name="Maintenance Assumptions pg 2" sheetId="8" r:id="rId2"/>
    <sheet name="LED Lighting kWh pg 3" sheetId="5" r:id="rId3"/>
    <sheet name="Cost Analysis pg 4" sheetId="3" r:id="rId4"/>
    <sheet name="Price Summary pg 5,6" sheetId="1" r:id="rId5"/>
    <sheet name="Consoldted Proposed Prices pg 7" sheetId="2" r:id="rId6"/>
    <sheet name="BACKUP&gt;&gt;&gt;" sheetId="11" r:id="rId7"/>
    <sheet name="Unit Costs" sheetId="7" r:id="rId8"/>
    <sheet name="Unit Costs wo fixture cost" sheetId="4" r:id="rId9"/>
    <sheet name="SL Blocking" sheetId="6" r:id="rId10"/>
    <sheet name="Area Light Composition" sheetId="10" r:id="rId11"/>
  </sheets>
  <definedNames>
    <definedName name="_xlnm.Print_Area" localSheetId="5">'Consoldted Proposed Prices pg 7'!$A$1:$F$39</definedName>
    <definedName name="_xlnm.Print_Area" localSheetId="4">'Price Summary pg 5,6'!$A$1:$L$85</definedName>
    <definedName name="_xlnm.Print_Titles" localSheetId="4">'Price Summary pg 5,6'!$1:$9</definedName>
  </definedNames>
  <calcPr calcId="152511"/>
</workbook>
</file>

<file path=xl/calcChain.xml><?xml version="1.0" encoding="utf-8"?>
<calcChain xmlns="http://schemas.openxmlformats.org/spreadsheetml/2006/main">
  <c r="O40" i="3" l="1"/>
  <c r="O44" i="3" s="1"/>
  <c r="L31" i="3" l="1"/>
  <c r="F85" i="1" l="1"/>
  <c r="N32" i="8" l="1"/>
  <c r="N33" i="8" s="1"/>
  <c r="N35" i="8" s="1"/>
  <c r="M32" i="8"/>
  <c r="M33" i="8" s="1"/>
  <c r="M35" i="8" s="1"/>
  <c r="O32" i="8"/>
  <c r="O33" i="8" s="1"/>
  <c r="O35" i="8" s="1"/>
  <c r="O11" i="8"/>
  <c r="O12" i="8" s="1"/>
  <c r="O14" i="8" s="1"/>
  <c r="N11" i="8"/>
  <c r="N12" i="8" s="1"/>
  <c r="N14" i="8" s="1"/>
  <c r="M11" i="8"/>
  <c r="M12" i="8" s="1"/>
  <c r="M14" i="8" s="1"/>
  <c r="L18" i="8"/>
  <c r="L19" i="8" s="1"/>
  <c r="M46" i="8"/>
  <c r="N47" i="8"/>
  <c r="N48" i="8" s="1"/>
  <c r="N50" i="8" s="1"/>
  <c r="O47" i="8"/>
  <c r="O48" i="8" s="1"/>
  <c r="O50" i="8" s="1"/>
  <c r="M47" i="8"/>
  <c r="L48" i="8"/>
  <c r="L50" i="8" s="1"/>
  <c r="L47" i="8"/>
  <c r="N40" i="8"/>
  <c r="N41" i="8" s="1"/>
  <c r="N43" i="8" s="1"/>
  <c r="M40" i="8"/>
  <c r="M41" i="8" s="1"/>
  <c r="M43" i="8" s="1"/>
  <c r="O40" i="8"/>
  <c r="O41" i="8" s="1"/>
  <c r="O43" i="8" s="1"/>
  <c r="L40" i="8"/>
  <c r="L41" i="8" s="1"/>
  <c r="L43" i="8" s="1"/>
  <c r="K47" i="8"/>
  <c r="K48" i="8" s="1"/>
  <c r="J47" i="8"/>
  <c r="J48" i="8" s="1"/>
  <c r="I47" i="8"/>
  <c r="I48" i="8" s="1"/>
  <c r="H47" i="8"/>
  <c r="H48" i="8" s="1"/>
  <c r="G47" i="8"/>
  <c r="G48" i="8" s="1"/>
  <c r="F47" i="8"/>
  <c r="F48" i="8" s="1"/>
  <c r="K40" i="8"/>
  <c r="K41" i="8" s="1"/>
  <c r="J40" i="8"/>
  <c r="J41" i="8" s="1"/>
  <c r="I40" i="8"/>
  <c r="I41" i="8" s="1"/>
  <c r="H40" i="8"/>
  <c r="H41" i="8" s="1"/>
  <c r="G40" i="8"/>
  <c r="G41" i="8" s="1"/>
  <c r="F40" i="8"/>
  <c r="F41" i="8" s="1"/>
  <c r="K32" i="8"/>
  <c r="K33" i="8" s="1"/>
  <c r="J32" i="8"/>
  <c r="J33" i="8" s="1"/>
  <c r="I32" i="8"/>
  <c r="I33" i="8" s="1"/>
  <c r="H32" i="8"/>
  <c r="H33" i="8" s="1"/>
  <c r="G32" i="8"/>
  <c r="G33" i="8" s="1"/>
  <c r="F32" i="8"/>
  <c r="F33" i="8" s="1"/>
  <c r="K25" i="8"/>
  <c r="K26" i="8" s="1"/>
  <c r="J25" i="8"/>
  <c r="J26" i="8" s="1"/>
  <c r="I25" i="8"/>
  <c r="I26" i="8" s="1"/>
  <c r="H25" i="8"/>
  <c r="H26" i="8" s="1"/>
  <c r="G25" i="8"/>
  <c r="G26" i="8" s="1"/>
  <c r="F25" i="8"/>
  <c r="F26" i="8" s="1"/>
  <c r="K19" i="8"/>
  <c r="H19" i="8"/>
  <c r="G19" i="8"/>
  <c r="K18" i="8"/>
  <c r="J18" i="8"/>
  <c r="J19" i="8" s="1"/>
  <c r="I18" i="8"/>
  <c r="I19" i="8" s="1"/>
  <c r="H18" i="8"/>
  <c r="G18" i="8"/>
  <c r="F18" i="8"/>
  <c r="F19" i="8" s="1"/>
  <c r="K12" i="8"/>
  <c r="H12" i="8"/>
  <c r="G12" i="8"/>
  <c r="K11" i="8"/>
  <c r="J11" i="8"/>
  <c r="J12" i="8" s="1"/>
  <c r="I11" i="8"/>
  <c r="I12" i="8" s="1"/>
  <c r="H11" i="8"/>
  <c r="G11" i="8"/>
  <c r="F11" i="8"/>
  <c r="F12" i="8" s="1"/>
  <c r="J8" i="9" l="1"/>
  <c r="L21" i="8"/>
  <c r="M48" i="8"/>
  <c r="M50" i="8" s="1"/>
  <c r="D36" i="2" l="1"/>
  <c r="D35" i="2"/>
  <c r="D34" i="2"/>
  <c r="D31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4" i="2"/>
  <c r="D13" i="2"/>
  <c r="D12" i="2"/>
  <c r="D14" i="5" l="1"/>
  <c r="J12" i="10" l="1"/>
  <c r="H14" i="10"/>
  <c r="H13" i="10"/>
  <c r="H12" i="10"/>
  <c r="G14" i="10"/>
  <c r="G13" i="10"/>
  <c r="G12" i="10"/>
  <c r="H10" i="10"/>
  <c r="G10" i="10"/>
  <c r="H9" i="10"/>
  <c r="G9" i="10"/>
  <c r="H8" i="10"/>
  <c r="G8" i="10"/>
  <c r="H7" i="10"/>
  <c r="G7" i="10"/>
  <c r="H6" i="10"/>
  <c r="G6" i="10"/>
  <c r="H5" i="10"/>
  <c r="G5" i="10"/>
  <c r="H4" i="10"/>
  <c r="G4" i="10"/>
  <c r="H3" i="10"/>
  <c r="G3" i="10"/>
  <c r="H2" i="10"/>
  <c r="G2" i="10"/>
  <c r="K8" i="9" l="1"/>
  <c r="M8" i="9"/>
  <c r="L8" i="9"/>
  <c r="G55" i="1"/>
  <c r="G54" i="1"/>
  <c r="G53" i="1"/>
  <c r="G52" i="1"/>
  <c r="G51" i="1"/>
  <c r="G50" i="1"/>
  <c r="G49" i="1"/>
  <c r="G48" i="1"/>
  <c r="G47" i="1"/>
  <c r="G46" i="1"/>
  <c r="I8" i="9" l="1"/>
  <c r="H8" i="9"/>
  <c r="G8" i="9"/>
  <c r="F8" i="9"/>
  <c r="E8" i="9"/>
  <c r="D8" i="9"/>
  <c r="N52" i="8" l="1"/>
  <c r="N54" i="8" s="1"/>
  <c r="L13" i="3" s="1"/>
  <c r="B10" i="9"/>
  <c r="M10" i="9" s="1"/>
  <c r="J10" i="9" l="1"/>
  <c r="J12" i="9" s="1"/>
  <c r="M30" i="3" s="1"/>
  <c r="M52" i="8"/>
  <c r="M54" i="8" s="1"/>
  <c r="L12" i="3" s="1"/>
  <c r="L52" i="8"/>
  <c r="L54" i="8" s="1"/>
  <c r="L30" i="3" s="1"/>
  <c r="L10" i="9"/>
  <c r="L12" i="9" s="1"/>
  <c r="M13" i="3" s="1"/>
  <c r="K10" i="9"/>
  <c r="K12" i="9" s="1"/>
  <c r="M12" i="3" s="1"/>
  <c r="M12" i="9"/>
  <c r="M14" i="3" s="1"/>
  <c r="O52" i="8"/>
  <c r="O54" i="8" s="1"/>
  <c r="L14" i="3" s="1"/>
  <c r="K35" i="8" l="1"/>
  <c r="J35" i="8"/>
  <c r="I35" i="8"/>
  <c r="H35" i="8"/>
  <c r="G35" i="8"/>
  <c r="F35" i="8"/>
  <c r="K28" i="8"/>
  <c r="J28" i="8"/>
  <c r="I28" i="8"/>
  <c r="H28" i="8"/>
  <c r="G28" i="8"/>
  <c r="F28" i="8"/>
  <c r="K21" i="8"/>
  <c r="J21" i="8"/>
  <c r="I21" i="8"/>
  <c r="H21" i="8"/>
  <c r="G21" i="8"/>
  <c r="F21" i="8"/>
  <c r="K14" i="8"/>
  <c r="J14" i="8"/>
  <c r="I14" i="8"/>
  <c r="H14" i="8"/>
  <c r="G14" i="8"/>
  <c r="F14" i="8"/>
  <c r="I10" i="9" l="1"/>
  <c r="I12" i="9" s="1"/>
  <c r="M23" i="3" s="1"/>
  <c r="H10" i="9"/>
  <c r="H12" i="9" s="1"/>
  <c r="M22" i="3" s="1"/>
  <c r="G10" i="9"/>
  <c r="G12" i="9" s="1"/>
  <c r="M21" i="3" s="1"/>
  <c r="F10" i="9"/>
  <c r="F12" i="9" s="1"/>
  <c r="M20" i="3" s="1"/>
  <c r="E10" i="9"/>
  <c r="E12" i="9" s="1"/>
  <c r="M19" i="3" s="1"/>
  <c r="D10" i="9"/>
  <c r="D12" i="9" s="1"/>
  <c r="M18" i="3" s="1"/>
  <c r="G50" i="8" l="1"/>
  <c r="H50" i="8"/>
  <c r="I50" i="8"/>
  <c r="J50" i="8"/>
  <c r="K50" i="8"/>
  <c r="G43" i="8"/>
  <c r="H43" i="8"/>
  <c r="G52" i="8" l="1"/>
  <c r="G54" i="8" s="1"/>
  <c r="L19" i="3" s="1"/>
  <c r="H52" i="8"/>
  <c r="H54" i="8" s="1"/>
  <c r="L20" i="3" s="1"/>
  <c r="F50" i="8"/>
  <c r="K43" i="8"/>
  <c r="K52" i="8" s="1"/>
  <c r="K54" i="8" s="1"/>
  <c r="L23" i="3" s="1"/>
  <c r="J43" i="8"/>
  <c r="J52" i="8" s="1"/>
  <c r="J54" i="8" s="1"/>
  <c r="L22" i="3" s="1"/>
  <c r="I43" i="8"/>
  <c r="I52" i="8" s="1"/>
  <c r="I54" i="8" s="1"/>
  <c r="L21" i="3" s="1"/>
  <c r="F43" i="8"/>
  <c r="F52" i="8" l="1"/>
  <c r="F54" i="8" s="1"/>
  <c r="L18" i="3" s="1"/>
  <c r="O46" i="3" l="1"/>
  <c r="D31" i="3"/>
  <c r="N31" i="3" s="1"/>
  <c r="D30" i="3"/>
  <c r="N30" i="3" s="1"/>
  <c r="D29" i="3"/>
  <c r="D28" i="3"/>
  <c r="D27" i="3"/>
  <c r="D26" i="3"/>
  <c r="D25" i="3"/>
  <c r="D24" i="3"/>
  <c r="D23" i="3"/>
  <c r="N23" i="3" s="1"/>
  <c r="D22" i="3"/>
  <c r="N22" i="3" s="1"/>
  <c r="D21" i="3"/>
  <c r="N21" i="3" s="1"/>
  <c r="D20" i="3"/>
  <c r="N20" i="3" s="1"/>
  <c r="D19" i="3"/>
  <c r="N19" i="3" s="1"/>
  <c r="D18" i="3"/>
  <c r="N18" i="3" s="1"/>
  <c r="D14" i="3"/>
  <c r="D13" i="3"/>
  <c r="B13" i="3" s="1"/>
  <c r="D12" i="3"/>
  <c r="D15" i="3" l="1"/>
  <c r="B12" i="3"/>
  <c r="D32" i="3"/>
  <c r="L29" i="3" l="1"/>
  <c r="L28" i="3"/>
  <c r="L27" i="3"/>
  <c r="L26" i="3"/>
  <c r="L25" i="3"/>
  <c r="L24" i="3"/>
  <c r="I36" i="3"/>
  <c r="B36" i="3"/>
  <c r="B34" i="3"/>
  <c r="C36" i="3"/>
  <c r="C34" i="3"/>
  <c r="C17" i="3"/>
  <c r="C11" i="3"/>
  <c r="C32" i="3" l="1"/>
  <c r="C15" i="3"/>
  <c r="N29" i="3"/>
  <c r="N28" i="3"/>
  <c r="N27" i="3"/>
  <c r="N26" i="3"/>
  <c r="N12" i="3"/>
  <c r="N25" i="3"/>
  <c r="N24" i="3"/>
  <c r="N14" i="3"/>
  <c r="N13" i="3"/>
  <c r="N15" i="3" l="1"/>
  <c r="N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4" i="3"/>
  <c r="B15" i="3" s="1"/>
  <c r="J17" i="3"/>
  <c r="K17" i="3" s="1"/>
  <c r="K32" i="3" s="1"/>
  <c r="J11" i="3"/>
  <c r="K11" i="3" s="1"/>
  <c r="K15" i="3" s="1"/>
  <c r="J36" i="3"/>
  <c r="K36" i="3" s="1"/>
  <c r="J34" i="3"/>
  <c r="K34" i="3" s="1"/>
  <c r="B32" i="3" l="1"/>
  <c r="N38" i="3"/>
  <c r="K38" i="3"/>
  <c r="G36" i="3" l="1"/>
  <c r="G34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4" i="3"/>
  <c r="G13" i="3"/>
  <c r="G12" i="3"/>
  <c r="F36" i="3"/>
  <c r="F34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4" i="3"/>
  <c r="F13" i="3"/>
  <c r="F12" i="3"/>
  <c r="E36" i="3"/>
  <c r="E34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4" i="3"/>
  <c r="E13" i="3"/>
  <c r="P13" i="3" s="1"/>
  <c r="E12" i="3"/>
  <c r="H20" i="3" l="1"/>
  <c r="P20" i="3"/>
  <c r="P14" i="3"/>
  <c r="K14" i="1" s="1"/>
  <c r="E14" i="2" s="1"/>
  <c r="F14" i="2" s="1"/>
  <c r="P25" i="3"/>
  <c r="K29" i="1" s="1"/>
  <c r="E24" i="2" s="1"/>
  <c r="F24" i="2" s="1"/>
  <c r="H36" i="3"/>
  <c r="O36" i="3" s="1"/>
  <c r="P26" i="3"/>
  <c r="K30" i="1" s="1"/>
  <c r="E25" i="2" s="1"/>
  <c r="F25" i="2" s="1"/>
  <c r="H30" i="3"/>
  <c r="P30" i="3"/>
  <c r="K42" i="1" s="1"/>
  <c r="E29" i="2" s="1"/>
  <c r="F29" i="2" s="1"/>
  <c r="K16" i="1"/>
  <c r="K13" i="1"/>
  <c r="E13" i="2" s="1"/>
  <c r="F13" i="2" s="1"/>
  <c r="H24" i="3"/>
  <c r="P24" i="3"/>
  <c r="K28" i="1" s="1"/>
  <c r="E23" i="2" s="1"/>
  <c r="F23" i="2" s="1"/>
  <c r="H28" i="3"/>
  <c r="P28" i="3"/>
  <c r="K32" i="1" s="1"/>
  <c r="E27" i="2" s="1"/>
  <c r="F27" i="2" s="1"/>
  <c r="P21" i="3"/>
  <c r="P29" i="3"/>
  <c r="K33" i="1" s="1"/>
  <c r="E28" i="2" s="1"/>
  <c r="F28" i="2" s="1"/>
  <c r="P18" i="3"/>
  <c r="P22" i="3"/>
  <c r="P12" i="3"/>
  <c r="H19" i="3"/>
  <c r="P19" i="3"/>
  <c r="H23" i="3"/>
  <c r="P23" i="3"/>
  <c r="H27" i="3"/>
  <c r="P27" i="3"/>
  <c r="K31" i="1" s="1"/>
  <c r="E26" i="2" s="1"/>
  <c r="F26" i="2" s="1"/>
  <c r="P31" i="3"/>
  <c r="H12" i="3"/>
  <c r="H13" i="3"/>
  <c r="H14" i="3"/>
  <c r="H21" i="3"/>
  <c r="H25" i="3"/>
  <c r="H29" i="3"/>
  <c r="H31" i="3"/>
  <c r="H18" i="3"/>
  <c r="H22" i="3"/>
  <c r="H26" i="3"/>
  <c r="H34" i="3"/>
  <c r="O34" i="3" s="1"/>
  <c r="P34" i="3" s="1"/>
  <c r="K57" i="1" s="1"/>
  <c r="E31" i="2" l="1"/>
  <c r="F31" i="2" s="1"/>
  <c r="N57" i="1"/>
  <c r="K17" i="1"/>
  <c r="K38" i="1"/>
  <c r="K26" i="1"/>
  <c r="E21" i="2" s="1"/>
  <c r="F21" i="2" s="1"/>
  <c r="K50" i="1"/>
  <c r="L50" i="1" s="1"/>
  <c r="K23" i="1"/>
  <c r="E18" i="2" s="1"/>
  <c r="F18" i="2" s="1"/>
  <c r="K35" i="1"/>
  <c r="K49" i="1"/>
  <c r="L49" i="1" s="1"/>
  <c r="K24" i="1"/>
  <c r="E19" i="2" s="1"/>
  <c r="F19" i="2" s="1"/>
  <c r="K36" i="1"/>
  <c r="K70" i="1"/>
  <c r="K22" i="1"/>
  <c r="E17" i="2" s="1"/>
  <c r="F17" i="2" s="1"/>
  <c r="K47" i="1"/>
  <c r="L47" i="1" s="1"/>
  <c r="K75" i="1"/>
  <c r="K54" i="1"/>
  <c r="L54" i="1" s="1"/>
  <c r="K48" i="1"/>
  <c r="L48" i="1" s="1"/>
  <c r="K76" i="1"/>
  <c r="K80" i="1"/>
  <c r="K71" i="1"/>
  <c r="K46" i="1"/>
  <c r="L46" i="1" s="1"/>
  <c r="K68" i="1"/>
  <c r="K34" i="1"/>
  <c r="K65" i="1"/>
  <c r="K79" i="1"/>
  <c r="K39" i="1"/>
  <c r="K82" i="1"/>
  <c r="K67" i="1"/>
  <c r="K74" i="1"/>
  <c r="K27" i="1"/>
  <c r="E22" i="2" s="1"/>
  <c r="F22" i="2" s="1"/>
  <c r="K15" i="1"/>
  <c r="K12" i="1"/>
  <c r="E12" i="2" s="1"/>
  <c r="K77" i="1"/>
  <c r="K73" i="1"/>
  <c r="K51" i="1"/>
  <c r="L51" i="1" s="1"/>
  <c r="K72" i="1"/>
  <c r="K66" i="1"/>
  <c r="K81" i="1"/>
  <c r="K25" i="1"/>
  <c r="E20" i="2" s="1"/>
  <c r="F20" i="2" s="1"/>
  <c r="K55" i="1"/>
  <c r="L55" i="1" s="1"/>
  <c r="K69" i="1"/>
  <c r="K78" i="1"/>
  <c r="K53" i="1"/>
  <c r="L53" i="1" s="1"/>
  <c r="K37" i="1"/>
  <c r="K52" i="1"/>
  <c r="L52" i="1" s="1"/>
  <c r="H15" i="3"/>
  <c r="O15" i="3" s="1"/>
  <c r="H32" i="3"/>
  <c r="O32" i="3" s="1"/>
  <c r="F12" i="2" l="1"/>
  <c r="H38" i="3"/>
  <c r="O38" i="3" s="1"/>
  <c r="L42" i="1" l="1"/>
  <c r="L14" i="1"/>
  <c r="L28" i="1"/>
  <c r="L16" i="1"/>
  <c r="L29" i="1"/>
  <c r="L33" i="1"/>
  <c r="L15" i="1"/>
  <c r="L13" i="1"/>
  <c r="L12" i="1"/>
  <c r="L17" i="1"/>
  <c r="L32" i="1"/>
  <c r="L69" i="1"/>
  <c r="L78" i="1"/>
  <c r="L67" i="1"/>
  <c r="L74" i="1"/>
  <c r="L80" i="1"/>
  <c r="L71" i="1"/>
  <c r="L36" i="1"/>
  <c r="L77" i="1"/>
  <c r="L31" i="1"/>
  <c r="L23" i="1"/>
  <c r="L68" i="1"/>
  <c r="L26" i="1"/>
  <c r="L79" i="1"/>
  <c r="L65" i="1"/>
  <c r="L22" i="1"/>
  <c r="L30" i="1"/>
  <c r="L81" i="1"/>
  <c r="L37" i="1"/>
  <c r="L66" i="1"/>
  <c r="L39" i="1"/>
  <c r="L35" i="1"/>
  <c r="L76" i="1"/>
  <c r="L70" i="1"/>
  <c r="L24" i="1"/>
  <c r="L38" i="1"/>
  <c r="L25" i="1"/>
  <c r="L27" i="1"/>
  <c r="L34" i="1"/>
  <c r="L73" i="1"/>
  <c r="L72" i="1"/>
  <c r="L82" i="1"/>
  <c r="L75" i="1"/>
  <c r="L57" i="1"/>
  <c r="G82" i="1" l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2" i="1" l="1"/>
  <c r="G61" i="1"/>
  <c r="G60" i="1"/>
  <c r="G57" i="1"/>
  <c r="G40" i="1"/>
  <c r="G41" i="1"/>
  <c r="G42" i="1"/>
  <c r="G43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K60" i="1" l="1"/>
  <c r="K61" i="1"/>
  <c r="G19" i="1"/>
  <c r="G17" i="1"/>
  <c r="G16" i="1"/>
  <c r="G15" i="1"/>
  <c r="G14" i="1"/>
  <c r="G13" i="1"/>
  <c r="G12" i="1"/>
  <c r="L61" i="1" l="1"/>
  <c r="E35" i="2"/>
  <c r="F35" i="2" s="1"/>
  <c r="L60" i="1"/>
  <c r="E34" i="2"/>
  <c r="G84" i="1"/>
  <c r="L62" i="1" l="1"/>
  <c r="K62" i="1" s="1"/>
  <c r="E36" i="2" s="1"/>
  <c r="F36" i="2" s="1"/>
  <c r="F34" i="2"/>
  <c r="F38" i="2" l="1"/>
  <c r="L84" i="1"/>
  <c r="E39" i="2"/>
  <c r="O49" i="3" l="1"/>
  <c r="O50" i="3" s="1"/>
</calcChain>
</file>

<file path=xl/comments1.xml><?xml version="1.0" encoding="utf-8"?>
<comments xmlns="http://schemas.openxmlformats.org/spreadsheetml/2006/main">
  <authors>
    <author>Author</author>
  </authors>
  <commentList>
    <comment ref="D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Assumes luminaire +mast arm - travel time for mast.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Decorative = luminaire + pole - travel time for pole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Based upon 2019 Use of Facilities Report.  Includes return on capital, recovery of capital, state and federal income taxes and local property taxes.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O5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Use goal seek on cell O52.</t>
        </r>
      </text>
    </comment>
  </commentList>
</comments>
</file>

<file path=xl/sharedStrings.xml><?xml version="1.0" encoding="utf-8"?>
<sst xmlns="http://schemas.openxmlformats.org/spreadsheetml/2006/main" count="927" uniqueCount="329">
  <si>
    <t>Pacific Power &amp; Light</t>
  </si>
  <si>
    <t>State of Washington</t>
  </si>
  <si>
    <t>12 Months Ended June 2019</t>
  </si>
  <si>
    <t>Lighting Class Cost Analysis</t>
  </si>
  <si>
    <t>Description</t>
  </si>
  <si>
    <t>Sch No.</t>
  </si>
  <si>
    <t xml:space="preserve">Present </t>
  </si>
  <si>
    <t>Revenue</t>
  </si>
  <si>
    <t>Proposed</t>
  </si>
  <si>
    <t>Units</t>
  </si>
  <si>
    <t>Quantity</t>
  </si>
  <si>
    <t>Price</t>
  </si>
  <si>
    <t>Outdoor Area Lighting</t>
  </si>
  <si>
    <t>Mercury Vapor - 7,000 Lumen</t>
  </si>
  <si>
    <t>Mercury Vapor - 21,000 Lumen</t>
  </si>
  <si>
    <t>Mercury Vapor - 55,000 Lumen</t>
  </si>
  <si>
    <t>Pole Charge</t>
  </si>
  <si>
    <t>Co/Cust</t>
  </si>
  <si>
    <t>Owned?</t>
  </si>
  <si>
    <t>Co</t>
  </si>
  <si>
    <t>Street Lighting Service - Company-Owned System</t>
  </si>
  <si>
    <t>LED - 4,600 Lumen</t>
  </si>
  <si>
    <t>LED - 5,600 Lumen</t>
  </si>
  <si>
    <t>LED - 8,400 Lumen</t>
  </si>
  <si>
    <t>LED - 9,800 Lumen</t>
  </si>
  <si>
    <t>LED - 17,100 Lumen</t>
  </si>
  <si>
    <t>LED - 22,100 Lumen</t>
  </si>
  <si>
    <t>LED - 4,600 Lumen - Cust. Funded Conv.</t>
  </si>
  <si>
    <t>LED - 5,600 Lumen - Cust. Funded Conv.</t>
  </si>
  <si>
    <t>LED - 8,400 Lumen - Cust. Funded Conv.</t>
  </si>
  <si>
    <t>LED - 9,800 Lumen - Cust. Funded Conv.</t>
  </si>
  <si>
    <t>LED - 17,100 Lumen - Cust. Funded Conv.</t>
  </si>
  <si>
    <t>LED - 22,100 Lumen - Cust. Funded Conv.</t>
  </si>
  <si>
    <t>Cust</t>
  </si>
  <si>
    <t>Street Lighting Service - Customer Owned System</t>
  </si>
  <si>
    <t>Recreational Field Lighting</t>
  </si>
  <si>
    <t>Basic Charge - Single Phase</t>
  </si>
  <si>
    <t>Basic Charge - Three Phase</t>
  </si>
  <si>
    <t>Energy Charge</t>
  </si>
  <si>
    <t>Mercury Vapor Street Lighting Service</t>
  </si>
  <si>
    <t>Prior to 1977 - OH - Wood Pole - Horizontal - 7,000 Lumen</t>
  </si>
  <si>
    <t>Prior to 1977 - OH - Wood Pole - Horizontal - 21,000 Lumen</t>
  </si>
  <si>
    <t>Prior to 1977 - OH - Wood Pole - Horizontal - 55,000 Lumen</t>
  </si>
  <si>
    <t>Prior to 1977 - OH - Wood Pole - Vertical - 7,000 Lumen</t>
  </si>
  <si>
    <t>Prior to 1977 - OH - Wood Pole - Vertical - 21,000 Lumen</t>
  </si>
  <si>
    <t>Prior to 1977 - OH - 26' Metal Pole - Horizontal - 7,000 Lumen</t>
  </si>
  <si>
    <t>Prior to 1977 - OH - 26' Metal Pole - Vertical - 7,000 Lumen</t>
  </si>
  <si>
    <t>Prior to 1977 - OH - 30' Metal Pole - Horizontal - 21,000 Lumen</t>
  </si>
  <si>
    <t>Prior to 1977 - OH - 30' Metal Pole - Vertical - 21,000 Lumen</t>
  </si>
  <si>
    <t>Prior to 1977 - OH - 33' Metal Pole - Horizontal - 55,000 Lumen</t>
  </si>
  <si>
    <t>Prior to 1977 - UG - 26' Metal Pole - Horizontal - 7,000 Lumen</t>
  </si>
  <si>
    <t>Prior to 1977 - UG - 26' Metal Pole - Vertical - 7,000 Lumen</t>
  </si>
  <si>
    <t>Prior to 1977 - UG - 30' Metal Pole - Horizontal - 21,000 Lumen</t>
  </si>
  <si>
    <t>Prior to 1977 - UG - 30' Metal Pole - Vertical - 21,000 Lumen</t>
  </si>
  <si>
    <t>Prior to 1977 - UG - 33' Metal Pole - Horizontal - 55,000 Lumen</t>
  </si>
  <si>
    <t>Post to 1977 - OH - Wood Pole - Horizontal - 7,000 Lumen</t>
  </si>
  <si>
    <t>Post to 1977 - OH - Wood Pole - Horizontal - 21,000 Lumen</t>
  </si>
  <si>
    <t>Post to 1977 - OH - Wood Pole - Horizontal - 55,000 Lumen</t>
  </si>
  <si>
    <t>Lamp Count</t>
  </si>
  <si>
    <t>kWh</t>
  </si>
  <si>
    <t>Bill Count</t>
  </si>
  <si>
    <t>Not Applicable</t>
  </si>
  <si>
    <t>Level 1 (0-3,500 LED Equivalent Lumens)</t>
  </si>
  <si>
    <t>Level 2 (3,501-5,500 LED Equivalent Lumens)</t>
  </si>
  <si>
    <t>Level 3 (5,500-8,000 LED Equivalent Lumens)</t>
  </si>
  <si>
    <t>Level 4 (8,001-12,000 LED Equivalent Lumens)</t>
  </si>
  <si>
    <t>Level 5 (12,001-15,500 LED Equivalent Lumens)</t>
  </si>
  <si>
    <t>Level 6 (15,501 and Greater LED Equivalent Lumens)</t>
  </si>
  <si>
    <t>Cust. Funded Conv. - Level 1 (0-3,500 LED Equivalent Lumens)</t>
  </si>
  <si>
    <t>Cust. Funded Conv. - Level 2 (3,501-5,500 LED Equivalent Lumens)</t>
  </si>
  <si>
    <t>Cust. Funded Conv. - Level 3 (5,500-8,000 LED Equivalent Lumens)</t>
  </si>
  <si>
    <t>Cust. Funded Conv. - Level 4 (8,001-12,000 LED Equivalent Lumens)</t>
  </si>
  <si>
    <t>Cust. Funded Conv. - Level 5 (12,001-15,500 LED Equivalent Lumens)</t>
  </si>
  <si>
    <t>Cust. Funded Conv. - Level 6 (15,501 and Greater LED Equivalent Lumens)</t>
  </si>
  <si>
    <t>Present</t>
  </si>
  <si>
    <t>Summary of Present and Proposed Lighting Prices</t>
  </si>
  <si>
    <t>Summary of Consolidated Proposed Lighting Prices</t>
  </si>
  <si>
    <t>Schedule 51 - Street Lighting Service - Company-Owned System</t>
  </si>
  <si>
    <t>Schedule 15 - Outdoor Area Lighting</t>
  </si>
  <si>
    <t>Schedule 53 - Street Lighting Service - Customer Owned System</t>
  </si>
  <si>
    <t>Schedule 54 - Recreational Field Lighting</t>
  </si>
  <si>
    <t>Energy</t>
  </si>
  <si>
    <t>(kWh)</t>
  </si>
  <si>
    <t>Customer</t>
  </si>
  <si>
    <t>Count</t>
  </si>
  <si>
    <t>Total GTD Cost</t>
  </si>
  <si>
    <t>($000)</t>
  </si>
  <si>
    <t>Generation/Transmission/Distribution Costs</t>
  </si>
  <si>
    <t>Customer-Related Costs</t>
  </si>
  <si>
    <t>Company-Owned</t>
  </si>
  <si>
    <t>Company-Owned Light Cost</t>
  </si>
  <si>
    <t>Fixture Maintenance</t>
  </si>
  <si>
    <t>($/month)</t>
  </si>
  <si>
    <t>Installation Cost</t>
  </si>
  <si>
    <t>($/kWh)</t>
  </si>
  <si>
    <t>Total Schedule 15</t>
  </si>
  <si>
    <t>Total Schedule 51</t>
  </si>
  <si>
    <t>Total Cost of</t>
  </si>
  <si>
    <t>New Service</t>
  </si>
  <si>
    <t>Cost of New Service for Lighting Schedules</t>
  </si>
  <si>
    <t>($/cust-mo)</t>
  </si>
  <si>
    <t>PacifiCorp</t>
  </si>
  <si>
    <t>Cost Of Service By Rate Schedule</t>
  </si>
  <si>
    <t>12 Months Ending December 2013</t>
  </si>
  <si>
    <t>Washington</t>
  </si>
  <si>
    <t>Small General</t>
  </si>
  <si>
    <t>Large General</t>
  </si>
  <si>
    <t>Agricultural</t>
  </si>
  <si>
    <t>Street &amp; Area</t>
  </si>
  <si>
    <t>Jurisdiction</t>
  </si>
  <si>
    <t>Residential</t>
  </si>
  <si>
    <t>Service</t>
  </si>
  <si>
    <t>Service &lt;1,000 kW</t>
  </si>
  <si>
    <t>Service &gt;1,000 kW</t>
  </si>
  <si>
    <t>Dedicated Facilities</t>
  </si>
  <si>
    <t>Pumping</t>
  </si>
  <si>
    <t>Lighting</t>
  </si>
  <si>
    <t>Normalized</t>
  </si>
  <si>
    <t>Schedule 16</t>
  </si>
  <si>
    <t>Schedule 24</t>
  </si>
  <si>
    <t>Schedule 36</t>
  </si>
  <si>
    <t>Schedule 48T</t>
  </si>
  <si>
    <t>Schedule 40</t>
  </si>
  <si>
    <t>Sch. 15,51-54,57</t>
  </si>
  <si>
    <t>UNITS</t>
  </si>
  <si>
    <t>Annual KWH</t>
  </si>
  <si>
    <t>Average Customers</t>
  </si>
  <si>
    <t>Revenue Requirement</t>
  </si>
  <si>
    <t>Per KWH</t>
  </si>
  <si>
    <t>Per Customer</t>
  </si>
  <si>
    <t>GENERATION-TOTAL</t>
  </si>
  <si>
    <t>GENERATION-DEMAND</t>
  </si>
  <si>
    <t>GENERATION-ENERGY</t>
  </si>
  <si>
    <t>TRANSMISSION-TOTAL</t>
  </si>
  <si>
    <t>TRANSMISSION-DEMAND</t>
  </si>
  <si>
    <t>TRANSMISSION-ENERGY</t>
  </si>
  <si>
    <t>DISTRIBUTION-TOTAL</t>
  </si>
  <si>
    <t>DISTRIBUTION-SUBSTATION</t>
  </si>
  <si>
    <t>DISTRIBUTION- P &amp; C</t>
  </si>
  <si>
    <t>DISTRIBUTION-TRANSFORMER</t>
  </si>
  <si>
    <t>DISTRIBUTION-METER</t>
  </si>
  <si>
    <t>DISTRIBUTION-SERVICE</t>
  </si>
  <si>
    <t>Load Factor</t>
  </si>
  <si>
    <t>Retail Cost</t>
  </si>
  <si>
    <t>Light Level</t>
  </si>
  <si>
    <t>Target Initial Lumens (in LED equivalent)*</t>
  </si>
  <si>
    <t>LED Equivalent Range **</t>
  </si>
  <si>
    <t>&lt;3500</t>
  </si>
  <si>
    <t>3501-5500</t>
  </si>
  <si>
    <t>5501-8000</t>
  </si>
  <si>
    <t>8001-12000</t>
  </si>
  <si>
    <t>12001-15500</t>
  </si>
  <si>
    <t>&gt;15501</t>
  </si>
  <si>
    <t>Annual Energy (kWh)</t>
  </si>
  <si>
    <t>Area Lights</t>
  </si>
  <si>
    <t>PACIFIC POWER &amp; LIGHT COMPANY</t>
  </si>
  <si>
    <t>STATE OF WASHINGTON</t>
  </si>
  <si>
    <t>12 MONTHS ENDED JUNE 2019</t>
  </si>
  <si>
    <t>(Including Effects of Unbilled Revenue, Unbilled MWh and Weather Normalization)</t>
  </si>
  <si>
    <t>Actual</t>
  </si>
  <si>
    <t>Dollars</t>
  </si>
  <si>
    <t>SCHEDULE 15</t>
  </si>
  <si>
    <t>Outdoor Area Lighting Service-Grand Combined</t>
  </si>
  <si>
    <t>Mercury Vapor Lamp Charges</t>
  </si>
  <si>
    <t xml:space="preserve">     7,000 Lumens</t>
  </si>
  <si>
    <t xml:space="preserve">    21,000 Lumens</t>
  </si>
  <si>
    <t xml:space="preserve">    55,000 Lumens</t>
  </si>
  <si>
    <t>High Pressure Sodium Vapor Lamp Charges</t>
  </si>
  <si>
    <t xml:space="preserve">     5,800 Lumens</t>
  </si>
  <si>
    <t xml:space="preserve">    22,000 Lumens</t>
  </si>
  <si>
    <t xml:space="preserve">    50,000 Lumens</t>
  </si>
  <si>
    <t>Pole Charges</t>
  </si>
  <si>
    <t>¢</t>
  </si>
  <si>
    <t>Total Bills</t>
  </si>
  <si>
    <t>Subtotal</t>
  </si>
  <si>
    <t xml:space="preserve">  Unbilled</t>
  </si>
  <si>
    <t>Total</t>
  </si>
  <si>
    <t>SCHEDULE 51</t>
  </si>
  <si>
    <t xml:space="preserve">Street Lighting Service Company-Owned </t>
  </si>
  <si>
    <t>High Pressure Sodium Vapor</t>
  </si>
  <si>
    <t>Per Lamp Charges</t>
  </si>
  <si>
    <t xml:space="preserve">     9,500 Lumens</t>
  </si>
  <si>
    <t xml:space="preserve">     9,500 Lumens-Decorative Series 1</t>
  </si>
  <si>
    <t xml:space="preserve">     9,500 Lumens-Decorative Series 2</t>
  </si>
  <si>
    <t xml:space="preserve">     16,000 Lumens</t>
  </si>
  <si>
    <t xml:space="preserve">     16,000-Lumens Decorative Series 1</t>
  </si>
  <si>
    <t xml:space="preserve">    16,000-Lumens Decorative Series 2</t>
  </si>
  <si>
    <t xml:space="preserve">    27,500 Lumens</t>
  </si>
  <si>
    <t xml:space="preserve">LED </t>
  </si>
  <si>
    <t xml:space="preserve">    4,600 Lumens</t>
  </si>
  <si>
    <t xml:space="preserve">    5,600 Lumens</t>
  </si>
  <si>
    <t xml:space="preserve">    8,400 Lumens</t>
  </si>
  <si>
    <t xml:space="preserve">    9,800 Lumens</t>
  </si>
  <si>
    <t xml:space="preserve">    17,100 Lumens</t>
  </si>
  <si>
    <t xml:space="preserve">    22,100 Lumens</t>
  </si>
  <si>
    <t>LED - Customer Funded Conversion</t>
  </si>
  <si>
    <t>Metal Halide</t>
  </si>
  <si>
    <t xml:space="preserve">    9,000 Lumens-Decorative Series 1</t>
  </si>
  <si>
    <t xml:space="preserve">    9,000 Lumens-Decorative Series 2</t>
  </si>
  <si>
    <t xml:space="preserve">   12,000 Lumens</t>
  </si>
  <si>
    <t xml:space="preserve">    12,000 Lumens-Decorative Series 1</t>
  </si>
  <si>
    <t xml:space="preserve">    12,000 Lumens-Decorative Series 2</t>
  </si>
  <si>
    <t xml:space="preserve">   19,500 Lumens</t>
  </si>
  <si>
    <t xml:space="preserve">   32,000 Lumens</t>
  </si>
  <si>
    <t xml:space="preserve">  Subtotal</t>
  </si>
  <si>
    <t>SCHEDULE 52</t>
  </si>
  <si>
    <t>Company-Owned Street Lighting Service</t>
  </si>
  <si>
    <t>Operation, Maintenance, Depreciation &amp; Fixed Costs</t>
  </si>
  <si>
    <t>Dusk to Dawn kWh</t>
  </si>
  <si>
    <t>Dusk to Midnight kWh</t>
  </si>
  <si>
    <t>Total Customers</t>
  </si>
  <si>
    <t xml:space="preserve">    Subtotal</t>
  </si>
  <si>
    <t xml:space="preserve">    Unbilled</t>
  </si>
  <si>
    <t>SCHEDULE 53</t>
  </si>
  <si>
    <t>Customer-Owned Street Lighting Service - Grand Combined</t>
  </si>
  <si>
    <t>Non-Listed Lumen-Energy Only</t>
  </si>
  <si>
    <t xml:space="preserve"> </t>
  </si>
  <si>
    <t>Listed Lumen-Energy Only</t>
  </si>
  <si>
    <t>SCHEDULE 54</t>
  </si>
  <si>
    <t xml:space="preserve">  Basic Charge 1 Phase</t>
  </si>
  <si>
    <t xml:space="preserve">  Basic Charge 3 Phase</t>
  </si>
  <si>
    <t xml:space="preserve">  Total Bills</t>
  </si>
  <si>
    <t xml:space="preserve">  All kWh</t>
  </si>
  <si>
    <t xml:space="preserve">  Total</t>
  </si>
  <si>
    <t>SCHEDULE 57</t>
  </si>
  <si>
    <t>Overhead System on Wood Poles</t>
  </si>
  <si>
    <t>Horizontal Lamp Charges</t>
  </si>
  <si>
    <t>Vertical Lamp Charges</t>
  </si>
  <si>
    <t>Overhead System on Metal Poles</t>
  </si>
  <si>
    <t>Underground System</t>
  </si>
  <si>
    <t>Post 1977 System</t>
  </si>
  <si>
    <t>Contract</t>
  </si>
  <si>
    <t xml:space="preserve">     21,000 Lumens</t>
  </si>
  <si>
    <t>Unit Costs @ Target ROR</t>
  </si>
  <si>
    <t>CP Load Factor</t>
  </si>
  <si>
    <t>Total Cost of New Service for Lighting Class</t>
  </si>
  <si>
    <t>Total Embedded Cost of Service for Lighting Class</t>
  </si>
  <si>
    <t>Gn Cost</t>
  </si>
  <si>
    <t>Tr Cost</t>
  </si>
  <si>
    <t>Dist Cost</t>
  </si>
  <si>
    <t>Mtr/Svc/Xfmr Cost</t>
  </si>
  <si>
    <t>Total Cust-Related Cost</t>
  </si>
  <si>
    <t>Total Co-Owned Light Cost</t>
  </si>
  <si>
    <t>Per Unit Cost</t>
  </si>
  <si>
    <t>of New</t>
  </si>
  <si>
    <t>Target Revenue Requirement for Lighting Class</t>
  </si>
  <si>
    <t>Proposed Revenue</t>
  </si>
  <si>
    <t>Difference</t>
  </si>
  <si>
    <t>Adjustment Factor</t>
  </si>
  <si>
    <t>Descriptions</t>
  </si>
  <si>
    <t>Light Type</t>
  </si>
  <si>
    <t>Hours</t>
  </si>
  <si>
    <t>Rate</t>
  </si>
  <si>
    <t xml:space="preserve">  Material Cost</t>
  </si>
  <si>
    <t>Total Cost</t>
  </si>
  <si>
    <t>Annual Frequency</t>
  </si>
  <si>
    <t>Annual Cost</t>
  </si>
  <si>
    <t xml:space="preserve">  Labor</t>
  </si>
  <si>
    <t xml:space="preserve">Replace Photo Cell </t>
  </si>
  <si>
    <t>Replace Luminaire</t>
  </si>
  <si>
    <t>Level</t>
  </si>
  <si>
    <t>Total Annual Maintenance</t>
  </si>
  <si>
    <t>Replace Pole (wood)</t>
  </si>
  <si>
    <t>Replace Pole and arm (metal)</t>
  </si>
  <si>
    <t>Replace Fiberglass Pole</t>
  </si>
  <si>
    <t>Replace Mast Arm</t>
  </si>
  <si>
    <t>Total Monthly Maintenance</t>
  </si>
  <si>
    <t>Annualization @</t>
  </si>
  <si>
    <t>Average Monthly Revenue Requirement</t>
  </si>
  <si>
    <t>Streetlighting Installation Costs</t>
  </si>
  <si>
    <t>Company-Owned Lighting Maintenance Costs</t>
  </si>
  <si>
    <t>LED Area Lights</t>
  </si>
  <si>
    <t>LED Street Lights</t>
  </si>
  <si>
    <t>Decorative LED Street Lights</t>
  </si>
  <si>
    <t>CLOSED</t>
  </si>
  <si>
    <t>High Pressure Sodium Vapor - 5,800 Lumen</t>
  </si>
  <si>
    <t>High Pressure Sodium Vapor - 22,000 Lumen</t>
  </si>
  <si>
    <t>High Pressure Sodium Vapor - 50,000 Lumen</t>
  </si>
  <si>
    <t>High Pressure Sodium Vapor - 9,500 Lumen</t>
  </si>
  <si>
    <t>High Pressure Sodium Vapor - 16,000 Lumen</t>
  </si>
  <si>
    <t>High Pressure Sodium Vapor - 27,500 Lumen</t>
  </si>
  <si>
    <t>High Pressure Sodium Vapor - 9,500 Lumen - Decorative Series 1</t>
  </si>
  <si>
    <t>High Pressure Sodium Vapor - 9,500 Lumen - Decorative Series 2</t>
  </si>
  <si>
    <t>High Pressure Sodium Vapor - 16,000 Lumen - Decorative Series 1</t>
  </si>
  <si>
    <t>High Pressure Sodium Vapor - 16,000 Lumen - Decorative Series 2</t>
  </si>
  <si>
    <t>Incandescent - 2,500 Lumen + $1.31697 O&amp;M</t>
  </si>
  <si>
    <t>Incandescent - 4,000 Lumen + $1.37191 O&amp;M</t>
  </si>
  <si>
    <t>Incandescent - 6,000 Lumen + $1.41707 O&amp;M</t>
  </si>
  <si>
    <t>High Pressure Sodium Vapor - 9,500 Lumen + $7.88516 O&amp;M</t>
  </si>
  <si>
    <t>High Pressure Sodium Vapor - 9,500 Lumen + $8.43516 O&amp;M</t>
  </si>
  <si>
    <t>High Pressure Sodium Vapor - 22,000 Lumen + $8.64565 O&amp;M</t>
  </si>
  <si>
    <t>High Pressure Sodium Vapor - 22,000 Lumen + $9.29565 O&amp;M</t>
  </si>
  <si>
    <t>High Pressure Sodium Vapor - 22,000 Lumen + $9.83565 O&amp;M</t>
  </si>
  <si>
    <t>Mercury Vapor - 7,000 Lumen + $5.96164 O&amp;M</t>
  </si>
  <si>
    <t>Mercury Vapor - 21,000 Lumen + $0.91108 O&amp;M</t>
  </si>
  <si>
    <t>Level 1 (0-5,500 LED Equivalent Lumens)</t>
  </si>
  <si>
    <t>Level 2 (5,501-12,000 LED Equivalent Lumens)</t>
  </si>
  <si>
    <t>Level 3 (12,001 and Greater LED Equivalent Lumens)</t>
  </si>
  <si>
    <t>% Barn Style</t>
  </si>
  <si>
    <t>% Flood Style</t>
  </si>
  <si>
    <t>Class</t>
  </si>
  <si>
    <t>Unit Count</t>
  </si>
  <si>
    <t>Commercial</t>
  </si>
  <si>
    <t>Industrial</t>
  </si>
  <si>
    <t>Est. Barn Style Count</t>
  </si>
  <si>
    <t>Est. Flood Style Count</t>
  </si>
  <si>
    <t>Overall</t>
  </si>
  <si>
    <t>0-5500</t>
  </si>
  <si>
    <t>5501-12000</t>
  </si>
  <si>
    <t>&gt;12001</t>
  </si>
  <si>
    <t>2 man</t>
  </si>
  <si>
    <t>30'</t>
  </si>
  <si>
    <t>35'</t>
  </si>
  <si>
    <t>40'</t>
  </si>
  <si>
    <t>25'</t>
  </si>
  <si>
    <t>Single man</t>
  </si>
  <si>
    <t>Street and Area Light Energy Consumption by Level of Service</t>
  </si>
  <si>
    <t>Unique Price Count</t>
  </si>
  <si>
    <t>Decorative Series - Level 3 (5,500-8,000 LED Equivalent Lumens)</t>
  </si>
  <si>
    <t>Cust. Funded Conv. - Decorative - Lvl 3 (5,500-8,000 LED Equivalent Lumens)</t>
  </si>
  <si>
    <t>NCP kW</t>
  </si>
  <si>
    <t>GTDCCO TOTAL</t>
  </si>
  <si>
    <t>Per NCP kW</t>
  </si>
  <si>
    <t>CUSTOMER-TOTAL</t>
  </si>
  <si>
    <t>COMMON-TOTAL</t>
  </si>
  <si>
    <t>12 Months Ending June 2019</t>
  </si>
  <si>
    <t>Revised Embedded Cost of Service for Lighting Class</t>
  </si>
  <si>
    <t>Total Lighting Class Unbilled Revenue</t>
  </si>
  <si>
    <t>COMMON -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</si>
</sst>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&quot;$&quot;#,##0"/>
    <numFmt numFmtId="167" formatCode="&quot;$&quot;#,##0.00000"/>
    <numFmt numFmtId="168" formatCode="_(* #,##0.000_);_(* \(#,##0.000\);_(* &quot;-&quot;??_);_(@_)"/>
    <numFmt numFmtId="169" formatCode="_(* #,##0.00000_);_(* \(#,##0.00000\);_(* &quot;-&quot;??_);_(@_)"/>
    <numFmt numFmtId="170" formatCode="0.00000"/>
    <numFmt numFmtId="171" formatCode="_(* #,##0.0_);_(* \(#,##0.0\);_(* &quot;-&quot;??_);_(@_)"/>
    <numFmt numFmtId="172" formatCode="0.000_)"/>
    <numFmt numFmtId="173" formatCode="0.000"/>
    <numFmt numFmtId="174" formatCode="0.0000_)"/>
    <numFmt numFmtId="175" formatCode="0.0000"/>
    <numFmt numFmtId="176" formatCode="#,##0.000"/>
    <numFmt numFmtId="177" formatCode="0.0%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SWISS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u/>
      <sz val="10"/>
      <color theme="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1"/>
      <name val="Times New Roman"/>
      <family val="1"/>
    </font>
    <font>
      <sz val="12"/>
      <color indexed="10"/>
      <name val="Times New Roman"/>
      <family val="1"/>
    </font>
    <font>
      <sz val="12"/>
      <color indexed="12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4" fillId="0" borderId="0"/>
    <xf numFmtId="0" fontId="6" fillId="0" borderId="0"/>
    <xf numFmtId="0" fontId="20" fillId="0" borderId="0"/>
    <xf numFmtId="9" fontId="2" fillId="0" borderId="0" applyFont="0" applyFill="0" applyBorder="0" applyAlignment="0" applyProtection="0"/>
    <xf numFmtId="0" fontId="6" fillId="0" borderId="0"/>
  </cellStyleXfs>
  <cellXfs count="29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>
      <alignment horizontal="left" indent="2"/>
    </xf>
    <xf numFmtId="0" fontId="0" fillId="0" borderId="0" xfId="0" applyAlignment="1">
      <alignment horizontal="left"/>
    </xf>
    <xf numFmtId="164" fontId="0" fillId="0" borderId="0" xfId="1" applyNumberFormat="1" applyFon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1" fillId="0" borderId="7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0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9" xfId="0" quotePrefix="1" applyFont="1" applyBorder="1"/>
    <xf numFmtId="6" fontId="1" fillId="0" borderId="11" xfId="0" quotePrefix="1" applyNumberFormat="1" applyFont="1" applyBorder="1"/>
    <xf numFmtId="0" fontId="1" fillId="0" borderId="10" xfId="0" quotePrefix="1" applyFont="1" applyBorder="1"/>
    <xf numFmtId="0" fontId="1" fillId="0" borderId="12" xfId="0" applyFont="1" applyBorder="1" applyAlignment="1">
      <alignment horizontal="centerContinuous"/>
    </xf>
    <xf numFmtId="0" fontId="1" fillId="0" borderId="13" xfId="0" applyFont="1" applyBorder="1"/>
    <xf numFmtId="0" fontId="1" fillId="0" borderId="14" xfId="0" applyFont="1" applyBorder="1"/>
    <xf numFmtId="0" fontId="1" fillId="0" borderId="13" xfId="0" applyFont="1" applyFill="1" applyBorder="1"/>
    <xf numFmtId="6" fontId="1" fillId="0" borderId="14" xfId="0" quotePrefix="1" applyNumberFormat="1" applyFont="1" applyBorder="1"/>
    <xf numFmtId="0" fontId="1" fillId="0" borderId="12" xfId="0" applyFont="1" applyBorder="1"/>
    <xf numFmtId="1" fontId="4" fillId="0" borderId="0" xfId="2" applyNumberFormat="1" applyFont="1" applyFill="1"/>
    <xf numFmtId="41" fontId="4" fillId="0" borderId="0" xfId="2" applyFont="1" applyFill="1" applyAlignment="1">
      <alignment horizontal="left"/>
    </xf>
    <xf numFmtId="41" fontId="5" fillId="0" borderId="0" xfId="2" applyFont="1" applyFill="1"/>
    <xf numFmtId="1" fontId="4" fillId="0" borderId="0" xfId="2" applyNumberFormat="1" applyFont="1" applyFill="1" applyAlignment="1">
      <alignment horizontal="centerContinuous"/>
    </xf>
    <xf numFmtId="1" fontId="4" fillId="0" borderId="0" xfId="2" applyNumberFormat="1" applyFont="1" applyFill="1" applyAlignment="1"/>
    <xf numFmtId="0" fontId="1" fillId="3" borderId="3" xfId="0" applyFont="1" applyFill="1" applyBorder="1"/>
    <xf numFmtId="0" fontId="1" fillId="3" borderId="3" xfId="0" applyNumberFormat="1" applyFont="1" applyFill="1" applyBorder="1" applyAlignment="1">
      <alignment horizontal="right" wrapText="1"/>
    </xf>
    <xf numFmtId="0" fontId="0" fillId="0" borderId="3" xfId="0" applyNumberFormat="1" applyFill="1" applyBorder="1"/>
    <xf numFmtId="0" fontId="0" fillId="0" borderId="3" xfId="0" applyNumberFormat="1" applyBorder="1" applyAlignment="1">
      <alignment horizontal="right"/>
    </xf>
    <xf numFmtId="0" fontId="9" fillId="0" borderId="0" xfId="0" applyFont="1" applyFill="1" applyAlignment="1" applyProtection="1">
      <alignment horizontal="centerContinuous"/>
    </xf>
    <xf numFmtId="37" fontId="9" fillId="0" borderId="0" xfId="0" applyNumberFormat="1" applyFont="1" applyFill="1" applyAlignment="1" applyProtection="1">
      <alignment horizontal="centerContinuous"/>
    </xf>
    <xf numFmtId="0" fontId="9" fillId="0" borderId="0" xfId="0" applyFont="1" applyFill="1" applyProtection="1"/>
    <xf numFmtId="37" fontId="10" fillId="0" borderId="0" xfId="0" applyNumberFormat="1" applyFont="1" applyFill="1" applyAlignment="1" applyProtection="1">
      <alignment horizontal="center"/>
    </xf>
    <xf numFmtId="0" fontId="10" fillId="0" borderId="0" xfId="0" applyFont="1" applyFill="1" applyProtection="1"/>
    <xf numFmtId="0" fontId="0" fillId="0" borderId="0" xfId="0" applyFill="1"/>
    <xf numFmtId="0" fontId="10" fillId="0" borderId="0" xfId="0" applyFont="1" applyFill="1" applyAlignment="1" applyProtection="1">
      <alignment horizontal="center"/>
    </xf>
    <xf numFmtId="37" fontId="10" fillId="0" borderId="16" xfId="0" applyNumberFormat="1" applyFont="1" applyFill="1" applyBorder="1" applyAlignment="1" applyProtection="1">
      <alignment horizontal="center"/>
    </xf>
    <xf numFmtId="0" fontId="10" fillId="0" borderId="16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11" fillId="0" borderId="0" xfId="0" applyFont="1" applyFill="1"/>
    <xf numFmtId="5" fontId="0" fillId="0" borderId="0" xfId="0" applyNumberFormat="1" applyFill="1" applyProtection="1"/>
    <xf numFmtId="37" fontId="0" fillId="0" borderId="0" xfId="0" applyNumberFormat="1" applyFill="1"/>
    <xf numFmtId="7" fontId="12" fillId="0" borderId="0" xfId="5" applyNumberFormat="1" applyFont="1" applyFill="1"/>
    <xf numFmtId="5" fontId="13" fillId="0" borderId="0" xfId="0" applyNumberFormat="1" applyFont="1" applyFill="1" applyProtection="1"/>
    <xf numFmtId="0" fontId="12" fillId="0" borderId="0" xfId="5" applyNumberFormat="1" applyFont="1" applyFill="1"/>
    <xf numFmtId="0" fontId="0" fillId="0" borderId="0" xfId="0" applyFill="1" applyBorder="1"/>
    <xf numFmtId="7" fontId="12" fillId="0" borderId="0" xfId="5" applyNumberFormat="1" applyFont="1" applyFill="1" applyBorder="1"/>
    <xf numFmtId="5" fontId="0" fillId="0" borderId="0" xfId="0" applyNumberFormat="1" applyFill="1" applyBorder="1" applyProtection="1"/>
    <xf numFmtId="37" fontId="0" fillId="0" borderId="17" xfId="0" applyNumberFormat="1" applyFont="1" applyFill="1" applyBorder="1" applyProtection="1"/>
    <xf numFmtId="5" fontId="13" fillId="0" borderId="18" xfId="0" applyNumberFormat="1" applyFont="1" applyFill="1" applyBorder="1" applyProtection="1"/>
    <xf numFmtId="5" fontId="13" fillId="0" borderId="17" xfId="0" applyNumberFormat="1" applyFont="1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8" fontId="12" fillId="0" borderId="0" xfId="5" applyNumberFormat="1" applyFont="1" applyFill="1"/>
    <xf numFmtId="0" fontId="0" fillId="0" borderId="0" xfId="0" applyFont="1" applyFill="1"/>
    <xf numFmtId="0" fontId="14" fillId="0" borderId="0" xfId="0" applyFont="1" applyFill="1"/>
    <xf numFmtId="37" fontId="13" fillId="0" borderId="0" xfId="0" applyNumberFormat="1" applyFont="1" applyFill="1" applyProtection="1"/>
    <xf numFmtId="7" fontId="12" fillId="0" borderId="0" xfId="0" applyNumberFormat="1" applyFont="1" applyFill="1" applyProtection="1">
      <protection locked="0"/>
    </xf>
    <xf numFmtId="173" fontId="12" fillId="0" borderId="0" xfId="0" applyNumberFormat="1" applyFont="1" applyFill="1" applyProtection="1"/>
    <xf numFmtId="5" fontId="13" fillId="0" borderId="0" xfId="0" applyNumberFormat="1" applyFont="1" applyFill="1" applyAlignment="1" applyProtection="1">
      <alignment horizontal="right"/>
    </xf>
    <xf numFmtId="174" fontId="13" fillId="0" borderId="0" xfId="0" applyNumberFormat="1" applyFont="1" applyFill="1" applyProtection="1"/>
    <xf numFmtId="37" fontId="13" fillId="0" borderId="17" xfId="0" applyNumberFormat="1" applyFont="1" applyFill="1" applyBorder="1" applyProtection="1"/>
    <xf numFmtId="172" fontId="13" fillId="0" borderId="18" xfId="0" applyNumberFormat="1" applyFont="1" applyFill="1" applyBorder="1" applyProtection="1"/>
    <xf numFmtId="0" fontId="13" fillId="0" borderId="18" xfId="0" applyFont="1" applyFill="1" applyBorder="1" applyProtection="1"/>
    <xf numFmtId="172" fontId="13" fillId="0" borderId="0" xfId="0" applyNumberFormat="1" applyFont="1" applyFill="1" applyProtection="1"/>
    <xf numFmtId="173" fontId="14" fillId="0" borderId="0" xfId="0" applyNumberFormat="1" applyFont="1" applyFill="1" applyProtection="1"/>
    <xf numFmtId="172" fontId="13" fillId="0" borderId="0" xfId="0" applyNumberFormat="1" applyFont="1" applyFill="1" applyProtection="1">
      <protection locked="0"/>
    </xf>
    <xf numFmtId="168" fontId="12" fillId="0" borderId="0" xfId="3" applyNumberFormat="1" applyFont="1" applyFill="1" applyProtection="1">
      <protection locked="0"/>
    </xf>
    <xf numFmtId="37" fontId="0" fillId="0" borderId="0" xfId="0" applyNumberFormat="1" applyFont="1" applyFill="1" applyProtection="1"/>
    <xf numFmtId="37" fontId="0" fillId="0" borderId="16" xfId="0" applyNumberFormat="1" applyFont="1" applyFill="1" applyBorder="1" applyProtection="1"/>
    <xf numFmtId="0" fontId="0" fillId="0" borderId="0" xfId="0" applyFill="1" applyBorder="1" applyProtection="1"/>
    <xf numFmtId="5" fontId="13" fillId="0" borderId="16" xfId="0" applyNumberFormat="1" applyFont="1" applyFill="1" applyBorder="1" applyAlignment="1" applyProtection="1">
      <alignment horizontal="right"/>
    </xf>
    <xf numFmtId="37" fontId="13" fillId="0" borderId="18" xfId="0" applyNumberFormat="1" applyFont="1" applyFill="1" applyBorder="1" applyProtection="1"/>
    <xf numFmtId="0" fontId="13" fillId="0" borderId="0" xfId="0" applyFont="1" applyFill="1"/>
    <xf numFmtId="0" fontId="15" fillId="0" borderId="0" xfId="0" applyFont="1" applyFill="1"/>
    <xf numFmtId="0" fontId="12" fillId="0" borderId="0" xfId="0" applyFont="1" applyFill="1"/>
    <xf numFmtId="0" fontId="16" fillId="0" borderId="0" xfId="0" applyFont="1" applyFill="1"/>
    <xf numFmtId="7" fontId="14" fillId="0" borderId="0" xfId="5" applyNumberFormat="1" applyFont="1" applyFill="1"/>
    <xf numFmtId="164" fontId="0" fillId="0" borderId="0" xfId="0" applyNumberFormat="1"/>
    <xf numFmtId="164" fontId="1" fillId="0" borderId="0" xfId="1" applyNumberFormat="1" applyFont="1" applyBorder="1"/>
    <xf numFmtId="0" fontId="0" fillId="0" borderId="0" xfId="0" applyBorder="1"/>
    <xf numFmtId="0" fontId="0" fillId="0" borderId="2" xfId="0" applyBorder="1"/>
    <xf numFmtId="0" fontId="0" fillId="0" borderId="1" xfId="0" applyBorder="1"/>
    <xf numFmtId="164" fontId="0" fillId="0" borderId="0" xfId="1" applyNumberFormat="1" applyFont="1" applyBorder="1"/>
    <xf numFmtId="43" fontId="0" fillId="0" borderId="0" xfId="0" applyNumberFormat="1" applyBorder="1"/>
    <xf numFmtId="171" fontId="0" fillId="0" borderId="0" xfId="1" applyNumberFormat="1" applyFont="1" applyBorder="1"/>
    <xf numFmtId="0" fontId="0" fillId="0" borderId="1" xfId="0" applyBorder="1" applyAlignment="1">
      <alignment horizontal="left" indent="2"/>
    </xf>
    <xf numFmtId="164" fontId="0" fillId="0" borderId="0" xfId="1" applyNumberFormat="1" applyFont="1" applyBorder="1" applyAlignment="1">
      <alignment horizontal="left" indent="2"/>
    </xf>
    <xf numFmtId="169" fontId="0" fillId="0" borderId="0" xfId="1" applyNumberFormat="1" applyFont="1" applyBorder="1"/>
    <xf numFmtId="170" fontId="0" fillId="0" borderId="0" xfId="0" applyNumberFormat="1" applyBorder="1"/>
    <xf numFmtId="171" fontId="0" fillId="0" borderId="0" xfId="0" applyNumberFormat="1" applyBorder="1"/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left"/>
    </xf>
    <xf numFmtId="164" fontId="0" fillId="0" borderId="0" xfId="1" applyNumberFormat="1" applyFont="1" applyBorder="1" applyAlignment="1">
      <alignment horizontal="left"/>
    </xf>
    <xf numFmtId="43" fontId="0" fillId="0" borderId="0" xfId="0" applyNumberFormat="1" applyFill="1" applyBorder="1"/>
    <xf numFmtId="43" fontId="0" fillId="0" borderId="0" xfId="1" applyFont="1" applyFill="1" applyBorder="1"/>
    <xf numFmtId="43" fontId="0" fillId="0" borderId="0" xfId="0" applyNumberFormat="1" applyBorder="1" applyAlignment="1">
      <alignment horizontal="left" indent="2"/>
    </xf>
    <xf numFmtId="164" fontId="0" fillId="0" borderId="0" xfId="0" applyNumberFormat="1" applyBorder="1" applyAlignment="1">
      <alignment horizontal="left" indent="2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4" xfId="0" applyBorder="1" applyAlignment="1">
      <alignment horizontal="left"/>
    </xf>
    <xf numFmtId="164" fontId="0" fillId="0" borderId="5" xfId="1" applyNumberFormat="1" applyFont="1" applyBorder="1" applyAlignment="1">
      <alignment horizontal="left" indent="2"/>
    </xf>
    <xf numFmtId="0" fontId="0" fillId="0" borderId="5" xfId="0" applyBorder="1"/>
    <xf numFmtId="171" fontId="0" fillId="0" borderId="5" xfId="0" applyNumberFormat="1" applyBorder="1"/>
    <xf numFmtId="164" fontId="0" fillId="0" borderId="5" xfId="1" applyNumberFormat="1" applyFont="1" applyBorder="1" applyAlignment="1">
      <alignment horizontal="left"/>
    </xf>
    <xf numFmtId="169" fontId="0" fillId="0" borderId="5" xfId="1" applyNumberFormat="1" applyFont="1" applyBorder="1"/>
    <xf numFmtId="170" fontId="0" fillId="0" borderId="5" xfId="0" applyNumberFormat="1" applyBorder="1"/>
    <xf numFmtId="171" fontId="0" fillId="0" borderId="5" xfId="1" applyNumberFormat="1" applyFont="1" applyBorder="1"/>
    <xf numFmtId="43" fontId="0" fillId="0" borderId="5" xfId="0" applyNumberFormat="1" applyBorder="1"/>
    <xf numFmtId="0" fontId="0" fillId="0" borderId="4" xfId="0" applyBorder="1"/>
    <xf numFmtId="37" fontId="0" fillId="0" borderId="5" xfId="0" applyNumberFormat="1" applyBorder="1"/>
    <xf numFmtId="164" fontId="0" fillId="0" borderId="5" xfId="1" applyNumberFormat="1" applyFont="1" applyBorder="1"/>
    <xf numFmtId="43" fontId="0" fillId="0" borderId="5" xfId="1" applyFont="1" applyBorder="1"/>
    <xf numFmtId="171" fontId="0" fillId="0" borderId="6" xfId="1" applyNumberFormat="1" applyFont="1" applyBorder="1"/>
    <xf numFmtId="171" fontId="0" fillId="0" borderId="2" xfId="1" applyNumberFormat="1" applyFont="1" applyBorder="1"/>
    <xf numFmtId="43" fontId="0" fillId="0" borderId="10" xfId="0" applyNumberFormat="1" applyBorder="1"/>
    <xf numFmtId="171" fontId="0" fillId="0" borderId="11" xfId="1" applyNumberFormat="1" applyFont="1" applyBorder="1"/>
    <xf numFmtId="168" fontId="0" fillId="0" borderId="0" xfId="0" applyNumberFormat="1"/>
    <xf numFmtId="0" fontId="0" fillId="0" borderId="13" xfId="0" applyBorder="1"/>
    <xf numFmtId="43" fontId="0" fillId="0" borderId="13" xfId="1" applyFont="1" applyBorder="1"/>
    <xf numFmtId="0" fontId="0" fillId="0" borderId="14" xfId="0" applyBorder="1"/>
    <xf numFmtId="43" fontId="0" fillId="0" borderId="12" xfId="1" applyFont="1" applyBorder="1"/>
    <xf numFmtId="43" fontId="0" fillId="0" borderId="14" xfId="1" applyFont="1" applyBorder="1"/>
    <xf numFmtId="169" fontId="0" fillId="0" borderId="13" xfId="1" applyNumberFormat="1" applyFont="1" applyBorder="1"/>
    <xf numFmtId="43" fontId="0" fillId="0" borderId="5" xfId="1" applyNumberFormat="1" applyFont="1" applyBorder="1"/>
    <xf numFmtId="0" fontId="0" fillId="0" borderId="0" xfId="0" applyAlignment="1">
      <alignment horizontal="right"/>
    </xf>
    <xf numFmtId="0" fontId="8" fillId="0" borderId="0" xfId="7" applyFont="1" applyFill="1" applyAlignment="1">
      <alignment horizontal="centerContinuous"/>
    </xf>
    <xf numFmtId="0" fontId="17" fillId="0" borderId="0" xfId="7" applyFont="1" applyFill="1" applyAlignment="1">
      <alignment horizontal="centerContinuous"/>
    </xf>
    <xf numFmtId="0" fontId="6" fillId="0" borderId="0" xfId="7" applyFill="1" applyAlignment="1">
      <alignment horizontal="centerContinuous"/>
    </xf>
    <xf numFmtId="0" fontId="6" fillId="0" borderId="0" xfId="7" applyFill="1"/>
    <xf numFmtId="0" fontId="18" fillId="0" borderId="0" xfId="7" applyFont="1" applyFill="1" applyBorder="1" applyAlignment="1">
      <alignment horizontal="left"/>
    </xf>
    <xf numFmtId="0" fontId="18" fillId="0" borderId="0" xfId="7" applyFont="1" applyFill="1" applyBorder="1" applyAlignment="1">
      <alignment horizontal="center"/>
    </xf>
    <xf numFmtId="0" fontId="18" fillId="0" borderId="3" xfId="7" applyFont="1" applyFill="1" applyBorder="1" applyAlignment="1">
      <alignment horizontal="right"/>
    </xf>
    <xf numFmtId="0" fontId="18" fillId="0" borderId="4" xfId="7" applyFont="1" applyFill="1" applyBorder="1" applyAlignment="1">
      <alignment horizontal="centerContinuous"/>
    </xf>
    <xf numFmtId="0" fontId="18" fillId="0" borderId="5" xfId="7" applyFont="1" applyFill="1" applyBorder="1" applyAlignment="1">
      <alignment horizontal="centerContinuous"/>
    </xf>
    <xf numFmtId="0" fontId="6" fillId="0" borderId="5" xfId="7" applyFill="1" applyBorder="1" applyAlignment="1">
      <alignment horizontal="centerContinuous"/>
    </xf>
    <xf numFmtId="0" fontId="6" fillId="0" borderId="6" xfId="7" applyFill="1" applyBorder="1" applyAlignment="1">
      <alignment horizontal="centerContinuous"/>
    </xf>
    <xf numFmtId="0" fontId="18" fillId="0" borderId="10" xfId="7" applyFont="1" applyFill="1" applyBorder="1"/>
    <xf numFmtId="0" fontId="18" fillId="0" borderId="4" xfId="7" applyFont="1" applyFill="1" applyBorder="1"/>
    <xf numFmtId="0" fontId="18" fillId="0" borderId="10" xfId="7" quotePrefix="1" applyFont="1" applyFill="1" applyBorder="1" applyAlignment="1">
      <alignment horizontal="center"/>
    </xf>
    <xf numFmtId="0" fontId="6" fillId="0" borderId="5" xfId="7" applyFill="1" applyBorder="1"/>
    <xf numFmtId="0" fontId="18" fillId="0" borderId="0" xfId="7" applyFont="1" applyFill="1" applyBorder="1"/>
    <xf numFmtId="0" fontId="6" fillId="0" borderId="0" xfId="7" applyFill="1" applyAlignment="1">
      <alignment horizontal="center"/>
    </xf>
    <xf numFmtId="0" fontId="6" fillId="0" borderId="0" xfId="7" applyFont="1" applyFill="1" applyAlignment="1">
      <alignment horizontal="center"/>
    </xf>
    <xf numFmtId="2" fontId="19" fillId="0" borderId="0" xfId="7" applyNumberFormat="1" applyFont="1" applyFill="1" applyAlignment="1">
      <alignment horizontal="center"/>
    </xf>
    <xf numFmtId="2" fontId="6" fillId="0" borderId="0" xfId="7" applyNumberFormat="1" applyFill="1" applyAlignment="1">
      <alignment horizontal="center"/>
    </xf>
    <xf numFmtId="165" fontId="19" fillId="0" borderId="0" xfId="7" applyNumberFormat="1" applyFont="1" applyFill="1"/>
    <xf numFmtId="0" fontId="8" fillId="0" borderId="10" xfId="7" applyFont="1" applyFill="1" applyBorder="1" applyAlignment="1">
      <alignment horizontal="center"/>
    </xf>
    <xf numFmtId="0" fontId="8" fillId="0" borderId="0" xfId="7" applyFont="1" applyFill="1" applyBorder="1" applyAlignment="1">
      <alignment horizontal="center"/>
    </xf>
    <xf numFmtId="0" fontId="8" fillId="0" borderId="0" xfId="7" applyFont="1" applyFill="1" applyBorder="1" applyAlignment="1">
      <alignment horizontal="centerContinuous"/>
    </xf>
    <xf numFmtId="0" fontId="18" fillId="0" borderId="4" xfId="7" applyFont="1" applyFill="1" applyBorder="1" applyAlignment="1">
      <alignment horizontal="centerContinuous" wrapText="1"/>
    </xf>
    <xf numFmtId="0" fontId="18" fillId="0" borderId="5" xfId="7" applyFont="1" applyFill="1" applyBorder="1" applyAlignment="1">
      <alignment horizontal="centerContinuous" wrapText="1"/>
    </xf>
    <xf numFmtId="0" fontId="18" fillId="0" borderId="6" xfId="7" applyFont="1" applyFill="1" applyBorder="1" applyAlignment="1">
      <alignment horizontal="centerContinuous" wrapText="1"/>
    </xf>
    <xf numFmtId="0" fontId="6" fillId="0" borderId="0" xfId="10" applyFill="1"/>
    <xf numFmtId="2" fontId="6" fillId="0" borderId="0" xfId="10" applyNumberFormat="1" applyFill="1" applyAlignment="1">
      <alignment horizontal="center"/>
    </xf>
    <xf numFmtId="0" fontId="20" fillId="0" borderId="0" xfId="8"/>
    <xf numFmtId="0" fontId="20" fillId="0" borderId="0" xfId="8" applyBorder="1"/>
    <xf numFmtId="2" fontId="19" fillId="0" borderId="0" xfId="10" applyNumberFormat="1" applyFont="1" applyFill="1" applyAlignment="1">
      <alignment horizontal="center"/>
    </xf>
    <xf numFmtId="165" fontId="6" fillId="0" borderId="0" xfId="10" applyNumberFormat="1" applyFill="1"/>
    <xf numFmtId="165" fontId="6" fillId="0" borderId="0" xfId="10" applyNumberFormat="1" applyFill="1" applyBorder="1"/>
    <xf numFmtId="0" fontId="6" fillId="0" borderId="0" xfId="10" applyFont="1" applyFill="1"/>
    <xf numFmtId="2" fontId="6" fillId="0" borderId="0" xfId="10" applyNumberFormat="1" applyFont="1" applyFill="1" applyAlignment="1">
      <alignment horizontal="center"/>
    </xf>
    <xf numFmtId="0" fontId="6" fillId="0" borderId="0" xfId="10" applyFont="1" applyFill="1" applyBorder="1"/>
    <xf numFmtId="165" fontId="6" fillId="0" borderId="0" xfId="10" applyNumberFormat="1" applyFont="1" applyFill="1" applyBorder="1"/>
    <xf numFmtId="165" fontId="0" fillId="0" borderId="10" xfId="0" applyNumberFormat="1" applyBorder="1"/>
    <xf numFmtId="165" fontId="0" fillId="0" borderId="5" xfId="0" applyNumberFormat="1" applyBorder="1"/>
    <xf numFmtId="165" fontId="6" fillId="0" borderId="5" xfId="7" applyNumberFormat="1" applyFill="1" applyBorder="1"/>
    <xf numFmtId="10" fontId="0" fillId="4" borderId="0" xfId="9" applyNumberFormat="1" applyFont="1" applyFill="1"/>
    <xf numFmtId="0" fontId="18" fillId="0" borderId="4" xfId="7" applyFont="1" applyFill="1" applyBorder="1" applyAlignment="1">
      <alignment horizontal="right"/>
    </xf>
    <xf numFmtId="10" fontId="0" fillId="0" borderId="0" xfId="9" applyNumberFormat="1" applyFont="1" applyFill="1"/>
    <xf numFmtId="0" fontId="18" fillId="0" borderId="5" xfId="7" quotePrefix="1" applyFont="1" applyFill="1" applyBorder="1" applyAlignment="1">
      <alignment horizontal="center"/>
    </xf>
    <xf numFmtId="0" fontId="0" fillId="0" borderId="6" xfId="0" applyBorder="1"/>
    <xf numFmtId="0" fontId="6" fillId="0" borderId="4" xfId="7" applyFill="1" applyBorder="1"/>
    <xf numFmtId="0" fontId="6" fillId="0" borderId="1" xfId="7" applyFill="1" applyBorder="1"/>
    <xf numFmtId="0" fontId="6" fillId="0" borderId="0" xfId="7" applyFill="1" applyBorder="1"/>
    <xf numFmtId="165" fontId="19" fillId="0" borderId="2" xfId="8" applyNumberFormat="1" applyFont="1" applyFill="1" applyBorder="1"/>
    <xf numFmtId="165" fontId="6" fillId="0" borderId="2" xfId="10" applyNumberFormat="1" applyFill="1" applyBorder="1"/>
    <xf numFmtId="0" fontId="20" fillId="0" borderId="2" xfId="8" applyBorder="1"/>
    <xf numFmtId="0" fontId="6" fillId="0" borderId="2" xfId="10" applyFont="1" applyFill="1" applyBorder="1"/>
    <xf numFmtId="165" fontId="19" fillId="0" borderId="2" xfId="10" applyNumberFormat="1" applyFont="1" applyFill="1" applyBorder="1"/>
    <xf numFmtId="165" fontId="6" fillId="0" borderId="2" xfId="10" applyNumberFormat="1" applyFont="1" applyFill="1" applyBorder="1"/>
    <xf numFmtId="173" fontId="19" fillId="0" borderId="2" xfId="10" applyNumberFormat="1" applyFont="1" applyFill="1" applyBorder="1"/>
    <xf numFmtId="0" fontId="6" fillId="0" borderId="2" xfId="7" applyFill="1" applyBorder="1"/>
    <xf numFmtId="165" fontId="6" fillId="0" borderId="6" xfId="7" applyNumberFormat="1" applyFill="1" applyBorder="1"/>
    <xf numFmtId="165" fontId="0" fillId="0" borderId="6" xfId="0" applyNumberFormat="1" applyBorder="1"/>
    <xf numFmtId="165" fontId="0" fillId="0" borderId="1" xfId="0" applyNumberFormat="1" applyBorder="1"/>
    <xf numFmtId="165" fontId="0" fillId="0" borderId="0" xfId="0" applyNumberFormat="1" applyBorder="1"/>
    <xf numFmtId="165" fontId="0" fillId="0" borderId="9" xfId="0" applyNumberFormat="1" applyBorder="1"/>
    <xf numFmtId="0" fontId="18" fillId="0" borderId="9" xfId="7" quotePrefix="1" applyFont="1" applyFill="1" applyBorder="1" applyAlignment="1">
      <alignment horizontal="center"/>
    </xf>
    <xf numFmtId="165" fontId="0" fillId="0" borderId="2" xfId="0" applyNumberFormat="1" applyBorder="1"/>
    <xf numFmtId="165" fontId="0" fillId="0" borderId="11" xfId="0" applyNumberFormat="1" applyBorder="1"/>
    <xf numFmtId="0" fontId="18" fillId="0" borderId="3" xfId="7" applyFont="1" applyFill="1" applyBorder="1"/>
    <xf numFmtId="0" fontId="18" fillId="0" borderId="13" xfId="7" applyFont="1" applyFill="1" applyBorder="1"/>
    <xf numFmtId="0" fontId="6" fillId="0" borderId="13" xfId="7" applyFont="1" applyFill="1" applyBorder="1"/>
    <xf numFmtId="0" fontId="20" fillId="0" borderId="13" xfId="8" applyBorder="1"/>
    <xf numFmtId="165" fontId="19" fillId="0" borderId="13" xfId="10" applyNumberFormat="1" applyFont="1" applyFill="1" applyBorder="1"/>
    <xf numFmtId="165" fontId="6" fillId="0" borderId="13" xfId="10" applyNumberFormat="1" applyFill="1" applyBorder="1"/>
    <xf numFmtId="173" fontId="19" fillId="0" borderId="13" xfId="10" applyNumberFormat="1" applyFont="1" applyFill="1" applyBorder="1"/>
    <xf numFmtId="0" fontId="6" fillId="0" borderId="13" xfId="10" applyFont="1" applyFill="1" applyBorder="1"/>
    <xf numFmtId="165" fontId="6" fillId="0" borderId="13" xfId="10" applyNumberFormat="1" applyFont="1" applyFill="1" applyBorder="1"/>
    <xf numFmtId="0" fontId="6" fillId="0" borderId="13" xfId="7" applyFill="1" applyBorder="1"/>
    <xf numFmtId="165" fontId="19" fillId="0" borderId="13" xfId="7" applyNumberFormat="1" applyFont="1" applyFill="1" applyBorder="1"/>
    <xf numFmtId="165" fontId="6" fillId="0" borderId="13" xfId="7" applyNumberFormat="1" applyFill="1" applyBorder="1"/>
    <xf numFmtId="173" fontId="19" fillId="0" borderId="13" xfId="7" applyNumberFormat="1" applyFont="1" applyFill="1" applyBorder="1"/>
    <xf numFmtId="0" fontId="20" fillId="0" borderId="0" xfId="8" applyFill="1" applyBorder="1"/>
    <xf numFmtId="0" fontId="20" fillId="0" borderId="0" xfId="8" applyFill="1"/>
    <xf numFmtId="0" fontId="20" fillId="0" borderId="2" xfId="8" applyFill="1" applyBorder="1"/>
    <xf numFmtId="9" fontId="0" fillId="0" borderId="0" xfId="9" applyFont="1"/>
    <xf numFmtId="177" fontId="0" fillId="0" borderId="3" xfId="9" applyNumberFormat="1" applyFont="1" applyBorder="1"/>
    <xf numFmtId="0" fontId="0" fillId="0" borderId="5" xfId="0" applyFill="1" applyBorder="1"/>
    <xf numFmtId="0" fontId="0" fillId="0" borderId="3" xfId="0" applyNumberFormat="1" applyFill="1" applyBorder="1" applyAlignment="1">
      <alignment horizontal="right"/>
    </xf>
    <xf numFmtId="0" fontId="0" fillId="4" borderId="3" xfId="0" applyNumberFormat="1" applyFill="1" applyBorder="1"/>
    <xf numFmtId="165" fontId="19" fillId="4" borderId="0" xfId="10" applyNumberFormat="1" applyFont="1" applyFill="1" applyBorder="1"/>
    <xf numFmtId="2" fontId="19" fillId="4" borderId="0" xfId="10" applyNumberFormat="1" applyFont="1" applyFill="1" applyAlignment="1">
      <alignment horizontal="center"/>
    </xf>
    <xf numFmtId="165" fontId="6" fillId="4" borderId="0" xfId="7" applyNumberFormat="1" applyFill="1"/>
    <xf numFmtId="176" fontId="19" fillId="4" borderId="0" xfId="5" applyNumberFormat="1" applyFont="1" applyFill="1" applyBorder="1"/>
    <xf numFmtId="176" fontId="19" fillId="4" borderId="0" xfId="5" applyNumberFormat="1" applyFont="1" applyFill="1"/>
    <xf numFmtId="165" fontId="19" fillId="0" borderId="0" xfId="8" applyNumberFormat="1" applyFont="1" applyFill="1" applyBorder="1"/>
    <xf numFmtId="165" fontId="6" fillId="0" borderId="0" xfId="8" applyNumberFormat="1" applyFont="1" applyFill="1" applyBorder="1"/>
    <xf numFmtId="0" fontId="6" fillId="0" borderId="0" xfId="8" applyFont="1" applyBorder="1" applyAlignment="1">
      <alignment horizontal="center"/>
    </xf>
    <xf numFmtId="0" fontId="6" fillId="0" borderId="0" xfId="8" applyFont="1" applyAlignment="1">
      <alignment horizontal="center"/>
    </xf>
    <xf numFmtId="165" fontId="19" fillId="4" borderId="0" xfId="10" applyNumberFormat="1" applyFont="1" applyFill="1"/>
    <xf numFmtId="2" fontId="19" fillId="4" borderId="0" xfId="7" applyNumberFormat="1" applyFont="1" applyFill="1" applyAlignment="1">
      <alignment horizontal="center"/>
    </xf>
    <xf numFmtId="165" fontId="6" fillId="0" borderId="0" xfId="10" applyNumberFormat="1" applyFont="1" applyFill="1" applyAlignment="1">
      <alignment horizontal="center"/>
    </xf>
    <xf numFmtId="165" fontId="19" fillId="4" borderId="2" xfId="10" applyNumberFormat="1" applyFont="1" applyFill="1" applyBorder="1"/>
    <xf numFmtId="165" fontId="6" fillId="0" borderId="2" xfId="8" applyNumberFormat="1" applyFont="1" applyFill="1" applyBorder="1"/>
    <xf numFmtId="176" fontId="19" fillId="4" borderId="2" xfId="5" applyNumberFormat="1" applyFont="1" applyFill="1" applyBorder="1"/>
    <xf numFmtId="0" fontId="6" fillId="0" borderId="2" xfId="8" applyFont="1" applyBorder="1" applyAlignment="1">
      <alignment horizontal="center"/>
    </xf>
    <xf numFmtId="173" fontId="19" fillId="0" borderId="0" xfId="10" applyNumberFormat="1" applyFont="1" applyFill="1" applyBorder="1"/>
    <xf numFmtId="165" fontId="6" fillId="0" borderId="1" xfId="7" applyNumberFormat="1" applyFill="1" applyBorder="1"/>
    <xf numFmtId="165" fontId="6" fillId="0" borderId="0" xfId="7" applyNumberFormat="1" applyFill="1" applyBorder="1"/>
    <xf numFmtId="165" fontId="0" fillId="0" borderId="2" xfId="0" applyNumberFormat="1" applyFill="1" applyBorder="1"/>
    <xf numFmtId="175" fontId="0" fillId="4" borderId="0" xfId="0" applyNumberFormat="1" applyFill="1"/>
    <xf numFmtId="164" fontId="0" fillId="4" borderId="0" xfId="1" applyNumberFormat="1" applyFont="1" applyFill="1"/>
    <xf numFmtId="171" fontId="0" fillId="4" borderId="6" xfId="1" applyNumberFormat="1" applyFont="1" applyFill="1" applyBorder="1"/>
    <xf numFmtId="165" fontId="19" fillId="0" borderId="0" xfId="10" applyNumberFormat="1" applyFont="1" applyFill="1" applyBorder="1"/>
    <xf numFmtId="0" fontId="18" fillId="0" borderId="3" xfId="7" applyFont="1" applyFill="1" applyBorder="1" applyAlignment="1">
      <alignment horizontal="centerContinuous"/>
    </xf>
    <xf numFmtId="0" fontId="18" fillId="0" borderId="3" xfId="7" applyFont="1" applyFill="1" applyBorder="1" applyAlignment="1">
      <alignment horizontal="centerContinuous" wrapText="1"/>
    </xf>
    <xf numFmtId="0" fontId="6" fillId="0" borderId="3" xfId="7" applyFill="1" applyBorder="1"/>
    <xf numFmtId="165" fontId="19" fillId="0" borderId="13" xfId="8" applyNumberFormat="1" applyFont="1" applyFill="1" applyBorder="1"/>
    <xf numFmtId="176" fontId="19" fillId="0" borderId="13" xfId="5" applyNumberFormat="1" applyFont="1" applyFill="1" applyBorder="1"/>
    <xf numFmtId="0" fontId="20" fillId="0" borderId="13" xfId="8" applyFill="1" applyBorder="1"/>
    <xf numFmtId="0" fontId="6" fillId="0" borderId="13" xfId="10" applyFont="1" applyFill="1" applyBorder="1" applyAlignment="1">
      <alignment horizontal="center"/>
    </xf>
    <xf numFmtId="165" fontId="19" fillId="4" borderId="13" xfId="10" applyNumberFormat="1" applyFont="1" applyFill="1" applyBorder="1"/>
    <xf numFmtId="165" fontId="6" fillId="0" borderId="13" xfId="8" applyNumberFormat="1" applyFont="1" applyFill="1" applyBorder="1"/>
    <xf numFmtId="176" fontId="19" fillId="4" borderId="13" xfId="5" applyNumberFormat="1" applyFont="1" applyFill="1" applyBorder="1"/>
    <xf numFmtId="165" fontId="6" fillId="0" borderId="3" xfId="7" applyNumberFormat="1" applyFill="1" applyBorder="1"/>
    <xf numFmtId="165" fontId="0" fillId="0" borderId="3" xfId="0" applyNumberFormat="1" applyBorder="1"/>
    <xf numFmtId="1" fontId="4" fillId="4" borderId="0" xfId="2" applyNumberFormat="1" applyFont="1" applyFill="1" applyAlignment="1">
      <alignment horizontal="centerContinuous"/>
    </xf>
    <xf numFmtId="1" fontId="4" fillId="4" borderId="0" xfId="2" quotePrefix="1" applyNumberFormat="1" applyFont="1" applyFill="1" applyAlignment="1">
      <alignment horizontal="center"/>
    </xf>
    <xf numFmtId="41" fontId="4" fillId="4" borderId="0" xfId="2" applyFont="1" applyFill="1" applyAlignment="1">
      <alignment horizontal="center"/>
    </xf>
    <xf numFmtId="37" fontId="4" fillId="4" borderId="0" xfId="2" applyNumberFormat="1" applyFont="1" applyFill="1" applyProtection="1"/>
    <xf numFmtId="37" fontId="4" fillId="4" borderId="0" xfId="2" applyNumberFormat="1" applyFont="1" applyFill="1" applyAlignment="1" applyProtection="1">
      <alignment horizontal="center"/>
    </xf>
    <xf numFmtId="1" fontId="4" fillId="4" borderId="0" xfId="2" applyNumberFormat="1" applyFont="1" applyFill="1" applyAlignment="1">
      <alignment horizontal="center"/>
    </xf>
    <xf numFmtId="41" fontId="5" fillId="4" borderId="15" xfId="2" applyFont="1" applyFill="1" applyBorder="1"/>
    <xf numFmtId="41" fontId="4" fillId="4" borderId="15" xfId="2" applyFont="1" applyFill="1" applyBorder="1" applyAlignment="1">
      <alignment horizontal="center"/>
    </xf>
    <xf numFmtId="37" fontId="4" fillId="4" borderId="15" xfId="2" applyNumberFormat="1" applyFont="1" applyFill="1" applyBorder="1" applyAlignment="1" applyProtection="1">
      <alignment horizontal="center"/>
    </xf>
    <xf numFmtId="41" fontId="5" fillId="4" borderId="0" xfId="2" applyFont="1" applyFill="1"/>
    <xf numFmtId="164" fontId="4" fillId="4" borderId="0" xfId="3" applyNumberFormat="1" applyFont="1" applyFill="1" applyBorder="1"/>
    <xf numFmtId="1" fontId="5" fillId="4" borderId="0" xfId="2" applyNumberFormat="1" applyFont="1" applyFill="1" applyAlignment="1">
      <alignment horizontal="centerContinuous"/>
    </xf>
    <xf numFmtId="1" fontId="7" fillId="4" borderId="0" xfId="2" applyNumberFormat="1" applyFont="1" applyFill="1" applyBorder="1"/>
    <xf numFmtId="10" fontId="5" fillId="4" borderId="0" xfId="4" applyNumberFormat="1" applyFont="1" applyFill="1" applyAlignment="1">
      <alignment horizontal="right"/>
    </xf>
    <xf numFmtId="164" fontId="5" fillId="4" borderId="0" xfId="3" applyNumberFormat="1" applyFont="1" applyFill="1"/>
    <xf numFmtId="1" fontId="5" fillId="4" borderId="0" xfId="2" applyNumberFormat="1" applyFont="1" applyFill="1"/>
    <xf numFmtId="1" fontId="5" fillId="4" borderId="0" xfId="2" quotePrefix="1" applyNumberFormat="1" applyFont="1" applyFill="1" applyAlignment="1">
      <alignment horizontal="left"/>
    </xf>
    <xf numFmtId="9" fontId="5" fillId="4" borderId="0" xfId="4" applyFont="1" applyFill="1"/>
    <xf numFmtId="9" fontId="5" fillId="4" borderId="0" xfId="4" applyNumberFormat="1" applyFont="1" applyFill="1"/>
    <xf numFmtId="1" fontId="7" fillId="4" borderId="0" xfId="2" applyNumberFormat="1" applyFont="1" applyFill="1"/>
    <xf numFmtId="10" fontId="5" fillId="4" borderId="0" xfId="4" applyNumberFormat="1" applyFont="1" applyFill="1"/>
    <xf numFmtId="43" fontId="5" fillId="4" borderId="0" xfId="3" applyNumberFormat="1" applyFont="1" applyFill="1"/>
    <xf numFmtId="168" fontId="5" fillId="4" borderId="0" xfId="3" applyNumberFormat="1" applyFont="1" applyFill="1"/>
    <xf numFmtId="1" fontId="5" fillId="4" borderId="0" xfId="2" applyNumberFormat="1" applyFont="1" applyFill="1" applyBorder="1"/>
    <xf numFmtId="164" fontId="5" fillId="4" borderId="0" xfId="3" applyNumberFormat="1" applyFont="1" applyFill="1" applyBorder="1" applyAlignment="1">
      <alignment horizontal="center"/>
    </xf>
    <xf numFmtId="43" fontId="5" fillId="4" borderId="0" xfId="4" applyNumberFormat="1" applyFont="1" applyFill="1"/>
    <xf numFmtId="43" fontId="5" fillId="4" borderId="0" xfId="3" applyFont="1" applyFill="1"/>
    <xf numFmtId="43" fontId="5" fillId="4" borderId="0" xfId="3" applyFont="1" applyFill="1" applyBorder="1" applyAlignment="1">
      <alignment horizontal="center"/>
    </xf>
    <xf numFmtId="37" fontId="4" fillId="0" borderId="0" xfId="2" applyNumberFormat="1" applyFont="1" applyFill="1" applyAlignment="1" applyProtection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quotePrefix="1" applyNumberFormat="1" applyFont="1" applyFill="1" applyAlignment="1">
      <alignment horizontal="center"/>
    </xf>
    <xf numFmtId="0" fontId="10" fillId="0" borderId="0" xfId="0" quotePrefix="1" applyFont="1" applyFill="1" applyAlignment="1" applyProtection="1">
      <alignment horizontal="center"/>
    </xf>
    <xf numFmtId="0" fontId="10" fillId="2" borderId="4" xfId="0" applyFont="1" applyFill="1" applyBorder="1" applyAlignment="1" applyProtection="1">
      <alignment horizontal="center"/>
    </xf>
    <xf numFmtId="0" fontId="10" fillId="2" borderId="5" xfId="0" applyFont="1" applyFill="1" applyBorder="1" applyAlignment="1" applyProtection="1">
      <alignment horizontal="center"/>
    </xf>
    <xf numFmtId="0" fontId="10" fillId="2" borderId="6" xfId="0" applyFont="1" applyFill="1" applyBorder="1" applyAlignment="1" applyProtection="1">
      <alignment horizontal="center"/>
    </xf>
  </cellXfs>
  <cellStyles count="11">
    <cellStyle name="Comma" xfId="1" builtinId="3"/>
    <cellStyle name="Comma 2" xfId="3"/>
    <cellStyle name="Currency 2" xfId="5"/>
    <cellStyle name="Normal" xfId="0" builtinId="0"/>
    <cellStyle name="Normal 2" xfId="7"/>
    <cellStyle name="Normal 2 2" xfId="10"/>
    <cellStyle name="Normal 3" xfId="8"/>
    <cellStyle name="Normal 4" xfId="2"/>
    <cellStyle name="Normal 7" xfId="6"/>
    <cellStyle name="Percent" xfId="9" builtinId="5"/>
    <cellStyle name="Percent 2" xfId="4"/>
  </cellStyles>
  <dxfs count="0"/>
  <tableStyles count="0" defaultTableStyle="TableStyleMedium2" defaultPivotStyle="PivotStyleMedium9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FFFF"/>
    <pageSetUpPr fitToPage="1"/>
  </sheetPr>
  <dimension ref="A1:M12"/>
  <sheetViews>
    <sheetView tabSelected="1" view="pageBreakPreview" zoomScale="60" zoomScaleNormal="100" workbookViewId="0"/>
  </sheetViews>
  <sheetFormatPr defaultRowHeight="15"/>
  <cols>
    <col min="1" max="1" width="17.42578125" customWidth="1"/>
    <col min="2" max="2" width="10.5703125" customWidth="1"/>
    <col min="3" max="3" width="13" customWidth="1"/>
    <col min="4" max="9" width="15.85546875" customWidth="1"/>
    <col min="10" max="10" width="34.5703125" customWidth="1"/>
    <col min="11" max="13" width="15.85546875" customWidth="1"/>
  </cols>
  <sheetData>
    <row r="1" spans="1:13" ht="18">
      <c r="A1" s="137" t="s">
        <v>101</v>
      </c>
      <c r="B1" s="137"/>
      <c r="C1" s="137"/>
      <c r="D1" s="137"/>
      <c r="E1" s="137"/>
      <c r="F1" s="137"/>
      <c r="G1" s="137"/>
      <c r="H1" s="139"/>
      <c r="I1" s="139"/>
      <c r="J1" s="139"/>
      <c r="K1" s="139"/>
      <c r="L1" s="139"/>
      <c r="M1" s="139"/>
    </row>
    <row r="2" spans="1:13" ht="18">
      <c r="A2" s="160" t="s">
        <v>269</v>
      </c>
      <c r="B2" s="160"/>
      <c r="C2" s="160"/>
      <c r="D2" s="160"/>
      <c r="E2" s="160"/>
      <c r="F2" s="160"/>
      <c r="G2" s="160"/>
      <c r="H2" s="139"/>
      <c r="I2" s="139"/>
      <c r="J2" s="139"/>
      <c r="K2" s="139"/>
      <c r="L2" s="139"/>
      <c r="M2" s="139"/>
    </row>
    <row r="3" spans="1:13" ht="18">
      <c r="A3" s="138"/>
      <c r="B3" s="158"/>
      <c r="C3" s="159"/>
      <c r="D3" s="159"/>
      <c r="E3" s="159"/>
      <c r="F3" s="159"/>
      <c r="G3" s="159"/>
      <c r="H3" s="139"/>
      <c r="I3" s="139"/>
      <c r="J3" s="139"/>
      <c r="K3" s="139"/>
      <c r="L3" s="139"/>
      <c r="M3" s="140"/>
    </row>
    <row r="4" spans="1:13">
      <c r="A4" s="141" t="s">
        <v>249</v>
      </c>
      <c r="B4" s="143" t="s">
        <v>250</v>
      </c>
      <c r="C4" s="179"/>
      <c r="D4" s="144" t="s">
        <v>272</v>
      </c>
      <c r="E4" s="145"/>
      <c r="F4" s="145"/>
      <c r="G4" s="145"/>
      <c r="H4" s="146"/>
      <c r="I4" s="146"/>
      <c r="J4" s="144" t="s">
        <v>273</v>
      </c>
      <c r="K4" s="144" t="s">
        <v>271</v>
      </c>
      <c r="L4" s="146"/>
      <c r="M4" s="147"/>
    </row>
    <row r="5" spans="1:13" ht="51.75">
      <c r="A5" s="141"/>
      <c r="B5" s="143" t="s">
        <v>260</v>
      </c>
      <c r="C5" s="179"/>
      <c r="D5" s="161" t="s">
        <v>62</v>
      </c>
      <c r="E5" s="162" t="s">
        <v>63</v>
      </c>
      <c r="F5" s="162" t="s">
        <v>64</v>
      </c>
      <c r="G5" s="162" t="s">
        <v>65</v>
      </c>
      <c r="H5" s="162" t="s">
        <v>66</v>
      </c>
      <c r="I5" s="162" t="s">
        <v>67</v>
      </c>
      <c r="J5" s="161" t="s">
        <v>318</v>
      </c>
      <c r="K5" s="161" t="s">
        <v>295</v>
      </c>
      <c r="L5" s="162" t="s">
        <v>296</v>
      </c>
      <c r="M5" s="163" t="s">
        <v>297</v>
      </c>
    </row>
    <row r="6" spans="1:13">
      <c r="A6" s="148"/>
      <c r="B6" s="149"/>
      <c r="C6" s="148"/>
      <c r="D6" s="199"/>
      <c r="E6" s="150"/>
      <c r="F6" s="150"/>
      <c r="G6" s="150"/>
      <c r="H6" s="151"/>
      <c r="I6" s="151"/>
      <c r="J6" s="183"/>
      <c r="K6" s="183"/>
      <c r="L6" s="151"/>
      <c r="M6" s="182"/>
    </row>
    <row r="7" spans="1:13">
      <c r="A7" s="152"/>
      <c r="B7" s="152"/>
      <c r="C7" s="152"/>
      <c r="D7" s="184"/>
      <c r="E7" s="185"/>
      <c r="F7" s="185"/>
      <c r="G7" s="185"/>
      <c r="H7" s="185"/>
      <c r="I7" s="185"/>
      <c r="J7" s="184"/>
      <c r="K7" s="184"/>
      <c r="L7" s="185"/>
      <c r="M7" s="91"/>
    </row>
    <row r="8" spans="1:13">
      <c r="A8" t="s">
        <v>93</v>
      </c>
      <c r="C8" s="44"/>
      <c r="D8" s="240">
        <f>'Maintenance Assumptions pg 2'!F48+'Maintenance Assumptions pg 2'!F33-0.5*'Maintenance Assumptions pg 2'!$D$9</f>
        <v>969.93759599999976</v>
      </c>
      <c r="E8" s="241">
        <f>'Maintenance Assumptions pg 2'!G48+'Maintenance Assumptions pg 2'!G33-0.5*'Maintenance Assumptions pg 2'!$D$9</f>
        <v>1035.5999459999998</v>
      </c>
      <c r="F8" s="241">
        <f>'Maintenance Assumptions pg 2'!H48+'Maintenance Assumptions pg 2'!H33-0.5*'Maintenance Assumptions pg 2'!$D$9</f>
        <v>1040.0690459999998</v>
      </c>
      <c r="G8" s="241">
        <f>'Maintenance Assumptions pg 2'!I48+'Maintenance Assumptions pg 2'!I33-0.5*'Maintenance Assumptions pg 2'!$D$9</f>
        <v>1049.5375959999999</v>
      </c>
      <c r="H8" s="241">
        <f>'Maintenance Assumptions pg 2'!J48+'Maintenance Assumptions pg 2'!J33-0.5*'Maintenance Assumptions pg 2'!$D$9</f>
        <v>1107.5783459999998</v>
      </c>
      <c r="I8" s="241">
        <f>'Maintenance Assumptions pg 2'!K48+'Maintenance Assumptions pg 2'!K33-0.5*'Maintenance Assumptions pg 2'!$D$9</f>
        <v>1347.7875959999999</v>
      </c>
      <c r="J8" s="240">
        <f>'Maintenance Assumptions pg 2'!L48+'Maintenance Assumptions pg 2'!L19-0.5*'Maintenance Assumptions pg 2'!$D$9</f>
        <v>2960.6654240000003</v>
      </c>
      <c r="K8" s="240">
        <f>'Maintenance Assumptions pg 2'!M48+'Maintenance Assumptions pg 2'!M33-0.5*'Maintenance Assumptions pg 2'!$D$9</f>
        <v>846.29701111911459</v>
      </c>
      <c r="L8" s="241">
        <f>'Maintenance Assumptions pg 2'!N48+'Maintenance Assumptions pg 2'!N33-0.5*'Maintenance Assumptions pg 2'!$D$9</f>
        <v>941.51959600000009</v>
      </c>
      <c r="M8" s="242">
        <f>'Maintenance Assumptions pg 2'!O48+'Maintenance Assumptions pg 2'!O33-0.5*'Maintenance Assumptions pg 2'!$D$9</f>
        <v>1092.5195960000001</v>
      </c>
    </row>
    <row r="9" spans="1:13">
      <c r="C9" s="44"/>
      <c r="D9" s="92"/>
      <c r="E9" s="90"/>
      <c r="F9" s="90"/>
      <c r="G9" s="90"/>
      <c r="H9" s="90"/>
      <c r="I9" s="90"/>
      <c r="J9" s="92"/>
      <c r="K9" s="92"/>
      <c r="L9" s="90"/>
      <c r="M9" s="91"/>
    </row>
    <row r="10" spans="1:13">
      <c r="A10" t="s">
        <v>267</v>
      </c>
      <c r="B10" s="178">
        <f>0.0426+0.03+0.0095+0.0068</f>
        <v>8.8899999999999993E-2</v>
      </c>
      <c r="C10" s="180"/>
      <c r="D10" s="196">
        <f>D8*$B$10</f>
        <v>86.227452284399973</v>
      </c>
      <c r="E10" s="197">
        <f t="shared" ref="E10:H10" si="0">E8*$B$10</f>
        <v>92.06483519939998</v>
      </c>
      <c r="F10" s="197">
        <f t="shared" si="0"/>
        <v>92.46213818939998</v>
      </c>
      <c r="G10" s="197">
        <f t="shared" si="0"/>
        <v>93.303892284399979</v>
      </c>
      <c r="H10" s="197">
        <f t="shared" si="0"/>
        <v>98.463714959399979</v>
      </c>
      <c r="I10" s="197">
        <f>I8*$B$10</f>
        <v>119.81831728439998</v>
      </c>
      <c r="J10" s="196">
        <f t="shared" ref="J10" si="1">J8*$B$10</f>
        <v>263.20315619360002</v>
      </c>
      <c r="K10" s="196">
        <f t="shared" ref="K10:M10" si="2">K8*$B$10</f>
        <v>75.235804288489277</v>
      </c>
      <c r="L10" s="197">
        <f t="shared" si="2"/>
        <v>83.701092084400003</v>
      </c>
      <c r="M10" s="200">
        <f t="shared" si="2"/>
        <v>97.124992084400006</v>
      </c>
    </row>
    <row r="11" spans="1:13">
      <c r="C11" s="44"/>
      <c r="D11" s="92"/>
      <c r="E11" s="90"/>
      <c r="F11" s="90"/>
      <c r="G11" s="90"/>
      <c r="H11" s="90"/>
      <c r="I11" s="90"/>
      <c r="J11" s="92"/>
      <c r="K11" s="92"/>
      <c r="L11" s="90"/>
      <c r="M11" s="91"/>
    </row>
    <row r="12" spans="1:13">
      <c r="A12" t="s">
        <v>268</v>
      </c>
      <c r="D12" s="198">
        <f>D10/12</f>
        <v>7.1856210236999978</v>
      </c>
      <c r="E12" s="175">
        <f t="shared" ref="E12:H12" si="3">E10/12</f>
        <v>7.6720695999499986</v>
      </c>
      <c r="F12" s="175">
        <f t="shared" si="3"/>
        <v>7.7051781824499983</v>
      </c>
      <c r="G12" s="175">
        <f t="shared" si="3"/>
        <v>7.7753243570333312</v>
      </c>
      <c r="H12" s="175">
        <f t="shared" si="3"/>
        <v>8.2053095799499989</v>
      </c>
      <c r="I12" s="175">
        <f>I10/12</f>
        <v>9.9848597736999984</v>
      </c>
      <c r="J12" s="198">
        <f t="shared" ref="J12" si="4">J10/12</f>
        <v>21.933596349466669</v>
      </c>
      <c r="K12" s="198">
        <f t="shared" ref="K12:M12" si="5">K10/12</f>
        <v>6.2696503573741067</v>
      </c>
      <c r="L12" s="175">
        <f t="shared" si="5"/>
        <v>6.9750910070333338</v>
      </c>
      <c r="M12" s="201">
        <f t="shared" si="5"/>
        <v>8.0937493403666672</v>
      </c>
    </row>
  </sheetData>
  <pageMargins left="0.7" right="0.7" top="0.75" bottom="0.75" header="0.3" footer="0.3"/>
  <pageSetup scale="56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9"/>
  <sheetViews>
    <sheetView workbookViewId="0">
      <selection sqref="A1:I1"/>
    </sheetView>
  </sheetViews>
  <sheetFormatPr defaultRowHeight="15"/>
  <cols>
    <col min="1" max="1" width="29" customWidth="1"/>
    <col min="3" max="3" width="10.85546875" bestFit="1" customWidth="1"/>
    <col min="4" max="4" width="8" bestFit="1" customWidth="1"/>
    <col min="6" max="6" width="10.28515625" bestFit="1" customWidth="1"/>
  </cols>
  <sheetData>
    <row r="1" spans="1:9" ht="18">
      <c r="A1" s="288" t="s">
        <v>155</v>
      </c>
      <c r="B1" s="288"/>
      <c r="C1" s="288"/>
      <c r="D1" s="288"/>
      <c r="E1" s="288"/>
      <c r="F1" s="288"/>
      <c r="G1" s="288"/>
      <c r="H1" s="288"/>
      <c r="I1" s="288"/>
    </row>
    <row r="2" spans="1:9" ht="18">
      <c r="A2" s="288" t="s">
        <v>156</v>
      </c>
      <c r="B2" s="288"/>
      <c r="C2" s="288"/>
      <c r="D2" s="288"/>
      <c r="E2" s="288"/>
      <c r="F2" s="288"/>
      <c r="G2" s="288"/>
      <c r="H2" s="288"/>
      <c r="I2" s="288"/>
    </row>
    <row r="3" spans="1:9">
      <c r="A3" s="289" t="s">
        <v>157</v>
      </c>
      <c r="B3" s="289"/>
      <c r="C3" s="289"/>
      <c r="D3" s="289"/>
      <c r="E3" s="289"/>
      <c r="F3" s="289"/>
      <c r="G3" s="289"/>
      <c r="H3" s="289"/>
      <c r="I3" s="289"/>
    </row>
    <row r="4" spans="1:9">
      <c r="A4" s="290" t="s">
        <v>158</v>
      </c>
      <c r="B4" s="290"/>
      <c r="C4" s="290"/>
      <c r="D4" s="290"/>
      <c r="E4" s="290"/>
      <c r="F4" s="290"/>
      <c r="G4" s="290"/>
      <c r="H4" s="290"/>
      <c r="I4" s="290"/>
    </row>
    <row r="5" spans="1:9">
      <c r="A5" s="41"/>
      <c r="B5" s="41"/>
      <c r="C5" s="42" t="s">
        <v>9</v>
      </c>
      <c r="D5" s="291" t="s">
        <v>74</v>
      </c>
      <c r="E5" s="292"/>
      <c r="F5" s="293"/>
      <c r="G5" s="40"/>
      <c r="H5" s="39"/>
      <c r="I5" s="39"/>
    </row>
    <row r="6" spans="1:9">
      <c r="A6" s="41"/>
      <c r="B6" s="41"/>
      <c r="C6" s="46" t="s">
        <v>159</v>
      </c>
      <c r="D6" s="47" t="s">
        <v>11</v>
      </c>
      <c r="E6" s="48"/>
      <c r="F6" s="45" t="s">
        <v>160</v>
      </c>
      <c r="G6" s="40"/>
      <c r="H6" s="39"/>
      <c r="I6" s="39"/>
    </row>
    <row r="7" spans="1:9" ht="15.75">
      <c r="A7" s="49" t="s">
        <v>161</v>
      </c>
      <c r="B7" s="44"/>
      <c r="C7" s="44"/>
      <c r="D7" s="44"/>
      <c r="E7" s="44"/>
      <c r="F7" s="50"/>
      <c r="G7" s="40"/>
      <c r="H7" s="39"/>
      <c r="I7" s="39"/>
    </row>
    <row r="8" spans="1:9">
      <c r="A8" s="44" t="s">
        <v>162</v>
      </c>
      <c r="B8" s="44"/>
      <c r="C8" s="44"/>
      <c r="D8" s="44"/>
      <c r="E8" s="44"/>
      <c r="F8" s="50"/>
      <c r="G8" s="43"/>
      <c r="H8" s="45"/>
      <c r="I8" s="45"/>
    </row>
    <row r="9" spans="1:9">
      <c r="A9" s="44"/>
      <c r="B9" s="44"/>
      <c r="C9" s="44"/>
      <c r="D9" s="44"/>
      <c r="E9" s="44"/>
      <c r="F9" s="50"/>
    </row>
    <row r="10" spans="1:9">
      <c r="A10" s="44" t="s">
        <v>163</v>
      </c>
      <c r="B10" s="44"/>
      <c r="C10" s="44"/>
      <c r="D10" s="44"/>
      <c r="E10" s="44"/>
      <c r="F10" s="50"/>
    </row>
    <row r="11" spans="1:9" ht="15.75">
      <c r="A11" s="44" t="s">
        <v>164</v>
      </c>
      <c r="B11" s="44"/>
      <c r="C11" s="51">
        <v>24389.764908324298</v>
      </c>
      <c r="D11" s="52">
        <v>11.24</v>
      </c>
      <c r="E11" s="44"/>
      <c r="F11" s="53">
        <v>274140.95756956516</v>
      </c>
    </row>
    <row r="12" spans="1:9" ht="15.75">
      <c r="A12" s="44" t="s">
        <v>165</v>
      </c>
      <c r="B12" s="44"/>
      <c r="C12" s="51">
        <v>3825.5359662951851</v>
      </c>
      <c r="D12" s="52">
        <v>21.369999999999997</v>
      </c>
      <c r="E12" s="44"/>
      <c r="F12" s="53">
        <v>81751.703599728091</v>
      </c>
    </row>
    <row r="13" spans="1:9" ht="15.75">
      <c r="A13" s="44" t="s">
        <v>166</v>
      </c>
      <c r="B13" s="44"/>
      <c r="C13" s="51">
        <v>441.7670756274303</v>
      </c>
      <c r="D13" s="52">
        <v>44.25</v>
      </c>
      <c r="E13" s="44"/>
      <c r="F13" s="53">
        <v>19548.193096513791</v>
      </c>
    </row>
    <row r="14" spans="1:9" ht="15.75">
      <c r="A14" s="44" t="s">
        <v>167</v>
      </c>
      <c r="B14" s="44"/>
      <c r="C14" s="51"/>
      <c r="D14" s="54"/>
      <c r="E14" s="44"/>
      <c r="F14" s="53"/>
    </row>
    <row r="15" spans="1:9" ht="15.75">
      <c r="A15" s="44" t="s">
        <v>168</v>
      </c>
      <c r="B15" s="44"/>
      <c r="C15" s="51">
        <v>2265.2442142643458</v>
      </c>
      <c r="D15" s="52">
        <v>12.77</v>
      </c>
      <c r="E15" s="44"/>
      <c r="F15" s="53">
        <v>28927.168616155694</v>
      </c>
    </row>
    <row r="16" spans="1:9" ht="15.75">
      <c r="A16" s="44" t="s">
        <v>169</v>
      </c>
      <c r="B16" s="44"/>
      <c r="C16" s="51">
        <v>1884.3635628551399</v>
      </c>
      <c r="D16" s="52">
        <v>18.759999999999998</v>
      </c>
      <c r="E16" s="44"/>
      <c r="F16" s="53">
        <v>35350.660439162421</v>
      </c>
    </row>
    <row r="17" spans="1:6" ht="15.75">
      <c r="A17" s="44" t="s">
        <v>170</v>
      </c>
      <c r="B17" s="44"/>
      <c r="C17" s="51">
        <v>570.8003236486785</v>
      </c>
      <c r="D17" s="52">
        <v>30.28</v>
      </c>
      <c r="E17" s="44"/>
      <c r="F17" s="53">
        <v>17283.833800081986</v>
      </c>
    </row>
    <row r="18" spans="1:6" ht="15.75">
      <c r="A18" s="44" t="s">
        <v>171</v>
      </c>
      <c r="B18" s="44"/>
      <c r="C18" s="51">
        <v>497.13191990339959</v>
      </c>
      <c r="D18" s="52">
        <v>1</v>
      </c>
      <c r="E18" s="55"/>
      <c r="F18" s="53">
        <v>497.13191990339959</v>
      </c>
    </row>
    <row r="19" spans="1:6" ht="15.75">
      <c r="A19" s="44" t="s">
        <v>173</v>
      </c>
      <c r="B19" s="44"/>
      <c r="C19" s="51">
        <v>27886</v>
      </c>
      <c r="D19" s="52"/>
      <c r="E19" s="44"/>
      <c r="F19" s="53"/>
    </row>
    <row r="20" spans="1:6" ht="15.75">
      <c r="A20" s="44" t="s">
        <v>174</v>
      </c>
      <c r="B20" s="44"/>
      <c r="C20" s="51">
        <v>3029770.5</v>
      </c>
      <c r="D20" s="56"/>
      <c r="E20" s="55"/>
      <c r="F20" s="53">
        <v>457499.64904111053</v>
      </c>
    </row>
    <row r="21" spans="1:6" ht="15.75">
      <c r="A21" s="44" t="s">
        <v>175</v>
      </c>
      <c r="B21" s="44"/>
      <c r="C21" s="51">
        <v>7938.0715346155903</v>
      </c>
      <c r="D21" s="56"/>
      <c r="E21" s="55"/>
      <c r="F21" s="57">
        <v>4499.389131694641</v>
      </c>
    </row>
    <row r="22" spans="1:6" ht="16.5" thickBot="1">
      <c r="A22" s="44" t="s">
        <v>176</v>
      </c>
      <c r="B22" s="44"/>
      <c r="C22" s="58">
        <v>3037708.5715346155</v>
      </c>
      <c r="D22" s="59"/>
      <c r="E22" s="60"/>
      <c r="F22" s="60">
        <v>461999.03817280516</v>
      </c>
    </row>
    <row r="23" spans="1:6" ht="15.75" thickTop="1"/>
    <row r="25" spans="1:6" ht="15.75">
      <c r="A25" s="61" t="s">
        <v>177</v>
      </c>
      <c r="B25" s="62"/>
      <c r="C25" s="62"/>
      <c r="D25" s="62"/>
      <c r="E25" s="62"/>
      <c r="F25" s="53"/>
    </row>
    <row r="26" spans="1:6" ht="15.75">
      <c r="A26" s="62" t="s">
        <v>178</v>
      </c>
      <c r="B26" s="62"/>
      <c r="C26" s="62"/>
      <c r="D26" s="62"/>
      <c r="E26" s="62"/>
      <c r="F26" s="53"/>
    </row>
    <row r="27" spans="1:6" ht="15.75">
      <c r="A27" s="62" t="s">
        <v>179</v>
      </c>
      <c r="B27" s="62"/>
      <c r="C27" s="62"/>
      <c r="D27" s="62"/>
      <c r="E27" s="62"/>
      <c r="F27" s="53"/>
    </row>
    <row r="28" spans="1:6" ht="15.75">
      <c r="A28" s="62" t="s">
        <v>180</v>
      </c>
      <c r="B28" s="62"/>
      <c r="C28" s="62"/>
      <c r="D28" s="62"/>
      <c r="E28" s="62"/>
      <c r="F28" s="53"/>
    </row>
    <row r="29" spans="1:6" ht="15.75">
      <c r="A29" s="44" t="s">
        <v>168</v>
      </c>
      <c r="B29" s="44"/>
      <c r="C29" s="51">
        <v>11400.039491543301</v>
      </c>
      <c r="D29" s="52">
        <v>8.93</v>
      </c>
      <c r="E29" s="44"/>
      <c r="F29" s="53">
        <v>101802</v>
      </c>
    </row>
    <row r="30" spans="1:6" ht="15.75">
      <c r="A30" s="44" t="s">
        <v>181</v>
      </c>
      <c r="B30" s="44"/>
      <c r="C30" s="51">
        <v>17310.1784326038</v>
      </c>
      <c r="D30" s="52">
        <v>10.72</v>
      </c>
      <c r="E30" s="44"/>
      <c r="F30" s="53">
        <v>185565</v>
      </c>
    </row>
    <row r="31" spans="1:6" ht="15.75">
      <c r="A31" s="44" t="s">
        <v>182</v>
      </c>
      <c r="B31" s="44"/>
      <c r="C31" s="51">
        <v>0</v>
      </c>
      <c r="D31" s="52">
        <v>34.03</v>
      </c>
      <c r="E31" s="44"/>
      <c r="F31" s="53">
        <v>0</v>
      </c>
    </row>
    <row r="32" spans="1:6" ht="15.75">
      <c r="A32" s="44" t="s">
        <v>183</v>
      </c>
      <c r="B32" s="44"/>
      <c r="C32" s="51">
        <v>0</v>
      </c>
      <c r="D32" s="63">
        <v>26.46</v>
      </c>
      <c r="E32" s="44"/>
      <c r="F32" s="53">
        <v>0</v>
      </c>
    </row>
    <row r="33" spans="1:6" ht="15.75">
      <c r="A33" s="44" t="s">
        <v>184</v>
      </c>
      <c r="B33" s="44"/>
      <c r="C33" s="51">
        <v>1065.5868126631899</v>
      </c>
      <c r="D33" s="63">
        <v>13.69</v>
      </c>
      <c r="E33" s="44"/>
      <c r="F33" s="53">
        <v>14588</v>
      </c>
    </row>
    <row r="34" spans="1:6" ht="15.75">
      <c r="A34" s="44" t="s">
        <v>185</v>
      </c>
      <c r="B34" s="44"/>
      <c r="C34" s="51">
        <v>47.999893788498298</v>
      </c>
      <c r="D34" s="63">
        <v>35.25</v>
      </c>
      <c r="E34" s="44"/>
      <c r="F34" s="53">
        <v>1692</v>
      </c>
    </row>
    <row r="35" spans="1:6" ht="15.75">
      <c r="A35" s="44" t="s">
        <v>186</v>
      </c>
      <c r="B35" s="44"/>
      <c r="C35" s="51">
        <v>0</v>
      </c>
      <c r="D35" s="63">
        <v>27.72</v>
      </c>
      <c r="E35" s="44"/>
      <c r="F35" s="53">
        <v>0</v>
      </c>
    </row>
    <row r="36" spans="1:6" ht="15.75">
      <c r="A36" s="44" t="s">
        <v>169</v>
      </c>
      <c r="B36" s="44"/>
      <c r="C36" s="51">
        <v>16337.519049537101</v>
      </c>
      <c r="D36" s="63">
        <v>15.63</v>
      </c>
      <c r="E36" s="44"/>
      <c r="F36" s="53">
        <v>255355</v>
      </c>
    </row>
    <row r="37" spans="1:6" ht="15.75">
      <c r="A37" s="44" t="s">
        <v>187</v>
      </c>
      <c r="B37" s="44"/>
      <c r="C37" s="51">
        <v>1995.29440937456</v>
      </c>
      <c r="D37" s="63">
        <v>19.8</v>
      </c>
      <c r="E37" s="44"/>
      <c r="F37" s="53">
        <v>39507</v>
      </c>
    </row>
    <row r="38" spans="1:6" ht="15.75">
      <c r="A38" s="44" t="s">
        <v>170</v>
      </c>
      <c r="B38" s="44"/>
      <c r="C38" s="51">
        <v>2706.90940145997</v>
      </c>
      <c r="D38" s="63">
        <v>26.16</v>
      </c>
      <c r="E38" s="44"/>
      <c r="F38" s="53">
        <v>70813</v>
      </c>
    </row>
    <row r="39" spans="1:6" ht="15.75">
      <c r="A39" s="64" t="s">
        <v>188</v>
      </c>
      <c r="B39" s="44"/>
      <c r="C39" s="51"/>
      <c r="D39" s="52"/>
      <c r="E39" s="44"/>
      <c r="F39" s="53"/>
    </row>
    <row r="40" spans="1:6" ht="15.75">
      <c r="A40" s="65" t="s">
        <v>189</v>
      </c>
      <c r="B40" s="44"/>
      <c r="C40" s="51">
        <v>42.160200250312897</v>
      </c>
      <c r="D40" s="63">
        <v>7.95</v>
      </c>
      <c r="E40" s="44"/>
      <c r="F40" s="53">
        <v>335</v>
      </c>
    </row>
    <row r="41" spans="1:6" ht="15.75">
      <c r="A41" s="65" t="s">
        <v>190</v>
      </c>
      <c r="B41" s="44"/>
      <c r="C41" s="51">
        <v>1940.5866589300399</v>
      </c>
      <c r="D41" s="63">
        <v>9.86</v>
      </c>
      <c r="E41" s="44"/>
      <c r="F41" s="53">
        <v>19134</v>
      </c>
    </row>
    <row r="42" spans="1:6" ht="15.75">
      <c r="A42" s="65" t="s">
        <v>191</v>
      </c>
      <c r="B42" s="44"/>
      <c r="C42" s="51">
        <v>386.34804089456901</v>
      </c>
      <c r="D42" s="63">
        <v>12.43</v>
      </c>
      <c r="E42" s="44"/>
      <c r="F42" s="53">
        <v>4802</v>
      </c>
    </row>
    <row r="43" spans="1:6" ht="15.75">
      <c r="A43" s="65" t="s">
        <v>192</v>
      </c>
      <c r="B43" s="44"/>
      <c r="C43" s="51">
        <v>30.6747747747748</v>
      </c>
      <c r="D43" s="63">
        <v>12.87</v>
      </c>
      <c r="E43" s="44"/>
      <c r="F43" s="53">
        <v>395</v>
      </c>
    </row>
    <row r="44" spans="1:6" ht="15.75">
      <c r="A44" s="65" t="s">
        <v>193</v>
      </c>
      <c r="B44" s="44"/>
      <c r="C44" s="51">
        <v>1920.3574460887401</v>
      </c>
      <c r="D44" s="63">
        <v>20.67</v>
      </c>
      <c r="E44" s="44"/>
      <c r="F44" s="53">
        <v>39694</v>
      </c>
    </row>
    <row r="45" spans="1:6" ht="15.75">
      <c r="A45" s="65" t="s">
        <v>194</v>
      </c>
      <c r="B45" s="44"/>
      <c r="C45" s="51">
        <v>710.850771902367</v>
      </c>
      <c r="D45" s="63">
        <v>26.09</v>
      </c>
      <c r="E45" s="44"/>
      <c r="F45" s="53">
        <v>18546</v>
      </c>
    </row>
    <row r="46" spans="1:6" ht="15.75">
      <c r="A46" s="64" t="s">
        <v>195</v>
      </c>
      <c r="B46" s="44"/>
      <c r="C46" s="51"/>
      <c r="D46" s="52"/>
      <c r="E46" s="44"/>
      <c r="F46" s="53"/>
    </row>
    <row r="47" spans="1:6" ht="15.75">
      <c r="A47" s="65" t="s">
        <v>189</v>
      </c>
      <c r="B47" s="44"/>
      <c r="C47" s="51">
        <v>2511.7599388379199</v>
      </c>
      <c r="D47" s="63">
        <v>6.5</v>
      </c>
      <c r="E47" s="44"/>
      <c r="F47" s="53">
        <v>16326</v>
      </c>
    </row>
    <row r="48" spans="1:6" ht="15.75">
      <c r="A48" s="65" t="s">
        <v>190</v>
      </c>
      <c r="B48" s="44"/>
      <c r="C48" s="51">
        <v>1224.931672702</v>
      </c>
      <c r="D48" s="63">
        <v>6.97</v>
      </c>
      <c r="E48" s="44"/>
      <c r="F48" s="53">
        <v>8538</v>
      </c>
    </row>
    <row r="49" spans="1:6" ht="15.75">
      <c r="A49" s="65" t="s">
        <v>191</v>
      </c>
      <c r="B49" s="44"/>
      <c r="C49" s="51">
        <v>21.048507462686601</v>
      </c>
      <c r="D49" s="63">
        <v>7.97</v>
      </c>
      <c r="E49" s="44"/>
      <c r="F49" s="53">
        <v>168</v>
      </c>
    </row>
    <row r="50" spans="1:6" ht="15.75">
      <c r="A50" s="65" t="s">
        <v>192</v>
      </c>
      <c r="B50" s="44"/>
      <c r="C50" s="51">
        <v>1847.76591955096</v>
      </c>
      <c r="D50" s="63">
        <v>8.1300000000000008</v>
      </c>
      <c r="E50" s="44"/>
      <c r="F50" s="53">
        <v>15022</v>
      </c>
    </row>
    <row r="51" spans="1:6" ht="15.75">
      <c r="A51" s="65" t="s">
        <v>193</v>
      </c>
      <c r="B51" s="44"/>
      <c r="C51" s="51">
        <v>164.16525779691301</v>
      </c>
      <c r="D51" s="63">
        <v>10.56</v>
      </c>
      <c r="E51" s="44"/>
      <c r="F51" s="53">
        <v>1734</v>
      </c>
    </row>
    <row r="52" spans="1:6" ht="15.75">
      <c r="A52" s="65" t="s">
        <v>194</v>
      </c>
      <c r="B52" s="44"/>
      <c r="C52" s="51">
        <v>648.34196374959504</v>
      </c>
      <c r="D52" s="63">
        <v>12.09</v>
      </c>
      <c r="E52" s="44"/>
      <c r="F52" s="53">
        <v>7838</v>
      </c>
    </row>
    <row r="53" spans="1:6" ht="15.75">
      <c r="A53" s="44" t="s">
        <v>196</v>
      </c>
      <c r="B53" s="44"/>
      <c r="C53" s="51"/>
      <c r="D53" s="52"/>
      <c r="E53" s="44"/>
      <c r="F53" s="53"/>
    </row>
    <row r="54" spans="1:6" ht="15.75">
      <c r="A54" s="44" t="s">
        <v>197</v>
      </c>
      <c r="B54" s="44"/>
      <c r="C54" s="51">
        <v>0</v>
      </c>
      <c r="D54" s="63">
        <v>32.630000000000003</v>
      </c>
      <c r="E54" s="44"/>
      <c r="F54" s="53">
        <v>0</v>
      </c>
    </row>
    <row r="55" spans="1:6" ht="15.75">
      <c r="A55" s="44" t="s">
        <v>198</v>
      </c>
      <c r="B55" s="44"/>
      <c r="C55" s="51">
        <v>0</v>
      </c>
      <c r="D55" s="63">
        <v>27.22</v>
      </c>
      <c r="E55" s="44"/>
      <c r="F55" s="53">
        <v>0</v>
      </c>
    </row>
    <row r="56" spans="1:6" ht="15.75">
      <c r="A56" s="44" t="s">
        <v>199</v>
      </c>
      <c r="B56" s="44"/>
      <c r="C56" s="51">
        <v>0</v>
      </c>
      <c r="D56" s="63">
        <v>25.09</v>
      </c>
      <c r="E56" s="44"/>
      <c r="F56" s="53">
        <v>0</v>
      </c>
    </row>
    <row r="57" spans="1:6" ht="15.75">
      <c r="A57" s="44" t="s">
        <v>200</v>
      </c>
      <c r="B57" s="44"/>
      <c r="C57" s="51">
        <v>0</v>
      </c>
      <c r="D57" s="63">
        <v>36.67</v>
      </c>
      <c r="E57" s="44"/>
      <c r="F57" s="53">
        <v>0</v>
      </c>
    </row>
    <row r="58" spans="1:6" ht="15.75">
      <c r="A58" s="44" t="s">
        <v>201</v>
      </c>
      <c r="B58" s="44"/>
      <c r="C58" s="51">
        <v>0</v>
      </c>
      <c r="D58" s="63">
        <v>29.52</v>
      </c>
      <c r="E58" s="44"/>
      <c r="F58" s="53">
        <v>0</v>
      </c>
    </row>
    <row r="59" spans="1:6" ht="15.75">
      <c r="A59" s="44" t="s">
        <v>202</v>
      </c>
      <c r="B59" s="44"/>
      <c r="C59" s="51">
        <v>0</v>
      </c>
      <c r="D59" s="63">
        <v>29.01</v>
      </c>
      <c r="E59" s="44"/>
      <c r="F59" s="53">
        <v>0</v>
      </c>
    </row>
    <row r="60" spans="1:6" ht="15.75">
      <c r="A60" s="44" t="s">
        <v>203</v>
      </c>
      <c r="B60" s="44"/>
      <c r="C60" s="51">
        <v>0</v>
      </c>
      <c r="D60" s="63">
        <v>31.59</v>
      </c>
      <c r="E60" s="44"/>
      <c r="F60" s="53">
        <v>0</v>
      </c>
    </row>
    <row r="61" spans="1:6" ht="15.75">
      <c r="A61" s="44" t="s">
        <v>173</v>
      </c>
      <c r="B61" s="44"/>
      <c r="C61" s="51">
        <v>2928</v>
      </c>
      <c r="D61" s="52"/>
      <c r="E61" s="44"/>
      <c r="F61" s="53"/>
    </row>
    <row r="62" spans="1:6" ht="15.75">
      <c r="A62" s="44" t="s">
        <v>204</v>
      </c>
      <c r="B62" s="44"/>
      <c r="C62" s="51">
        <v>3621950.3857190385</v>
      </c>
      <c r="D62" s="56"/>
      <c r="E62" s="55"/>
      <c r="F62" s="57">
        <v>801854</v>
      </c>
    </row>
    <row r="63" spans="1:6" ht="15.75">
      <c r="A63" s="44" t="s">
        <v>175</v>
      </c>
      <c r="B63" s="44"/>
      <c r="C63" s="51">
        <v>97338.732190921903</v>
      </c>
      <c r="D63" s="56"/>
      <c r="E63" s="55"/>
      <c r="F63" s="57">
        <v>12385.749110823419</v>
      </c>
    </row>
    <row r="64" spans="1:6" ht="16.5" thickBot="1">
      <c r="A64" s="44" t="s">
        <v>176</v>
      </c>
      <c r="B64" s="44"/>
      <c r="C64" s="58">
        <v>3719289.1179099604</v>
      </c>
      <c r="D64" s="59"/>
      <c r="E64" s="59"/>
      <c r="F64" s="60">
        <v>814239.74911082338</v>
      </c>
    </row>
    <row r="65" spans="1:6" ht="15.75" thickTop="1"/>
    <row r="67" spans="1:6" ht="15.75">
      <c r="A67" s="61" t="s">
        <v>205</v>
      </c>
      <c r="B67" s="62"/>
      <c r="C67" s="62"/>
      <c r="D67" s="62"/>
      <c r="E67" s="62"/>
      <c r="F67" s="62"/>
    </row>
    <row r="68" spans="1:6" ht="15.75">
      <c r="A68" s="62" t="s">
        <v>206</v>
      </c>
      <c r="B68" s="62"/>
      <c r="C68" s="62"/>
      <c r="D68" s="62"/>
      <c r="E68" s="62"/>
      <c r="F68" s="62"/>
    </row>
    <row r="69" spans="1:6" ht="15.75">
      <c r="A69" s="62"/>
      <c r="B69" s="62"/>
      <c r="C69" s="62"/>
      <c r="D69" s="62"/>
      <c r="E69" s="62"/>
      <c r="F69" s="62"/>
    </row>
    <row r="70" spans="1:6" ht="15.75">
      <c r="A70" s="62" t="s">
        <v>207</v>
      </c>
      <c r="B70" s="62"/>
      <c r="C70" s="66"/>
      <c r="D70" s="67"/>
      <c r="E70" s="62"/>
      <c r="F70" s="53">
        <v>18087.063065675098</v>
      </c>
    </row>
    <row r="71" spans="1:6" ht="15.75">
      <c r="A71" s="62" t="s">
        <v>208</v>
      </c>
      <c r="B71" s="62"/>
      <c r="C71" s="51">
        <v>140860.105288452</v>
      </c>
      <c r="D71" s="68">
        <v>8.7520000000000007</v>
      </c>
      <c r="E71" s="62" t="s">
        <v>172</v>
      </c>
      <c r="F71" s="69">
        <v>12328</v>
      </c>
    </row>
    <row r="72" spans="1:6" ht="15.75">
      <c r="A72" s="62" t="s">
        <v>209</v>
      </c>
      <c r="B72" s="62"/>
      <c r="C72" s="51">
        <v>0</v>
      </c>
      <c r="D72" s="68">
        <v>9.7940000000000005</v>
      </c>
      <c r="E72" s="62" t="s">
        <v>172</v>
      </c>
      <c r="F72" s="69">
        <v>0</v>
      </c>
    </row>
    <row r="73" spans="1:6" ht="15.75">
      <c r="A73" s="62" t="s">
        <v>210</v>
      </c>
      <c r="B73" s="62"/>
      <c r="C73" s="51">
        <v>14</v>
      </c>
      <c r="D73" s="70"/>
      <c r="E73" s="62"/>
      <c r="F73" s="53"/>
    </row>
    <row r="74" spans="1:6" ht="15.75">
      <c r="A74" s="44" t="s">
        <v>211</v>
      </c>
      <c r="B74" s="44"/>
      <c r="C74" s="51">
        <v>140860.105288452</v>
      </c>
      <c r="D74" s="56"/>
      <c r="E74" s="55"/>
      <c r="F74" s="57">
        <v>30415.063065675098</v>
      </c>
    </row>
    <row r="75" spans="1:6" ht="15.75">
      <c r="A75" s="44" t="s">
        <v>212</v>
      </c>
      <c r="B75" s="44"/>
      <c r="C75" s="51">
        <v>3830.0355841127775</v>
      </c>
      <c r="D75" s="56"/>
      <c r="E75" s="55"/>
      <c r="F75" s="57">
        <v>476.33906498997436</v>
      </c>
    </row>
    <row r="76" spans="1:6" ht="16.5" thickBot="1">
      <c r="A76" s="62" t="s">
        <v>176</v>
      </c>
      <c r="B76" s="62"/>
      <c r="C76" s="71">
        <v>144690.14087256478</v>
      </c>
      <c r="D76" s="72"/>
      <c r="E76" s="73"/>
      <c r="F76" s="60">
        <v>30891.402130665072</v>
      </c>
    </row>
    <row r="77" spans="1:6" ht="15.75" thickTop="1"/>
    <row r="79" spans="1:6" ht="15.75">
      <c r="A79" s="61" t="s">
        <v>213</v>
      </c>
      <c r="B79" s="62"/>
      <c r="C79" s="62"/>
      <c r="D79" s="62"/>
      <c r="E79" s="62"/>
      <c r="F79" s="62"/>
    </row>
    <row r="80" spans="1:6" ht="15.75">
      <c r="A80" s="62" t="s">
        <v>214</v>
      </c>
      <c r="B80" s="62"/>
      <c r="C80" s="62"/>
      <c r="D80" s="62"/>
      <c r="E80" s="62"/>
      <c r="F80" s="62"/>
    </row>
    <row r="81" spans="1:6" ht="15.75">
      <c r="A81" s="62"/>
      <c r="B81" s="62"/>
      <c r="C81" s="62"/>
      <c r="D81" s="74"/>
      <c r="E81" s="62"/>
      <c r="F81" s="62"/>
    </row>
    <row r="82" spans="1:6" ht="15.75">
      <c r="A82" s="62" t="s">
        <v>207</v>
      </c>
      <c r="B82" s="62"/>
      <c r="C82" s="66"/>
      <c r="D82" s="67"/>
      <c r="E82" s="62"/>
      <c r="F82" s="53">
        <v>1693.7661131961399</v>
      </c>
    </row>
    <row r="83" spans="1:6" ht="15.75">
      <c r="A83" s="62" t="s">
        <v>215</v>
      </c>
      <c r="B83" s="62"/>
      <c r="C83" s="51">
        <v>1847418.9175815417</v>
      </c>
      <c r="D83" s="68" t="s">
        <v>216</v>
      </c>
      <c r="E83" s="62" t="s">
        <v>216</v>
      </c>
      <c r="F83" s="69">
        <v>133291</v>
      </c>
    </row>
    <row r="84" spans="1:6" ht="15.75">
      <c r="A84" s="62" t="s">
        <v>217</v>
      </c>
      <c r="B84" s="62"/>
      <c r="C84" s="51">
        <v>1848477.8177724311</v>
      </c>
      <c r="D84" s="75" t="s">
        <v>216</v>
      </c>
      <c r="E84" s="62" t="s">
        <v>216</v>
      </c>
      <c r="F84" s="53">
        <v>133337.20706264634</v>
      </c>
    </row>
    <row r="85" spans="1:6" ht="15.75">
      <c r="A85" s="62" t="s">
        <v>173</v>
      </c>
      <c r="B85" s="62"/>
      <c r="C85" s="51">
        <v>2792</v>
      </c>
      <c r="D85" s="70"/>
      <c r="E85" s="62"/>
      <c r="F85" s="53"/>
    </row>
    <row r="86" spans="1:6" ht="15.75">
      <c r="A86" s="44" t="s">
        <v>211</v>
      </c>
      <c r="B86" s="44"/>
      <c r="C86" s="51">
        <v>3695896.7353539728</v>
      </c>
      <c r="D86" s="56"/>
      <c r="E86" s="55"/>
      <c r="F86" s="57">
        <v>268321.97317584243</v>
      </c>
    </row>
    <row r="87" spans="1:6" ht="15.75">
      <c r="A87" s="44" t="s">
        <v>212</v>
      </c>
      <c r="B87" s="44"/>
      <c r="C87" s="51">
        <v>100237.9878157135</v>
      </c>
      <c r="D87" s="56"/>
      <c r="E87" s="55"/>
      <c r="F87" s="57">
        <v>4167.2379546518341</v>
      </c>
    </row>
    <row r="88" spans="1:6" ht="16.5" thickBot="1">
      <c r="A88" s="62" t="s">
        <v>176</v>
      </c>
      <c r="B88" s="62"/>
      <c r="C88" s="71">
        <v>3796134.7231696863</v>
      </c>
      <c r="D88" s="72"/>
      <c r="E88" s="73"/>
      <c r="F88" s="60">
        <v>272489.21113049425</v>
      </c>
    </row>
    <row r="89" spans="1:6" ht="15.75" thickTop="1"/>
    <row r="91" spans="1:6" ht="15.75">
      <c r="A91" s="61" t="s">
        <v>218</v>
      </c>
      <c r="B91" s="62"/>
      <c r="C91" s="62"/>
      <c r="D91" s="62"/>
      <c r="E91" s="62"/>
      <c r="F91" s="62"/>
    </row>
    <row r="92" spans="1:6" ht="15.75">
      <c r="A92" s="62" t="s">
        <v>35</v>
      </c>
      <c r="B92" s="62"/>
      <c r="C92" s="62"/>
      <c r="D92" s="62"/>
      <c r="E92" s="62"/>
      <c r="F92" s="62"/>
    </row>
    <row r="93" spans="1:6" ht="15.75">
      <c r="A93" s="62"/>
      <c r="B93" s="62"/>
      <c r="C93" s="62"/>
      <c r="D93" s="62"/>
      <c r="E93" s="62"/>
      <c r="F93" s="62"/>
    </row>
    <row r="94" spans="1:6" ht="15.75">
      <c r="A94" s="62" t="s">
        <v>219</v>
      </c>
      <c r="B94" s="62"/>
      <c r="C94" s="66">
        <v>144</v>
      </c>
      <c r="D94" s="67">
        <v>3.9</v>
      </c>
      <c r="E94" s="62"/>
      <c r="F94" s="53">
        <v>562</v>
      </c>
    </row>
    <row r="95" spans="1:6" ht="15.75">
      <c r="A95" s="62" t="s">
        <v>220</v>
      </c>
      <c r="B95" s="62"/>
      <c r="C95" s="66">
        <v>180</v>
      </c>
      <c r="D95" s="67">
        <v>7</v>
      </c>
      <c r="E95" s="62"/>
      <c r="F95" s="53">
        <v>1260</v>
      </c>
    </row>
    <row r="96" spans="1:6" ht="15.75">
      <c r="A96" s="62" t="s">
        <v>221</v>
      </c>
      <c r="B96" s="62"/>
      <c r="C96" s="66">
        <v>324</v>
      </c>
      <c r="D96" s="76"/>
      <c r="E96" s="62"/>
      <c r="F96" s="69"/>
    </row>
    <row r="97" spans="1:6" ht="15.75">
      <c r="A97" s="62" t="s">
        <v>222</v>
      </c>
      <c r="B97" s="62"/>
      <c r="C97" s="66">
        <v>282712</v>
      </c>
      <c r="D97" s="77">
        <v>8.5820000000000007</v>
      </c>
      <c r="E97" s="53" t="s">
        <v>172</v>
      </c>
      <c r="F97" s="69">
        <v>24262</v>
      </c>
    </row>
    <row r="98" spans="1:6" ht="15.75">
      <c r="A98" s="62" t="s">
        <v>204</v>
      </c>
      <c r="B98" s="62"/>
      <c r="C98" s="78">
        <v>282712</v>
      </c>
      <c r="D98" s="66"/>
      <c r="E98" s="53"/>
      <c r="F98" s="69">
        <v>26084</v>
      </c>
    </row>
    <row r="99" spans="1:6" ht="15.75">
      <c r="A99" s="62" t="s">
        <v>175</v>
      </c>
      <c r="B99" s="62"/>
      <c r="C99" s="79">
        <v>2569.407589389054</v>
      </c>
      <c r="D99" s="80"/>
      <c r="E99" s="80"/>
      <c r="F99" s="81">
        <v>344.89560655615463</v>
      </c>
    </row>
    <row r="100" spans="1:6" ht="16.5" thickBot="1">
      <c r="A100" s="62" t="s">
        <v>223</v>
      </c>
      <c r="B100" s="62"/>
      <c r="C100" s="82">
        <v>285281.40758938907</v>
      </c>
      <c r="D100" s="73"/>
      <c r="E100" s="73"/>
      <c r="F100" s="59">
        <v>26428.895606556154</v>
      </c>
    </row>
    <row r="101" spans="1:6" ht="15.75" thickTop="1"/>
    <row r="103" spans="1:6" ht="15.75">
      <c r="A103" s="49" t="s">
        <v>224</v>
      </c>
      <c r="B103" s="83"/>
      <c r="C103" s="83"/>
      <c r="D103" s="83"/>
      <c r="E103" s="83"/>
      <c r="F103" s="83"/>
    </row>
    <row r="104" spans="1:6" ht="15.75">
      <c r="A104" s="83" t="s">
        <v>39</v>
      </c>
      <c r="B104" s="83"/>
      <c r="C104" s="83"/>
      <c r="D104" s="83"/>
      <c r="E104" s="83"/>
      <c r="F104" s="83"/>
    </row>
    <row r="105" spans="1:6" ht="15.75">
      <c r="A105" s="84" t="s">
        <v>225</v>
      </c>
      <c r="B105" s="83"/>
      <c r="C105" s="83"/>
      <c r="D105" s="83"/>
      <c r="E105" s="83"/>
      <c r="F105" s="83"/>
    </row>
    <row r="106" spans="1:6">
      <c r="A106" s="44" t="s">
        <v>226</v>
      </c>
      <c r="B106" s="44"/>
      <c r="C106" s="44"/>
      <c r="D106" s="44"/>
      <c r="E106" s="44"/>
      <c r="F106" s="50"/>
    </row>
    <row r="107" spans="1:6" ht="15.75">
      <c r="A107" s="44" t="s">
        <v>164</v>
      </c>
      <c r="B107" s="44"/>
      <c r="C107" s="51">
        <v>11337.526455606199</v>
      </c>
      <c r="D107" s="63">
        <v>10.29</v>
      </c>
      <c r="E107" s="44"/>
      <c r="F107" s="53">
        <v>116663</v>
      </c>
    </row>
    <row r="108" spans="1:6" ht="15.75">
      <c r="A108" s="44" t="s">
        <v>165</v>
      </c>
      <c r="B108" s="44"/>
      <c r="C108" s="51">
        <v>922.24583777958799</v>
      </c>
      <c r="D108" s="63">
        <v>18.829999999999998</v>
      </c>
      <c r="E108" s="44"/>
      <c r="F108" s="53">
        <v>17366</v>
      </c>
    </row>
    <row r="109" spans="1:6" ht="15.75">
      <c r="A109" s="44" t="s">
        <v>166</v>
      </c>
      <c r="B109" s="44"/>
      <c r="C109" s="51">
        <v>0</v>
      </c>
      <c r="D109" s="63">
        <v>38.08</v>
      </c>
      <c r="E109" s="44"/>
      <c r="F109" s="53">
        <v>0</v>
      </c>
    </row>
    <row r="110" spans="1:6" ht="15.75">
      <c r="A110" s="44" t="s">
        <v>227</v>
      </c>
      <c r="B110" s="44"/>
      <c r="C110" s="51"/>
      <c r="D110" s="85"/>
      <c r="E110" s="44"/>
      <c r="F110" s="50"/>
    </row>
    <row r="111" spans="1:6" ht="15.75">
      <c r="A111" s="44" t="s">
        <v>164</v>
      </c>
      <c r="B111" s="44"/>
      <c r="C111" s="51">
        <v>3195.22491672157</v>
      </c>
      <c r="D111" s="52">
        <v>9.65</v>
      </c>
      <c r="E111" s="44"/>
      <c r="F111" s="53">
        <v>30834</v>
      </c>
    </row>
    <row r="112" spans="1:6" ht="15.75">
      <c r="A112" s="44" t="s">
        <v>165</v>
      </c>
      <c r="B112" s="44"/>
      <c r="C112" s="51">
        <v>0</v>
      </c>
      <c r="D112" s="52">
        <v>17.57</v>
      </c>
      <c r="E112" s="44"/>
      <c r="F112" s="53">
        <v>0</v>
      </c>
    </row>
    <row r="113" spans="1:6" ht="15.75">
      <c r="A113" s="84" t="s">
        <v>228</v>
      </c>
      <c r="B113" s="44"/>
      <c r="C113" s="51"/>
      <c r="D113" s="52"/>
      <c r="E113" s="44"/>
      <c r="F113" s="53"/>
    </row>
    <row r="114" spans="1:6" ht="15.75">
      <c r="A114" s="44" t="s">
        <v>226</v>
      </c>
      <c r="B114" s="44"/>
      <c r="C114" s="51"/>
      <c r="D114" s="85"/>
      <c r="E114" s="44"/>
      <c r="F114" s="50"/>
    </row>
    <row r="115" spans="1:6" ht="15.75">
      <c r="A115" s="44" t="s">
        <v>164</v>
      </c>
      <c r="B115" s="44"/>
      <c r="C115" s="51">
        <v>409.000689070249</v>
      </c>
      <c r="D115" s="52">
        <v>13.44</v>
      </c>
      <c r="E115" s="44"/>
      <c r="F115" s="53">
        <v>5497</v>
      </c>
    </row>
    <row r="116" spans="1:6" ht="15.75">
      <c r="A116" s="44" t="s">
        <v>165</v>
      </c>
      <c r="B116" s="44"/>
      <c r="C116" s="51">
        <v>359.23481992392999</v>
      </c>
      <c r="D116" s="52">
        <v>22.57</v>
      </c>
      <c r="E116" s="44"/>
      <c r="F116" s="53">
        <v>8108</v>
      </c>
    </row>
    <row r="117" spans="1:6" ht="15.75">
      <c r="A117" s="44" t="s">
        <v>166</v>
      </c>
      <c r="B117" s="44"/>
      <c r="C117" s="51">
        <v>0</v>
      </c>
      <c r="D117" s="52">
        <v>41.85</v>
      </c>
      <c r="E117" s="44"/>
      <c r="F117" s="53">
        <v>0</v>
      </c>
    </row>
    <row r="118" spans="1:6" ht="15.75">
      <c r="A118" s="44" t="s">
        <v>227</v>
      </c>
      <c r="B118" s="44"/>
      <c r="C118" s="51"/>
      <c r="D118" s="85"/>
      <c r="E118" s="44"/>
      <c r="F118" s="50"/>
    </row>
    <row r="119" spans="1:6" ht="15.75">
      <c r="A119" s="44" t="s">
        <v>164</v>
      </c>
      <c r="B119" s="44"/>
      <c r="C119" s="51">
        <v>0</v>
      </c>
      <c r="D119" s="52">
        <v>12.72</v>
      </c>
      <c r="E119" s="44"/>
      <c r="F119" s="53">
        <v>0</v>
      </c>
    </row>
    <row r="120" spans="1:6" ht="15.75">
      <c r="A120" s="44" t="s">
        <v>165</v>
      </c>
      <c r="B120" s="44"/>
      <c r="C120" s="51">
        <v>0</v>
      </c>
      <c r="D120" s="52">
        <v>21.34</v>
      </c>
      <c r="E120" s="44"/>
      <c r="F120" s="53">
        <v>0</v>
      </c>
    </row>
    <row r="121" spans="1:6" ht="15.75">
      <c r="A121" s="84" t="s">
        <v>229</v>
      </c>
      <c r="B121" s="83"/>
      <c r="C121" s="51"/>
      <c r="D121" s="85"/>
      <c r="E121" s="83"/>
      <c r="F121" s="83"/>
    </row>
    <row r="122" spans="1:6" ht="15.75">
      <c r="A122" s="44" t="s">
        <v>226</v>
      </c>
      <c r="B122" s="44"/>
      <c r="C122" s="51"/>
      <c r="D122" s="85"/>
      <c r="E122" s="44"/>
      <c r="F122" s="50"/>
    </row>
    <row r="123" spans="1:6" ht="15.75">
      <c r="A123" s="44" t="s">
        <v>164</v>
      </c>
      <c r="B123" s="44"/>
      <c r="C123" s="51">
        <v>0</v>
      </c>
      <c r="D123" s="52">
        <v>13.43</v>
      </c>
      <c r="E123" s="44"/>
      <c r="F123" s="53">
        <v>0</v>
      </c>
    </row>
    <row r="124" spans="1:6" ht="15.75">
      <c r="A124" s="44" t="s">
        <v>165</v>
      </c>
      <c r="B124" s="44"/>
      <c r="C124" s="51">
        <v>0</v>
      </c>
      <c r="D124" s="52">
        <v>21.83</v>
      </c>
      <c r="E124" s="44"/>
      <c r="F124" s="53">
        <v>0</v>
      </c>
    </row>
    <row r="125" spans="1:6" ht="15.75">
      <c r="A125" s="44" t="s">
        <v>166</v>
      </c>
      <c r="B125" s="44"/>
      <c r="C125" s="51">
        <v>0</v>
      </c>
      <c r="D125" s="52">
        <v>41.13</v>
      </c>
      <c r="E125" s="44"/>
      <c r="F125" s="53">
        <v>0</v>
      </c>
    </row>
    <row r="126" spans="1:6" ht="15.75">
      <c r="A126" s="44" t="s">
        <v>227</v>
      </c>
      <c r="B126" s="44"/>
      <c r="C126" s="51"/>
      <c r="D126" s="85"/>
      <c r="E126" s="44"/>
      <c r="F126" s="50"/>
    </row>
    <row r="127" spans="1:6" ht="15.75">
      <c r="A127" s="44" t="s">
        <v>164</v>
      </c>
      <c r="B127" s="44"/>
      <c r="C127" s="51">
        <v>0</v>
      </c>
      <c r="D127" s="52">
        <v>12.72</v>
      </c>
      <c r="E127" s="44"/>
      <c r="F127" s="53">
        <v>0</v>
      </c>
    </row>
    <row r="128" spans="1:6" ht="15.75">
      <c r="A128" s="44" t="s">
        <v>165</v>
      </c>
      <c r="B128" s="44"/>
      <c r="C128" s="51">
        <v>0</v>
      </c>
      <c r="D128" s="52">
        <v>20.6</v>
      </c>
      <c r="E128" s="44"/>
      <c r="F128" s="53">
        <v>0</v>
      </c>
    </row>
    <row r="129" spans="1:6" ht="15.75">
      <c r="A129" s="84" t="s">
        <v>230</v>
      </c>
      <c r="B129" s="83"/>
      <c r="C129" s="51"/>
      <c r="D129" s="85"/>
      <c r="E129" s="83"/>
      <c r="F129" s="83"/>
    </row>
    <row r="130" spans="1:6" ht="15.75">
      <c r="A130" s="44" t="s">
        <v>164</v>
      </c>
      <c r="B130" s="44"/>
      <c r="C130" s="51">
        <v>180.16648550994401</v>
      </c>
      <c r="D130" s="63">
        <v>10.75</v>
      </c>
      <c r="E130" s="44"/>
      <c r="F130" s="53">
        <v>1937</v>
      </c>
    </row>
    <row r="131" spans="1:6" ht="15.75">
      <c r="A131" s="44" t="s">
        <v>165</v>
      </c>
      <c r="B131" s="44"/>
      <c r="C131" s="51">
        <v>581.53297028850704</v>
      </c>
      <c r="D131" s="63">
        <v>18.82</v>
      </c>
      <c r="E131" s="44"/>
      <c r="F131" s="53">
        <v>10944</v>
      </c>
    </row>
    <row r="132" spans="1:6" ht="15.75">
      <c r="A132" s="44" t="s">
        <v>166</v>
      </c>
      <c r="B132" s="44"/>
      <c r="C132" s="51">
        <v>0</v>
      </c>
      <c r="D132" s="63">
        <v>40.200000000000003</v>
      </c>
      <c r="E132" s="44"/>
      <c r="F132" s="53">
        <v>0</v>
      </c>
    </row>
    <row r="133" spans="1:6" ht="15.75">
      <c r="A133" s="86" t="s">
        <v>231</v>
      </c>
      <c r="B133" s="44"/>
      <c r="C133" s="51"/>
      <c r="D133" s="52"/>
      <c r="E133" s="44"/>
      <c r="F133" s="53"/>
    </row>
    <row r="134" spans="1:6" ht="15.75">
      <c r="A134" s="44" t="s">
        <v>232</v>
      </c>
      <c r="B134" s="44"/>
      <c r="C134" s="51">
        <v>0</v>
      </c>
      <c r="D134" s="52">
        <v>38.58</v>
      </c>
      <c r="E134" s="44"/>
      <c r="F134" s="53">
        <v>0</v>
      </c>
    </row>
    <row r="135" spans="1:6" ht="15.75">
      <c r="A135" s="44" t="s">
        <v>173</v>
      </c>
      <c r="B135" s="44"/>
      <c r="C135" s="51">
        <v>386</v>
      </c>
      <c r="D135" s="87"/>
      <c r="E135" s="44"/>
      <c r="F135" s="53"/>
    </row>
    <row r="136" spans="1:6" ht="15.75">
      <c r="A136" s="44" t="s">
        <v>204</v>
      </c>
      <c r="B136" s="44"/>
      <c r="C136" s="51">
        <v>1469704.1535796304</v>
      </c>
      <c r="D136" s="56"/>
      <c r="E136" s="55"/>
      <c r="F136" s="57">
        <v>191349</v>
      </c>
    </row>
    <row r="137" spans="1:6" ht="15.75">
      <c r="A137" s="44" t="s">
        <v>175</v>
      </c>
      <c r="B137" s="44"/>
      <c r="C137" s="51">
        <v>39593.244409251849</v>
      </c>
      <c r="D137" s="56"/>
      <c r="E137" s="55"/>
      <c r="F137" s="57">
        <v>2970.6738695347722</v>
      </c>
    </row>
    <row r="138" spans="1:6" ht="16.5" thickBot="1">
      <c r="A138" s="44" t="s">
        <v>176</v>
      </c>
      <c r="B138" s="44"/>
      <c r="C138" s="58">
        <v>1509297.3979888824</v>
      </c>
      <c r="D138" s="59"/>
      <c r="E138" s="59"/>
      <c r="F138" s="60">
        <v>194319.67386953477</v>
      </c>
    </row>
    <row r="139" spans="1:6" ht="15.75" thickTop="1"/>
  </sheetData>
  <mergeCells count="5">
    <mergeCell ref="A1:I1"/>
    <mergeCell ref="A2:I2"/>
    <mergeCell ref="A3:I3"/>
    <mergeCell ref="A4:I4"/>
    <mergeCell ref="D5:F5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/>
  </sheetViews>
  <sheetFormatPr defaultRowHeight="15"/>
  <cols>
    <col min="1" max="1" width="11.5703125" bestFit="1" customWidth="1"/>
    <col min="3" max="3" width="10.42578125" bestFit="1" customWidth="1"/>
    <col min="4" max="4" width="11.85546875" bestFit="1" customWidth="1"/>
    <col min="5" max="5" width="12.85546875" bestFit="1" customWidth="1"/>
    <col min="7" max="7" width="19.42578125" bestFit="1" customWidth="1"/>
    <col min="8" max="8" width="20.42578125" bestFit="1" customWidth="1"/>
  </cols>
  <sheetData>
    <row r="1" spans="1:10">
      <c r="A1" s="1" t="s">
        <v>300</v>
      </c>
      <c r="B1" s="1" t="s">
        <v>260</v>
      </c>
      <c r="C1" s="1" t="s">
        <v>301</v>
      </c>
      <c r="D1" s="1" t="s">
        <v>298</v>
      </c>
      <c r="E1" s="1" t="s">
        <v>299</v>
      </c>
      <c r="G1" s="1" t="s">
        <v>304</v>
      </c>
      <c r="H1" s="1" t="s">
        <v>305</v>
      </c>
    </row>
    <row r="2" spans="1:10">
      <c r="A2" t="s">
        <v>110</v>
      </c>
      <c r="B2">
        <v>1</v>
      </c>
      <c r="C2" s="6">
        <v>12155</v>
      </c>
      <c r="D2" s="218">
        <v>0.8</v>
      </c>
      <c r="E2" s="218">
        <v>0.2</v>
      </c>
      <c r="G2" s="88">
        <f>C2*D2</f>
        <v>9724</v>
      </c>
      <c r="H2" s="88">
        <f>C2*E2</f>
        <v>2431</v>
      </c>
    </row>
    <row r="3" spans="1:10">
      <c r="A3" t="s">
        <v>110</v>
      </c>
      <c r="B3">
        <v>2</v>
      </c>
      <c r="C3" s="6">
        <v>490</v>
      </c>
      <c r="D3" s="218">
        <v>0</v>
      </c>
      <c r="E3" s="218">
        <v>1</v>
      </c>
      <c r="G3" s="88">
        <f t="shared" ref="G3:G10" si="0">C3*D3</f>
        <v>0</v>
      </c>
      <c r="H3" s="88">
        <f t="shared" ref="H3:H10" si="1">C3*E3</f>
        <v>490</v>
      </c>
    </row>
    <row r="4" spans="1:10">
      <c r="A4" t="s">
        <v>110</v>
      </c>
      <c r="B4">
        <v>3</v>
      </c>
      <c r="C4" s="6">
        <v>16</v>
      </c>
      <c r="D4" s="218">
        <v>0</v>
      </c>
      <c r="E4" s="218">
        <v>1</v>
      </c>
      <c r="G4" s="88">
        <f t="shared" si="0"/>
        <v>0</v>
      </c>
      <c r="H4" s="88">
        <f t="shared" si="1"/>
        <v>16</v>
      </c>
    </row>
    <row r="5" spans="1:10">
      <c r="A5" t="s">
        <v>302</v>
      </c>
      <c r="B5">
        <v>1</v>
      </c>
      <c r="C5" s="6">
        <v>13936</v>
      </c>
      <c r="D5" s="218">
        <v>0.6</v>
      </c>
      <c r="E5" s="218">
        <v>0.4</v>
      </c>
      <c r="G5" s="88">
        <f t="shared" si="0"/>
        <v>8361.6</v>
      </c>
      <c r="H5" s="88">
        <f t="shared" si="1"/>
        <v>5574.4000000000005</v>
      </c>
    </row>
    <row r="6" spans="1:10">
      <c r="A6" t="s">
        <v>302</v>
      </c>
      <c r="B6">
        <v>2</v>
      </c>
      <c r="C6" s="6">
        <v>4788</v>
      </c>
      <c r="D6" s="218">
        <v>0</v>
      </c>
      <c r="E6" s="218">
        <v>1</v>
      </c>
      <c r="G6" s="88">
        <f t="shared" si="0"/>
        <v>0</v>
      </c>
      <c r="H6" s="88">
        <f t="shared" si="1"/>
        <v>4788</v>
      </c>
    </row>
    <row r="7" spans="1:10">
      <c r="A7" t="s">
        <v>302</v>
      </c>
      <c r="B7">
        <v>3</v>
      </c>
      <c r="C7" s="6">
        <v>961</v>
      </c>
      <c r="D7" s="218">
        <v>0</v>
      </c>
      <c r="E7" s="218">
        <v>1</v>
      </c>
      <c r="G7" s="88">
        <f t="shared" si="0"/>
        <v>0</v>
      </c>
      <c r="H7" s="88">
        <f t="shared" si="1"/>
        <v>961</v>
      </c>
    </row>
    <row r="8" spans="1:10">
      <c r="A8" t="s">
        <v>303</v>
      </c>
      <c r="B8">
        <v>1</v>
      </c>
      <c r="C8" s="6">
        <v>564</v>
      </c>
      <c r="D8" s="218">
        <v>0.6</v>
      </c>
      <c r="E8" s="218">
        <v>0.4</v>
      </c>
      <c r="G8" s="88">
        <f t="shared" si="0"/>
        <v>338.4</v>
      </c>
      <c r="H8" s="88">
        <f t="shared" si="1"/>
        <v>225.60000000000002</v>
      </c>
    </row>
    <row r="9" spans="1:10">
      <c r="A9" t="s">
        <v>303</v>
      </c>
      <c r="B9">
        <v>2</v>
      </c>
      <c r="C9" s="6">
        <v>432</v>
      </c>
      <c r="D9" s="218">
        <v>0</v>
      </c>
      <c r="E9" s="218">
        <v>1</v>
      </c>
      <c r="G9" s="88">
        <f t="shared" si="0"/>
        <v>0</v>
      </c>
      <c r="H9" s="88">
        <f t="shared" si="1"/>
        <v>432</v>
      </c>
    </row>
    <row r="10" spans="1:10">
      <c r="A10" t="s">
        <v>303</v>
      </c>
      <c r="B10">
        <v>3</v>
      </c>
      <c r="C10" s="6">
        <v>36</v>
      </c>
      <c r="D10" s="218">
        <v>0</v>
      </c>
      <c r="E10" s="218">
        <v>1</v>
      </c>
      <c r="G10" s="88">
        <f t="shared" si="0"/>
        <v>0</v>
      </c>
      <c r="H10" s="88">
        <f t="shared" si="1"/>
        <v>36</v>
      </c>
    </row>
    <row r="12" spans="1:10">
      <c r="A12" t="s">
        <v>306</v>
      </c>
      <c r="B12">
        <v>1</v>
      </c>
      <c r="G12" s="88">
        <f>G2+G5+G8</f>
        <v>18424</v>
      </c>
      <c r="H12" s="88">
        <f t="shared" ref="H12:H14" si="2">H2+H5+H8</f>
        <v>8231</v>
      </c>
      <c r="J12" s="219">
        <f>G12/SUM(G12:H12)</f>
        <v>0.6912024010504596</v>
      </c>
    </row>
    <row r="13" spans="1:10">
      <c r="A13" t="s">
        <v>306</v>
      </c>
      <c r="B13">
        <v>2</v>
      </c>
      <c r="G13" s="88">
        <f>G3+G6+G9</f>
        <v>0</v>
      </c>
      <c r="H13" s="88">
        <f t="shared" si="2"/>
        <v>5710</v>
      </c>
    </row>
    <row r="14" spans="1:10">
      <c r="A14" t="s">
        <v>306</v>
      </c>
      <c r="B14">
        <v>3</v>
      </c>
      <c r="G14" s="88">
        <f>G4+G7+G10</f>
        <v>0</v>
      </c>
      <c r="H14" s="88">
        <f t="shared" si="2"/>
        <v>1013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O54"/>
  <sheetViews>
    <sheetView view="pageBreakPreview" zoomScale="60" zoomScaleNormal="100" workbookViewId="0"/>
  </sheetViews>
  <sheetFormatPr defaultRowHeight="15"/>
  <cols>
    <col min="1" max="1" width="27.85546875" bestFit="1" customWidth="1"/>
    <col min="3" max="3" width="2.42578125" customWidth="1"/>
    <col min="4" max="4" width="10.28515625" bestFit="1" customWidth="1"/>
    <col min="5" max="5" width="12.85546875" bestFit="1" customWidth="1"/>
    <col min="6" max="11" width="15.42578125" customWidth="1"/>
    <col min="12" max="12" width="34.5703125" customWidth="1"/>
    <col min="13" max="13" width="15.42578125" customWidth="1"/>
    <col min="14" max="14" width="19.42578125" customWidth="1"/>
    <col min="15" max="15" width="15.42578125" customWidth="1"/>
  </cols>
  <sheetData>
    <row r="1" spans="1:15" ht="18">
      <c r="A1" s="137" t="s">
        <v>101</v>
      </c>
      <c r="B1" s="138"/>
      <c r="C1" s="138"/>
      <c r="D1" s="138"/>
      <c r="E1" s="137"/>
      <c r="F1" s="137"/>
      <c r="G1" s="137"/>
      <c r="H1" s="137"/>
      <c r="I1" s="137"/>
      <c r="J1" s="139"/>
      <c r="K1" s="139"/>
      <c r="L1" s="139"/>
      <c r="M1" s="139"/>
      <c r="N1" s="139"/>
      <c r="O1" s="139"/>
    </row>
    <row r="2" spans="1:15" ht="18">
      <c r="A2" s="160" t="s">
        <v>270</v>
      </c>
      <c r="B2" s="138"/>
      <c r="C2" s="138"/>
      <c r="D2" s="138"/>
      <c r="E2" s="160"/>
      <c r="F2" s="160"/>
      <c r="G2" s="160"/>
      <c r="H2" s="160"/>
      <c r="I2" s="160"/>
      <c r="J2" s="139"/>
      <c r="K2" s="139"/>
      <c r="L2" s="139"/>
      <c r="M2" s="139"/>
      <c r="N2" s="139"/>
      <c r="O2" s="139"/>
    </row>
    <row r="3" spans="1:15" ht="18">
      <c r="A3" s="138"/>
      <c r="B3" s="138"/>
      <c r="C3" s="138"/>
      <c r="D3" s="138"/>
      <c r="E3" s="158"/>
      <c r="F3" s="159"/>
      <c r="G3" s="159"/>
      <c r="H3" s="159"/>
      <c r="I3" s="159"/>
      <c r="J3" s="139"/>
      <c r="K3" s="139"/>
      <c r="L3" s="139"/>
      <c r="M3" s="139"/>
      <c r="N3" s="139"/>
      <c r="O3" s="140"/>
    </row>
    <row r="4" spans="1:15">
      <c r="A4" s="141" t="s">
        <v>249</v>
      </c>
      <c r="B4" s="142"/>
      <c r="C4" s="142"/>
      <c r="D4" s="140"/>
      <c r="E4" s="143" t="s">
        <v>250</v>
      </c>
      <c r="F4" s="145" t="s">
        <v>272</v>
      </c>
      <c r="G4" s="145"/>
      <c r="H4" s="145"/>
      <c r="I4" s="145"/>
      <c r="J4" s="146"/>
      <c r="K4" s="146"/>
      <c r="L4" s="247" t="s">
        <v>273</v>
      </c>
      <c r="M4" s="145" t="s">
        <v>271</v>
      </c>
      <c r="N4" s="146"/>
      <c r="O4" s="147"/>
    </row>
    <row r="5" spans="1:15" ht="51.75">
      <c r="A5" s="141"/>
      <c r="B5" s="142"/>
      <c r="C5" s="142"/>
      <c r="D5" s="140"/>
      <c r="E5" s="143" t="s">
        <v>260</v>
      </c>
      <c r="F5" s="162" t="s">
        <v>62</v>
      </c>
      <c r="G5" s="162" t="s">
        <v>63</v>
      </c>
      <c r="H5" s="162" t="s">
        <v>64</v>
      </c>
      <c r="I5" s="162" t="s">
        <v>65</v>
      </c>
      <c r="J5" s="162" t="s">
        <v>66</v>
      </c>
      <c r="K5" s="162" t="s">
        <v>67</v>
      </c>
      <c r="L5" s="248" t="s">
        <v>318</v>
      </c>
      <c r="M5" s="162" t="s">
        <v>295</v>
      </c>
      <c r="N5" s="162" t="s">
        <v>296</v>
      </c>
      <c r="O5" s="163" t="s">
        <v>297</v>
      </c>
    </row>
    <row r="6" spans="1:15">
      <c r="A6" s="148"/>
      <c r="B6" s="148"/>
      <c r="C6" s="148"/>
      <c r="D6" s="148"/>
      <c r="E6" s="202"/>
      <c r="F6" s="181"/>
      <c r="G6" s="181"/>
      <c r="H6" s="181"/>
      <c r="I6" s="181"/>
      <c r="J6" s="151"/>
      <c r="K6" s="151"/>
      <c r="L6" s="249"/>
      <c r="M6" s="151"/>
      <c r="N6" s="151"/>
      <c r="O6" s="182"/>
    </row>
    <row r="7" spans="1:15">
      <c r="A7" s="152"/>
      <c r="B7" s="152"/>
      <c r="C7" s="152"/>
      <c r="D7" s="152"/>
      <c r="E7" s="203"/>
      <c r="F7" s="140"/>
      <c r="G7" s="140"/>
      <c r="H7" s="140"/>
      <c r="I7" s="140"/>
      <c r="J7" s="140"/>
      <c r="K7" s="140"/>
      <c r="L7" s="211"/>
      <c r="M7" s="185"/>
      <c r="N7" s="185"/>
      <c r="O7" s="91"/>
    </row>
    <row r="8" spans="1:15">
      <c r="A8" s="140"/>
      <c r="B8" s="153" t="s">
        <v>251</v>
      </c>
      <c r="C8" s="153"/>
      <c r="D8" s="153" t="s">
        <v>252</v>
      </c>
      <c r="E8" s="204"/>
      <c r="F8" s="154"/>
      <c r="G8" s="154"/>
      <c r="H8" s="154"/>
      <c r="I8" s="154"/>
      <c r="J8" s="140"/>
      <c r="K8" s="140"/>
      <c r="L8" s="211"/>
      <c r="M8" s="185"/>
      <c r="N8" s="185"/>
      <c r="O8" s="91"/>
    </row>
    <row r="9" spans="1:15" ht="15.75">
      <c r="A9" s="164" t="s">
        <v>262</v>
      </c>
      <c r="B9" s="165"/>
      <c r="C9" s="165"/>
      <c r="D9" s="225">
        <v>183.56123999999997</v>
      </c>
      <c r="E9" s="205"/>
      <c r="F9" s="230" t="s">
        <v>311</v>
      </c>
      <c r="G9" s="230" t="s">
        <v>311</v>
      </c>
      <c r="H9" s="230" t="s">
        <v>311</v>
      </c>
      <c r="I9" s="230" t="s">
        <v>311</v>
      </c>
      <c r="J9" s="231" t="s">
        <v>312</v>
      </c>
      <c r="K9" s="231" t="s">
        <v>313</v>
      </c>
      <c r="L9" s="205"/>
      <c r="M9" s="230" t="s">
        <v>311</v>
      </c>
      <c r="N9" s="230" t="s">
        <v>311</v>
      </c>
      <c r="O9" s="238" t="s">
        <v>312</v>
      </c>
    </row>
    <row r="10" spans="1:15" ht="15.75">
      <c r="A10" s="164" t="s">
        <v>253</v>
      </c>
      <c r="B10" s="165"/>
      <c r="C10" s="165"/>
      <c r="D10" s="166"/>
      <c r="E10" s="206"/>
      <c r="F10" s="223">
        <v>472.65</v>
      </c>
      <c r="G10" s="223">
        <v>472.65</v>
      </c>
      <c r="H10" s="223">
        <v>472.65</v>
      </c>
      <c r="I10" s="223">
        <v>472.65</v>
      </c>
      <c r="J10" s="223">
        <v>562.52</v>
      </c>
      <c r="K10" s="223">
        <v>690.7</v>
      </c>
      <c r="L10" s="205"/>
      <c r="M10" s="223">
        <v>472.65</v>
      </c>
      <c r="N10" s="223">
        <v>472.65</v>
      </c>
      <c r="O10" s="235">
        <v>562.52</v>
      </c>
    </row>
    <row r="11" spans="1:15" ht="15.75">
      <c r="A11" s="164" t="s">
        <v>257</v>
      </c>
      <c r="B11" s="224">
        <v>7.8</v>
      </c>
      <c r="C11" s="168"/>
      <c r="D11" s="169" t="s">
        <v>310</v>
      </c>
      <c r="E11" s="207"/>
      <c r="F11" s="170">
        <f>$B11*$D$9</f>
        <v>1431.7776719999997</v>
      </c>
      <c r="G11" s="170">
        <f t="shared" ref="G11:K11" si="0">$B11*$D$9</f>
        <v>1431.7776719999997</v>
      </c>
      <c r="H11" s="170">
        <f t="shared" si="0"/>
        <v>1431.7776719999997</v>
      </c>
      <c r="I11" s="170">
        <f t="shared" si="0"/>
        <v>1431.7776719999997</v>
      </c>
      <c r="J11" s="170">
        <f t="shared" si="0"/>
        <v>1431.7776719999997</v>
      </c>
      <c r="K11" s="170">
        <f t="shared" si="0"/>
        <v>1431.7776719999997</v>
      </c>
      <c r="L11" s="205"/>
      <c r="M11" s="170">
        <f>$B11*$D$9</f>
        <v>1431.7776719999997</v>
      </c>
      <c r="N11" s="170">
        <f t="shared" ref="N11:O11" si="1">$B11*$D$9</f>
        <v>1431.7776719999997</v>
      </c>
      <c r="O11" s="187">
        <f t="shared" si="1"/>
        <v>1431.7776719999997</v>
      </c>
    </row>
    <row r="12" spans="1:15" ht="15.75">
      <c r="A12" s="164" t="s">
        <v>254</v>
      </c>
      <c r="B12" s="165"/>
      <c r="C12" s="165"/>
      <c r="D12" s="166"/>
      <c r="E12" s="207"/>
      <c r="F12" s="229">
        <f>SUM(F10:F11)</f>
        <v>1904.4276719999998</v>
      </c>
      <c r="G12" s="229">
        <f t="shared" ref="G12:K12" si="2">SUM(G10:G11)</f>
        <v>1904.4276719999998</v>
      </c>
      <c r="H12" s="229">
        <f t="shared" si="2"/>
        <v>1904.4276719999998</v>
      </c>
      <c r="I12" s="229">
        <f t="shared" si="2"/>
        <v>1904.4276719999998</v>
      </c>
      <c r="J12" s="229">
        <f t="shared" si="2"/>
        <v>1994.2976719999997</v>
      </c>
      <c r="K12" s="229">
        <f t="shared" si="2"/>
        <v>2122.477672</v>
      </c>
      <c r="L12" s="250"/>
      <c r="M12" s="229">
        <f>SUM(M10:M11)</f>
        <v>1904.4276719999998</v>
      </c>
      <c r="N12" s="229">
        <f t="shared" ref="N12:O12" si="3">SUM(N10:N11)</f>
        <v>1904.4276719999998</v>
      </c>
      <c r="O12" s="236">
        <f t="shared" si="3"/>
        <v>1994.2976719999997</v>
      </c>
    </row>
    <row r="13" spans="1:15" ht="15.75">
      <c r="A13" s="164" t="s">
        <v>255</v>
      </c>
      <c r="B13" s="165"/>
      <c r="C13" s="165"/>
      <c r="D13" s="166"/>
      <c r="E13" s="208"/>
      <c r="F13" s="226">
        <v>1.12E-2</v>
      </c>
      <c r="G13" s="226">
        <v>1.12E-2</v>
      </c>
      <c r="H13" s="227">
        <v>1.12E-2</v>
      </c>
      <c r="I13" s="227">
        <v>1.12E-2</v>
      </c>
      <c r="J13" s="227">
        <v>1.12E-2</v>
      </c>
      <c r="K13" s="227">
        <v>1.12E-2</v>
      </c>
      <c r="L13" s="251"/>
      <c r="M13" s="226">
        <v>8.0000000000000002E-3</v>
      </c>
      <c r="N13" s="226">
        <v>8.0000000000000002E-3</v>
      </c>
      <c r="O13" s="237">
        <v>8.0000000000000002E-3</v>
      </c>
    </row>
    <row r="14" spans="1:15" ht="15.75">
      <c r="A14" s="164" t="s">
        <v>256</v>
      </c>
      <c r="B14" s="165"/>
      <c r="C14" s="165"/>
      <c r="D14" s="166"/>
      <c r="E14" s="207"/>
      <c r="F14" s="170">
        <f t="shared" ref="F14:J14" si="4">+F12*F13</f>
        <v>21.329589926399997</v>
      </c>
      <c r="G14" s="169">
        <f t="shared" si="4"/>
        <v>21.329589926399997</v>
      </c>
      <c r="H14" s="169">
        <f t="shared" si="4"/>
        <v>21.329589926399997</v>
      </c>
      <c r="I14" s="169">
        <f t="shared" si="4"/>
        <v>21.329589926399997</v>
      </c>
      <c r="J14" s="169">
        <f t="shared" si="4"/>
        <v>22.336133926399995</v>
      </c>
      <c r="K14" s="169">
        <f>+K12*K13</f>
        <v>23.771749926399998</v>
      </c>
      <c r="L14" s="207"/>
      <c r="M14" s="170">
        <f t="shared" ref="M14:N14" si="5">+M12*M13</f>
        <v>15.235421375999998</v>
      </c>
      <c r="N14" s="169">
        <f t="shared" si="5"/>
        <v>15.235421375999998</v>
      </c>
      <c r="O14" s="187">
        <f>+O12*O13</f>
        <v>15.954381375999997</v>
      </c>
    </row>
    <row r="15" spans="1:15" ht="15.75">
      <c r="A15" s="166"/>
      <c r="B15" s="165"/>
      <c r="C15" s="165"/>
      <c r="D15" s="166"/>
      <c r="E15" s="205"/>
      <c r="F15" s="215"/>
      <c r="G15" s="215"/>
      <c r="H15" s="216"/>
      <c r="I15" s="216"/>
      <c r="J15" s="216"/>
      <c r="K15" s="216"/>
      <c r="L15" s="252"/>
      <c r="M15" s="215"/>
      <c r="N15" s="215"/>
      <c r="O15" s="217"/>
    </row>
    <row r="16" spans="1:15" ht="15.75">
      <c r="A16" s="171" t="s">
        <v>263</v>
      </c>
      <c r="B16" s="172"/>
      <c r="C16" s="172"/>
      <c r="D16" s="171"/>
      <c r="E16" s="209"/>
      <c r="F16" s="230" t="s">
        <v>314</v>
      </c>
      <c r="G16" s="230" t="s">
        <v>314</v>
      </c>
      <c r="H16" s="230" t="s">
        <v>314</v>
      </c>
      <c r="I16" s="230" t="s">
        <v>314</v>
      </c>
      <c r="J16" s="231" t="s">
        <v>311</v>
      </c>
      <c r="K16" s="231" t="s">
        <v>312</v>
      </c>
      <c r="L16" s="253" t="s">
        <v>314</v>
      </c>
      <c r="M16" s="173"/>
      <c r="N16" s="215"/>
      <c r="O16" s="189"/>
    </row>
    <row r="17" spans="1:15" ht="15.75">
      <c r="A17" s="171" t="s">
        <v>253</v>
      </c>
      <c r="B17" s="168"/>
      <c r="C17" s="168"/>
      <c r="D17" s="171"/>
      <c r="E17" s="206"/>
      <c r="F17" s="223">
        <v>652.07000000000005</v>
      </c>
      <c r="G17" s="223">
        <v>652.07000000000005</v>
      </c>
      <c r="H17" s="232">
        <v>652.07000000000005</v>
      </c>
      <c r="I17" s="232">
        <v>652.07000000000005</v>
      </c>
      <c r="J17" s="223">
        <v>1285.45</v>
      </c>
      <c r="K17" s="223">
        <v>2251.84</v>
      </c>
      <c r="L17" s="254">
        <v>665.6</v>
      </c>
      <c r="M17" s="246"/>
      <c r="N17" s="215"/>
      <c r="O17" s="190"/>
    </row>
    <row r="18" spans="1:15" ht="15.75">
      <c r="A18" s="171" t="s">
        <v>257</v>
      </c>
      <c r="B18" s="224">
        <v>6.9</v>
      </c>
      <c r="C18" s="168"/>
      <c r="D18" s="169" t="s">
        <v>310</v>
      </c>
      <c r="E18" s="210"/>
      <c r="F18" s="170">
        <f>$B18*$D$9</f>
        <v>1266.5725559999998</v>
      </c>
      <c r="G18" s="170">
        <f t="shared" ref="G18:K18" si="6">$B18*$D$9</f>
        <v>1266.5725559999998</v>
      </c>
      <c r="H18" s="170">
        <f t="shared" si="6"/>
        <v>1266.5725559999998</v>
      </c>
      <c r="I18" s="170">
        <f t="shared" si="6"/>
        <v>1266.5725559999998</v>
      </c>
      <c r="J18" s="170">
        <f t="shared" si="6"/>
        <v>1266.5725559999998</v>
      </c>
      <c r="K18" s="170">
        <f t="shared" si="6"/>
        <v>1266.5725559999998</v>
      </c>
      <c r="L18" s="207">
        <f>$B18*$D$9</f>
        <v>1266.5725559999998</v>
      </c>
      <c r="M18" s="174"/>
      <c r="N18" s="215"/>
      <c r="O18" s="191"/>
    </row>
    <row r="19" spans="1:15">
      <c r="A19" s="171" t="s">
        <v>254</v>
      </c>
      <c r="B19" s="172"/>
      <c r="C19" s="172"/>
      <c r="D19" s="171"/>
      <c r="E19" s="210"/>
      <c r="F19" s="229">
        <f>SUM(F17:F18)</f>
        <v>1918.6425559999998</v>
      </c>
      <c r="G19" s="229">
        <f t="shared" ref="G19:K19" si="7">SUM(G17:G18)</f>
        <v>1918.6425559999998</v>
      </c>
      <c r="H19" s="229">
        <f t="shared" si="7"/>
        <v>1918.6425559999998</v>
      </c>
      <c r="I19" s="229">
        <f t="shared" si="7"/>
        <v>1918.6425559999998</v>
      </c>
      <c r="J19" s="229">
        <f t="shared" si="7"/>
        <v>2552.0225559999999</v>
      </c>
      <c r="K19" s="229">
        <f t="shared" si="7"/>
        <v>3518.4125560000002</v>
      </c>
      <c r="L19" s="255">
        <f>SUM(L17:L18)</f>
        <v>1932.172556</v>
      </c>
      <c r="M19" s="228"/>
      <c r="N19" s="228"/>
      <c r="O19" s="186"/>
    </row>
    <row r="20" spans="1:15">
      <c r="A20" s="171" t="s">
        <v>255</v>
      </c>
      <c r="B20" s="172"/>
      <c r="C20" s="172"/>
      <c r="D20" s="171"/>
      <c r="E20" s="208"/>
      <c r="F20" s="226">
        <v>4.8421052631578941E-3</v>
      </c>
      <c r="G20" s="226">
        <v>4.8421052631578941E-3</v>
      </c>
      <c r="H20" s="227">
        <v>4.8421052631578941E-3</v>
      </c>
      <c r="I20" s="227">
        <v>4.8421052631578941E-3</v>
      </c>
      <c r="J20" s="227">
        <v>4.8421052631578941E-3</v>
      </c>
      <c r="K20" s="227">
        <v>4.8421052631578941E-3</v>
      </c>
      <c r="L20" s="256">
        <v>3.5000000000000001E-3</v>
      </c>
      <c r="M20" s="239"/>
      <c r="N20" s="239"/>
      <c r="O20" s="192"/>
    </row>
    <row r="21" spans="1:15">
      <c r="A21" s="171" t="s">
        <v>256</v>
      </c>
      <c r="B21" s="172"/>
      <c r="C21" s="172"/>
      <c r="D21" s="171"/>
      <c r="E21" s="210"/>
      <c r="F21" s="170">
        <f t="shared" ref="F21:J21" si="8">+F19*F20</f>
        <v>9.2902692185263138</v>
      </c>
      <c r="G21" s="169">
        <f t="shared" si="8"/>
        <v>9.2902692185263138</v>
      </c>
      <c r="H21" s="169">
        <f t="shared" si="8"/>
        <v>9.2902692185263138</v>
      </c>
      <c r="I21" s="169">
        <f t="shared" si="8"/>
        <v>9.2902692185263138</v>
      </c>
      <c r="J21" s="169">
        <f t="shared" si="8"/>
        <v>12.35716185010526</v>
      </c>
      <c r="K21" s="169">
        <f>+K19*K20</f>
        <v>17.03652395536842</v>
      </c>
      <c r="L21" s="207">
        <f t="shared" ref="L21" si="9">+L19*L20</f>
        <v>6.7626039460000005</v>
      </c>
      <c r="M21" s="174"/>
      <c r="N21" s="174"/>
      <c r="O21" s="191"/>
    </row>
    <row r="22" spans="1:15" ht="15.75">
      <c r="A22" s="171"/>
      <c r="B22" s="172"/>
      <c r="C22" s="172"/>
      <c r="D22" s="171"/>
      <c r="E22" s="209"/>
      <c r="F22" s="173"/>
      <c r="G22" s="173"/>
      <c r="H22" s="171"/>
      <c r="I22" s="171"/>
      <c r="J22" s="216"/>
      <c r="K22" s="216"/>
      <c r="L22" s="209"/>
      <c r="M22" s="173"/>
      <c r="N22" s="215"/>
      <c r="O22" s="189"/>
    </row>
    <row r="23" spans="1:15" ht="15.75">
      <c r="A23" s="164" t="s">
        <v>264</v>
      </c>
      <c r="B23" s="165"/>
      <c r="C23" s="165"/>
      <c r="D23" s="166"/>
      <c r="E23" s="205"/>
      <c r="F23" s="230" t="s">
        <v>311</v>
      </c>
      <c r="G23" s="230" t="s">
        <v>311</v>
      </c>
      <c r="H23" s="230" t="s">
        <v>311</v>
      </c>
      <c r="I23" s="230" t="s">
        <v>311</v>
      </c>
      <c r="J23" s="231" t="s">
        <v>312</v>
      </c>
      <c r="K23" s="231" t="s">
        <v>313</v>
      </c>
      <c r="L23" s="252"/>
      <c r="M23" s="215"/>
      <c r="N23" s="215"/>
      <c r="O23" s="217"/>
    </row>
    <row r="24" spans="1:15" ht="15.75">
      <c r="A24" s="164" t="s">
        <v>253</v>
      </c>
      <c r="B24" s="165"/>
      <c r="C24" s="165"/>
      <c r="D24" s="166"/>
      <c r="E24" s="206"/>
      <c r="F24" s="223">
        <v>788.32</v>
      </c>
      <c r="G24" s="223">
        <v>788.32</v>
      </c>
      <c r="H24" s="232">
        <v>788.32</v>
      </c>
      <c r="I24" s="232">
        <v>788.32</v>
      </c>
      <c r="J24" s="223">
        <v>948.82500000000005</v>
      </c>
      <c r="K24" s="223">
        <v>1194.55</v>
      </c>
      <c r="L24" s="206"/>
      <c r="M24" s="246"/>
      <c r="N24" s="215"/>
      <c r="O24" s="190"/>
    </row>
    <row r="25" spans="1:15" ht="15.75">
      <c r="A25" s="164" t="s">
        <v>257</v>
      </c>
      <c r="B25" s="224">
        <v>6.2</v>
      </c>
      <c r="C25" s="168"/>
      <c r="D25" s="169" t="s">
        <v>310</v>
      </c>
      <c r="E25" s="207"/>
      <c r="F25" s="170">
        <f>$B25*$D$9</f>
        <v>1138.0796879999998</v>
      </c>
      <c r="G25" s="170">
        <f t="shared" ref="G25:K25" si="10">$B25*$D$9</f>
        <v>1138.0796879999998</v>
      </c>
      <c r="H25" s="170">
        <f t="shared" si="10"/>
        <v>1138.0796879999998</v>
      </c>
      <c r="I25" s="170">
        <f t="shared" si="10"/>
        <v>1138.0796879999998</v>
      </c>
      <c r="J25" s="170">
        <f t="shared" si="10"/>
        <v>1138.0796879999998</v>
      </c>
      <c r="K25" s="170">
        <f t="shared" si="10"/>
        <v>1138.0796879999998</v>
      </c>
      <c r="L25" s="207"/>
      <c r="M25" s="170"/>
      <c r="N25" s="215"/>
      <c r="O25" s="187"/>
    </row>
    <row r="26" spans="1:15" ht="15.75">
      <c r="A26" s="164" t="s">
        <v>254</v>
      </c>
      <c r="B26" s="165"/>
      <c r="C26" s="165"/>
      <c r="D26" s="166"/>
      <c r="E26" s="207"/>
      <c r="F26" s="229">
        <f>SUM(F24:F25)</f>
        <v>1926.399688</v>
      </c>
      <c r="G26" s="229">
        <f t="shared" ref="G26" si="11">SUM(G24:G25)</f>
        <v>1926.399688</v>
      </c>
      <c r="H26" s="229">
        <f t="shared" ref="H26" si="12">SUM(H24:H25)</f>
        <v>1926.399688</v>
      </c>
      <c r="I26" s="229">
        <f t="shared" ref="I26" si="13">SUM(I24:I25)</f>
        <v>1926.399688</v>
      </c>
      <c r="J26" s="229">
        <f t="shared" ref="J26" si="14">SUM(J24:J25)</f>
        <v>2086.9046879999996</v>
      </c>
      <c r="K26" s="229">
        <f t="shared" ref="K26" si="15">SUM(K24:K25)</f>
        <v>2332.629688</v>
      </c>
      <c r="L26" s="250"/>
      <c r="M26" s="228"/>
      <c r="N26" s="228"/>
      <c r="O26" s="186"/>
    </row>
    <row r="27" spans="1:15" ht="15.75">
      <c r="A27" s="164" t="s">
        <v>255</v>
      </c>
      <c r="B27" s="165"/>
      <c r="C27" s="165"/>
      <c r="D27" s="166"/>
      <c r="E27" s="208"/>
      <c r="F27" s="226">
        <v>5.0000000000000001E-3</v>
      </c>
      <c r="G27" s="226">
        <v>5.0000000000000001E-3</v>
      </c>
      <c r="H27" s="227">
        <v>5.0000000000000001E-3</v>
      </c>
      <c r="I27" s="227">
        <v>5.0000000000000001E-3</v>
      </c>
      <c r="J27" s="227">
        <v>5.0000000000000001E-3</v>
      </c>
      <c r="K27" s="227">
        <v>5.0000000000000001E-3</v>
      </c>
      <c r="L27" s="208"/>
      <c r="M27" s="239"/>
      <c r="N27" s="239"/>
      <c r="O27" s="192"/>
    </row>
    <row r="28" spans="1:15" ht="15.75">
      <c r="A28" s="164" t="s">
        <v>256</v>
      </c>
      <c r="B28" s="165"/>
      <c r="C28" s="165"/>
      <c r="D28" s="166"/>
      <c r="E28" s="207"/>
      <c r="F28" s="170">
        <f t="shared" ref="F28:J28" si="16">+F26*F27</f>
        <v>9.6319984400000003</v>
      </c>
      <c r="G28" s="169">
        <f t="shared" si="16"/>
        <v>9.6319984400000003</v>
      </c>
      <c r="H28" s="169">
        <f t="shared" si="16"/>
        <v>9.6319984400000003</v>
      </c>
      <c r="I28" s="169">
        <f t="shared" si="16"/>
        <v>9.6319984400000003</v>
      </c>
      <c r="J28" s="169">
        <f t="shared" si="16"/>
        <v>10.434523439999998</v>
      </c>
      <c r="K28" s="169">
        <f>+K26*K27</f>
        <v>11.663148440000001</v>
      </c>
      <c r="L28" s="207"/>
      <c r="M28" s="170"/>
      <c r="N28" s="170"/>
      <c r="O28" s="187"/>
    </row>
    <row r="29" spans="1:15" ht="15.75">
      <c r="A29" s="171"/>
      <c r="B29" s="172"/>
      <c r="C29" s="172"/>
      <c r="D29" s="171"/>
      <c r="E29" s="209"/>
      <c r="F29" s="173"/>
      <c r="G29" s="173"/>
      <c r="H29" s="171"/>
      <c r="I29" s="171"/>
      <c r="J29" s="216"/>
      <c r="K29" s="216"/>
      <c r="L29" s="209"/>
      <c r="M29" s="173"/>
      <c r="N29" s="215"/>
      <c r="O29" s="189"/>
    </row>
    <row r="30" spans="1:15" ht="15.75">
      <c r="A30" s="164" t="s">
        <v>265</v>
      </c>
      <c r="B30" s="165"/>
      <c r="C30" s="165"/>
      <c r="D30" s="166"/>
      <c r="E30" s="205"/>
      <c r="F30" s="215"/>
      <c r="G30" s="215"/>
      <c r="H30" s="216"/>
      <c r="I30" s="216"/>
      <c r="J30" s="216"/>
      <c r="K30" s="216"/>
      <c r="L30" s="252"/>
      <c r="M30" s="215"/>
      <c r="N30" s="215"/>
      <c r="O30" s="217"/>
    </row>
    <row r="31" spans="1:15" ht="15.75">
      <c r="A31" s="164" t="s">
        <v>253</v>
      </c>
      <c r="B31" s="165"/>
      <c r="C31" s="165"/>
      <c r="D31" s="166"/>
      <c r="E31" s="206"/>
      <c r="F31" s="223">
        <v>217.13</v>
      </c>
      <c r="G31" s="223">
        <v>217.13</v>
      </c>
      <c r="H31" s="232">
        <v>217.13</v>
      </c>
      <c r="I31" s="232">
        <v>217.13</v>
      </c>
      <c r="J31" s="223">
        <v>217.13</v>
      </c>
      <c r="K31" s="223">
        <v>217.13</v>
      </c>
      <c r="L31" s="206"/>
      <c r="M31" s="223">
        <v>165.19200000000001</v>
      </c>
      <c r="N31" s="232">
        <v>165.19200000000001</v>
      </c>
      <c r="O31" s="235">
        <v>165.19200000000001</v>
      </c>
    </row>
    <row r="32" spans="1:15">
      <c r="A32" s="164" t="s">
        <v>257</v>
      </c>
      <c r="B32" s="224">
        <v>2.2000000000000002</v>
      </c>
      <c r="C32" s="168"/>
      <c r="D32" s="169" t="s">
        <v>310</v>
      </c>
      <c r="E32" s="207"/>
      <c r="F32" s="170">
        <f>$B32*$D$9</f>
        <v>403.83472799999998</v>
      </c>
      <c r="G32" s="170">
        <f t="shared" ref="G32:K32" si="17">$B32*$D$9</f>
        <v>403.83472799999998</v>
      </c>
      <c r="H32" s="170">
        <f t="shared" si="17"/>
        <v>403.83472799999998</v>
      </c>
      <c r="I32" s="170">
        <f t="shared" si="17"/>
        <v>403.83472799999998</v>
      </c>
      <c r="J32" s="170">
        <f t="shared" si="17"/>
        <v>403.83472799999998</v>
      </c>
      <c r="K32" s="170">
        <f t="shared" si="17"/>
        <v>403.83472799999998</v>
      </c>
      <c r="L32" s="207"/>
      <c r="M32" s="170">
        <f>$B32*$D$9</f>
        <v>403.83472799999998</v>
      </c>
      <c r="N32" s="170">
        <f t="shared" ref="N32" si="18">$B32*$D$9</f>
        <v>403.83472799999998</v>
      </c>
      <c r="O32" s="187">
        <f t="shared" ref="O32" si="19">$B32*$D$9</f>
        <v>403.83472799999998</v>
      </c>
    </row>
    <row r="33" spans="1:15" ht="15.75">
      <c r="A33" s="164" t="s">
        <v>254</v>
      </c>
      <c r="B33" s="165"/>
      <c r="C33" s="165"/>
      <c r="D33" s="166"/>
      <c r="E33" s="207"/>
      <c r="F33" s="229">
        <f>SUM(F31:F32)</f>
        <v>620.96472799999992</v>
      </c>
      <c r="G33" s="229">
        <f t="shared" ref="G33" si="20">SUM(G31:G32)</f>
        <v>620.96472799999992</v>
      </c>
      <c r="H33" s="229">
        <f t="shared" ref="H33" si="21">SUM(H31:H32)</f>
        <v>620.96472799999992</v>
      </c>
      <c r="I33" s="229">
        <f t="shared" ref="I33" si="22">SUM(I31:I32)</f>
        <v>620.96472799999992</v>
      </c>
      <c r="J33" s="229">
        <f t="shared" ref="J33" si="23">SUM(J31:J32)</f>
        <v>620.96472799999992</v>
      </c>
      <c r="K33" s="229">
        <f t="shared" ref="K33" si="24">SUM(K31:K32)</f>
        <v>620.96472799999992</v>
      </c>
      <c r="L33" s="250"/>
      <c r="M33" s="229">
        <f>SUM(M31:M32)</f>
        <v>569.02672800000005</v>
      </c>
      <c r="N33" s="229">
        <f t="shared" ref="N33" si="25">SUM(N31:N32)</f>
        <v>569.02672800000005</v>
      </c>
      <c r="O33" s="236">
        <f t="shared" ref="O33" si="26">SUM(O31:O32)</f>
        <v>569.02672800000005</v>
      </c>
    </row>
    <row r="34" spans="1:15" ht="15.75">
      <c r="A34" s="164" t="s">
        <v>255</v>
      </c>
      <c r="B34" s="165"/>
      <c r="C34" s="165"/>
      <c r="D34" s="166"/>
      <c r="E34" s="208"/>
      <c r="F34" s="226">
        <v>1.2999999999999999E-2</v>
      </c>
      <c r="G34" s="226">
        <v>1.2999999999999999E-2</v>
      </c>
      <c r="H34" s="227">
        <v>1.2999999999999999E-2</v>
      </c>
      <c r="I34" s="227">
        <v>1.2999999999999999E-2</v>
      </c>
      <c r="J34" s="227">
        <v>1.2999999999999999E-2</v>
      </c>
      <c r="K34" s="227">
        <v>1.2999999999999999E-2</v>
      </c>
      <c r="L34" s="208"/>
      <c r="M34" s="226">
        <v>6.0000000000000001E-3</v>
      </c>
      <c r="N34" s="227">
        <v>6.0000000000000001E-3</v>
      </c>
      <c r="O34" s="237">
        <v>6.0000000000000001E-3</v>
      </c>
    </row>
    <row r="35" spans="1:15" ht="15.75">
      <c r="A35" s="164" t="s">
        <v>256</v>
      </c>
      <c r="B35" s="165"/>
      <c r="C35" s="165"/>
      <c r="D35" s="166"/>
      <c r="E35" s="207"/>
      <c r="F35" s="170">
        <f t="shared" ref="F35:J35" si="27">+F33*F34</f>
        <v>8.0725414639999986</v>
      </c>
      <c r="G35" s="169">
        <f t="shared" si="27"/>
        <v>8.0725414639999986</v>
      </c>
      <c r="H35" s="169">
        <f t="shared" si="27"/>
        <v>8.0725414639999986</v>
      </c>
      <c r="I35" s="169">
        <f t="shared" si="27"/>
        <v>8.0725414639999986</v>
      </c>
      <c r="J35" s="169">
        <f t="shared" si="27"/>
        <v>8.0725414639999986</v>
      </c>
      <c r="K35" s="169">
        <f>+K33*K34</f>
        <v>8.0725414639999986</v>
      </c>
      <c r="L35" s="207"/>
      <c r="M35" s="170">
        <f t="shared" ref="M35:N35" si="28">+M33*M34</f>
        <v>3.4141603680000006</v>
      </c>
      <c r="N35" s="169">
        <f t="shared" si="28"/>
        <v>3.4141603680000006</v>
      </c>
      <c r="O35" s="187">
        <f>+O33*O34</f>
        <v>3.4141603680000006</v>
      </c>
    </row>
    <row r="36" spans="1:15" ht="15.75">
      <c r="A36" s="166"/>
      <c r="B36" s="165"/>
      <c r="C36" s="165"/>
      <c r="D36" s="166"/>
      <c r="E36" s="205"/>
      <c r="F36" s="215"/>
      <c r="G36" s="215"/>
      <c r="H36" s="216"/>
      <c r="I36" s="216"/>
      <c r="J36" s="216"/>
      <c r="K36" s="216"/>
      <c r="L36" s="205"/>
      <c r="M36" s="167"/>
      <c r="N36" s="167"/>
      <c r="O36" s="188"/>
    </row>
    <row r="37" spans="1:15" ht="15.75">
      <c r="A37" s="166"/>
      <c r="B37" s="165"/>
      <c r="C37" s="165"/>
      <c r="D37" s="166"/>
      <c r="E37" s="205"/>
      <c r="F37" s="215"/>
      <c r="G37" s="215"/>
      <c r="H37" s="216"/>
      <c r="I37" s="216"/>
      <c r="J37" s="216"/>
      <c r="K37" s="216"/>
      <c r="L37" s="205"/>
      <c r="M37" s="167"/>
      <c r="N37" s="167"/>
      <c r="O37" s="188"/>
    </row>
    <row r="38" spans="1:15">
      <c r="A38" s="140" t="s">
        <v>258</v>
      </c>
      <c r="B38" s="156"/>
      <c r="C38" s="156"/>
      <c r="D38" s="140"/>
      <c r="E38" s="211"/>
      <c r="F38" s="140"/>
      <c r="G38" s="140"/>
      <c r="H38" s="140"/>
      <c r="I38" s="140"/>
      <c r="J38" s="140"/>
      <c r="K38" s="140"/>
      <c r="L38" s="211"/>
      <c r="M38" s="185"/>
      <c r="N38" s="185"/>
      <c r="O38" s="193"/>
    </row>
    <row r="39" spans="1:15">
      <c r="A39" s="140" t="s">
        <v>253</v>
      </c>
      <c r="B39" s="156"/>
      <c r="C39" s="156"/>
      <c r="D39" s="140"/>
      <c r="E39" s="212"/>
      <c r="F39" s="223">
        <v>20.92</v>
      </c>
      <c r="G39" s="223">
        <v>20.92</v>
      </c>
      <c r="H39" s="232">
        <v>20.92</v>
      </c>
      <c r="I39" s="232">
        <v>20.92</v>
      </c>
      <c r="J39" s="223">
        <v>20.92</v>
      </c>
      <c r="K39" s="223">
        <v>20.92</v>
      </c>
      <c r="L39" s="254">
        <v>20.92</v>
      </c>
      <c r="M39" s="223">
        <v>20.92</v>
      </c>
      <c r="N39" s="223">
        <v>20.92</v>
      </c>
      <c r="O39" s="235">
        <v>20.92</v>
      </c>
    </row>
    <row r="40" spans="1:15">
      <c r="A40" s="140" t="s">
        <v>257</v>
      </c>
      <c r="B40" s="233">
        <v>0.7</v>
      </c>
      <c r="C40" s="155"/>
      <c r="D40" s="234" t="s">
        <v>315</v>
      </c>
      <c r="E40" s="213"/>
      <c r="F40" s="170">
        <f>$B40*$D$9</f>
        <v>128.49286799999996</v>
      </c>
      <c r="G40" s="170">
        <f t="shared" ref="G40:N40" si="29">$B40*$D$9</f>
        <v>128.49286799999996</v>
      </c>
      <c r="H40" s="170">
        <f t="shared" si="29"/>
        <v>128.49286799999996</v>
      </c>
      <c r="I40" s="170">
        <f t="shared" si="29"/>
        <v>128.49286799999996</v>
      </c>
      <c r="J40" s="170">
        <f t="shared" si="29"/>
        <v>128.49286799999996</v>
      </c>
      <c r="K40" s="170">
        <f t="shared" si="29"/>
        <v>128.49286799999996</v>
      </c>
      <c r="L40" s="207">
        <f t="shared" si="29"/>
        <v>128.49286799999996</v>
      </c>
      <c r="M40" s="170">
        <f t="shared" si="29"/>
        <v>128.49286799999996</v>
      </c>
      <c r="N40" s="170">
        <f t="shared" si="29"/>
        <v>128.49286799999996</v>
      </c>
      <c r="O40" s="187">
        <f t="shared" ref="O40" si="30">$B40*$D$9</f>
        <v>128.49286799999996</v>
      </c>
    </row>
    <row r="41" spans="1:15">
      <c r="A41" s="140" t="s">
        <v>254</v>
      </c>
      <c r="B41" s="156"/>
      <c r="C41" s="156"/>
      <c r="D41" s="154"/>
      <c r="E41" s="213"/>
      <c r="F41" s="229">
        <f>SUM(F39:F40)</f>
        <v>149.41286799999995</v>
      </c>
      <c r="G41" s="229">
        <f t="shared" ref="G41" si="31">SUM(G39:G40)</f>
        <v>149.41286799999995</v>
      </c>
      <c r="H41" s="229">
        <f t="shared" ref="H41" si="32">SUM(H39:H40)</f>
        <v>149.41286799999995</v>
      </c>
      <c r="I41" s="229">
        <f t="shared" ref="I41" si="33">SUM(I39:I40)</f>
        <v>149.41286799999995</v>
      </c>
      <c r="J41" s="229">
        <f t="shared" ref="J41:N41" si="34">SUM(J39:J40)</f>
        <v>149.41286799999995</v>
      </c>
      <c r="K41" s="229">
        <f t="shared" ref="K41" si="35">SUM(K39:K40)</f>
        <v>149.41286799999995</v>
      </c>
      <c r="L41" s="255">
        <f t="shared" si="34"/>
        <v>149.41286799999995</v>
      </c>
      <c r="M41" s="229">
        <f t="shared" si="34"/>
        <v>149.41286799999995</v>
      </c>
      <c r="N41" s="229">
        <f t="shared" si="34"/>
        <v>149.41286799999995</v>
      </c>
      <c r="O41" s="236">
        <f t="shared" ref="O41" si="36">SUM(O39:O40)</f>
        <v>149.41286799999995</v>
      </c>
    </row>
    <row r="42" spans="1:15">
      <c r="A42" s="140" t="s">
        <v>255</v>
      </c>
      <c r="B42" s="156"/>
      <c r="C42" s="156"/>
      <c r="D42" s="154"/>
      <c r="E42" s="214"/>
      <c r="F42" s="226">
        <v>0.05</v>
      </c>
      <c r="G42" s="226">
        <v>0.05</v>
      </c>
      <c r="H42" s="227">
        <v>0.05</v>
      </c>
      <c r="I42" s="227">
        <v>0.05</v>
      </c>
      <c r="J42" s="227">
        <v>0.05</v>
      </c>
      <c r="K42" s="227">
        <v>0.05</v>
      </c>
      <c r="L42" s="256">
        <v>0.05</v>
      </c>
      <c r="M42" s="226">
        <v>0.05</v>
      </c>
      <c r="N42" s="227">
        <v>0.05</v>
      </c>
      <c r="O42" s="237">
        <v>0.05</v>
      </c>
    </row>
    <row r="43" spans="1:15">
      <c r="A43" s="140" t="s">
        <v>256</v>
      </c>
      <c r="B43" s="156"/>
      <c r="C43" s="156"/>
      <c r="D43" s="154"/>
      <c r="E43" s="213"/>
      <c r="F43" s="170">
        <f t="shared" ref="F43:J43" si="37">F41*F42</f>
        <v>7.4706433999999975</v>
      </c>
      <c r="G43" s="169">
        <f t="shared" si="37"/>
        <v>7.4706433999999975</v>
      </c>
      <c r="H43" s="169">
        <f t="shared" si="37"/>
        <v>7.4706433999999975</v>
      </c>
      <c r="I43" s="169">
        <f t="shared" si="37"/>
        <v>7.4706433999999975</v>
      </c>
      <c r="J43" s="169">
        <f t="shared" si="37"/>
        <v>7.4706433999999975</v>
      </c>
      <c r="K43" s="169">
        <f>K41*K42</f>
        <v>7.4706433999999975</v>
      </c>
      <c r="L43" s="207">
        <f t="shared" ref="L43" si="38">L41*L42</f>
        <v>7.4706433999999975</v>
      </c>
      <c r="M43" s="170">
        <f t="shared" ref="M43:N43" si="39">M41*M42</f>
        <v>7.4706433999999975</v>
      </c>
      <c r="N43" s="169">
        <f t="shared" si="39"/>
        <v>7.4706433999999975</v>
      </c>
      <c r="O43" s="187">
        <f t="shared" ref="O43" si="40">O41*O42</f>
        <v>7.4706433999999975</v>
      </c>
    </row>
    <row r="44" spans="1:15">
      <c r="A44" s="140"/>
      <c r="B44" s="156"/>
      <c r="C44" s="156"/>
      <c r="D44" s="154"/>
      <c r="E44" s="211"/>
      <c r="F44" s="140"/>
      <c r="G44" s="140"/>
      <c r="H44" s="140"/>
      <c r="I44" s="140"/>
      <c r="J44" s="140"/>
      <c r="K44" s="140"/>
      <c r="L44" s="211"/>
      <c r="M44" s="185"/>
      <c r="N44" s="185"/>
      <c r="O44" s="193"/>
    </row>
    <row r="45" spans="1:15">
      <c r="A45" s="140" t="s">
        <v>259</v>
      </c>
      <c r="B45" s="156"/>
      <c r="C45" s="156"/>
      <c r="D45" s="154"/>
      <c r="E45" s="211"/>
      <c r="F45" s="140"/>
      <c r="G45" s="140"/>
      <c r="H45" s="140"/>
      <c r="I45" s="140"/>
      <c r="J45" s="140"/>
      <c r="K45" s="140"/>
      <c r="L45" s="211"/>
      <c r="M45" s="185"/>
      <c r="N45" s="185"/>
      <c r="O45" s="193"/>
    </row>
    <row r="46" spans="1:15">
      <c r="A46" s="140" t="s">
        <v>253</v>
      </c>
      <c r="B46" s="156"/>
      <c r="C46" s="156"/>
      <c r="D46" s="154"/>
      <c r="E46" s="212"/>
      <c r="F46" s="223">
        <v>220.48</v>
      </c>
      <c r="G46" s="223">
        <v>286.14234999999996</v>
      </c>
      <c r="H46" s="232">
        <v>290.61144999999999</v>
      </c>
      <c r="I46" s="232">
        <v>300.08</v>
      </c>
      <c r="J46" s="223">
        <v>358.12074999999999</v>
      </c>
      <c r="K46" s="223">
        <v>598.33000000000004</v>
      </c>
      <c r="L46" s="254">
        <v>900</v>
      </c>
      <c r="M46" s="223">
        <f>125*'Area Light Composition'!J12+202*(1-'Area Light Composition'!J12)</f>
        <v>148.77741511911461</v>
      </c>
      <c r="N46" s="223">
        <v>244</v>
      </c>
      <c r="O46" s="235">
        <v>395</v>
      </c>
    </row>
    <row r="47" spans="1:15">
      <c r="A47" s="140" t="s">
        <v>257</v>
      </c>
      <c r="B47" s="233">
        <v>1.2</v>
      </c>
      <c r="C47" s="155"/>
      <c r="D47" s="234" t="s">
        <v>315</v>
      </c>
      <c r="E47" s="213"/>
      <c r="F47" s="170">
        <f>$B47*$D$9</f>
        <v>220.27348799999996</v>
      </c>
      <c r="G47" s="170">
        <f t="shared" ref="G47:O47" si="41">$B47*$D$9</f>
        <v>220.27348799999996</v>
      </c>
      <c r="H47" s="170">
        <f t="shared" si="41"/>
        <v>220.27348799999996</v>
      </c>
      <c r="I47" s="170">
        <f t="shared" si="41"/>
        <v>220.27348799999996</v>
      </c>
      <c r="J47" s="170">
        <f t="shared" si="41"/>
        <v>220.27348799999996</v>
      </c>
      <c r="K47" s="170">
        <f t="shared" si="41"/>
        <v>220.27348799999996</v>
      </c>
      <c r="L47" s="207">
        <f t="shared" si="41"/>
        <v>220.27348799999996</v>
      </c>
      <c r="M47" s="170">
        <f t="shared" si="41"/>
        <v>220.27348799999996</v>
      </c>
      <c r="N47" s="170">
        <f t="shared" si="41"/>
        <v>220.27348799999996</v>
      </c>
      <c r="O47" s="187">
        <f t="shared" si="41"/>
        <v>220.27348799999996</v>
      </c>
    </row>
    <row r="48" spans="1:15">
      <c r="A48" s="140" t="s">
        <v>254</v>
      </c>
      <c r="B48" s="153"/>
      <c r="C48" s="153"/>
      <c r="D48" s="140"/>
      <c r="E48" s="213"/>
      <c r="F48" s="229">
        <f>SUM(F46:F47)</f>
        <v>440.75348799999995</v>
      </c>
      <c r="G48" s="229">
        <f t="shared" ref="G48" si="42">SUM(G46:G47)</f>
        <v>506.41583799999989</v>
      </c>
      <c r="H48" s="229">
        <f t="shared" ref="H48" si="43">SUM(H46:H47)</f>
        <v>510.88493799999992</v>
      </c>
      <c r="I48" s="229">
        <f t="shared" ref="I48" si="44">SUM(I46:I47)</f>
        <v>520.35348799999997</v>
      </c>
      <c r="J48" s="229">
        <f t="shared" ref="J48" si="45">SUM(J46:J47)</f>
        <v>578.39423799999997</v>
      </c>
      <c r="K48" s="229">
        <f t="shared" ref="K48" si="46">SUM(K46:K47)</f>
        <v>818.60348799999997</v>
      </c>
      <c r="L48" s="255">
        <f t="shared" ref="L48:N48" si="47">SUM(L46:L47)</f>
        <v>1120.273488</v>
      </c>
      <c r="M48" s="229">
        <f t="shared" si="47"/>
        <v>369.05090311911454</v>
      </c>
      <c r="N48" s="229">
        <f t="shared" si="47"/>
        <v>464.27348799999993</v>
      </c>
      <c r="O48" s="236">
        <f t="shared" ref="O48" si="48">SUM(O46:O47)</f>
        <v>615.27348799999993</v>
      </c>
    </row>
    <row r="49" spans="1:15">
      <c r="A49" s="140" t="s">
        <v>255</v>
      </c>
      <c r="B49" s="153"/>
      <c r="C49" s="153"/>
      <c r="D49" s="140"/>
      <c r="E49" s="214"/>
      <c r="F49" s="226">
        <v>0.05</v>
      </c>
      <c r="G49" s="226">
        <v>0.05</v>
      </c>
      <c r="H49" s="227">
        <v>0.05</v>
      </c>
      <c r="I49" s="227">
        <v>0.05</v>
      </c>
      <c r="J49" s="227">
        <v>0.04</v>
      </c>
      <c r="K49" s="227">
        <v>0.04</v>
      </c>
      <c r="L49" s="256">
        <v>0.04</v>
      </c>
      <c r="M49" s="226">
        <v>0.04</v>
      </c>
      <c r="N49" s="227">
        <v>0.04</v>
      </c>
      <c r="O49" s="237">
        <v>0.04</v>
      </c>
    </row>
    <row r="50" spans="1:15">
      <c r="A50" s="140" t="s">
        <v>256</v>
      </c>
      <c r="B50" s="153"/>
      <c r="C50" s="153"/>
      <c r="D50" s="140"/>
      <c r="E50" s="213"/>
      <c r="F50" s="170">
        <f t="shared" ref="F50:J50" si="49">F48*F49</f>
        <v>22.0376744</v>
      </c>
      <c r="G50" s="169">
        <f t="shared" si="49"/>
        <v>25.320791899999996</v>
      </c>
      <c r="H50" s="169">
        <f t="shared" si="49"/>
        <v>25.544246899999997</v>
      </c>
      <c r="I50" s="169">
        <f t="shared" si="49"/>
        <v>26.017674400000001</v>
      </c>
      <c r="J50" s="169">
        <f t="shared" si="49"/>
        <v>23.13576952</v>
      </c>
      <c r="K50" s="169">
        <f>K48*K49</f>
        <v>32.744139519999997</v>
      </c>
      <c r="L50" s="207">
        <f t="shared" ref="L50:O50" si="50">L48*L49</f>
        <v>44.810939520000005</v>
      </c>
      <c r="M50" s="170">
        <f t="shared" si="50"/>
        <v>14.762036124764581</v>
      </c>
      <c r="N50" s="169">
        <f t="shared" si="50"/>
        <v>18.570939519999996</v>
      </c>
      <c r="O50" s="187">
        <f t="shared" si="50"/>
        <v>24.610939519999999</v>
      </c>
    </row>
    <row r="51" spans="1:15">
      <c r="A51" s="140"/>
      <c r="B51" s="153"/>
      <c r="C51" s="153"/>
      <c r="D51" s="140"/>
      <c r="E51" s="211"/>
      <c r="F51" s="140"/>
      <c r="G51" s="140"/>
      <c r="H51" s="140"/>
      <c r="I51" s="140"/>
      <c r="J51" s="140"/>
      <c r="K51" s="140"/>
      <c r="L51" s="211"/>
      <c r="M51" s="185"/>
      <c r="N51" s="185"/>
      <c r="O51" s="193"/>
    </row>
    <row r="52" spans="1:15">
      <c r="A52" s="140" t="s">
        <v>261</v>
      </c>
      <c r="B52" s="153"/>
      <c r="C52" s="153"/>
      <c r="D52" s="157"/>
      <c r="E52" s="211"/>
      <c r="F52" s="177">
        <f>F14+F21+F28+F35+F43+F50</f>
        <v>77.83271684892631</v>
      </c>
      <c r="G52" s="177">
        <f t="shared" ref="G52:J52" si="51">G14+G21+G28+G35+G43+G50</f>
        <v>81.115834348926313</v>
      </c>
      <c r="H52" s="177">
        <f t="shared" si="51"/>
        <v>81.339289348926314</v>
      </c>
      <c r="I52" s="177">
        <f t="shared" si="51"/>
        <v>81.812716848926314</v>
      </c>
      <c r="J52" s="177">
        <f t="shared" si="51"/>
        <v>83.806773600505252</v>
      </c>
      <c r="K52" s="177">
        <f>K14+K21+K28+K35+K43+K50</f>
        <v>100.7587467057684</v>
      </c>
      <c r="L52" s="257">
        <f t="shared" ref="L52" si="52">L14+L21+L28+L35+L43+L50</f>
        <v>59.044186866000004</v>
      </c>
      <c r="M52" s="177">
        <f t="shared" ref="M52:N52" si="53">M14+M21+M28+M35+M43+M50</f>
        <v>40.88226126876458</v>
      </c>
      <c r="N52" s="177">
        <f t="shared" si="53"/>
        <v>44.691164663999992</v>
      </c>
      <c r="O52" s="194">
        <f t="shared" ref="O52" si="54">O14+O21+O28+O35+O43+O50</f>
        <v>51.450124663999993</v>
      </c>
    </row>
    <row r="53" spans="1:15">
      <c r="E53" s="129"/>
      <c r="L53" s="129"/>
      <c r="M53" s="90"/>
      <c r="N53" s="90"/>
      <c r="O53" s="91"/>
    </row>
    <row r="54" spans="1:15">
      <c r="A54" s="140" t="s">
        <v>266</v>
      </c>
      <c r="E54" s="131"/>
      <c r="F54" s="176">
        <f>F52/12</f>
        <v>6.4860597374105255</v>
      </c>
      <c r="G54" s="176">
        <f t="shared" ref="G54:J54" si="55">G52/12</f>
        <v>6.7596528624105261</v>
      </c>
      <c r="H54" s="176">
        <f t="shared" si="55"/>
        <v>6.7782741124105259</v>
      </c>
      <c r="I54" s="176">
        <f t="shared" si="55"/>
        <v>6.8177264040771925</v>
      </c>
      <c r="J54" s="176">
        <f t="shared" si="55"/>
        <v>6.9838978000421044</v>
      </c>
      <c r="K54" s="176">
        <f>K52/12</f>
        <v>8.3965622254807002</v>
      </c>
      <c r="L54" s="258">
        <f t="shared" ref="L54" si="56">L52/12</f>
        <v>4.9203489055</v>
      </c>
      <c r="M54" s="176">
        <f t="shared" ref="M54:N54" si="57">M52/12</f>
        <v>3.4068551057303815</v>
      </c>
      <c r="N54" s="176">
        <f t="shared" si="57"/>
        <v>3.7242637219999994</v>
      </c>
      <c r="O54" s="195">
        <f t="shared" ref="O54" si="58">O52/12</f>
        <v>4.2875103886666661</v>
      </c>
    </row>
  </sheetData>
  <pageMargins left="0.7" right="0.7" top="0.75" bottom="0.75" header="0.3" footer="0.3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F16"/>
  <sheetViews>
    <sheetView view="pageBreakPreview" zoomScale="60" zoomScaleNormal="100" workbookViewId="0"/>
  </sheetViews>
  <sheetFormatPr defaultRowHeight="15"/>
  <cols>
    <col min="1" max="1" width="10.42578125" bestFit="1" customWidth="1"/>
    <col min="2" max="2" width="19.7109375" bestFit="1" customWidth="1"/>
    <col min="3" max="3" width="14.140625" bestFit="1" customWidth="1"/>
    <col min="4" max="4" width="13.85546875" customWidth="1"/>
    <col min="6" max="6" width="56.140625" bestFit="1" customWidth="1"/>
  </cols>
  <sheetData>
    <row r="1" spans="1:6">
      <c r="A1" s="2" t="s">
        <v>316</v>
      </c>
      <c r="B1" s="3"/>
      <c r="C1" s="3"/>
      <c r="D1" s="3"/>
      <c r="E1" s="3"/>
      <c r="F1" s="3"/>
    </row>
    <row r="3" spans="1:6" ht="30">
      <c r="A3" s="35" t="s">
        <v>144</v>
      </c>
      <c r="B3" s="36" t="s">
        <v>145</v>
      </c>
      <c r="C3" s="36" t="s">
        <v>146</v>
      </c>
      <c r="D3" s="36" t="s">
        <v>153</v>
      </c>
    </row>
    <row r="4" spans="1:6">
      <c r="A4" s="35">
        <v>1</v>
      </c>
      <c r="B4" s="37">
        <v>2700</v>
      </c>
      <c r="C4" s="38" t="s">
        <v>147</v>
      </c>
      <c r="D4" s="222">
        <v>100</v>
      </c>
      <c r="F4" s="4" t="s">
        <v>62</v>
      </c>
    </row>
    <row r="5" spans="1:6">
      <c r="A5" s="35">
        <v>2</v>
      </c>
      <c r="B5" s="37">
        <v>4000</v>
      </c>
      <c r="C5" s="38" t="s">
        <v>148</v>
      </c>
      <c r="D5" s="222">
        <v>183</v>
      </c>
      <c r="F5" s="4" t="s">
        <v>63</v>
      </c>
    </row>
    <row r="6" spans="1:6">
      <c r="A6" s="35">
        <v>3</v>
      </c>
      <c r="B6" s="37">
        <v>6200</v>
      </c>
      <c r="C6" s="38" t="s">
        <v>149</v>
      </c>
      <c r="D6" s="222">
        <v>296</v>
      </c>
      <c r="F6" s="4" t="s">
        <v>64</v>
      </c>
    </row>
    <row r="7" spans="1:6">
      <c r="A7" s="35">
        <v>4</v>
      </c>
      <c r="B7" s="37">
        <v>9000</v>
      </c>
      <c r="C7" s="38" t="s">
        <v>150</v>
      </c>
      <c r="D7" s="222">
        <v>413</v>
      </c>
      <c r="F7" s="4" t="s">
        <v>65</v>
      </c>
    </row>
    <row r="8" spans="1:6">
      <c r="A8" s="35">
        <v>5</v>
      </c>
      <c r="B8" s="37">
        <v>13000</v>
      </c>
      <c r="C8" s="38" t="s">
        <v>151</v>
      </c>
      <c r="D8" s="222">
        <v>525</v>
      </c>
      <c r="F8" s="4" t="s">
        <v>66</v>
      </c>
    </row>
    <row r="9" spans="1:6">
      <c r="A9" s="35">
        <v>6</v>
      </c>
      <c r="B9" s="37">
        <v>16800</v>
      </c>
      <c r="C9" s="38" t="s">
        <v>152</v>
      </c>
      <c r="D9" s="222">
        <v>688</v>
      </c>
      <c r="F9" s="4" t="s">
        <v>67</v>
      </c>
    </row>
    <row r="11" spans="1:6">
      <c r="A11" s="1" t="s">
        <v>154</v>
      </c>
    </row>
    <row r="13" spans="1:6" ht="30">
      <c r="A13" s="35" t="s">
        <v>144</v>
      </c>
      <c r="B13" s="36" t="s">
        <v>145</v>
      </c>
      <c r="C13" s="36" t="s">
        <v>146</v>
      </c>
      <c r="D13" s="36" t="s">
        <v>153</v>
      </c>
    </row>
    <row r="14" spans="1:6">
      <c r="A14" s="35">
        <v>1</v>
      </c>
      <c r="B14" s="37">
        <v>4000</v>
      </c>
      <c r="C14" s="221" t="s">
        <v>307</v>
      </c>
      <c r="D14" s="222">
        <f>ROUND(242*'Area Light Composition'!$J$12+183*(1-'Area Light Composition'!$J$12),0)</f>
        <v>224</v>
      </c>
      <c r="F14" s="4" t="s">
        <v>295</v>
      </c>
    </row>
    <row r="15" spans="1:6">
      <c r="A15" s="35">
        <v>2</v>
      </c>
      <c r="B15" s="37">
        <v>9000</v>
      </c>
      <c r="C15" s="221" t="s">
        <v>308</v>
      </c>
      <c r="D15" s="222">
        <v>413</v>
      </c>
      <c r="F15" s="4" t="s">
        <v>296</v>
      </c>
    </row>
    <row r="16" spans="1:6">
      <c r="A16" s="35">
        <v>3</v>
      </c>
      <c r="B16" s="37">
        <v>16800</v>
      </c>
      <c r="C16" s="221" t="s">
        <v>309</v>
      </c>
      <c r="D16" s="222">
        <v>688</v>
      </c>
      <c r="F16" s="4" t="s">
        <v>297</v>
      </c>
    </row>
  </sheetData>
  <pageMargins left="0.7" right="0.7" top="0.75" bottom="0.75" header="0.3" footer="0.3"/>
  <pageSetup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FFFF"/>
    <pageSetUpPr fitToPage="1"/>
  </sheetPr>
  <dimension ref="A1:Q52"/>
  <sheetViews>
    <sheetView view="pageBreakPreview" zoomScaleNormal="100" zoomScaleSheetLayoutView="100" workbookViewId="0">
      <pane xSplit="1" ySplit="9" topLeftCell="G10" activePane="bottomRight" state="frozen"/>
      <selection pane="topRight" activeCell="B1" sqref="B1"/>
      <selection pane="bottomLeft" activeCell="A8" sqref="A8"/>
      <selection pane="bottomRight"/>
    </sheetView>
  </sheetViews>
  <sheetFormatPr defaultRowHeight="15"/>
  <cols>
    <col min="1" max="1" width="70" customWidth="1"/>
    <col min="2" max="2" width="13.28515625" bestFit="1" customWidth="1"/>
    <col min="3" max="3" width="9.5703125" bestFit="1" customWidth="1"/>
    <col min="4" max="4" width="16.5703125" bestFit="1" customWidth="1"/>
    <col min="5" max="5" width="9" bestFit="1" customWidth="1"/>
    <col min="6" max="6" width="8.42578125" bestFit="1" customWidth="1"/>
    <col min="7" max="7" width="9" bestFit="1" customWidth="1"/>
    <col min="8" max="8" width="19.140625" customWidth="1"/>
    <col min="9" max="9" width="17.7109375" bestFit="1" customWidth="1"/>
    <col min="10" max="10" width="11.42578125" bestFit="1" customWidth="1"/>
    <col min="11" max="11" width="22" bestFit="1" customWidth="1"/>
    <col min="12" max="12" width="19.7109375" bestFit="1" customWidth="1"/>
    <col min="13" max="13" width="15.42578125" bestFit="1" customWidth="1"/>
    <col min="14" max="14" width="31" bestFit="1" customWidth="1"/>
    <col min="15" max="15" width="13.42578125" customWidth="1"/>
    <col min="16" max="16" width="14.7109375" customWidth="1"/>
    <col min="17" max="17" width="11.5703125" bestFit="1" customWidth="1"/>
  </cols>
  <sheetData>
    <row r="1" spans="1:17">
      <c r="A1" s="2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7">
      <c r="A2" s="2" t="s">
        <v>1</v>
      </c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7">
      <c r="A3" s="2" t="s">
        <v>99</v>
      </c>
      <c r="B3" s="2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7">
      <c r="A4" s="2" t="s">
        <v>3</v>
      </c>
      <c r="B4" s="2"/>
      <c r="C4" s="2"/>
      <c r="D4" s="2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7">
      <c r="A5" s="2" t="s">
        <v>2</v>
      </c>
      <c r="B5" s="2"/>
      <c r="C5" s="2"/>
      <c r="D5" s="2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7" spans="1:17">
      <c r="A7" s="24"/>
      <c r="B7" s="16"/>
      <c r="C7" s="17"/>
      <c r="D7" s="17"/>
      <c r="E7" s="13" t="s">
        <v>87</v>
      </c>
      <c r="F7" s="14"/>
      <c r="G7" s="14"/>
      <c r="H7" s="15"/>
      <c r="I7" s="13" t="s">
        <v>88</v>
      </c>
      <c r="J7" s="14"/>
      <c r="K7" s="15"/>
      <c r="L7" s="13" t="s">
        <v>90</v>
      </c>
      <c r="M7" s="14"/>
      <c r="N7" s="15"/>
      <c r="O7" s="29" t="s">
        <v>97</v>
      </c>
      <c r="P7" s="29" t="s">
        <v>243</v>
      </c>
    </row>
    <row r="8" spans="1:17">
      <c r="A8" s="25"/>
      <c r="B8" s="11" t="s">
        <v>81</v>
      </c>
      <c r="C8" s="18" t="s">
        <v>83</v>
      </c>
      <c r="D8" s="18" t="s">
        <v>89</v>
      </c>
      <c r="E8" s="11" t="s">
        <v>237</v>
      </c>
      <c r="F8" s="18" t="s">
        <v>238</v>
      </c>
      <c r="G8" s="18" t="s">
        <v>239</v>
      </c>
      <c r="H8" s="12" t="s">
        <v>85</v>
      </c>
      <c r="I8" s="11" t="s">
        <v>240</v>
      </c>
      <c r="J8" s="18" t="s">
        <v>143</v>
      </c>
      <c r="K8" s="12" t="s">
        <v>241</v>
      </c>
      <c r="L8" s="11" t="s">
        <v>91</v>
      </c>
      <c r="M8" s="18" t="s">
        <v>93</v>
      </c>
      <c r="N8" s="12" t="s">
        <v>242</v>
      </c>
      <c r="O8" s="27" t="s">
        <v>98</v>
      </c>
      <c r="P8" s="27" t="s">
        <v>244</v>
      </c>
    </row>
    <row r="9" spans="1:17">
      <c r="A9" s="26" t="s">
        <v>4</v>
      </c>
      <c r="B9" s="19" t="s">
        <v>82</v>
      </c>
      <c r="C9" s="20" t="s">
        <v>84</v>
      </c>
      <c r="D9" s="20" t="s">
        <v>58</v>
      </c>
      <c r="E9" s="21" t="s">
        <v>94</v>
      </c>
      <c r="F9" s="21" t="s">
        <v>94</v>
      </c>
      <c r="G9" s="21" t="s">
        <v>94</v>
      </c>
      <c r="H9" s="22" t="s">
        <v>86</v>
      </c>
      <c r="I9" s="21" t="s">
        <v>100</v>
      </c>
      <c r="J9" s="21" t="s">
        <v>100</v>
      </c>
      <c r="K9" s="22" t="s">
        <v>86</v>
      </c>
      <c r="L9" s="21" t="s">
        <v>92</v>
      </c>
      <c r="M9" s="23" t="s">
        <v>92</v>
      </c>
      <c r="N9" s="22" t="s">
        <v>86</v>
      </c>
      <c r="O9" s="28" t="s">
        <v>86</v>
      </c>
      <c r="P9" s="28" t="s">
        <v>111</v>
      </c>
    </row>
    <row r="10" spans="1:17">
      <c r="A10" s="11"/>
      <c r="B10" s="18"/>
      <c r="C10" s="89"/>
      <c r="D10" s="18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1"/>
      <c r="P10" s="129"/>
    </row>
    <row r="11" spans="1:17">
      <c r="A11" s="92" t="s">
        <v>78</v>
      </c>
      <c r="B11" s="90"/>
      <c r="C11" s="93">
        <f>'SL Blocking'!C19/12</f>
        <v>2323.8333333333335</v>
      </c>
      <c r="D11" s="90"/>
      <c r="E11" s="90"/>
      <c r="F11" s="90"/>
      <c r="G11" s="90"/>
      <c r="H11" s="90"/>
      <c r="I11" s="90"/>
      <c r="J11" s="94">
        <f>'Unit Costs wo fixture cost'!$J$101/12</f>
        <v>3.520226677986305</v>
      </c>
      <c r="K11" s="95">
        <f>SUM(I11:J11)*C11/1000*12</f>
        <v>98.165041142326103</v>
      </c>
      <c r="L11" s="90"/>
      <c r="M11" s="90"/>
      <c r="N11" s="90"/>
      <c r="O11" s="91"/>
      <c r="P11" s="129"/>
    </row>
    <row r="12" spans="1:17">
      <c r="A12" s="96" t="s">
        <v>295</v>
      </c>
      <c r="B12" s="97">
        <f>INDEX('LED Lighting kWh pg 3'!$D:$D,MATCH($A12,'LED Lighting kWh pg 3'!$F:$F,0))*D12</f>
        <v>497560.17028832133</v>
      </c>
      <c r="C12" s="97"/>
      <c r="D12" s="97">
        <f>SUMIFS('Price Summary pg 5,6'!$E:$E,'Price Summary pg 5,6'!$I:$I,$A12)/12</f>
        <v>2221.2507602157202</v>
      </c>
      <c r="E12" s="98">
        <f>'Unit Costs wo fixture cost'!$J$28</f>
        <v>3.0486609645985378E-2</v>
      </c>
      <c r="F12" s="99">
        <f>'Unit Costs wo fixture cost'!$J$46</f>
        <v>4.4859251887718436E-3</v>
      </c>
      <c r="G12" s="98">
        <f>'Unit Costs wo fixture cost'!$J$70+'Unit Costs wo fixture cost'!$J$76+'Unit Costs wo fixture cost'!$J$82</f>
        <v>6.2567974121400154E-3</v>
      </c>
      <c r="H12" s="95">
        <f>SUM(E12:G12)*B12/1000</f>
        <v>20.514073573639969</v>
      </c>
      <c r="I12" s="90"/>
      <c r="J12" s="94"/>
      <c r="K12" s="100"/>
      <c r="L12" s="104">
        <f>'Maintenance Assumptions pg 2'!M54</f>
        <v>3.4068551057303815</v>
      </c>
      <c r="M12" s="105">
        <f>'Install Cst (Exsting Pole) pg 1'!K12</f>
        <v>6.2696503573741067</v>
      </c>
      <c r="N12" s="95">
        <f>SUM(L12:M12)*D12/1000*12</f>
        <v>257.92734139382895</v>
      </c>
      <c r="O12" s="91"/>
      <c r="P12" s="132">
        <f>INDEX('LED Lighting kWh pg 3'!$D:$D,MATCH($A12,'LED Lighting kWh pg 3'!$F:$F,0))*SUM(E12:G12)/12+$K$11/$D$15/12*1000+L12+M12</f>
        <v>13.387176112582864</v>
      </c>
      <c r="Q12" s="6"/>
    </row>
    <row r="13" spans="1:17">
      <c r="A13" s="96" t="s">
        <v>296</v>
      </c>
      <c r="B13" s="97">
        <f>INDEX('LED Lighting kWh pg 3'!$D:$D,MATCH($A13,'LED Lighting kWh pg 3'!$F:$F,0))*D13</f>
        <v>196515.7087949237</v>
      </c>
      <c r="C13" s="97"/>
      <c r="D13" s="97">
        <f>SUMIFS('Price Summary pg 5,6'!$E:$E,'Price Summary pg 5,6'!$I:$I,$A13)/12</f>
        <v>475.8249607625271</v>
      </c>
      <c r="E13" s="98">
        <f>'Unit Costs wo fixture cost'!$J$28</f>
        <v>3.0486609645985378E-2</v>
      </c>
      <c r="F13" s="99">
        <f>'Unit Costs wo fixture cost'!$J$46</f>
        <v>4.4859251887718436E-3</v>
      </c>
      <c r="G13" s="98">
        <f>'Unit Costs wo fixture cost'!$J$70+'Unit Costs wo fixture cost'!$J$76+'Unit Costs wo fixture cost'!$J$82</f>
        <v>6.2567974121400154E-3</v>
      </c>
      <c r="H13" s="95">
        <f t="shared" ref="H13:H14" si="0">SUM(E13:G13)*B13/1000</f>
        <v>8.1022114496404161</v>
      </c>
      <c r="I13" s="90"/>
      <c r="J13" s="94"/>
      <c r="K13" s="100"/>
      <c r="L13" s="104">
        <f>'Maintenance Assumptions pg 2'!N54</f>
        <v>3.7242637219999994</v>
      </c>
      <c r="M13" s="105">
        <f>'Install Cst (Exsting Pole) pg 1'!L12</f>
        <v>6.9750910070333338</v>
      </c>
      <c r="N13" s="95">
        <f t="shared" ref="N13:N14" si="1">SUM(L13:M13)*D13/1000*12</f>
        <v>61.092240529519728</v>
      </c>
      <c r="O13" s="91"/>
      <c r="P13" s="130">
        <f>INDEX('LED Lighting kWh pg 3'!$D:$D,MATCH($A13,'LED Lighting kWh pg 3'!$F:$F,0))*SUM(E13:G13)/12+$K$11/$D$15/12*1000+L13+M13</f>
        <v>15.05938736140034</v>
      </c>
      <c r="Q13" s="6"/>
    </row>
    <row r="14" spans="1:17">
      <c r="A14" s="96" t="s">
        <v>297</v>
      </c>
      <c r="B14" s="97">
        <f>INDEX('LED Lighting kWh pg 3'!$D:$D,MATCH($A14,'LED Lighting kWh pg 3'!$F:$F,0))*D14</f>
        <v>58053.864225163568</v>
      </c>
      <c r="C14" s="97"/>
      <c r="D14" s="97">
        <f>SUMIFS('Price Summary pg 5,6'!$E:$E,'Price Summary pg 5,6'!$I:$I,$A14)/12</f>
        <v>84.3806166063424</v>
      </c>
      <c r="E14" s="98">
        <f>'Unit Costs wo fixture cost'!$J$28</f>
        <v>3.0486609645985378E-2</v>
      </c>
      <c r="F14" s="99">
        <f>'Unit Costs wo fixture cost'!$J$46</f>
        <v>4.4859251887718436E-3</v>
      </c>
      <c r="G14" s="98">
        <f>'Unit Costs wo fixture cost'!$J$70+'Unit Costs wo fixture cost'!$J$76+'Unit Costs wo fixture cost'!$J$82</f>
        <v>6.2567974121400154E-3</v>
      </c>
      <c r="H14" s="95">
        <f t="shared" si="0"/>
        <v>2.3935220563555304</v>
      </c>
      <c r="I14" s="90"/>
      <c r="J14" s="94"/>
      <c r="K14" s="100"/>
      <c r="L14" s="104">
        <f>'Maintenance Assumptions pg 2'!O54</f>
        <v>4.2875103886666661</v>
      </c>
      <c r="M14" s="105">
        <f>'Install Cst (Exsting Pole) pg 1'!M12</f>
        <v>8.0937493403666672</v>
      </c>
      <c r="N14" s="95">
        <f t="shared" si="1"/>
        <v>12.536859963589301</v>
      </c>
      <c r="O14" s="91"/>
      <c r="P14" s="133">
        <f>INDEX('LED Lighting kWh pg 3'!$D:$D,MATCH($A14,'LED Lighting kWh pg 3'!$F:$F,0))*SUM(E14:G14)/12+$K$11/$D$15/12*1000+L14+M14</f>
        <v>17.686131225391733</v>
      </c>
      <c r="Q14" s="6"/>
    </row>
    <row r="15" spans="1:17">
      <c r="A15" s="111" t="s">
        <v>95</v>
      </c>
      <c r="B15" s="112">
        <f t="shared" ref="B15:D15" si="2">SUM(B11:B14)</f>
        <v>752129.74330840865</v>
      </c>
      <c r="C15" s="112">
        <f t="shared" si="2"/>
        <v>2323.8333333333335</v>
      </c>
      <c r="D15" s="112">
        <f t="shared" si="2"/>
        <v>2781.4563375845896</v>
      </c>
      <c r="E15" s="113"/>
      <c r="F15" s="113"/>
      <c r="G15" s="113"/>
      <c r="H15" s="114">
        <f>SUM(H11:H14)</f>
        <v>31.009807079635912</v>
      </c>
      <c r="I15" s="113"/>
      <c r="J15" s="113"/>
      <c r="K15" s="114">
        <f>SUM(K11:K14)</f>
        <v>98.165041142326103</v>
      </c>
      <c r="L15" s="220"/>
      <c r="M15" s="220"/>
      <c r="N15" s="114">
        <f>SUM(N11:N14)</f>
        <v>331.55644188693799</v>
      </c>
      <c r="O15" s="124">
        <f>N15+K15+H15</f>
        <v>460.7312901089</v>
      </c>
      <c r="P15" s="129"/>
      <c r="Q15" s="128"/>
    </row>
    <row r="16" spans="1:17">
      <c r="A16" s="92"/>
      <c r="B16" s="90"/>
      <c r="C16" s="93"/>
      <c r="D16" s="90"/>
      <c r="E16" s="90"/>
      <c r="F16" s="90"/>
      <c r="G16" s="90"/>
      <c r="H16" s="100"/>
      <c r="I16" s="90"/>
      <c r="J16" s="90"/>
      <c r="K16" s="100"/>
      <c r="L16" s="55"/>
      <c r="M16" s="55"/>
      <c r="N16" s="90"/>
      <c r="O16" s="91"/>
      <c r="P16" s="129"/>
    </row>
    <row r="17" spans="1:17">
      <c r="A17" s="101" t="s">
        <v>77</v>
      </c>
      <c r="B17" s="102"/>
      <c r="C17" s="103">
        <f>'SL Blocking'!C61/12+'SL Blocking'!C73+'SL Blocking'!C135/12</f>
        <v>290.16666666666669</v>
      </c>
      <c r="D17" s="102"/>
      <c r="E17" s="90"/>
      <c r="F17" s="90"/>
      <c r="G17" s="90"/>
      <c r="H17" s="100"/>
      <c r="I17" s="90"/>
      <c r="J17" s="94">
        <f>'Unit Costs wo fixture cost'!$J$101/12</f>
        <v>3.520226677986305</v>
      </c>
      <c r="K17" s="95">
        <f>SUM(I17:J17)*C17/1000*12</f>
        <v>12.257429292748315</v>
      </c>
      <c r="L17" s="55"/>
      <c r="M17" s="55"/>
      <c r="N17" s="90"/>
      <c r="O17" s="91"/>
      <c r="P17" s="129"/>
    </row>
    <row r="18" spans="1:17">
      <c r="A18" s="96" t="s">
        <v>62</v>
      </c>
      <c r="B18" s="97">
        <f>INDEX('LED Lighting kWh pg 3'!$D:$D,MATCH($A18,'LED Lighting kWh pg 3'!$F:$F,0))*D18</f>
        <v>222805.93940080822</v>
      </c>
      <c r="C18" s="97"/>
      <c r="D18" s="97">
        <f>SUMIFS('Price Summary pg 5,6'!$E:$E,'Price Summary pg 5,6'!$I:$I,$A18)/12</f>
        <v>2228.0593940080821</v>
      </c>
      <c r="E18" s="98">
        <f>'Unit Costs wo fixture cost'!$J$28</f>
        <v>3.0486609645985378E-2</v>
      </c>
      <c r="F18" s="99">
        <f>'Unit Costs wo fixture cost'!$J$46</f>
        <v>4.4859251887718436E-3</v>
      </c>
      <c r="G18" s="98">
        <f>'Unit Costs wo fixture cost'!$J$70+'Unit Costs wo fixture cost'!$J$76+'Unit Costs wo fixture cost'!$J$82</f>
        <v>6.2567974121400154E-3</v>
      </c>
      <c r="H18" s="95">
        <f t="shared" ref="H18:H31" si="3">SUM(E18:G18)*B18/1000</f>
        <v>9.1861401021379745</v>
      </c>
      <c r="I18" s="90"/>
      <c r="J18" s="94"/>
      <c r="K18" s="100"/>
      <c r="L18" s="105">
        <f>'Maintenance Assumptions pg 2'!F54</f>
        <v>6.4860597374105255</v>
      </c>
      <c r="M18" s="105">
        <f>'Install Cst (Exsting Pole) pg 1'!D12</f>
        <v>7.1856210236999978</v>
      </c>
      <c r="N18" s="95">
        <f t="shared" ref="N18:N29" si="4">SUM(L18:M18)*D18/1000*12</f>
        <v>365.53580102006237</v>
      </c>
      <c r="O18" s="91"/>
      <c r="P18" s="132">
        <f>INDEX('LED Lighting kWh pg 3'!$D:$D,MATCH($A18,'LED Lighting kWh pg 3'!$F:$F,0))*SUM(E18:G18)/12+$K$17/$D$32/12*1000+L18+M18</f>
        <v>14.165599788164798</v>
      </c>
      <c r="Q18" s="6"/>
    </row>
    <row r="19" spans="1:17">
      <c r="A19" s="96" t="s">
        <v>63</v>
      </c>
      <c r="B19" s="97">
        <f>INDEX('LED Lighting kWh pg 3'!$D:$D,MATCH($A19,'LED Lighting kWh pg 3'!$F:$F,0))*D19</f>
        <v>313089.05318924179</v>
      </c>
      <c r="C19" s="97"/>
      <c r="D19" s="97">
        <f>SUMIFS('Price Summary pg 5,6'!$E:$E,'Price Summary pg 5,6'!$I:$I,$A19)/12</f>
        <v>1710.8691431106108</v>
      </c>
      <c r="E19" s="98">
        <f>'Unit Costs wo fixture cost'!$J$28</f>
        <v>3.0486609645985378E-2</v>
      </c>
      <c r="F19" s="99">
        <f>'Unit Costs wo fixture cost'!$J$46</f>
        <v>4.4859251887718436E-3</v>
      </c>
      <c r="G19" s="98">
        <f>'Unit Costs wo fixture cost'!$J$70+'Unit Costs wo fixture cost'!$J$76+'Unit Costs wo fixture cost'!$J$82</f>
        <v>6.2567974121400154E-3</v>
      </c>
      <c r="H19" s="95">
        <f t="shared" si="3"/>
        <v>12.908452596805731</v>
      </c>
      <c r="I19" s="90"/>
      <c r="J19" s="94"/>
      <c r="K19" s="100"/>
      <c r="L19" s="105">
        <f>'Maintenance Assumptions pg 2'!G54</f>
        <v>6.7596528624105261</v>
      </c>
      <c r="M19" s="105">
        <f>'Install Cst (Exsting Pole) pg 1'!E12</f>
        <v>7.6720695999499986</v>
      </c>
      <c r="N19" s="95">
        <f t="shared" si="4"/>
        <v>296.28946371346689</v>
      </c>
      <c r="O19" s="91"/>
      <c r="P19" s="130">
        <f>INDEX('LED Lighting kWh pg 3'!$D:$D,MATCH($A19,'LED Lighting kWh pg 3'!$F:$F,0))*SUM(E19:G19)/12+$K$17/$D$32/12*1000+L19+M19</f>
        <v>15.210811037455839</v>
      </c>
      <c r="Q19" s="6"/>
    </row>
    <row r="20" spans="1:17">
      <c r="A20" s="96" t="s">
        <v>64</v>
      </c>
      <c r="B20" s="97">
        <f>INDEX('LED Lighting kWh pg 3'!$D:$D,MATCH($A20,'LED Lighting kWh pg 3'!$F:$F,0))*D20</f>
        <v>35814.39305442472</v>
      </c>
      <c r="C20" s="97"/>
      <c r="D20" s="97">
        <f>SUMIFS('Price Summary pg 5,6'!$E:$E,'Price Summary pg 5,6'!$I:$I,$A20)/12</f>
        <v>120.99457112981325</v>
      </c>
      <c r="E20" s="98">
        <f>'Unit Costs wo fixture cost'!$J$28</f>
        <v>3.0486609645985378E-2</v>
      </c>
      <c r="F20" s="99">
        <f>'Unit Costs wo fixture cost'!$J$46</f>
        <v>4.4859251887718436E-3</v>
      </c>
      <c r="G20" s="98">
        <f>'Unit Costs wo fixture cost'!$J$70+'Unit Costs wo fixture cost'!$J$76+'Unit Costs wo fixture cost'!$J$82</f>
        <v>6.2567974121400154E-3</v>
      </c>
      <c r="H20" s="95">
        <f t="shared" si="3"/>
        <v>1.4766035104618456</v>
      </c>
      <c r="I20" s="90"/>
      <c r="J20" s="94"/>
      <c r="K20" s="100"/>
      <c r="L20" s="105">
        <f>'Maintenance Assumptions pg 2'!H54</f>
        <v>6.7782741124105259</v>
      </c>
      <c r="M20" s="105">
        <f>'Install Cst (Exsting Pole) pg 1'!F12</f>
        <v>7.7051781824499983</v>
      </c>
      <c r="N20" s="95">
        <f t="shared" si="4"/>
        <v>21.029029186749103</v>
      </c>
      <c r="O20" s="91"/>
      <c r="P20" s="130">
        <f>INDEX('LED Lighting kWh pg 3'!$D:$D,MATCH($A20,'LED Lighting kWh pg 3'!$F:$F,0))*SUM(E20:G20)/12+$K$17/$D$32/12*1000+L20+M20</f>
        <v>15.650783748614121</v>
      </c>
      <c r="Q20" s="6"/>
    </row>
    <row r="21" spans="1:17">
      <c r="A21" s="96" t="s">
        <v>65</v>
      </c>
      <c r="B21" s="97">
        <f>INDEX('LED Lighting kWh pg 3'!$D:$D,MATCH($A21,'LED Lighting kWh pg 3'!$F:$F,0))*D21</f>
        <v>654336.75353841553</v>
      </c>
      <c r="C21" s="97"/>
      <c r="D21" s="97">
        <f>SUMIFS('Price Summary pg 5,6'!$E:$E,'Price Summary pg 5,6'!$I:$I,$A21)/12</f>
        <v>1584.3504928290934</v>
      </c>
      <c r="E21" s="98">
        <f>'Unit Costs wo fixture cost'!$J$28</f>
        <v>3.0486609645985378E-2</v>
      </c>
      <c r="F21" s="99">
        <f>'Unit Costs wo fixture cost'!$J$46</f>
        <v>4.4859251887718436E-3</v>
      </c>
      <c r="G21" s="98">
        <f>'Unit Costs wo fixture cost'!$J$70+'Unit Costs wo fixture cost'!$J$76+'Unit Costs wo fixture cost'!$J$82</f>
        <v>6.2567974121400154E-3</v>
      </c>
      <c r="H21" s="95">
        <f t="shared" si="3"/>
        <v>26.977867412991447</v>
      </c>
      <c r="I21" s="90"/>
      <c r="J21" s="94"/>
      <c r="K21" s="100"/>
      <c r="L21" s="105">
        <f>'Maintenance Assumptions pg 2'!I54</f>
        <v>6.8177264040771925</v>
      </c>
      <c r="M21" s="105">
        <f>'Install Cst (Exsting Pole) pg 1'!G12</f>
        <v>7.7753243570333312</v>
      </c>
      <c r="N21" s="95">
        <f t="shared" si="4"/>
        <v>277.44608598294519</v>
      </c>
      <c r="O21" s="91"/>
      <c r="P21" s="130">
        <f>INDEX('LED Lighting kWh pg 3'!$D:$D,MATCH($A21,'LED Lighting kWh pg 3'!$F:$F,0))*SUM(E21:G21)/12+$K$17/$D$32/12*1000+L21+M21</f>
        <v>16.162368204271367</v>
      </c>
      <c r="Q21" s="6"/>
    </row>
    <row r="22" spans="1:17">
      <c r="A22" s="96" t="s">
        <v>66</v>
      </c>
      <c r="B22" s="97">
        <f>INDEX('LED Lighting kWh pg 3'!$D:$D,MATCH($A22,'LED Lighting kWh pg 3'!$F:$F,0))*D22</f>
        <v>171309.76867651939</v>
      </c>
      <c r="C22" s="97"/>
      <c r="D22" s="97">
        <f>SUMIFS('Price Summary pg 5,6'!$E:$E,'Price Summary pg 5,6'!$I:$I,$A22)/12</f>
        <v>326.30432128860838</v>
      </c>
      <c r="E22" s="98">
        <f>'Unit Costs wo fixture cost'!$J$28</f>
        <v>3.0486609645985378E-2</v>
      </c>
      <c r="F22" s="99">
        <f>'Unit Costs wo fixture cost'!$J$46</f>
        <v>4.4859251887718436E-3</v>
      </c>
      <c r="G22" s="98">
        <f>'Unit Costs wo fixture cost'!$J$70+'Unit Costs wo fixture cost'!$J$76+'Unit Costs wo fixture cost'!$J$82</f>
        <v>6.2567974121400154E-3</v>
      </c>
      <c r="H22" s="95">
        <f t="shared" si="3"/>
        <v>7.0629873699033281</v>
      </c>
      <c r="I22" s="90"/>
      <c r="J22" s="94"/>
      <c r="K22" s="100"/>
      <c r="L22" s="105">
        <f>'Maintenance Assumptions pg 2'!J54</f>
        <v>6.9838978000421044</v>
      </c>
      <c r="M22" s="105">
        <f>'Install Cst (Exsting Pole) pg 1'!H12</f>
        <v>8.2053095799499989</v>
      </c>
      <c r="N22" s="95">
        <f t="shared" si="4"/>
        <v>59.475648060482939</v>
      </c>
      <c r="O22" s="91"/>
      <c r="P22" s="130">
        <f>INDEX('LED Lighting kWh pg 3'!$D:$D,MATCH($A22,'LED Lighting kWh pg 3'!$F:$F,0))*SUM(E22:G22)/12+$K$17/$D$32/12*1000+L22+M22</f>
        <v>17.143331924123988</v>
      </c>
      <c r="Q22" s="6"/>
    </row>
    <row r="23" spans="1:17">
      <c r="A23" s="96" t="s">
        <v>67</v>
      </c>
      <c r="B23" s="97">
        <f>INDEX('LED Lighting kWh pg 3'!$D:$D,MATCH($A23,'LED Lighting kWh pg 3'!$F:$F,0))*D23</f>
        <v>195951.58327277401</v>
      </c>
      <c r="C23" s="97"/>
      <c r="D23" s="97">
        <f>SUMIFS('Price Summary pg 5,6'!$E:$E,'Price Summary pg 5,6'!$I:$I,$A23)/12</f>
        <v>284.81334778019476</v>
      </c>
      <c r="E23" s="98">
        <f>'Unit Costs wo fixture cost'!$J$28</f>
        <v>3.0486609645985378E-2</v>
      </c>
      <c r="F23" s="99">
        <f>'Unit Costs wo fixture cost'!$J$46</f>
        <v>4.4859251887718436E-3</v>
      </c>
      <c r="G23" s="98">
        <f>'Unit Costs wo fixture cost'!$J$70+'Unit Costs wo fixture cost'!$J$76+'Unit Costs wo fixture cost'!$J$82</f>
        <v>6.2567974121400154E-3</v>
      </c>
      <c r="H23" s="95">
        <f t="shared" si="3"/>
        <v>8.0789529310587511</v>
      </c>
      <c r="I23" s="90"/>
      <c r="J23" s="94"/>
      <c r="K23" s="100"/>
      <c r="L23" s="105">
        <f>'Maintenance Assumptions pg 2'!K54</f>
        <v>8.3965622254807002</v>
      </c>
      <c r="M23" s="105">
        <f>'Install Cst (Exsting Pole) pg 1'!I12</f>
        <v>9.9848597736999984</v>
      </c>
      <c r="N23" s="95">
        <f t="shared" si="4"/>
        <v>62.823292038566109</v>
      </c>
      <c r="O23" s="91"/>
      <c r="P23" s="130">
        <f>INDEX('LED Lighting kWh pg 3'!$D:$D,MATCH($A23,'LED Lighting kWh pg 3'!$F:$F,0))*SUM(E23:G23)/12+$K$17/$D$32/12*1000+L23+M23</f>
        <v>20.895578306332936</v>
      </c>
      <c r="Q23" s="6"/>
    </row>
    <row r="24" spans="1:17">
      <c r="A24" s="96" t="s">
        <v>68</v>
      </c>
      <c r="B24" s="97">
        <f>INDEX('LED Lighting kWh pg 3'!$D:$D,MATCH($A18,'LED Lighting kWh pg 3'!$F:$F,0))*D24</f>
        <v>20931.332823649333</v>
      </c>
      <c r="C24" s="97"/>
      <c r="D24" s="97">
        <f>SUMIFS('Price Summary pg 5,6'!$E:$E,'Price Summary pg 5,6'!$I:$I,$A24)/12</f>
        <v>209.31332823649333</v>
      </c>
      <c r="E24" s="98">
        <f>'Unit Costs wo fixture cost'!$J$28</f>
        <v>3.0486609645985378E-2</v>
      </c>
      <c r="F24" s="99">
        <f>'Unit Costs wo fixture cost'!$J$46</f>
        <v>4.4859251887718436E-3</v>
      </c>
      <c r="G24" s="98">
        <f>'Unit Costs wo fixture cost'!$J$70+'Unit Costs wo fixture cost'!$J$76+'Unit Costs wo fixture cost'!$J$82</f>
        <v>6.2567974121400154E-3</v>
      </c>
      <c r="H24" s="95">
        <f t="shared" si="3"/>
        <v>0.86298487535662416</v>
      </c>
      <c r="I24" s="90"/>
      <c r="J24" s="94"/>
      <c r="K24" s="100"/>
      <c r="L24" s="104">
        <f>L18</f>
        <v>6.4860597374105255</v>
      </c>
      <c r="M24" s="105">
        <v>0</v>
      </c>
      <c r="N24" s="95">
        <f t="shared" si="4"/>
        <v>16.291425009337356</v>
      </c>
      <c r="O24" s="91"/>
      <c r="P24" s="130">
        <f>INDEX('LED Lighting kWh pg 3'!$D:$D,MATCH($A18,'LED Lighting kWh pg 3'!$F:$F,0))*SUM(E24:G24)/12+$K$17/$D$32/12*1000+L24+M24</f>
        <v>6.9799787644647999</v>
      </c>
      <c r="Q24" s="6"/>
    </row>
    <row r="25" spans="1:17">
      <c r="A25" s="96" t="s">
        <v>69</v>
      </c>
      <c r="B25" s="97">
        <f>INDEX('LED Lighting kWh pg 3'!$D:$D,MATCH($A19,'LED Lighting kWh pg 3'!$F:$F,0))*D25</f>
        <v>18680.2080087055</v>
      </c>
      <c r="C25" s="97"/>
      <c r="D25" s="97">
        <f>SUMIFS('Price Summary pg 5,6'!$E:$E,'Price Summary pg 5,6'!$I:$I,$A25)/12</f>
        <v>102.07763939183333</v>
      </c>
      <c r="E25" s="98">
        <f>'Unit Costs wo fixture cost'!$J$28</f>
        <v>3.0486609645985378E-2</v>
      </c>
      <c r="F25" s="99">
        <f>'Unit Costs wo fixture cost'!$J$46</f>
        <v>4.4859251887718436E-3</v>
      </c>
      <c r="G25" s="98">
        <f>'Unit Costs wo fixture cost'!$J$70+'Unit Costs wo fixture cost'!$J$76+'Unit Costs wo fixture cost'!$J$82</f>
        <v>6.2567974121400154E-3</v>
      </c>
      <c r="H25" s="95">
        <f t="shared" si="3"/>
        <v>0.77017250243206981</v>
      </c>
      <c r="I25" s="90"/>
      <c r="J25" s="94"/>
      <c r="K25" s="100"/>
      <c r="L25" s="104">
        <f t="shared" ref="L25:L29" si="5">L19</f>
        <v>6.7596528624105261</v>
      </c>
      <c r="M25" s="105">
        <v>0</v>
      </c>
      <c r="N25" s="95">
        <f t="shared" si="4"/>
        <v>8.2801128876373884</v>
      </c>
      <c r="O25" s="91"/>
      <c r="P25" s="130">
        <f>INDEX('LED Lighting kWh pg 3'!$D:$D,MATCH($A19,'LED Lighting kWh pg 3'!$F:$F,0))*SUM(E25:G25)/12+$K$17/$D$32/12*1000+L25+M25</f>
        <v>7.5387414375058404</v>
      </c>
      <c r="Q25" s="6"/>
    </row>
    <row r="26" spans="1:17">
      <c r="A26" s="96" t="s">
        <v>70</v>
      </c>
      <c r="B26" s="97">
        <f>INDEX('LED Lighting kWh pg 3'!$D:$D,MATCH($A20,'LED Lighting kWh pg 3'!$F:$F,0))*D26</f>
        <v>519.19651741293615</v>
      </c>
      <c r="C26" s="97"/>
      <c r="D26" s="97">
        <f>SUMIFS('Price Summary pg 5,6'!$E:$E,'Price Summary pg 5,6'!$I:$I,$A26)/12</f>
        <v>1.7540422885572167</v>
      </c>
      <c r="E26" s="98">
        <f>'Unit Costs wo fixture cost'!$J$28</f>
        <v>3.0486609645985378E-2</v>
      </c>
      <c r="F26" s="99">
        <f>'Unit Costs wo fixture cost'!$J$46</f>
        <v>4.4859251887718436E-3</v>
      </c>
      <c r="G26" s="98">
        <f>'Unit Costs wo fixture cost'!$J$70+'Unit Costs wo fixture cost'!$J$76+'Unit Costs wo fixture cost'!$J$82</f>
        <v>6.2567974121400154E-3</v>
      </c>
      <c r="H26" s="95">
        <f t="shared" si="3"/>
        <v>2.140612571784991E-2</v>
      </c>
      <c r="I26" s="90"/>
      <c r="J26" s="94"/>
      <c r="K26" s="100"/>
      <c r="L26" s="104">
        <f t="shared" si="5"/>
        <v>6.7782741124105259</v>
      </c>
      <c r="M26" s="105">
        <v>0</v>
      </c>
      <c r="N26" s="95">
        <f t="shared" si="4"/>
        <v>0.14267255323920836</v>
      </c>
      <c r="O26" s="91"/>
      <c r="P26" s="130">
        <f>INDEX('LED Lighting kWh pg 3'!$D:$D,MATCH($A20,'LED Lighting kWh pg 3'!$F:$F,0))*SUM(E26:G26)/12+$K$17/$D$32/12*1000+L26+M26</f>
        <v>7.9456055661641223</v>
      </c>
      <c r="Q26" s="6"/>
    </row>
    <row r="27" spans="1:17">
      <c r="A27" s="96" t="s">
        <v>71</v>
      </c>
      <c r="B27" s="97">
        <f>INDEX('LED Lighting kWh pg 3'!$D:$D,MATCH($A21,'LED Lighting kWh pg 3'!$F:$F,0))*D27</f>
        <v>63593.94373121221</v>
      </c>
      <c r="C27" s="97"/>
      <c r="D27" s="97">
        <f>SUMIFS('Price Summary pg 5,6'!$E:$E,'Price Summary pg 5,6'!$I:$I,$A27)/12</f>
        <v>153.98049329591333</v>
      </c>
      <c r="E27" s="98">
        <f>'Unit Costs wo fixture cost'!$J$28</f>
        <v>3.0486609645985378E-2</v>
      </c>
      <c r="F27" s="99">
        <f>'Unit Costs wo fixture cost'!$J$46</f>
        <v>4.4859251887718436E-3</v>
      </c>
      <c r="G27" s="98">
        <f>'Unit Costs wo fixture cost'!$J$70+'Unit Costs wo fixture cost'!$J$76+'Unit Costs wo fixture cost'!$J$82</f>
        <v>6.2567974121400154E-3</v>
      </c>
      <c r="H27" s="95">
        <f t="shared" si="3"/>
        <v>2.6219358349846362</v>
      </c>
      <c r="I27" s="90"/>
      <c r="J27" s="94"/>
      <c r="K27" s="100"/>
      <c r="L27" s="104">
        <f t="shared" si="5"/>
        <v>6.8177264040771925</v>
      </c>
      <c r="M27" s="105">
        <v>0</v>
      </c>
      <c r="N27" s="95">
        <f t="shared" si="4"/>
        <v>12.597562498276554</v>
      </c>
      <c r="O27" s="91"/>
      <c r="P27" s="130">
        <f>INDEX('LED Lighting kWh pg 3'!$D:$D,MATCH($A21,'LED Lighting kWh pg 3'!$F:$F,0))*SUM(E27:G27)/12+$K$17/$D$32/12*1000+L27+M27</f>
        <v>8.3870438472380364</v>
      </c>
      <c r="Q27" s="6"/>
    </row>
    <row r="28" spans="1:17">
      <c r="A28" s="96" t="s">
        <v>72</v>
      </c>
      <c r="B28" s="97">
        <f>INDEX('LED Lighting kWh pg 3'!$D:$D,MATCH($A22,'LED Lighting kWh pg 3'!$F:$F,0))*D28</f>
        <v>7182.2300286149439</v>
      </c>
      <c r="C28" s="97"/>
      <c r="D28" s="97">
        <f>SUMIFS('Price Summary pg 5,6'!$E:$E,'Price Summary pg 5,6'!$I:$I,$A28)/12</f>
        <v>13.68043814974275</v>
      </c>
      <c r="E28" s="98">
        <f>'Unit Costs wo fixture cost'!$J$28</f>
        <v>3.0486609645985378E-2</v>
      </c>
      <c r="F28" s="99">
        <f>'Unit Costs wo fixture cost'!$J$46</f>
        <v>4.4859251887718436E-3</v>
      </c>
      <c r="G28" s="98">
        <f>'Unit Costs wo fixture cost'!$J$70+'Unit Costs wo fixture cost'!$J$76+'Unit Costs wo fixture cost'!$J$82</f>
        <v>6.2567974121400154E-3</v>
      </c>
      <c r="H28" s="95">
        <f t="shared" si="3"/>
        <v>0.29611854812340777</v>
      </c>
      <c r="I28" s="90"/>
      <c r="J28" s="94"/>
      <c r="K28" s="100"/>
      <c r="L28" s="104">
        <f t="shared" si="5"/>
        <v>6.9838978000421044</v>
      </c>
      <c r="M28" s="105">
        <v>0</v>
      </c>
      <c r="N28" s="95">
        <f t="shared" si="4"/>
        <v>1.1465133827712057</v>
      </c>
      <c r="O28" s="91"/>
      <c r="P28" s="130">
        <f>INDEX('LED Lighting kWh pg 3'!$D:$D,MATCH($A22,'LED Lighting kWh pg 3'!$F:$F,0))*SUM(E28:G28)/12+$K$17/$D$32/12*1000+L28+M28</f>
        <v>8.938022344173989</v>
      </c>
      <c r="Q28" s="6"/>
    </row>
    <row r="29" spans="1:17">
      <c r="A29" s="96" t="s">
        <v>73</v>
      </c>
      <c r="B29" s="97">
        <f>INDEX('LED Lighting kWh pg 3'!$D:$D,MATCH($A23,'LED Lighting kWh pg 3'!$F:$F,0))*D29</f>
        <v>37171.605921643444</v>
      </c>
      <c r="C29" s="97"/>
      <c r="D29" s="97">
        <f>SUMIFS('Price Summary pg 5,6'!$E:$E,'Price Summary pg 5,6'!$I:$I,$A29)/12</f>
        <v>54.028496979132917</v>
      </c>
      <c r="E29" s="98">
        <f>'Unit Costs wo fixture cost'!$J$28</f>
        <v>3.0486609645985378E-2</v>
      </c>
      <c r="F29" s="99">
        <f>'Unit Costs wo fixture cost'!$J$46</f>
        <v>4.4859251887718436E-3</v>
      </c>
      <c r="G29" s="98">
        <f>'Unit Costs wo fixture cost'!$J$70+'Unit Costs wo fixture cost'!$J$76+'Unit Costs wo fixture cost'!$J$82</f>
        <v>6.2567974121400154E-3</v>
      </c>
      <c r="H29" s="95">
        <f t="shared" si="3"/>
        <v>1.5325604906941703</v>
      </c>
      <c r="I29" s="90"/>
      <c r="J29" s="94"/>
      <c r="K29" s="100"/>
      <c r="L29" s="104">
        <f t="shared" si="5"/>
        <v>8.3965622254807002</v>
      </c>
      <c r="M29" s="105">
        <v>0</v>
      </c>
      <c r="N29" s="95">
        <f t="shared" si="4"/>
        <v>5.4438436420138263</v>
      </c>
      <c r="O29" s="91"/>
      <c r="P29" s="130">
        <f>INDEX('LED Lighting kWh pg 3'!$D:$D,MATCH($A23,'LED Lighting kWh pg 3'!$F:$F,0))*SUM(E29:G29)/12+$K$17/$D$32/12*1000+L29+M29</f>
        <v>10.91071853263294</v>
      </c>
      <c r="Q29" s="6"/>
    </row>
    <row r="30" spans="1:17">
      <c r="A30" s="96" t="s">
        <v>318</v>
      </c>
      <c r="B30" s="107">
        <f>INDEX('LED Lighting kWh pg 3'!$D:$D,MATCH($A20,'LED Lighting kWh pg 3'!$F:$F,0))*D30</f>
        <v>1183.9973801162914</v>
      </c>
      <c r="C30" s="97"/>
      <c r="D30" s="97">
        <f>SUMIFS('Price Summary pg 5,6'!$E:$E,'Price Summary pg 5,6'!$I:$I,$A30)/12</f>
        <v>3.999991149041525</v>
      </c>
      <c r="E30" s="98">
        <f>'Unit Costs wo fixture cost'!$J$28</f>
        <v>3.0486609645985378E-2</v>
      </c>
      <c r="F30" s="99">
        <f>'Unit Costs wo fixture cost'!$J$46</f>
        <v>4.4859251887718436E-3</v>
      </c>
      <c r="G30" s="98">
        <f>'Unit Costs wo fixture cost'!$J$70+'Unit Costs wo fixture cost'!$J$76+'Unit Costs wo fixture cost'!$J$82</f>
        <v>6.2567974121400154E-3</v>
      </c>
      <c r="H30" s="95">
        <f t="shared" si="3"/>
        <v>4.8815421364270466E-2</v>
      </c>
      <c r="I30" s="90"/>
      <c r="J30" s="94"/>
      <c r="K30" s="100"/>
      <c r="L30" s="105">
        <f>'Maintenance Assumptions pg 2'!L54</f>
        <v>4.9203489055</v>
      </c>
      <c r="M30" s="105">
        <f>'Install Cst (Exsting Pole) pg 1'!J12</f>
        <v>21.933596349466669</v>
      </c>
      <c r="N30" s="95">
        <f t="shared" ref="N30:N31" si="6">SUM(L30:M30)*D30/1000*12</f>
        <v>1.2889865200405479</v>
      </c>
      <c r="O30" s="91"/>
      <c r="P30" s="130">
        <f>INDEX('LED Lighting kWh pg 3'!$D:$D,MATCH($A20,'LED Lighting kWh pg 3'!$F:$F,0))*SUM(E30:G30)/12+$K$17/$D$32/12*1000+L30+M30</f>
        <v>28.021276708720265</v>
      </c>
      <c r="Q30" s="6"/>
    </row>
    <row r="31" spans="1:17">
      <c r="A31" s="96" t="s">
        <v>319</v>
      </c>
      <c r="B31" s="106">
        <f>INDEX('LED Lighting kWh pg 3'!$D:$D,MATCH($A21,'LED Lighting kWh pg 3'!$F:$F,0))*D31</f>
        <v>0</v>
      </c>
      <c r="C31" s="97"/>
      <c r="D31" s="97">
        <f>SUMIFS('Price Summary pg 5,6'!$E:$E,'Price Summary pg 5,6'!$I:$I,$A31)/12</f>
        <v>0</v>
      </c>
      <c r="E31" s="98">
        <f>'Unit Costs wo fixture cost'!$J$28</f>
        <v>3.0486609645985378E-2</v>
      </c>
      <c r="F31" s="99">
        <f>'Unit Costs wo fixture cost'!$J$46</f>
        <v>4.4859251887718436E-3</v>
      </c>
      <c r="G31" s="98">
        <f>'Unit Costs wo fixture cost'!$J$70+'Unit Costs wo fixture cost'!$J$76+'Unit Costs wo fixture cost'!$J$82</f>
        <v>6.2567974121400154E-3</v>
      </c>
      <c r="H31" s="95">
        <f t="shared" si="3"/>
        <v>0</v>
      </c>
      <c r="I31" s="90"/>
      <c r="J31" s="94"/>
      <c r="K31" s="100"/>
      <c r="L31" s="105">
        <f>'Maintenance Assumptions pg 2'!L54</f>
        <v>4.9203489055</v>
      </c>
      <c r="M31" s="105">
        <v>0</v>
      </c>
      <c r="N31" s="95">
        <f t="shared" si="6"/>
        <v>0</v>
      </c>
      <c r="O31" s="91"/>
      <c r="P31" s="133">
        <f>INDEX('LED Lighting kWh pg 3'!$D:$D,MATCH($A20,'LED Lighting kWh pg 3'!$F:$F,0))*SUM(E31:G31)/12+$K$17/$D$32/12*1000+L31+M31</f>
        <v>6.0876803592535964</v>
      </c>
      <c r="Q31" s="6"/>
    </row>
    <row r="32" spans="1:17">
      <c r="A32" s="111" t="s">
        <v>96</v>
      </c>
      <c r="B32" s="112">
        <f t="shared" ref="B32:D32" si="7">SUM(B17:B31)</f>
        <v>1742570.0055435384</v>
      </c>
      <c r="C32" s="112">
        <f t="shared" si="7"/>
        <v>290.16666666666669</v>
      </c>
      <c r="D32" s="112">
        <f t="shared" si="7"/>
        <v>6794.225699637117</v>
      </c>
      <c r="E32" s="113"/>
      <c r="F32" s="113"/>
      <c r="G32" s="113"/>
      <c r="H32" s="114">
        <f>SUM(H17:H31)</f>
        <v>71.844997722032105</v>
      </c>
      <c r="I32" s="113"/>
      <c r="J32" s="113"/>
      <c r="K32" s="114">
        <f>SUM(K17:K31)</f>
        <v>12.257429292748315</v>
      </c>
      <c r="L32" s="220"/>
      <c r="M32" s="220"/>
      <c r="N32" s="114">
        <f>SUM(N17:N31)</f>
        <v>1127.7904364955889</v>
      </c>
      <c r="O32" s="124">
        <f>N32+K32+H32</f>
        <v>1211.8928635103694</v>
      </c>
      <c r="P32" s="129"/>
      <c r="Q32" s="88"/>
    </row>
    <row r="33" spans="1:16">
      <c r="A33" s="92"/>
      <c r="B33" s="90"/>
      <c r="C33" s="93"/>
      <c r="D33" s="97"/>
      <c r="E33" s="90"/>
      <c r="F33" s="90"/>
      <c r="G33" s="90"/>
      <c r="H33" s="100"/>
      <c r="I33" s="90"/>
      <c r="J33" s="90"/>
      <c r="K33" s="100"/>
      <c r="L33" s="90"/>
      <c r="M33" s="90"/>
      <c r="N33" s="90"/>
      <c r="O33" s="91"/>
      <c r="P33" s="129"/>
    </row>
    <row r="34" spans="1:16">
      <c r="A34" s="111" t="s">
        <v>79</v>
      </c>
      <c r="B34" s="115">
        <f>'SL Blocking'!C86</f>
        <v>3695896.7353539728</v>
      </c>
      <c r="C34" s="115">
        <f>'SL Blocking'!C85/12</f>
        <v>232.66666666666666</v>
      </c>
      <c r="D34" s="112">
        <v>0</v>
      </c>
      <c r="E34" s="116">
        <f>'Unit Costs wo fixture cost'!$J$28</f>
        <v>3.0486609645985378E-2</v>
      </c>
      <c r="F34" s="117">
        <f>'Unit Costs wo fixture cost'!$J$46</f>
        <v>4.4859251887718436E-3</v>
      </c>
      <c r="G34" s="116">
        <f>'Unit Costs wo fixture cost'!$J$70+'Unit Costs wo fixture cost'!$J$76+'Unit Costs wo fixture cost'!$J$82</f>
        <v>6.2567974121400154E-3</v>
      </c>
      <c r="H34" s="118">
        <f>SUM(E34:G34)*B34/1000</f>
        <v>152.37935445213179</v>
      </c>
      <c r="I34" s="113"/>
      <c r="J34" s="119">
        <f>'Unit Costs wo fixture cost'!$J$101/12</f>
        <v>3.520226677986305</v>
      </c>
      <c r="K34" s="118">
        <f>SUM(I34:J34)*C34/1000*12</f>
        <v>9.8284728849377636</v>
      </c>
      <c r="L34" s="113"/>
      <c r="M34" s="113"/>
      <c r="N34" s="113"/>
      <c r="O34" s="124">
        <f>N34+K34+H34</f>
        <v>162.20782733706955</v>
      </c>
      <c r="P34" s="134">
        <f>O34/B34*1000</f>
        <v>4.3888625400550912E-2</v>
      </c>
    </row>
    <row r="35" spans="1:16">
      <c r="A35" s="92"/>
      <c r="B35" s="90"/>
      <c r="C35" s="93"/>
      <c r="D35" s="97"/>
      <c r="E35" s="90"/>
      <c r="F35" s="90"/>
      <c r="G35" s="90"/>
      <c r="H35" s="100"/>
      <c r="I35" s="90"/>
      <c r="J35" s="90"/>
      <c r="K35" s="100"/>
      <c r="L35" s="90"/>
      <c r="M35" s="90"/>
      <c r="N35" s="90"/>
      <c r="O35" s="91"/>
      <c r="P35" s="129"/>
    </row>
    <row r="36" spans="1:16">
      <c r="A36" s="120" t="s">
        <v>80</v>
      </c>
      <c r="B36" s="121">
        <f>'SL Blocking'!C98</f>
        <v>282712</v>
      </c>
      <c r="C36" s="122">
        <f>'SL Blocking'!C96/12</f>
        <v>27</v>
      </c>
      <c r="D36" s="112">
        <v>0</v>
      </c>
      <c r="E36" s="116">
        <f>'Unit Costs wo fixture cost'!$J$28</f>
        <v>3.0486609645985378E-2</v>
      </c>
      <c r="F36" s="117">
        <f>'Unit Costs wo fixture cost'!$J$46</f>
        <v>4.4859251887718436E-3</v>
      </c>
      <c r="G36" s="116">
        <f>'Unit Costs wo fixture cost'!$J$70+'Unit Costs wo fixture cost'!$J$76+'Unit Costs wo fixture cost'!$J$82</f>
        <v>6.2567974121400154E-3</v>
      </c>
      <c r="H36" s="118">
        <f>SUM(E36:G36)*B36/1000</f>
        <v>11.656026978184812</v>
      </c>
      <c r="I36" s="123">
        <f>('Unit Costs wo fixture cost'!E83+'Unit Costs wo fixture cost'!E89+'Unit Costs wo fixture cost'!E95)/12</f>
        <v>12.143679878622413</v>
      </c>
      <c r="J36" s="119">
        <f>'Unit Costs wo fixture cost'!$J$101/12</f>
        <v>3.520226677986305</v>
      </c>
      <c r="K36" s="118">
        <f>SUM(I36:J36)*C36/1000*12</f>
        <v>5.0751057243412241</v>
      </c>
      <c r="L36" s="113"/>
      <c r="M36" s="113"/>
      <c r="N36" s="113"/>
      <c r="O36" s="124">
        <f>N36+K36+H36</f>
        <v>16.731132702526036</v>
      </c>
      <c r="P36" s="129"/>
    </row>
    <row r="37" spans="1:16">
      <c r="A37" s="92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1"/>
      <c r="P37" s="129"/>
    </row>
    <row r="38" spans="1:16">
      <c r="A38" s="120" t="s">
        <v>235</v>
      </c>
      <c r="B38" s="113"/>
      <c r="C38" s="113"/>
      <c r="D38" s="113"/>
      <c r="E38" s="113"/>
      <c r="F38" s="113"/>
      <c r="G38" s="113"/>
      <c r="H38" s="119">
        <f>H15+H32+H34+H36</f>
        <v>266.89018623198461</v>
      </c>
      <c r="I38" s="113"/>
      <c r="J38" s="113"/>
      <c r="K38" s="119">
        <f>K15+K32+K34+K36</f>
        <v>125.32604904435341</v>
      </c>
      <c r="L38" s="113"/>
      <c r="M38" s="113"/>
      <c r="N38" s="119">
        <f>N15+N32+N34+N36</f>
        <v>1459.3468783825269</v>
      </c>
      <c r="O38" s="124">
        <f>N38+K38+H38</f>
        <v>1851.5631136588649</v>
      </c>
      <c r="P38" s="129"/>
    </row>
    <row r="39" spans="1:16">
      <c r="A39" s="92"/>
      <c r="B39" s="90"/>
      <c r="C39" s="90"/>
      <c r="D39" s="90"/>
      <c r="E39" s="90"/>
      <c r="F39" s="90"/>
      <c r="G39" s="90"/>
      <c r="H39" s="94"/>
      <c r="I39" s="90"/>
      <c r="J39" s="90"/>
      <c r="K39" s="94"/>
      <c r="L39" s="90"/>
      <c r="M39" s="90"/>
      <c r="N39" s="94"/>
      <c r="O39" s="125"/>
      <c r="P39" s="129"/>
    </row>
    <row r="40" spans="1:16">
      <c r="A40" s="120" t="s">
        <v>236</v>
      </c>
      <c r="B40" s="113"/>
      <c r="C40" s="113"/>
      <c r="D40" s="113"/>
      <c r="E40" s="113"/>
      <c r="F40" s="113"/>
      <c r="G40" s="113"/>
      <c r="H40" s="119"/>
      <c r="I40" s="113"/>
      <c r="J40" s="113"/>
      <c r="K40" s="119"/>
      <c r="L40" s="113"/>
      <c r="M40" s="113"/>
      <c r="N40" s="119"/>
      <c r="O40" s="124">
        <f>'Unit Costs'!J20/1000</f>
        <v>1222.5170934327252</v>
      </c>
      <c r="P40" s="129"/>
    </row>
    <row r="41" spans="1:16">
      <c r="A41" s="92"/>
      <c r="B41" s="90"/>
      <c r="C41" s="90"/>
      <c r="D41" s="90"/>
      <c r="E41" s="90"/>
      <c r="F41" s="90"/>
      <c r="G41" s="90"/>
      <c r="H41" s="94"/>
      <c r="I41" s="90"/>
      <c r="J41" s="90"/>
      <c r="K41" s="94"/>
      <c r="L41" s="90"/>
      <c r="M41" s="90"/>
      <c r="N41" s="94"/>
      <c r="O41" s="125"/>
      <c r="P41" s="129"/>
    </row>
    <row r="42" spans="1:16">
      <c r="A42" s="120" t="s">
        <v>327</v>
      </c>
      <c r="B42" s="113"/>
      <c r="C42" s="113"/>
      <c r="D42" s="113"/>
      <c r="E42" s="113"/>
      <c r="F42" s="113"/>
      <c r="G42" s="113"/>
      <c r="H42" s="119"/>
      <c r="I42" s="113"/>
      <c r="J42" s="113"/>
      <c r="K42" s="119"/>
      <c r="L42" s="113"/>
      <c r="M42" s="113"/>
      <c r="N42" s="119"/>
      <c r="O42" s="124">
        <v>24.844284738250799</v>
      </c>
      <c r="P42" s="129"/>
    </row>
    <row r="43" spans="1:16">
      <c r="A43" s="92"/>
      <c r="B43" s="90"/>
      <c r="C43" s="90"/>
      <c r="D43" s="90"/>
      <c r="E43" s="90"/>
      <c r="F43" s="90"/>
      <c r="G43" s="90"/>
      <c r="H43" s="94"/>
      <c r="I43" s="90"/>
      <c r="J43" s="90"/>
      <c r="K43" s="94"/>
      <c r="L43" s="90"/>
      <c r="M43" s="90"/>
      <c r="N43" s="94"/>
      <c r="O43" s="125"/>
      <c r="P43" s="129"/>
    </row>
    <row r="44" spans="1:16">
      <c r="A44" s="120" t="s">
        <v>326</v>
      </c>
      <c r="B44" s="113"/>
      <c r="C44" s="113"/>
      <c r="D44" s="113"/>
      <c r="E44" s="113"/>
      <c r="F44" s="113"/>
      <c r="G44" s="113"/>
      <c r="H44" s="119"/>
      <c r="I44" s="113"/>
      <c r="J44" s="113"/>
      <c r="K44" s="119"/>
      <c r="L44" s="113"/>
      <c r="M44" s="113"/>
      <c r="N44" s="119"/>
      <c r="O44" s="124">
        <f>O40-O42</f>
        <v>1197.6728086944745</v>
      </c>
      <c r="P44" s="129"/>
    </row>
    <row r="45" spans="1:16">
      <c r="A45" s="108"/>
      <c r="B45" s="109"/>
      <c r="C45" s="109"/>
      <c r="D45" s="109"/>
      <c r="E45" s="109"/>
      <c r="F45" s="109"/>
      <c r="G45" s="109"/>
      <c r="H45" s="126"/>
      <c r="I45" s="109"/>
      <c r="J45" s="109"/>
      <c r="K45" s="126"/>
      <c r="L45" s="109"/>
      <c r="M45" s="109"/>
      <c r="N45" s="126"/>
      <c r="O45" s="127"/>
      <c r="P45" s="129"/>
    </row>
    <row r="46" spans="1:16">
      <c r="A46" s="120" t="s">
        <v>245</v>
      </c>
      <c r="B46" s="113"/>
      <c r="C46" s="113"/>
      <c r="D46" s="113"/>
      <c r="E46" s="113"/>
      <c r="F46" s="113"/>
      <c r="G46" s="113"/>
      <c r="H46" s="135"/>
      <c r="I46" s="113"/>
      <c r="J46" s="113"/>
      <c r="K46" s="135"/>
      <c r="L46" s="113"/>
      <c r="M46" s="113"/>
      <c r="N46" s="135"/>
      <c r="O46" s="245">
        <f>O44</f>
        <v>1197.6728086944745</v>
      </c>
      <c r="P46" s="129"/>
    </row>
    <row r="47" spans="1:16">
      <c r="A47" s="108"/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10"/>
      <c r="P47" s="131"/>
    </row>
    <row r="49" spans="14:15">
      <c r="N49" s="136" t="s">
        <v>246</v>
      </c>
      <c r="O49" s="244">
        <f>'Price Summary pg 5,6'!L84/1000</f>
        <v>1197.6728086944743</v>
      </c>
    </row>
    <row r="50" spans="14:15">
      <c r="N50" s="136" t="s">
        <v>247</v>
      </c>
      <c r="O50" s="88">
        <f>O46-O49</f>
        <v>0</v>
      </c>
    </row>
    <row r="52" spans="14:15">
      <c r="N52" s="136" t="s">
        <v>248</v>
      </c>
      <c r="O52" s="243">
        <v>0.60906321749002312</v>
      </c>
    </row>
  </sheetData>
  <pageMargins left="0.7" right="0.7" top="0.75" bottom="0.75" header="0.3" footer="0.3"/>
  <pageSetup scale="4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view="pageBreakPreview" zoomScaleNormal="100" zoomScaleSheetLayoutView="100" workbookViewId="0">
      <pane xSplit="1" ySplit="9" topLeftCell="D10" activePane="bottomRight" state="frozen"/>
      <selection pane="topRight" activeCell="B1" sqref="B1"/>
      <selection pane="bottomLeft" activeCell="A8" sqref="A8"/>
      <selection pane="bottomRight"/>
    </sheetView>
  </sheetViews>
  <sheetFormatPr defaultRowHeight="15"/>
  <cols>
    <col min="1" max="1" width="62.28515625" bestFit="1" customWidth="1"/>
    <col min="2" max="2" width="10.85546875" customWidth="1"/>
    <col min="3" max="3" width="18.7109375" customWidth="1"/>
    <col min="4" max="4" width="12" customWidth="1"/>
    <col min="5" max="5" width="18.7109375" customWidth="1"/>
    <col min="6" max="6" width="10.85546875" customWidth="1"/>
    <col min="7" max="7" width="12.5703125" bestFit="1" customWidth="1"/>
    <col min="8" max="8" width="6.5703125" customWidth="1"/>
    <col min="9" max="9" width="69.28515625" bestFit="1" customWidth="1"/>
    <col min="10" max="10" width="10.85546875" customWidth="1"/>
    <col min="11" max="11" width="10.42578125" customWidth="1"/>
    <col min="12" max="12" width="10.85546875" customWidth="1"/>
  </cols>
  <sheetData>
    <row r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>
      <c r="A3" s="2" t="s">
        <v>75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>
      <c r="A4" s="2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>
      <c r="A5" s="2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7" spans="1:12">
      <c r="B7" s="2" t="s">
        <v>74</v>
      </c>
      <c r="C7" s="2"/>
      <c r="D7" s="2"/>
      <c r="E7" s="2"/>
      <c r="F7" s="2"/>
      <c r="G7" s="2"/>
      <c r="H7" s="10"/>
      <c r="I7" s="2" t="s">
        <v>8</v>
      </c>
      <c r="J7" s="2"/>
      <c r="K7" s="2"/>
      <c r="L7" s="2"/>
    </row>
    <row r="8" spans="1:12">
      <c r="A8" s="1" t="s">
        <v>6</v>
      </c>
      <c r="B8" s="1" t="s">
        <v>6</v>
      </c>
      <c r="C8" s="1" t="s">
        <v>17</v>
      </c>
      <c r="D8" s="1"/>
      <c r="E8" s="1"/>
      <c r="F8" s="1" t="s">
        <v>6</v>
      </c>
      <c r="G8" s="1" t="s">
        <v>6</v>
      </c>
      <c r="H8" s="1"/>
      <c r="I8" s="1" t="s">
        <v>8</v>
      </c>
      <c r="J8" s="1" t="s">
        <v>8</v>
      </c>
      <c r="K8" s="1" t="s">
        <v>8</v>
      </c>
      <c r="L8" s="1" t="s">
        <v>8</v>
      </c>
    </row>
    <row r="9" spans="1:12">
      <c r="A9" s="1" t="s">
        <v>4</v>
      </c>
      <c r="B9" s="1" t="s">
        <v>5</v>
      </c>
      <c r="C9" s="1" t="s">
        <v>18</v>
      </c>
      <c r="D9" s="1" t="s">
        <v>9</v>
      </c>
      <c r="E9" s="1" t="s">
        <v>10</v>
      </c>
      <c r="F9" s="1" t="s">
        <v>11</v>
      </c>
      <c r="G9" s="1" t="s">
        <v>7</v>
      </c>
      <c r="H9" s="1"/>
      <c r="I9" s="1" t="s">
        <v>4</v>
      </c>
      <c r="J9" s="1" t="s">
        <v>5</v>
      </c>
      <c r="K9" s="1" t="s">
        <v>11</v>
      </c>
      <c r="L9" s="1" t="s">
        <v>7</v>
      </c>
    </row>
    <row r="10" spans="1:1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t="s">
        <v>12</v>
      </c>
      <c r="B11">
        <v>15</v>
      </c>
      <c r="C11" t="s">
        <v>19</v>
      </c>
      <c r="I11" t="s">
        <v>12</v>
      </c>
      <c r="J11">
        <v>15</v>
      </c>
    </row>
    <row r="12" spans="1:12">
      <c r="A12" s="4" t="s">
        <v>13</v>
      </c>
      <c r="B12">
        <v>15</v>
      </c>
      <c r="C12" t="s">
        <v>19</v>
      </c>
      <c r="D12" t="s">
        <v>58</v>
      </c>
      <c r="E12" s="6">
        <v>24389.764908324298</v>
      </c>
      <c r="F12" s="7">
        <v>11.24</v>
      </c>
      <c r="G12" s="8">
        <f>E12*F12</f>
        <v>274140.9575695651</v>
      </c>
      <c r="I12" s="4" t="s">
        <v>295</v>
      </c>
      <c r="J12">
        <v>15</v>
      </c>
      <c r="K12" s="7">
        <f>INDEX('Cost Analysis pg 4'!$P:$P,MATCH(I12,'Cost Analysis pg 4'!$A:$A,0))*'Cost Analysis pg 4'!$O$52</f>
        <v>8.1536365562352984</v>
      </c>
      <c r="L12" s="8">
        <f>K12*E12</f>
        <v>198865.27875449785</v>
      </c>
    </row>
    <row r="13" spans="1:12">
      <c r="A13" s="4" t="s">
        <v>14</v>
      </c>
      <c r="B13">
        <v>15</v>
      </c>
      <c r="C13" t="s">
        <v>19</v>
      </c>
      <c r="D13" t="s">
        <v>58</v>
      </c>
      <c r="E13" s="6">
        <v>3825.5359662951851</v>
      </c>
      <c r="F13" s="7">
        <v>21.369999999999997</v>
      </c>
      <c r="G13" s="8">
        <f t="shared" ref="G13:G19" si="0">E13*F13</f>
        <v>81751.703599728091</v>
      </c>
      <c r="I13" s="4" t="s">
        <v>296</v>
      </c>
      <c r="J13">
        <v>15</v>
      </c>
      <c r="K13" s="7">
        <f>INDEX('Cost Analysis pg 4'!$P:$P,MATCH(I13,'Cost Analysis pg 4'!$A:$A,0))*'Cost Analysis pg 4'!$O$52</f>
        <v>9.172118919763081</v>
      </c>
      <c r="L13" s="8">
        <f t="shared" ref="L13:L17" si="1">K13*E13</f>
        <v>35088.270814690208</v>
      </c>
    </row>
    <row r="14" spans="1:12">
      <c r="A14" s="4" t="s">
        <v>15</v>
      </c>
      <c r="B14">
        <v>15</v>
      </c>
      <c r="C14" t="s">
        <v>19</v>
      </c>
      <c r="D14" t="s">
        <v>58</v>
      </c>
      <c r="E14" s="6">
        <v>441.7670756274303</v>
      </c>
      <c r="F14" s="7">
        <v>44.25</v>
      </c>
      <c r="G14" s="8">
        <f t="shared" si="0"/>
        <v>19548.193096513791</v>
      </c>
      <c r="I14" s="4" t="s">
        <v>297</v>
      </c>
      <c r="J14">
        <v>15</v>
      </c>
      <c r="K14" s="7">
        <f>INDEX('Cost Analysis pg 4'!$P:$P,MATCH(I14,'Cost Analysis pg 4'!$A:$A,0))*'Cost Analysis pg 4'!$O$52</f>
        <v>10.771971989087854</v>
      </c>
      <c r="L14" s="8">
        <f t="shared" si="1"/>
        <v>4758.7025643599345</v>
      </c>
    </row>
    <row r="15" spans="1:12">
      <c r="A15" s="4" t="s">
        <v>275</v>
      </c>
      <c r="B15">
        <v>15</v>
      </c>
      <c r="C15" t="s">
        <v>19</v>
      </c>
      <c r="D15" t="s">
        <v>58</v>
      </c>
      <c r="E15" s="6">
        <v>2265.2442142643458</v>
      </c>
      <c r="F15" s="7">
        <v>12.77</v>
      </c>
      <c r="G15" s="8">
        <f t="shared" si="0"/>
        <v>28927.168616155694</v>
      </c>
      <c r="I15" s="4" t="s">
        <v>295</v>
      </c>
      <c r="J15">
        <v>15</v>
      </c>
      <c r="K15" s="7">
        <f>INDEX('Cost Analysis pg 4'!$P:$P,MATCH(I15,'Cost Analysis pg 4'!$A:$A,0))*'Cost Analysis pg 4'!$O$52</f>
        <v>8.1536365562352984</v>
      </c>
      <c r="L15" s="8">
        <f t="shared" si="1"/>
        <v>18469.978034226275</v>
      </c>
    </row>
    <row r="16" spans="1:12">
      <c r="A16" s="4" t="s">
        <v>276</v>
      </c>
      <c r="B16">
        <v>15</v>
      </c>
      <c r="C16" t="s">
        <v>19</v>
      </c>
      <c r="D16" t="s">
        <v>58</v>
      </c>
      <c r="E16" s="6">
        <v>1884.3635628551399</v>
      </c>
      <c r="F16" s="7">
        <v>18.759999999999998</v>
      </c>
      <c r="G16" s="8">
        <f t="shared" si="0"/>
        <v>35350.660439162421</v>
      </c>
      <c r="I16" s="4" t="s">
        <v>296</v>
      </c>
      <c r="J16">
        <v>15</v>
      </c>
      <c r="K16" s="7">
        <f>INDEX('Cost Analysis pg 4'!$P:$P,MATCH(I16,'Cost Analysis pg 4'!$A:$A,0))*'Cost Analysis pg 4'!$O$52</f>
        <v>9.172118919763081</v>
      </c>
      <c r="L16" s="8">
        <f t="shared" si="1"/>
        <v>17283.606686575797</v>
      </c>
    </row>
    <row r="17" spans="1:12">
      <c r="A17" s="4" t="s">
        <v>277</v>
      </c>
      <c r="B17">
        <v>15</v>
      </c>
      <c r="C17" t="s">
        <v>19</v>
      </c>
      <c r="D17" t="s">
        <v>58</v>
      </c>
      <c r="E17" s="6">
        <v>570.8003236486785</v>
      </c>
      <c r="F17" s="7">
        <v>30.28</v>
      </c>
      <c r="G17" s="8">
        <f t="shared" si="0"/>
        <v>17283.833800081986</v>
      </c>
      <c r="I17" s="4" t="s">
        <v>297</v>
      </c>
      <c r="J17">
        <v>15</v>
      </c>
      <c r="K17" s="7">
        <f>INDEX('Cost Analysis pg 4'!$P:$P,MATCH(I17,'Cost Analysis pg 4'!$A:$A,0))*'Cost Analysis pg 4'!$O$52</f>
        <v>10.771971989087854</v>
      </c>
      <c r="L17" s="8">
        <f t="shared" si="1"/>
        <v>6148.6450977058466</v>
      </c>
    </row>
    <row r="18" spans="1:12">
      <c r="A18" s="4"/>
      <c r="E18" s="6"/>
      <c r="F18" s="7"/>
      <c r="G18" s="8"/>
      <c r="I18" s="4"/>
      <c r="K18" s="8"/>
      <c r="L18" s="7"/>
    </row>
    <row r="19" spans="1:12">
      <c r="A19" s="4" t="s">
        <v>16</v>
      </c>
      <c r="B19">
        <v>15</v>
      </c>
      <c r="C19" t="s">
        <v>19</v>
      </c>
      <c r="D19" t="s">
        <v>58</v>
      </c>
      <c r="E19" s="6">
        <v>497.13191990339959</v>
      </c>
      <c r="F19" s="7">
        <v>1</v>
      </c>
      <c r="G19" s="8">
        <f t="shared" si="0"/>
        <v>497.13191990339959</v>
      </c>
      <c r="I19" s="4" t="s">
        <v>61</v>
      </c>
      <c r="J19">
        <v>15</v>
      </c>
      <c r="K19" s="8">
        <v>0</v>
      </c>
      <c r="L19" s="7">
        <v>0</v>
      </c>
    </row>
    <row r="20" spans="1:12">
      <c r="A20" s="4"/>
      <c r="F20" s="7"/>
      <c r="G20" s="8"/>
      <c r="K20" s="8"/>
      <c r="L20" s="7"/>
    </row>
    <row r="21" spans="1:12">
      <c r="A21" s="5" t="s">
        <v>20</v>
      </c>
      <c r="B21">
        <v>51</v>
      </c>
      <c r="C21" t="s">
        <v>19</v>
      </c>
      <c r="F21" s="7"/>
      <c r="G21" s="8"/>
      <c r="I21" s="5" t="s">
        <v>20</v>
      </c>
      <c r="J21">
        <v>51</v>
      </c>
      <c r="K21" s="8"/>
      <c r="L21" s="7"/>
    </row>
    <row r="22" spans="1:12">
      <c r="A22" s="4" t="s">
        <v>21</v>
      </c>
      <c r="B22">
        <v>51</v>
      </c>
      <c r="C22" t="s">
        <v>19</v>
      </c>
      <c r="D22" t="s">
        <v>58</v>
      </c>
      <c r="E22" s="6">
        <v>42.160200250312897</v>
      </c>
      <c r="F22" s="7">
        <v>7.95</v>
      </c>
      <c r="G22" s="8">
        <f t="shared" ref="G22:G43" si="2">E22*F22</f>
        <v>335.17359198998753</v>
      </c>
      <c r="I22" s="4" t="s">
        <v>62</v>
      </c>
      <c r="J22">
        <v>51</v>
      </c>
      <c r="K22" s="7">
        <f>INDEX('Cost Analysis pg 4'!$P:$P,MATCH(I22,'Cost Analysis pg 4'!$A:$A,0))*'Cost Analysis pg 4'!$O$52</f>
        <v>8.6277457846556409</v>
      </c>
      <c r="L22" s="8">
        <f>K22*E22</f>
        <v>363.74748998987479</v>
      </c>
    </row>
    <row r="23" spans="1:12">
      <c r="A23" s="4" t="s">
        <v>22</v>
      </c>
      <c r="B23">
        <v>51</v>
      </c>
      <c r="C23" t="s">
        <v>19</v>
      </c>
      <c r="D23" t="s">
        <v>58</v>
      </c>
      <c r="E23" s="6">
        <v>1940.5866589300399</v>
      </c>
      <c r="F23" s="7">
        <v>9.86</v>
      </c>
      <c r="G23" s="8">
        <f t="shared" si="2"/>
        <v>19134.184457050193</v>
      </c>
      <c r="I23" s="4" t="s">
        <v>63</v>
      </c>
      <c r="J23">
        <v>51</v>
      </c>
      <c r="K23" s="7">
        <f>INDEX('Cost Analysis pg 4'!$P:$P,MATCH(I23,'Cost Analysis pg 4'!$A:$A,0))*'Cost Analysis pg 4'!$O$52</f>
        <v>9.2643455111056099</v>
      </c>
      <c r="L23" s="8">
        <f t="shared" ref="L23:L42" si="3">K23*E23</f>
        <v>17978.265302569947</v>
      </c>
    </row>
    <row r="24" spans="1:12">
      <c r="A24" s="4" t="s">
        <v>23</v>
      </c>
      <c r="B24">
        <v>51</v>
      </c>
      <c r="C24" t="s">
        <v>19</v>
      </c>
      <c r="D24" t="s">
        <v>58</v>
      </c>
      <c r="E24" s="6">
        <v>386.34804089456901</v>
      </c>
      <c r="F24" s="7">
        <v>12.43</v>
      </c>
      <c r="G24" s="8">
        <f t="shared" si="2"/>
        <v>4802.3061483194924</v>
      </c>
      <c r="I24" s="4" t="s">
        <v>64</v>
      </c>
      <c r="J24">
        <v>51</v>
      </c>
      <c r="K24" s="7">
        <f>INDEX('Cost Analysis pg 4'!$P:$P,MATCH(I24,'Cost Analysis pg 4'!$A:$A,0))*'Cost Analysis pg 4'!$O$52</f>
        <v>9.532316706171482</v>
      </c>
      <c r="L24" s="8">
        <f t="shared" si="3"/>
        <v>3682.7918846159232</v>
      </c>
    </row>
    <row r="25" spans="1:12">
      <c r="A25" s="4" t="s">
        <v>24</v>
      </c>
      <c r="B25">
        <v>51</v>
      </c>
      <c r="C25" t="s">
        <v>19</v>
      </c>
      <c r="D25" t="s">
        <v>58</v>
      </c>
      <c r="E25" s="6">
        <v>30.6747747747748</v>
      </c>
      <c r="F25" s="7">
        <v>12.87</v>
      </c>
      <c r="G25" s="8">
        <f t="shared" si="2"/>
        <v>394.78435135135163</v>
      </c>
      <c r="I25" s="4" t="s">
        <v>65</v>
      </c>
      <c r="J25">
        <v>51</v>
      </c>
      <c r="K25" s="7">
        <f>INDEX('Cost Analysis pg 4'!$P:$P,MATCH(I25,'Cost Analysis pg 4'!$A:$A,0))*'Cost Analysis pg 4'!$O$52</f>
        <v>9.8439039807519659</v>
      </c>
      <c r="L25" s="8">
        <f t="shared" si="3"/>
        <v>301.95953751407563</v>
      </c>
    </row>
    <row r="26" spans="1:12">
      <c r="A26" s="4" t="s">
        <v>25</v>
      </c>
      <c r="B26">
        <v>51</v>
      </c>
      <c r="C26" t="s">
        <v>19</v>
      </c>
      <c r="D26" t="s">
        <v>58</v>
      </c>
      <c r="E26" s="6">
        <v>1920.3574460887401</v>
      </c>
      <c r="F26" s="7">
        <v>20.67</v>
      </c>
      <c r="G26" s="8">
        <f t="shared" si="2"/>
        <v>39693.788410654262</v>
      </c>
      <c r="I26" s="4" t="s">
        <v>66</v>
      </c>
      <c r="J26">
        <v>51</v>
      </c>
      <c r="K26" s="7">
        <f>INDEX('Cost Analysis pg 4'!$P:$P,MATCH(I26,'Cost Analysis pg 4'!$A:$A,0))*'Cost Analysis pg 4'!$O$52</f>
        <v>10.441372900206385</v>
      </c>
      <c r="L26" s="8">
        <f t="shared" si="3"/>
        <v>20051.168196300514</v>
      </c>
    </row>
    <row r="27" spans="1:12">
      <c r="A27" s="4" t="s">
        <v>26</v>
      </c>
      <c r="B27">
        <v>51</v>
      </c>
      <c r="C27" t="s">
        <v>19</v>
      </c>
      <c r="D27" t="s">
        <v>58</v>
      </c>
      <c r="E27" s="6">
        <v>710.850771902367</v>
      </c>
      <c r="F27" s="7">
        <v>26.09</v>
      </c>
      <c r="G27" s="8">
        <f t="shared" si="2"/>
        <v>18546.096638932755</v>
      </c>
      <c r="I27" s="4" t="s">
        <v>67</v>
      </c>
      <c r="J27">
        <v>51</v>
      </c>
      <c r="K27" s="7">
        <f>INDEX('Cost Analysis pg 4'!$P:$P,MATCH(I27,'Cost Analysis pg 4'!$A:$A,0))*'Cost Analysis pg 4'!$O$52</f>
        <v>12.726728154569866</v>
      </c>
      <c r="L27" s="8">
        <f t="shared" si="3"/>
        <v>9046.804532467575</v>
      </c>
    </row>
    <row r="28" spans="1:12">
      <c r="A28" s="4" t="s">
        <v>27</v>
      </c>
      <c r="B28">
        <v>51</v>
      </c>
      <c r="C28" t="s">
        <v>19</v>
      </c>
      <c r="D28" t="s">
        <v>58</v>
      </c>
      <c r="E28" s="6">
        <v>2511.7599388379199</v>
      </c>
      <c r="F28" s="7">
        <v>6.5</v>
      </c>
      <c r="G28" s="8">
        <f t="shared" si="2"/>
        <v>16326.439602446479</v>
      </c>
      <c r="I28" s="4" t="s">
        <v>68</v>
      </c>
      <c r="J28">
        <v>51</v>
      </c>
      <c r="K28" s="7">
        <f>INDEX('Cost Analysis pg 4'!$P:$P,MATCH(I28,'Cost Analysis pg 4'!$A:$A,0))*'Cost Analysis pg 4'!$O$52</f>
        <v>4.2512483242969674</v>
      </c>
      <c r="L28" s="8">
        <f t="shared" si="3"/>
        <v>10678.11523102096</v>
      </c>
    </row>
    <row r="29" spans="1:12">
      <c r="A29" s="4" t="s">
        <v>28</v>
      </c>
      <c r="B29">
        <v>51</v>
      </c>
      <c r="C29" t="s">
        <v>19</v>
      </c>
      <c r="D29" t="s">
        <v>58</v>
      </c>
      <c r="E29" s="6">
        <v>1224.931672702</v>
      </c>
      <c r="F29" s="7">
        <v>6.97</v>
      </c>
      <c r="G29" s="8">
        <f t="shared" si="2"/>
        <v>8537.7737587329393</v>
      </c>
      <c r="I29" s="4" t="s">
        <v>69</v>
      </c>
      <c r="J29">
        <v>51</v>
      </c>
      <c r="K29" s="7">
        <f>INDEX('Cost Analysis pg 4'!$P:$P,MATCH(I29,'Cost Analysis pg 4'!$A:$A,0))*'Cost Analysis pg 4'!$O$52</f>
        <v>4.5915701157526696</v>
      </c>
      <c r="L29" s="8">
        <f t="shared" si="3"/>
        <v>5624.3596622174337</v>
      </c>
    </row>
    <row r="30" spans="1:12">
      <c r="A30" s="4" t="s">
        <v>29</v>
      </c>
      <c r="B30">
        <v>51</v>
      </c>
      <c r="C30" t="s">
        <v>19</v>
      </c>
      <c r="D30" t="s">
        <v>58</v>
      </c>
      <c r="E30" s="6">
        <v>21.048507462686601</v>
      </c>
      <c r="F30" s="7">
        <v>7.97</v>
      </c>
      <c r="G30" s="8">
        <f t="shared" si="2"/>
        <v>167.7566044776122</v>
      </c>
      <c r="I30" s="4" t="s">
        <v>70</v>
      </c>
      <c r="J30">
        <v>51</v>
      </c>
      <c r="K30" s="7">
        <f>INDEX('Cost Analysis pg 4'!$P:$P,MATCH(I30,'Cost Analysis pg 4'!$A:$A,0))*'Cost Analysis pg 4'!$O$52</f>
        <v>4.8393760910345573</v>
      </c>
      <c r="L30" s="8">
        <f t="shared" si="3"/>
        <v>101.86164376688799</v>
      </c>
    </row>
    <row r="31" spans="1:12">
      <c r="A31" s="4" t="s">
        <v>30</v>
      </c>
      <c r="B31">
        <v>51</v>
      </c>
      <c r="C31" t="s">
        <v>19</v>
      </c>
      <c r="D31" t="s">
        <v>58</v>
      </c>
      <c r="E31" s="6">
        <v>1847.76591955096</v>
      </c>
      <c r="F31" s="7">
        <v>8.1300000000000008</v>
      </c>
      <c r="G31" s="8">
        <f t="shared" si="2"/>
        <v>15022.336925949307</v>
      </c>
      <c r="I31" s="4" t="s">
        <v>71</v>
      </c>
      <c r="J31">
        <v>51</v>
      </c>
      <c r="K31" s="7">
        <f>INDEX('Cost Analysis pg 4'!$P:$P,MATCH(I31,'Cost Analysis pg 4'!$A:$A,0))*'Cost Analysis pg 4'!$O$52</f>
        <v>5.1082399108287007</v>
      </c>
      <c r="L31" s="8">
        <f t="shared" si="3"/>
        <v>9438.8316161193088</v>
      </c>
    </row>
    <row r="32" spans="1:12">
      <c r="A32" s="4" t="s">
        <v>31</v>
      </c>
      <c r="B32">
        <v>51</v>
      </c>
      <c r="C32" t="s">
        <v>19</v>
      </c>
      <c r="D32" t="s">
        <v>58</v>
      </c>
      <c r="E32" s="6">
        <v>164.16525779691301</v>
      </c>
      <c r="F32" s="7">
        <v>10.56</v>
      </c>
      <c r="G32" s="8">
        <f t="shared" si="2"/>
        <v>1733.5851223354014</v>
      </c>
      <c r="I32" s="4" t="s">
        <v>72</v>
      </c>
      <c r="J32">
        <v>51</v>
      </c>
      <c r="K32" s="7">
        <f>INDEX('Cost Analysis pg 4'!$P:$P,MATCH(I32,'Cost Analysis pg 4'!$A:$A,0))*'Cost Analysis pg 4'!$O$52</f>
        <v>5.4438206469403285</v>
      </c>
      <c r="L32" s="8">
        <f t="shared" si="3"/>
        <v>893.68621990511679</v>
      </c>
    </row>
    <row r="33" spans="1:13">
      <c r="A33" s="4" t="s">
        <v>32</v>
      </c>
      <c r="B33">
        <v>51</v>
      </c>
      <c r="C33" t="s">
        <v>19</v>
      </c>
      <c r="D33" t="s">
        <v>58</v>
      </c>
      <c r="E33" s="6">
        <v>648.34196374959504</v>
      </c>
      <c r="F33" s="7">
        <v>12.09</v>
      </c>
      <c r="G33" s="8">
        <f t="shared" si="2"/>
        <v>7838.454341732604</v>
      </c>
      <c r="I33" s="4" t="s">
        <v>73</v>
      </c>
      <c r="J33">
        <v>51</v>
      </c>
      <c r="K33" s="7">
        <f>INDEX('Cost Analysis pg 4'!$P:$P,MATCH(I33,'Cost Analysis pg 4'!$A:$A,0))*'Cost Analysis pg 4'!$O$52</f>
        <v>6.6453173346134422</v>
      </c>
      <c r="L33" s="8">
        <f t="shared" si="3"/>
        <v>4308.4380904625041</v>
      </c>
    </row>
    <row r="34" spans="1:13">
      <c r="A34" s="4" t="s">
        <v>275</v>
      </c>
      <c r="B34">
        <v>51</v>
      </c>
      <c r="C34" t="s">
        <v>19</v>
      </c>
      <c r="D34" t="s">
        <v>58</v>
      </c>
      <c r="E34" s="6">
        <v>11400.039491543301</v>
      </c>
      <c r="F34" s="7">
        <v>8.93</v>
      </c>
      <c r="G34" s="8">
        <f t="shared" si="2"/>
        <v>101802.35265948168</v>
      </c>
      <c r="I34" s="4" t="s">
        <v>62</v>
      </c>
      <c r="J34">
        <v>51</v>
      </c>
      <c r="K34" s="7">
        <f>INDEX('Cost Analysis pg 4'!$P:$P,MATCH(I34,'Cost Analysis pg 4'!$A:$A,0))*'Cost Analysis pg 4'!$O$52</f>
        <v>8.6277457846556409</v>
      </c>
      <c r="L34" s="8">
        <f t="shared" si="3"/>
        <v>98356.642668070548</v>
      </c>
      <c r="M34" s="7"/>
    </row>
    <row r="35" spans="1:13">
      <c r="A35" s="4" t="s">
        <v>278</v>
      </c>
      <c r="B35">
        <v>51</v>
      </c>
      <c r="C35" t="s">
        <v>19</v>
      </c>
      <c r="D35" t="s">
        <v>58</v>
      </c>
      <c r="E35" s="6">
        <v>17310.1784326038</v>
      </c>
      <c r="F35" s="7">
        <v>10.72</v>
      </c>
      <c r="G35" s="8">
        <f t="shared" si="2"/>
        <v>185565.11279751273</v>
      </c>
      <c r="I35" s="4" t="s">
        <v>63</v>
      </c>
      <c r="J35">
        <v>51</v>
      </c>
      <c r="K35" s="7">
        <f>INDEX('Cost Analysis pg 4'!$P:$P,MATCH(I35,'Cost Analysis pg 4'!$A:$A,0))*'Cost Analysis pg 4'!$O$52</f>
        <v>9.2643455111056099</v>
      </c>
      <c r="L35" s="8">
        <f t="shared" si="3"/>
        <v>160367.47385853014</v>
      </c>
      <c r="M35" s="7"/>
    </row>
    <row r="36" spans="1:13">
      <c r="A36" s="4" t="s">
        <v>279</v>
      </c>
      <c r="B36">
        <v>51</v>
      </c>
      <c r="C36" t="s">
        <v>19</v>
      </c>
      <c r="D36" t="s">
        <v>58</v>
      </c>
      <c r="E36" s="6">
        <v>1065.5868126631899</v>
      </c>
      <c r="F36" s="7">
        <v>13.69</v>
      </c>
      <c r="G36" s="8">
        <f t="shared" si="2"/>
        <v>14587.883465359069</v>
      </c>
      <c r="I36" s="4" t="s">
        <v>64</v>
      </c>
      <c r="J36">
        <v>51</v>
      </c>
      <c r="K36" s="7">
        <f>INDEX('Cost Analysis pg 4'!$P:$P,MATCH(I36,'Cost Analysis pg 4'!$A:$A,0))*'Cost Analysis pg 4'!$O$52</f>
        <v>9.532316706171482</v>
      </c>
      <c r="L36" s="8">
        <f t="shared" si="3"/>
        <v>10157.510976225347</v>
      </c>
      <c r="M36" s="7"/>
    </row>
    <row r="37" spans="1:13">
      <c r="A37" s="4" t="s">
        <v>276</v>
      </c>
      <c r="B37">
        <v>51</v>
      </c>
      <c r="C37" t="s">
        <v>19</v>
      </c>
      <c r="D37" t="s">
        <v>58</v>
      </c>
      <c r="E37" s="6">
        <v>16337.519049537101</v>
      </c>
      <c r="F37" s="7">
        <v>15.63</v>
      </c>
      <c r="G37" s="8">
        <f t="shared" si="2"/>
        <v>255355.42274426488</v>
      </c>
      <c r="I37" s="4" t="s">
        <v>65</v>
      </c>
      <c r="J37">
        <v>51</v>
      </c>
      <c r="K37" s="7">
        <f>INDEX('Cost Analysis pg 4'!$P:$P,MATCH(I37,'Cost Analysis pg 4'!$A:$A,0))*'Cost Analysis pg 4'!$O$52</f>
        <v>9.8439039807519659</v>
      </c>
      <c r="L37" s="8">
        <f t="shared" si="3"/>
        <v>160824.96880734933</v>
      </c>
      <c r="M37" s="7"/>
    </row>
    <row r="38" spans="1:13">
      <c r="A38" s="4" t="s">
        <v>280</v>
      </c>
      <c r="B38">
        <v>51</v>
      </c>
      <c r="C38" t="s">
        <v>19</v>
      </c>
      <c r="D38" t="s">
        <v>58</v>
      </c>
      <c r="E38" s="6">
        <v>1995.29440937456</v>
      </c>
      <c r="F38" s="7">
        <v>19.8</v>
      </c>
      <c r="G38" s="8">
        <f t="shared" si="2"/>
        <v>39506.829305616287</v>
      </c>
      <c r="I38" s="4" t="s">
        <v>66</v>
      </c>
      <c r="J38">
        <v>51</v>
      </c>
      <c r="K38" s="7">
        <f>INDEX('Cost Analysis pg 4'!$P:$P,MATCH(I38,'Cost Analysis pg 4'!$A:$A,0))*'Cost Analysis pg 4'!$O$52</f>
        <v>10.441372900206385</v>
      </c>
      <c r="L38" s="8">
        <f t="shared" si="3"/>
        <v>20833.612973976837</v>
      </c>
      <c r="M38" s="7"/>
    </row>
    <row r="39" spans="1:13">
      <c r="A39" s="4" t="s">
        <v>277</v>
      </c>
      <c r="B39">
        <v>51</v>
      </c>
      <c r="C39" t="s">
        <v>19</v>
      </c>
      <c r="D39" t="s">
        <v>58</v>
      </c>
      <c r="E39" s="6">
        <v>2706.90940145997</v>
      </c>
      <c r="F39" s="7">
        <v>26.16</v>
      </c>
      <c r="G39" s="8">
        <f t="shared" si="2"/>
        <v>70812.749942192822</v>
      </c>
      <c r="I39" s="4" t="s">
        <v>67</v>
      </c>
      <c r="J39">
        <v>51</v>
      </c>
      <c r="K39" s="7">
        <f>INDEX('Cost Analysis pg 4'!$P:$P,MATCH(I39,'Cost Analysis pg 4'!$A:$A,0))*'Cost Analysis pg 4'!$O$52</f>
        <v>12.726728154569866</v>
      </c>
      <c r="L39" s="8">
        <f t="shared" si="3"/>
        <v>34450.100091430468</v>
      </c>
      <c r="M39" s="7"/>
    </row>
    <row r="40" spans="1:13">
      <c r="A40" s="4" t="s">
        <v>281</v>
      </c>
      <c r="B40">
        <v>51</v>
      </c>
      <c r="C40" t="s">
        <v>19</v>
      </c>
      <c r="D40" t="s">
        <v>58</v>
      </c>
      <c r="E40" s="6">
        <v>0</v>
      </c>
      <c r="F40" s="7">
        <v>34.03</v>
      </c>
      <c r="G40" s="8">
        <f t="shared" si="2"/>
        <v>0</v>
      </c>
      <c r="I40" s="4" t="s">
        <v>274</v>
      </c>
      <c r="K40" s="7"/>
      <c r="L40" s="8"/>
    </row>
    <row r="41" spans="1:13">
      <c r="A41" s="4" t="s">
        <v>282</v>
      </c>
      <c r="B41">
        <v>51</v>
      </c>
      <c r="C41" t="s">
        <v>19</v>
      </c>
      <c r="D41" t="s">
        <v>58</v>
      </c>
      <c r="E41" s="6">
        <v>0</v>
      </c>
      <c r="F41" s="7">
        <v>26.46</v>
      </c>
      <c r="G41" s="8">
        <f t="shared" si="2"/>
        <v>0</v>
      </c>
      <c r="I41" s="4" t="s">
        <v>274</v>
      </c>
      <c r="K41" s="7"/>
      <c r="L41" s="8"/>
    </row>
    <row r="42" spans="1:13">
      <c r="A42" s="4" t="s">
        <v>283</v>
      </c>
      <c r="B42">
        <v>51</v>
      </c>
      <c r="C42" t="s">
        <v>19</v>
      </c>
      <c r="D42" t="s">
        <v>58</v>
      </c>
      <c r="E42" s="6">
        <v>47.999893788498298</v>
      </c>
      <c r="F42" s="7">
        <v>35.25</v>
      </c>
      <c r="G42" s="8">
        <f t="shared" si="2"/>
        <v>1691.9962560445649</v>
      </c>
      <c r="I42" s="4" t="s">
        <v>318</v>
      </c>
      <c r="J42">
        <v>51</v>
      </c>
      <c r="K42" s="7">
        <f>INDEX('Cost Analysis pg 4'!$P:$P,MATCH(I42,'Cost Analysis pg 4'!$A:$A,0))*'Cost Analysis pg 4'!$O$52</f>
        <v>17.066728950391411</v>
      </c>
      <c r="L42" s="8">
        <f t="shared" si="3"/>
        <v>819.20117693587679</v>
      </c>
    </row>
    <row r="43" spans="1:13">
      <c r="A43" s="4" t="s">
        <v>284</v>
      </c>
      <c r="B43">
        <v>51</v>
      </c>
      <c r="C43" t="s">
        <v>19</v>
      </c>
      <c r="D43" t="s">
        <v>58</v>
      </c>
      <c r="E43" s="6">
        <v>0</v>
      </c>
      <c r="F43" s="7">
        <v>27.72</v>
      </c>
      <c r="G43" s="8">
        <f t="shared" si="2"/>
        <v>0</v>
      </c>
      <c r="I43" s="4" t="s">
        <v>274</v>
      </c>
      <c r="K43" s="7"/>
      <c r="L43" s="8"/>
    </row>
    <row r="44" spans="1:13">
      <c r="E44" s="6"/>
      <c r="F44" s="7"/>
      <c r="G44" s="8"/>
      <c r="K44" s="8"/>
      <c r="L44" s="7"/>
    </row>
    <row r="45" spans="1:13">
      <c r="A45" s="5" t="s">
        <v>20</v>
      </c>
      <c r="B45">
        <v>52</v>
      </c>
      <c r="C45" t="s">
        <v>19</v>
      </c>
      <c r="E45" s="6"/>
      <c r="F45" s="7"/>
      <c r="G45" s="8"/>
      <c r="K45" s="8"/>
      <c r="L45" s="7"/>
    </row>
    <row r="46" spans="1:13">
      <c r="A46" s="5" t="s">
        <v>285</v>
      </c>
      <c r="B46">
        <v>52</v>
      </c>
      <c r="C46" t="s">
        <v>19</v>
      </c>
      <c r="D46" t="s">
        <v>58</v>
      </c>
      <c r="E46" s="6">
        <v>99.496169348787106</v>
      </c>
      <c r="F46" s="7">
        <v>7.7059299999999995</v>
      </c>
      <c r="G46" s="8">
        <f t="shared" ref="G46:G55" si="4">E46*F46</f>
        <v>766.71051626989902</v>
      </c>
      <c r="I46" s="4" t="s">
        <v>62</v>
      </c>
      <c r="J46">
        <v>51</v>
      </c>
      <c r="K46" s="7">
        <f>INDEX('Cost Analysis pg 4'!$P:$P,MATCH(I46,'Cost Analysis pg 4'!$A:$A,0))*'Cost Analysis pg 4'!$O$52</f>
        <v>8.6277457846556409</v>
      </c>
      <c r="L46" s="8">
        <f t="shared" ref="L46:L55" si="5">K46*E46</f>
        <v>858.42765568838172</v>
      </c>
    </row>
    <row r="47" spans="1:13">
      <c r="A47" s="5" t="s">
        <v>286</v>
      </c>
      <c r="B47">
        <v>52</v>
      </c>
      <c r="C47" t="s">
        <v>19</v>
      </c>
      <c r="D47" t="s">
        <v>58</v>
      </c>
      <c r="E47" s="6">
        <v>24.332031803880973</v>
      </c>
      <c r="F47" s="7">
        <v>11.786789999999996</v>
      </c>
      <c r="G47" s="8">
        <f t="shared" si="4"/>
        <v>286.79654914566612</v>
      </c>
      <c r="I47" s="4" t="s">
        <v>62</v>
      </c>
      <c r="J47">
        <v>51</v>
      </c>
      <c r="K47" s="7">
        <f>INDEX('Cost Analysis pg 4'!$P:$P,MATCH(I47,'Cost Analysis pg 4'!$A:$A,0))*'Cost Analysis pg 4'!$O$52</f>
        <v>8.6277457846556409</v>
      </c>
      <c r="L47" s="8">
        <f t="shared" si="5"/>
        <v>209.93058482804105</v>
      </c>
    </row>
    <row r="48" spans="1:13">
      <c r="A48" s="5" t="s">
        <v>287</v>
      </c>
      <c r="B48">
        <v>52</v>
      </c>
      <c r="C48" t="s">
        <v>19</v>
      </c>
      <c r="D48" t="s">
        <v>58</v>
      </c>
      <c r="E48" s="6">
        <v>36.498764729996658</v>
      </c>
      <c r="F48" s="7">
        <v>15.682830000000017</v>
      </c>
      <c r="G48" s="8">
        <f t="shared" si="4"/>
        <v>572.4039224705341</v>
      </c>
      <c r="I48" s="4" t="s">
        <v>62</v>
      </c>
      <c r="J48">
        <v>51</v>
      </c>
      <c r="K48" s="7">
        <f>INDEX('Cost Analysis pg 4'!$P:$P,MATCH(I48,'Cost Analysis pg 4'!$A:$A,0))*'Cost Analysis pg 4'!$O$52</f>
        <v>8.6277457846556409</v>
      </c>
      <c r="L48" s="8">
        <f t="shared" si="5"/>
        <v>314.90206354436663</v>
      </c>
    </row>
    <row r="49" spans="1:14">
      <c r="A49" s="5" t="s">
        <v>288</v>
      </c>
      <c r="B49">
        <v>52</v>
      </c>
      <c r="C49" t="s">
        <v>19</v>
      </c>
      <c r="D49" t="s">
        <v>58</v>
      </c>
      <c r="E49" s="6">
        <v>1010.4977586769608</v>
      </c>
      <c r="F49" s="7">
        <v>11.736039999999974</v>
      </c>
      <c r="G49" s="8">
        <f t="shared" si="4"/>
        <v>11859.242115743133</v>
      </c>
      <c r="I49" s="4" t="s">
        <v>63</v>
      </c>
      <c r="J49">
        <v>51</v>
      </c>
      <c r="K49" s="7">
        <f>INDEX('Cost Analysis pg 4'!$P:$P,MATCH(I49,'Cost Analysis pg 4'!$A:$A,0))*'Cost Analysis pg 4'!$O$52</f>
        <v>9.2643455111056099</v>
      </c>
      <c r="L49" s="8">
        <f t="shared" si="5"/>
        <v>9361.6003745811813</v>
      </c>
    </row>
    <row r="50" spans="1:14">
      <c r="A50" s="5" t="s">
        <v>289</v>
      </c>
      <c r="B50">
        <v>52</v>
      </c>
      <c r="C50" t="s">
        <v>19</v>
      </c>
      <c r="D50" t="s">
        <v>58</v>
      </c>
      <c r="E50" s="6">
        <v>269.16686711653091</v>
      </c>
      <c r="F50" s="7">
        <v>12.286040000000021</v>
      </c>
      <c r="G50" s="8">
        <f t="shared" si="4"/>
        <v>3306.9948960683892</v>
      </c>
      <c r="I50" s="4" t="s">
        <v>63</v>
      </c>
      <c r="J50">
        <v>51</v>
      </c>
      <c r="K50" s="7">
        <f>INDEX('Cost Analysis pg 4'!$P:$P,MATCH(I50,'Cost Analysis pg 4'!$A:$A,0))*'Cost Analysis pg 4'!$O$52</f>
        <v>9.2643455111056099</v>
      </c>
      <c r="L50" s="8">
        <f t="shared" si="5"/>
        <v>2493.6548571093931</v>
      </c>
    </row>
    <row r="51" spans="1:14">
      <c r="A51" s="5" t="s">
        <v>290</v>
      </c>
      <c r="B51">
        <v>52</v>
      </c>
      <c r="C51" t="s">
        <v>19</v>
      </c>
      <c r="D51" t="s">
        <v>58</v>
      </c>
      <c r="E51" s="6">
        <v>23.997709308453953</v>
      </c>
      <c r="F51" s="7">
        <v>16.084850000000017</v>
      </c>
      <c r="G51" s="8">
        <f t="shared" si="4"/>
        <v>385.99955457008599</v>
      </c>
      <c r="I51" s="4" t="s">
        <v>65</v>
      </c>
      <c r="J51">
        <v>51</v>
      </c>
      <c r="K51" s="7">
        <f>INDEX('Cost Analysis pg 4'!$P:$P,MATCH(I51,'Cost Analysis pg 4'!$A:$A,0))*'Cost Analysis pg 4'!$O$52</f>
        <v>9.8439039807519659</v>
      </c>
      <c r="L51" s="8">
        <f t="shared" si="5"/>
        <v>236.23114619041837</v>
      </c>
    </row>
    <row r="52" spans="1:14">
      <c r="A52" s="5" t="s">
        <v>291</v>
      </c>
      <c r="B52">
        <v>52</v>
      </c>
      <c r="C52" t="s">
        <v>19</v>
      </c>
      <c r="D52" t="s">
        <v>58</v>
      </c>
      <c r="E52" s="6">
        <v>12.26821149748088</v>
      </c>
      <c r="F52" s="7">
        <v>16.734849999999955</v>
      </c>
      <c r="G52" s="8">
        <f t="shared" si="4"/>
        <v>205.30667917861737</v>
      </c>
      <c r="I52" s="4" t="s">
        <v>65</v>
      </c>
      <c r="J52">
        <v>51</v>
      </c>
      <c r="K52" s="7">
        <f>INDEX('Cost Analysis pg 4'!$P:$P,MATCH(I52,'Cost Analysis pg 4'!$A:$A,0))*'Cost Analysis pg 4'!$O$52</f>
        <v>9.8439039807519659</v>
      </c>
      <c r="L52" s="8">
        <f t="shared" si="5"/>
        <v>120.76709599675908</v>
      </c>
    </row>
    <row r="53" spans="1:14">
      <c r="A53" s="5" t="s">
        <v>292</v>
      </c>
      <c r="B53">
        <v>52</v>
      </c>
      <c r="C53" t="s">
        <v>19</v>
      </c>
      <c r="D53" t="s">
        <v>58</v>
      </c>
      <c r="E53" s="6">
        <v>732.73055297096528</v>
      </c>
      <c r="F53" s="7">
        <v>17.274849999999994</v>
      </c>
      <c r="G53" s="8">
        <f t="shared" si="4"/>
        <v>12657.810392990476</v>
      </c>
      <c r="I53" s="4" t="s">
        <v>65</v>
      </c>
      <c r="J53">
        <v>51</v>
      </c>
      <c r="K53" s="7">
        <f>INDEX('Cost Analysis pg 4'!$P:$P,MATCH(I53,'Cost Analysis pg 4'!$A:$A,0))*'Cost Analysis pg 4'!$O$52</f>
        <v>9.8439039807519659</v>
      </c>
      <c r="L53" s="8">
        <f t="shared" si="5"/>
        <v>7212.929207209474</v>
      </c>
    </row>
    <row r="54" spans="1:14">
      <c r="A54" s="5" t="s">
        <v>293</v>
      </c>
      <c r="B54">
        <v>52</v>
      </c>
      <c r="C54" t="s">
        <v>19</v>
      </c>
      <c r="D54" t="s">
        <v>58</v>
      </c>
      <c r="E54" s="6">
        <v>12.267523512745923</v>
      </c>
      <c r="F54" s="7">
        <v>12.613159999999979</v>
      </c>
      <c r="G54" s="8">
        <f t="shared" si="4"/>
        <v>154.7322368700261</v>
      </c>
      <c r="I54" s="4" t="s">
        <v>62</v>
      </c>
      <c r="J54">
        <v>51</v>
      </c>
      <c r="K54" s="7">
        <f>INDEX('Cost Analysis pg 4'!$P:$P,MATCH(I54,'Cost Analysis pg 4'!$A:$A,0))*'Cost Analysis pg 4'!$O$52</f>
        <v>8.6277457846556409</v>
      </c>
      <c r="L54" s="8">
        <f t="shared" si="5"/>
        <v>105.8410742752576</v>
      </c>
    </row>
    <row r="55" spans="1:14">
      <c r="A55" s="5" t="s">
        <v>294</v>
      </c>
      <c r="B55">
        <v>52</v>
      </c>
      <c r="C55" t="s">
        <v>19</v>
      </c>
      <c r="D55" t="s">
        <v>58</v>
      </c>
      <c r="E55" s="6">
        <v>12.001987868321439</v>
      </c>
      <c r="F55" s="7">
        <v>15.96452000000002</v>
      </c>
      <c r="G55" s="8">
        <f t="shared" si="4"/>
        <v>191.60597536357523</v>
      </c>
      <c r="I55" s="4" t="s">
        <v>65</v>
      </c>
      <c r="J55">
        <v>51</v>
      </c>
      <c r="K55" s="7">
        <f>INDEX('Cost Analysis pg 4'!$P:$P,MATCH(I55,'Cost Analysis pg 4'!$A:$A,0))*'Cost Analysis pg 4'!$O$52</f>
        <v>9.8439039807519659</v>
      </c>
      <c r="L55" s="8">
        <f t="shared" si="5"/>
        <v>118.14641615390622</v>
      </c>
    </row>
    <row r="56" spans="1:14">
      <c r="E56" s="6"/>
      <c r="F56" s="7"/>
      <c r="G56" s="8"/>
      <c r="K56" s="8"/>
      <c r="L56" s="7"/>
    </row>
    <row r="57" spans="1:14">
      <c r="A57" s="5" t="s">
        <v>34</v>
      </c>
      <c r="B57">
        <v>53</v>
      </c>
      <c r="C57" t="s">
        <v>33</v>
      </c>
      <c r="D57" t="s">
        <v>59</v>
      </c>
      <c r="E57" s="6">
        <v>3695896.7353539728</v>
      </c>
      <c r="F57" s="9">
        <v>7.2150000000000006E-2</v>
      </c>
      <c r="G57" s="8">
        <f t="shared" ref="G57" si="6">E57*F57</f>
        <v>266658.94945578917</v>
      </c>
      <c r="I57" s="5" t="s">
        <v>34</v>
      </c>
      <c r="J57">
        <v>53</v>
      </c>
      <c r="K57" s="9">
        <f>'Cost Analysis pg 4'!P34</f>
        <v>4.3888625400550912E-2</v>
      </c>
      <c r="L57" s="8">
        <f t="shared" ref="L57" si="7">K57*E57</f>
        <v>162207.82733706955</v>
      </c>
      <c r="N57">
        <f>K57/F57</f>
        <v>0.60829695634859193</v>
      </c>
    </row>
    <row r="58" spans="1:14">
      <c r="E58" s="6"/>
      <c r="F58" s="7"/>
      <c r="G58" s="8"/>
      <c r="K58" s="8"/>
      <c r="L58" s="7"/>
    </row>
    <row r="59" spans="1:14">
      <c r="A59" t="s">
        <v>35</v>
      </c>
      <c r="B59">
        <v>54</v>
      </c>
      <c r="C59" t="s">
        <v>33</v>
      </c>
      <c r="E59" s="6"/>
      <c r="F59" s="7"/>
      <c r="G59" s="8"/>
      <c r="I59" t="s">
        <v>35</v>
      </c>
      <c r="J59">
        <v>54</v>
      </c>
      <c r="K59" s="8"/>
      <c r="L59" s="7"/>
    </row>
    <row r="60" spans="1:14">
      <c r="A60" s="4" t="s">
        <v>36</v>
      </c>
      <c r="B60">
        <v>54</v>
      </c>
      <c r="C60" t="s">
        <v>33</v>
      </c>
      <c r="D60" t="s">
        <v>60</v>
      </c>
      <c r="E60" s="6">
        <v>144</v>
      </c>
      <c r="F60" s="7">
        <v>3.9</v>
      </c>
      <c r="G60" s="8">
        <f t="shared" ref="G60:G62" si="8">E60*F60</f>
        <v>561.6</v>
      </c>
      <c r="I60" s="4" t="s">
        <v>36</v>
      </c>
      <c r="J60">
        <v>54</v>
      </c>
      <c r="K60" s="7">
        <f>('Cost Analysis pg 4'!$K$36*1000)/SUM($G$60:$G$61)*F60</f>
        <v>10.865674311007233</v>
      </c>
      <c r="L60" s="8">
        <f t="shared" ref="L60:L61" si="9">K60*E60</f>
        <v>1564.6571007850416</v>
      </c>
    </row>
    <row r="61" spans="1:14">
      <c r="A61" s="4" t="s">
        <v>37</v>
      </c>
      <c r="B61">
        <v>54</v>
      </c>
      <c r="C61" t="s">
        <v>33</v>
      </c>
      <c r="D61" t="s">
        <v>60</v>
      </c>
      <c r="E61" s="6">
        <v>180</v>
      </c>
      <c r="F61" s="7">
        <v>7</v>
      </c>
      <c r="G61" s="8">
        <f t="shared" si="8"/>
        <v>1260</v>
      </c>
      <c r="I61" s="4" t="s">
        <v>37</v>
      </c>
      <c r="J61">
        <v>54</v>
      </c>
      <c r="K61" s="7">
        <f>('Cost Analysis pg 4'!$K$36*1000)/SUM($G$60:$G$61)*F61</f>
        <v>19.502492353089906</v>
      </c>
      <c r="L61" s="8">
        <f t="shared" si="9"/>
        <v>3510.4486235561831</v>
      </c>
    </row>
    <row r="62" spans="1:14">
      <c r="A62" s="4" t="s">
        <v>38</v>
      </c>
      <c r="B62">
        <v>54</v>
      </c>
      <c r="C62" t="s">
        <v>33</v>
      </c>
      <c r="D62" t="s">
        <v>59</v>
      </c>
      <c r="E62" s="6">
        <v>282712</v>
      </c>
      <c r="F62" s="9">
        <v>8.5819999999999994E-2</v>
      </c>
      <c r="G62" s="8">
        <f t="shared" si="8"/>
        <v>24262.343839999998</v>
      </c>
      <c r="I62" s="4" t="s">
        <v>38</v>
      </c>
      <c r="J62">
        <v>54</v>
      </c>
      <c r="K62" s="9">
        <f>L62/E62</f>
        <v>4.1229332246897232E-2</v>
      </c>
      <c r="L62" s="8">
        <f>'Cost Analysis pg 4'!O36*1000-L60-L61</f>
        <v>11656.026978184811</v>
      </c>
    </row>
    <row r="63" spans="1:14">
      <c r="E63" s="6"/>
      <c r="F63" s="7"/>
      <c r="G63" s="8"/>
      <c r="K63" s="8"/>
      <c r="L63" s="7"/>
    </row>
    <row r="64" spans="1:14">
      <c r="A64" s="5" t="s">
        <v>39</v>
      </c>
      <c r="B64">
        <v>57</v>
      </c>
      <c r="C64" t="s">
        <v>19</v>
      </c>
      <c r="E64" s="6"/>
      <c r="F64" s="7"/>
      <c r="G64" s="8"/>
      <c r="I64" s="5" t="s">
        <v>20</v>
      </c>
      <c r="J64">
        <v>51</v>
      </c>
      <c r="K64" s="7"/>
      <c r="L64" s="8"/>
    </row>
    <row r="65" spans="1:12">
      <c r="A65" s="4" t="s">
        <v>40</v>
      </c>
      <c r="B65">
        <v>57</v>
      </c>
      <c r="C65" t="s">
        <v>19</v>
      </c>
      <c r="D65" t="s">
        <v>58</v>
      </c>
      <c r="E65" s="6">
        <v>11337.526455606199</v>
      </c>
      <c r="F65" s="7">
        <v>10.29</v>
      </c>
      <c r="G65" s="8">
        <f t="shared" ref="G65:G82" si="10">E65*F65</f>
        <v>116663.14722818778</v>
      </c>
      <c r="I65" s="4" t="s">
        <v>62</v>
      </c>
      <c r="J65">
        <v>51</v>
      </c>
      <c r="K65" s="7">
        <f>INDEX('Cost Analysis pg 4'!$P:$P,MATCH(I65,'Cost Analysis pg 4'!$A:$A,0))*'Cost Analysis pg 4'!$O$52</f>
        <v>8.6277457846556409</v>
      </c>
      <c r="L65" s="8">
        <f t="shared" ref="L65" si="11">K65*E65</f>
        <v>97817.296085778202</v>
      </c>
    </row>
    <row r="66" spans="1:12">
      <c r="A66" s="4" t="s">
        <v>41</v>
      </c>
      <c r="B66">
        <v>57</v>
      </c>
      <c r="C66" t="s">
        <v>19</v>
      </c>
      <c r="D66" t="s">
        <v>58</v>
      </c>
      <c r="E66" s="6">
        <v>922.24583777958799</v>
      </c>
      <c r="F66" s="7">
        <v>18.829999999999998</v>
      </c>
      <c r="G66" s="8">
        <f t="shared" si="10"/>
        <v>17365.88912538964</v>
      </c>
      <c r="I66" s="4" t="s">
        <v>65</v>
      </c>
      <c r="J66">
        <v>51</v>
      </c>
      <c r="K66" s="7">
        <f>INDEX('Cost Analysis pg 4'!$P:$P,MATCH(I66,'Cost Analysis pg 4'!$A:$A,0))*'Cost Analysis pg 4'!$O$52</f>
        <v>9.8439039807519659</v>
      </c>
      <c r="L66" s="8">
        <f t="shared" ref="L66:L82" si="12">K66*E66</f>
        <v>9078.4994737504185</v>
      </c>
    </row>
    <row r="67" spans="1:12">
      <c r="A67" s="4" t="s">
        <v>42</v>
      </c>
      <c r="B67">
        <v>57</v>
      </c>
      <c r="C67" t="s">
        <v>19</v>
      </c>
      <c r="D67" t="s">
        <v>58</v>
      </c>
      <c r="E67" s="6">
        <v>0</v>
      </c>
      <c r="F67" s="7">
        <v>38.08</v>
      </c>
      <c r="G67" s="8">
        <f t="shared" si="10"/>
        <v>0</v>
      </c>
      <c r="I67" s="4" t="s">
        <v>67</v>
      </c>
      <c r="J67">
        <v>51</v>
      </c>
      <c r="K67" s="7">
        <f>INDEX('Cost Analysis pg 4'!$P:$P,MATCH(I67,'Cost Analysis pg 4'!$A:$A,0))*'Cost Analysis pg 4'!$O$52</f>
        <v>12.726728154569866</v>
      </c>
      <c r="L67" s="8">
        <f t="shared" si="12"/>
        <v>0</v>
      </c>
    </row>
    <row r="68" spans="1:12">
      <c r="A68" s="4" t="s">
        <v>43</v>
      </c>
      <c r="B68">
        <v>57</v>
      </c>
      <c r="C68" t="s">
        <v>19</v>
      </c>
      <c r="D68" t="s">
        <v>58</v>
      </c>
      <c r="E68" s="6">
        <v>3195.22491672157</v>
      </c>
      <c r="F68" s="7">
        <v>9.65</v>
      </c>
      <c r="G68" s="8">
        <f t="shared" si="10"/>
        <v>30833.92044636315</v>
      </c>
      <c r="I68" s="4" t="s">
        <v>62</v>
      </c>
      <c r="J68">
        <v>51</v>
      </c>
      <c r="K68" s="7">
        <f>INDEX('Cost Analysis pg 4'!$P:$P,MATCH(I68,'Cost Analysis pg 4'!$A:$A,0))*'Cost Analysis pg 4'!$O$52</f>
        <v>8.6277457846556409</v>
      </c>
      <c r="L68" s="8">
        <f t="shared" si="12"/>
        <v>27567.588306271198</v>
      </c>
    </row>
    <row r="69" spans="1:12">
      <c r="A69" s="4" t="s">
        <v>44</v>
      </c>
      <c r="B69">
        <v>57</v>
      </c>
      <c r="C69" t="s">
        <v>19</v>
      </c>
      <c r="D69" t="s">
        <v>58</v>
      </c>
      <c r="E69" s="6">
        <v>0</v>
      </c>
      <c r="F69" s="7">
        <v>17.57</v>
      </c>
      <c r="G69" s="8">
        <f t="shared" si="10"/>
        <v>0</v>
      </c>
      <c r="I69" s="4" t="s">
        <v>65</v>
      </c>
      <c r="J69">
        <v>51</v>
      </c>
      <c r="K69" s="7">
        <f>INDEX('Cost Analysis pg 4'!$P:$P,MATCH(I69,'Cost Analysis pg 4'!$A:$A,0))*'Cost Analysis pg 4'!$O$52</f>
        <v>9.8439039807519659</v>
      </c>
      <c r="L69" s="8">
        <f t="shared" si="12"/>
        <v>0</v>
      </c>
    </row>
    <row r="70" spans="1:12">
      <c r="A70" s="4" t="s">
        <v>45</v>
      </c>
      <c r="B70">
        <v>57</v>
      </c>
      <c r="C70" t="s">
        <v>19</v>
      </c>
      <c r="D70" t="s">
        <v>58</v>
      </c>
      <c r="E70" s="6">
        <v>409.000689070249</v>
      </c>
      <c r="F70" s="7">
        <v>13.44</v>
      </c>
      <c r="G70" s="8">
        <f t="shared" si="10"/>
        <v>5496.9692611041464</v>
      </c>
      <c r="I70" s="4" t="s">
        <v>62</v>
      </c>
      <c r="J70">
        <v>51</v>
      </c>
      <c r="K70" s="7">
        <f>INDEX('Cost Analysis pg 4'!$P:$P,MATCH(I70,'Cost Analysis pg 4'!$A:$A,0))*'Cost Analysis pg 4'!$O$52</f>
        <v>8.6277457846556409</v>
      </c>
      <c r="L70" s="8">
        <f t="shared" si="12"/>
        <v>3528.7539710470933</v>
      </c>
    </row>
    <row r="71" spans="1:12">
      <c r="A71" s="4" t="s">
        <v>46</v>
      </c>
      <c r="B71">
        <v>57</v>
      </c>
      <c r="C71" t="s">
        <v>19</v>
      </c>
      <c r="D71" t="s">
        <v>58</v>
      </c>
      <c r="E71" s="6">
        <v>0</v>
      </c>
      <c r="F71" s="7">
        <v>12.72</v>
      </c>
      <c r="G71" s="8">
        <f t="shared" si="10"/>
        <v>0</v>
      </c>
      <c r="I71" s="4" t="s">
        <v>62</v>
      </c>
      <c r="J71">
        <v>51</v>
      </c>
      <c r="K71" s="7">
        <f>INDEX('Cost Analysis pg 4'!$P:$P,MATCH(I71,'Cost Analysis pg 4'!$A:$A,0))*'Cost Analysis pg 4'!$O$52</f>
        <v>8.6277457846556409</v>
      </c>
      <c r="L71" s="8">
        <f t="shared" si="12"/>
        <v>0</v>
      </c>
    </row>
    <row r="72" spans="1:12">
      <c r="A72" s="4" t="s">
        <v>47</v>
      </c>
      <c r="B72">
        <v>57</v>
      </c>
      <c r="C72" t="s">
        <v>19</v>
      </c>
      <c r="D72" t="s">
        <v>58</v>
      </c>
      <c r="E72" s="6">
        <v>359.23481992392999</v>
      </c>
      <c r="F72" s="7">
        <v>22.57</v>
      </c>
      <c r="G72" s="8">
        <f t="shared" si="10"/>
        <v>8107.9298856831001</v>
      </c>
      <c r="I72" s="4" t="s">
        <v>65</v>
      </c>
      <c r="J72">
        <v>51</v>
      </c>
      <c r="K72" s="7">
        <f>INDEX('Cost Analysis pg 4'!$P:$P,MATCH(I72,'Cost Analysis pg 4'!$A:$A,0))*'Cost Analysis pg 4'!$O$52</f>
        <v>9.8439039807519659</v>
      </c>
      <c r="L72" s="8">
        <f t="shared" si="12"/>
        <v>3536.2730738738901</v>
      </c>
    </row>
    <row r="73" spans="1:12">
      <c r="A73" s="4" t="s">
        <v>48</v>
      </c>
      <c r="B73">
        <v>57</v>
      </c>
      <c r="C73" t="s">
        <v>19</v>
      </c>
      <c r="D73" t="s">
        <v>58</v>
      </c>
      <c r="E73" s="6">
        <v>0</v>
      </c>
      <c r="F73" s="7">
        <v>21.34</v>
      </c>
      <c r="G73" s="8">
        <f t="shared" si="10"/>
        <v>0</v>
      </c>
      <c r="I73" s="4" t="s">
        <v>65</v>
      </c>
      <c r="J73">
        <v>51</v>
      </c>
      <c r="K73" s="7">
        <f>INDEX('Cost Analysis pg 4'!$P:$P,MATCH(I73,'Cost Analysis pg 4'!$A:$A,0))*'Cost Analysis pg 4'!$O$52</f>
        <v>9.8439039807519659</v>
      </c>
      <c r="L73" s="8">
        <f t="shared" si="12"/>
        <v>0</v>
      </c>
    </row>
    <row r="74" spans="1:12">
      <c r="A74" s="4" t="s">
        <v>49</v>
      </c>
      <c r="B74">
        <v>57</v>
      </c>
      <c r="C74" t="s">
        <v>19</v>
      </c>
      <c r="D74" t="s">
        <v>58</v>
      </c>
      <c r="E74" s="6">
        <v>0</v>
      </c>
      <c r="F74" s="7">
        <v>41.85</v>
      </c>
      <c r="G74" s="8">
        <f t="shared" si="10"/>
        <v>0</v>
      </c>
      <c r="I74" s="4" t="s">
        <v>67</v>
      </c>
      <c r="J74">
        <v>51</v>
      </c>
      <c r="K74" s="7">
        <f>INDEX('Cost Analysis pg 4'!$P:$P,MATCH(I74,'Cost Analysis pg 4'!$A:$A,0))*'Cost Analysis pg 4'!$O$52</f>
        <v>12.726728154569866</v>
      </c>
      <c r="L74" s="8">
        <f t="shared" si="12"/>
        <v>0</v>
      </c>
    </row>
    <row r="75" spans="1:12">
      <c r="A75" s="4" t="s">
        <v>50</v>
      </c>
      <c r="B75">
        <v>57</v>
      </c>
      <c r="C75" t="s">
        <v>19</v>
      </c>
      <c r="D75" t="s">
        <v>58</v>
      </c>
      <c r="E75" s="6">
        <v>0</v>
      </c>
      <c r="F75" s="7">
        <v>13.43</v>
      </c>
      <c r="G75" s="8">
        <f t="shared" si="10"/>
        <v>0</v>
      </c>
      <c r="I75" s="4" t="s">
        <v>62</v>
      </c>
      <c r="J75">
        <v>51</v>
      </c>
      <c r="K75" s="7">
        <f>INDEX('Cost Analysis pg 4'!$P:$P,MATCH(I75,'Cost Analysis pg 4'!$A:$A,0))*'Cost Analysis pg 4'!$O$52</f>
        <v>8.6277457846556409</v>
      </c>
      <c r="L75" s="8">
        <f t="shared" si="12"/>
        <v>0</v>
      </c>
    </row>
    <row r="76" spans="1:12">
      <c r="A76" s="4" t="s">
        <v>51</v>
      </c>
      <c r="B76">
        <v>57</v>
      </c>
      <c r="C76" t="s">
        <v>19</v>
      </c>
      <c r="D76" t="s">
        <v>58</v>
      </c>
      <c r="E76" s="6">
        <v>0</v>
      </c>
      <c r="F76" s="7">
        <v>12.72</v>
      </c>
      <c r="G76" s="8">
        <f t="shared" si="10"/>
        <v>0</v>
      </c>
      <c r="I76" s="4" t="s">
        <v>62</v>
      </c>
      <c r="J76">
        <v>51</v>
      </c>
      <c r="K76" s="7">
        <f>INDEX('Cost Analysis pg 4'!$P:$P,MATCH(I76,'Cost Analysis pg 4'!$A:$A,0))*'Cost Analysis pg 4'!$O$52</f>
        <v>8.6277457846556409</v>
      </c>
      <c r="L76" s="8">
        <f t="shared" si="12"/>
        <v>0</v>
      </c>
    </row>
    <row r="77" spans="1:12">
      <c r="A77" s="4" t="s">
        <v>52</v>
      </c>
      <c r="B77">
        <v>57</v>
      </c>
      <c r="C77" t="s">
        <v>19</v>
      </c>
      <c r="D77" t="s">
        <v>58</v>
      </c>
      <c r="E77" s="6">
        <v>0</v>
      </c>
      <c r="F77" s="7">
        <v>21.83</v>
      </c>
      <c r="G77" s="8">
        <f t="shared" si="10"/>
        <v>0</v>
      </c>
      <c r="I77" s="4" t="s">
        <v>65</v>
      </c>
      <c r="J77">
        <v>51</v>
      </c>
      <c r="K77" s="7">
        <f>INDEX('Cost Analysis pg 4'!$P:$P,MATCH(I77,'Cost Analysis pg 4'!$A:$A,0))*'Cost Analysis pg 4'!$O$52</f>
        <v>9.8439039807519659</v>
      </c>
      <c r="L77" s="8">
        <f t="shared" si="12"/>
        <v>0</v>
      </c>
    </row>
    <row r="78" spans="1:12">
      <c r="A78" s="4" t="s">
        <v>53</v>
      </c>
      <c r="B78">
        <v>57</v>
      </c>
      <c r="C78" t="s">
        <v>19</v>
      </c>
      <c r="D78" t="s">
        <v>58</v>
      </c>
      <c r="E78" s="6">
        <v>0</v>
      </c>
      <c r="F78" s="7">
        <v>20.6</v>
      </c>
      <c r="G78" s="8">
        <f t="shared" si="10"/>
        <v>0</v>
      </c>
      <c r="I78" s="4" t="s">
        <v>65</v>
      </c>
      <c r="J78">
        <v>51</v>
      </c>
      <c r="K78" s="7">
        <f>INDEX('Cost Analysis pg 4'!$P:$P,MATCH(I78,'Cost Analysis pg 4'!$A:$A,0))*'Cost Analysis pg 4'!$O$52</f>
        <v>9.8439039807519659</v>
      </c>
      <c r="L78" s="8">
        <f t="shared" si="12"/>
        <v>0</v>
      </c>
    </row>
    <row r="79" spans="1:12">
      <c r="A79" s="4" t="s">
        <v>54</v>
      </c>
      <c r="B79">
        <v>57</v>
      </c>
      <c r="C79" t="s">
        <v>19</v>
      </c>
      <c r="D79" t="s">
        <v>58</v>
      </c>
      <c r="E79" s="6">
        <v>0</v>
      </c>
      <c r="F79" s="7">
        <v>41.13</v>
      </c>
      <c r="G79" s="8">
        <f t="shared" si="10"/>
        <v>0</v>
      </c>
      <c r="I79" s="4" t="s">
        <v>67</v>
      </c>
      <c r="J79">
        <v>51</v>
      </c>
      <c r="K79" s="7">
        <f>INDEX('Cost Analysis pg 4'!$P:$P,MATCH(I79,'Cost Analysis pg 4'!$A:$A,0))*'Cost Analysis pg 4'!$O$52</f>
        <v>12.726728154569866</v>
      </c>
      <c r="L79" s="8">
        <f t="shared" si="12"/>
        <v>0</v>
      </c>
    </row>
    <row r="80" spans="1:12">
      <c r="A80" s="4" t="s">
        <v>55</v>
      </c>
      <c r="B80">
        <v>57</v>
      </c>
      <c r="C80" t="s">
        <v>19</v>
      </c>
      <c r="D80" t="s">
        <v>58</v>
      </c>
      <c r="E80" s="6">
        <v>180.16648550994401</v>
      </c>
      <c r="F80" s="7">
        <v>10.75</v>
      </c>
      <c r="G80" s="8">
        <f t="shared" si="10"/>
        <v>1936.7897192318981</v>
      </c>
      <c r="I80" s="4" t="s">
        <v>62</v>
      </c>
      <c r="J80">
        <v>51</v>
      </c>
      <c r="K80" s="7">
        <f>INDEX('Cost Analysis pg 4'!$P:$P,MATCH(I80,'Cost Analysis pg 4'!$A:$A,0))*'Cost Analysis pg 4'!$O$52</f>
        <v>8.6277457846556409</v>
      </c>
      <c r="L80" s="8">
        <f t="shared" si="12"/>
        <v>1554.430635894641</v>
      </c>
    </row>
    <row r="81" spans="1:12">
      <c r="A81" s="4" t="s">
        <v>56</v>
      </c>
      <c r="B81">
        <v>57</v>
      </c>
      <c r="C81" t="s">
        <v>19</v>
      </c>
      <c r="D81" t="s">
        <v>58</v>
      </c>
      <c r="E81" s="6">
        <v>581.53297028850704</v>
      </c>
      <c r="F81" s="7">
        <v>18.82</v>
      </c>
      <c r="G81" s="8">
        <f t="shared" si="10"/>
        <v>10944.450500829702</v>
      </c>
      <c r="I81" s="4" t="s">
        <v>65</v>
      </c>
      <c r="J81">
        <v>51</v>
      </c>
      <c r="K81" s="7">
        <f>INDEX('Cost Analysis pg 4'!$P:$P,MATCH(I81,'Cost Analysis pg 4'!$A:$A,0))*'Cost Analysis pg 4'!$O$52</f>
        <v>9.8439039807519659</v>
      </c>
      <c r="L81" s="8">
        <f t="shared" si="12"/>
        <v>5724.5547211615494</v>
      </c>
    </row>
    <row r="82" spans="1:12">
      <c r="A82" s="4" t="s">
        <v>57</v>
      </c>
      <c r="B82">
        <v>57</v>
      </c>
      <c r="C82" t="s">
        <v>19</v>
      </c>
      <c r="D82" t="s">
        <v>58</v>
      </c>
      <c r="E82" s="6">
        <v>0</v>
      </c>
      <c r="F82" s="7">
        <v>40.200000000000003</v>
      </c>
      <c r="G82" s="8">
        <f t="shared" si="10"/>
        <v>0</v>
      </c>
      <c r="I82" s="4" t="s">
        <v>67</v>
      </c>
      <c r="J82">
        <v>51</v>
      </c>
      <c r="K82" s="7">
        <f>INDEX('Cost Analysis pg 4'!$P:$P,MATCH(I82,'Cost Analysis pg 4'!$A:$A,0))*'Cost Analysis pg 4'!$O$52</f>
        <v>12.726728154569866</v>
      </c>
      <c r="L82" s="8">
        <f t="shared" si="12"/>
        <v>0</v>
      </c>
    </row>
    <row r="84" spans="1:12">
      <c r="A84" s="4" t="s">
        <v>176</v>
      </c>
      <c r="G84" s="8">
        <f>SUM(G12:G82)</f>
        <v>1773834.2684668044</v>
      </c>
      <c r="L84" s="8">
        <f>SUM(L12:L82)</f>
        <v>1197672.8086944742</v>
      </c>
    </row>
    <row r="85" spans="1:12">
      <c r="A85" s="4" t="s">
        <v>317</v>
      </c>
      <c r="F85">
        <f>COUNT(F12:F82)</f>
        <v>61</v>
      </c>
    </row>
  </sheetData>
  <pageMargins left="0.7" right="0.7" top="0.75" bottom="0.75" header="0.3" footer="0.3"/>
  <pageSetup scale="48" fitToHeight="5" orientation="landscape" r:id="rId1"/>
  <rowBreaks count="1" manualBreakCount="1">
    <brk id="5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view="pageBreakPreview" zoomScaleNormal="100" zoomScaleSheetLayoutView="100" workbookViewId="0">
      <pane xSplit="1" ySplit="9" topLeftCell="B10" activePane="bottomRight" state="frozen"/>
      <selection pane="topRight" activeCell="B1" sqref="B1"/>
      <selection pane="bottomLeft" activeCell="A8" sqref="A8"/>
      <selection pane="bottomRight"/>
    </sheetView>
  </sheetViews>
  <sheetFormatPr defaultRowHeight="15"/>
  <cols>
    <col min="1" max="1" width="69.28515625" bestFit="1" customWidth="1"/>
    <col min="2" max="2" width="10.85546875" customWidth="1"/>
    <col min="3" max="3" width="11.42578125" bestFit="1" customWidth="1"/>
    <col min="4" max="4" width="12.28515625" bestFit="1" customWidth="1"/>
    <col min="5" max="5" width="10.42578125" customWidth="1"/>
    <col min="6" max="6" width="14.140625" bestFit="1" customWidth="1"/>
  </cols>
  <sheetData>
    <row r="1" spans="1:6">
      <c r="A1" s="2" t="s">
        <v>0</v>
      </c>
      <c r="B1" s="3"/>
      <c r="C1" s="3"/>
      <c r="D1" s="3"/>
      <c r="E1" s="3"/>
      <c r="F1" s="3"/>
    </row>
    <row r="2" spans="1:6">
      <c r="A2" s="2" t="s">
        <v>1</v>
      </c>
      <c r="B2" s="3"/>
      <c r="C2" s="3"/>
      <c r="D2" s="3"/>
      <c r="E2" s="3"/>
      <c r="F2" s="3"/>
    </row>
    <row r="3" spans="1:6">
      <c r="A3" s="2" t="s">
        <v>76</v>
      </c>
      <c r="B3" s="3"/>
      <c r="C3" s="3"/>
      <c r="D3" s="3"/>
      <c r="E3" s="3"/>
      <c r="F3" s="3"/>
    </row>
    <row r="4" spans="1:6">
      <c r="A4" s="2" t="s">
        <v>3</v>
      </c>
      <c r="B4" s="3"/>
      <c r="C4" s="3"/>
      <c r="D4" s="3"/>
      <c r="E4" s="3"/>
      <c r="F4" s="3"/>
    </row>
    <row r="5" spans="1:6">
      <c r="A5" s="2" t="s">
        <v>2</v>
      </c>
      <c r="B5" s="3"/>
      <c r="C5" s="3"/>
      <c r="D5" s="3"/>
      <c r="E5" s="3"/>
      <c r="F5" s="3"/>
    </row>
    <row r="7" spans="1:6">
      <c r="A7" s="2" t="s">
        <v>8</v>
      </c>
      <c r="B7" s="2"/>
      <c r="C7" s="2"/>
      <c r="E7" s="2"/>
      <c r="F7" s="2"/>
    </row>
    <row r="8" spans="1:6">
      <c r="A8" s="1" t="s">
        <v>8</v>
      </c>
      <c r="B8" s="1" t="s">
        <v>8</v>
      </c>
      <c r="C8" s="1"/>
      <c r="D8" s="1"/>
      <c r="E8" s="1" t="s">
        <v>8</v>
      </c>
      <c r="F8" s="1" t="s">
        <v>8</v>
      </c>
    </row>
    <row r="9" spans="1:6">
      <c r="A9" s="1" t="s">
        <v>4</v>
      </c>
      <c r="B9" s="1" t="s">
        <v>5</v>
      </c>
      <c r="C9" s="1" t="s">
        <v>9</v>
      </c>
      <c r="D9" s="1" t="s">
        <v>10</v>
      </c>
      <c r="E9" s="1" t="s">
        <v>11</v>
      </c>
      <c r="F9" s="1" t="s">
        <v>7</v>
      </c>
    </row>
    <row r="10" spans="1:6">
      <c r="A10" s="1"/>
      <c r="B10" s="1"/>
      <c r="C10" s="1"/>
      <c r="E10" s="1"/>
      <c r="F10" s="1"/>
    </row>
    <row r="11" spans="1:6">
      <c r="A11" t="s">
        <v>12</v>
      </c>
    </row>
    <row r="12" spans="1:6">
      <c r="A12" s="4" t="s">
        <v>295</v>
      </c>
      <c r="B12">
        <v>15</v>
      </c>
      <c r="C12" t="s">
        <v>58</v>
      </c>
      <c r="D12" s="6">
        <f>SUMIFS('Price Summary pg 5,6'!$E:$E,'Price Summary pg 5,6'!$I:$I,A12)</f>
        <v>26655.009122588643</v>
      </c>
      <c r="E12" s="7">
        <f>INDEX('Price Summary pg 5,6'!$K:$K,MATCH(A12,'Price Summary pg 5,6'!$I:$I,0))</f>
        <v>8.1536365562352984</v>
      </c>
      <c r="F12" s="7">
        <f>D12*E12</f>
        <v>217335.25678872413</v>
      </c>
    </row>
    <row r="13" spans="1:6">
      <c r="A13" s="4" t="s">
        <v>296</v>
      </c>
      <c r="B13">
        <v>15</v>
      </c>
      <c r="C13" t="s">
        <v>58</v>
      </c>
      <c r="D13" s="6">
        <f>SUMIFS('Price Summary pg 5,6'!$E:$E,'Price Summary pg 5,6'!$I:$I,A13)</f>
        <v>5709.8995291503252</v>
      </c>
      <c r="E13" s="7">
        <f>INDEX('Price Summary pg 5,6'!$K:$K,MATCH(A13,'Price Summary pg 5,6'!$I:$I,0))</f>
        <v>9.172118919763081</v>
      </c>
      <c r="F13" s="7">
        <f t="shared" ref="F13:F14" si="0">D13*E13</f>
        <v>52371.877501266004</v>
      </c>
    </row>
    <row r="14" spans="1:6">
      <c r="A14" s="4" t="s">
        <v>297</v>
      </c>
      <c r="B14">
        <v>15</v>
      </c>
      <c r="C14" t="s">
        <v>58</v>
      </c>
      <c r="D14" s="6">
        <f>SUMIFS('Price Summary pg 5,6'!$E:$E,'Price Summary pg 5,6'!$I:$I,A14)</f>
        <v>1012.5673992761087</v>
      </c>
      <c r="E14" s="7">
        <f>INDEX('Price Summary pg 5,6'!$K:$K,MATCH(A14,'Price Summary pg 5,6'!$I:$I,0))</f>
        <v>10.771971989087854</v>
      </c>
      <c r="F14" s="7">
        <f t="shared" si="0"/>
        <v>10907.34766206578</v>
      </c>
    </row>
    <row r="15" spans="1:6">
      <c r="E15" s="8"/>
      <c r="F15" s="7"/>
    </row>
    <row r="16" spans="1:6">
      <c r="E16" s="8"/>
      <c r="F16" s="7"/>
    </row>
    <row r="17" spans="1:10">
      <c r="A17" s="4" t="s">
        <v>62</v>
      </c>
      <c r="B17">
        <v>51</v>
      </c>
      <c r="C17" t="s">
        <v>58</v>
      </c>
      <c r="D17" s="6">
        <f>SUMIFS('Price Summary pg 5,6'!$E:$E,'Price Summary pg 5,6'!$I:$I,A17)</f>
        <v>26736.712728096987</v>
      </c>
      <c r="E17" s="7">
        <f>INDEX('Price Summary pg 5,6'!$K:$K,MATCH(A17,'Price Summary pg 5,6'!$I:$I,0))</f>
        <v>8.6277457846556409</v>
      </c>
      <c r="F17" s="7">
        <f t="shared" ref="F17:F29" si="1">D17*E17</f>
        <v>230677.5605353876</v>
      </c>
      <c r="H17" s="7"/>
    </row>
    <row r="18" spans="1:10">
      <c r="A18" s="4" t="s">
        <v>63</v>
      </c>
      <c r="B18">
        <v>51</v>
      </c>
      <c r="C18" t="s">
        <v>58</v>
      </c>
      <c r="D18" s="6">
        <f>SUMIFS('Price Summary pg 5,6'!$E:$E,'Price Summary pg 5,6'!$I:$I,A18)</f>
        <v>20530.42971732733</v>
      </c>
      <c r="E18" s="7">
        <f>INDEX('Price Summary pg 5,6'!$K:$K,MATCH(A18,'Price Summary pg 5,6'!$I:$I,0))</f>
        <v>9.2643455111056099</v>
      </c>
      <c r="F18" s="7">
        <f t="shared" si="1"/>
        <v>190200.99439279066</v>
      </c>
      <c r="H18" s="7"/>
    </row>
    <row r="19" spans="1:10">
      <c r="A19" s="4" t="s">
        <v>64</v>
      </c>
      <c r="B19">
        <v>51</v>
      </c>
      <c r="C19" t="s">
        <v>58</v>
      </c>
      <c r="D19" s="6">
        <f>SUMIFS('Price Summary pg 5,6'!$E:$E,'Price Summary pg 5,6'!$I:$I,A19)</f>
        <v>1451.934853557759</v>
      </c>
      <c r="E19" s="7">
        <f>INDEX('Price Summary pg 5,6'!$K:$K,MATCH(A19,'Price Summary pg 5,6'!$I:$I,0))</f>
        <v>9.532316706171482</v>
      </c>
      <c r="F19" s="7">
        <f t="shared" si="1"/>
        <v>13840.30286084127</v>
      </c>
      <c r="H19" s="7"/>
    </row>
    <row r="20" spans="1:10">
      <c r="A20" s="4" t="s">
        <v>65</v>
      </c>
      <c r="B20">
        <v>51</v>
      </c>
      <c r="C20" t="s">
        <v>58</v>
      </c>
      <c r="D20" s="6">
        <f>SUMIFS('Price Summary pg 5,6'!$E:$E,'Price Summary pg 5,6'!$I:$I,A20)</f>
        <v>19012.205913949121</v>
      </c>
      <c r="E20" s="7">
        <f>INDEX('Price Summary pg 5,6'!$K:$K,MATCH(A20,'Price Summary pg 5,6'!$I:$I,0))</f>
        <v>9.8439039807519659</v>
      </c>
      <c r="F20" s="7">
        <f t="shared" si="1"/>
        <v>187154.32947919983</v>
      </c>
      <c r="H20" s="7"/>
    </row>
    <row r="21" spans="1:10">
      <c r="A21" s="4" t="s">
        <v>66</v>
      </c>
      <c r="B21">
        <v>51</v>
      </c>
      <c r="C21" t="s">
        <v>58</v>
      </c>
      <c r="D21" s="6">
        <f>SUMIFS('Price Summary pg 5,6'!$E:$E,'Price Summary pg 5,6'!$I:$I,A21)</f>
        <v>3915.6518554633003</v>
      </c>
      <c r="E21" s="7">
        <f>INDEX('Price Summary pg 5,6'!$K:$K,MATCH(A21,'Price Summary pg 5,6'!$I:$I,0))</f>
        <v>10.441372900206385</v>
      </c>
      <c r="F21" s="7">
        <f t="shared" si="1"/>
        <v>40884.781170277354</v>
      </c>
      <c r="H21" s="7"/>
    </row>
    <row r="22" spans="1:10">
      <c r="A22" s="4" t="s">
        <v>67</v>
      </c>
      <c r="B22">
        <v>51</v>
      </c>
      <c r="C22" t="s">
        <v>58</v>
      </c>
      <c r="D22" s="6">
        <f>SUMIFS('Price Summary pg 5,6'!$E:$E,'Price Summary pg 5,6'!$I:$I,A22)</f>
        <v>3417.7601733623369</v>
      </c>
      <c r="E22" s="7">
        <f>INDEX('Price Summary pg 5,6'!$K:$K,MATCH(A22,'Price Summary pg 5,6'!$I:$I,0))</f>
        <v>12.726728154569866</v>
      </c>
      <c r="F22" s="7">
        <f t="shared" si="1"/>
        <v>43496.904623898037</v>
      </c>
      <c r="H22" s="7"/>
    </row>
    <row r="23" spans="1:10">
      <c r="A23" s="4" t="s">
        <v>68</v>
      </c>
      <c r="B23">
        <v>51</v>
      </c>
      <c r="C23" t="s">
        <v>58</v>
      </c>
      <c r="D23" s="6">
        <f>SUMIFS('Price Summary pg 5,6'!$E:$E,'Price Summary pg 5,6'!$I:$I,A23)</f>
        <v>2511.7599388379199</v>
      </c>
      <c r="E23" s="7">
        <f>INDEX('Price Summary pg 5,6'!$K:$K,MATCH(A23,'Price Summary pg 5,6'!$I:$I,0))</f>
        <v>4.2512483242969674</v>
      </c>
      <c r="F23" s="7">
        <f t="shared" si="1"/>
        <v>10678.11523102096</v>
      </c>
      <c r="H23" s="7"/>
    </row>
    <row r="24" spans="1:10">
      <c r="A24" s="4" t="s">
        <v>69</v>
      </c>
      <c r="B24">
        <v>51</v>
      </c>
      <c r="C24" t="s">
        <v>58</v>
      </c>
      <c r="D24" s="6">
        <f>SUMIFS('Price Summary pg 5,6'!$E:$E,'Price Summary pg 5,6'!$I:$I,A24)</f>
        <v>1224.931672702</v>
      </c>
      <c r="E24" s="7">
        <f>INDEX('Price Summary pg 5,6'!$K:$K,MATCH(A24,'Price Summary pg 5,6'!$I:$I,0))</f>
        <v>4.5915701157526696</v>
      </c>
      <c r="F24" s="7">
        <f t="shared" si="1"/>
        <v>5624.3596622174337</v>
      </c>
    </row>
    <row r="25" spans="1:10">
      <c r="A25" s="4" t="s">
        <v>70</v>
      </c>
      <c r="B25">
        <v>51</v>
      </c>
      <c r="C25" t="s">
        <v>58</v>
      </c>
      <c r="D25" s="6">
        <f>SUMIFS('Price Summary pg 5,6'!$E:$E,'Price Summary pg 5,6'!$I:$I,A25)</f>
        <v>21.048507462686601</v>
      </c>
      <c r="E25" s="7">
        <f>INDEX('Price Summary pg 5,6'!$K:$K,MATCH(A25,'Price Summary pg 5,6'!$I:$I,0))</f>
        <v>4.8393760910345573</v>
      </c>
      <c r="F25" s="7">
        <f t="shared" si="1"/>
        <v>101.86164376688799</v>
      </c>
      <c r="J25" s="7"/>
    </row>
    <row r="26" spans="1:10">
      <c r="A26" s="4" t="s">
        <v>71</v>
      </c>
      <c r="B26">
        <v>51</v>
      </c>
      <c r="C26" t="s">
        <v>58</v>
      </c>
      <c r="D26" s="6">
        <f>SUMIFS('Price Summary pg 5,6'!$E:$E,'Price Summary pg 5,6'!$I:$I,A26)</f>
        <v>1847.76591955096</v>
      </c>
      <c r="E26" s="7">
        <f>INDEX('Price Summary pg 5,6'!$K:$K,MATCH(A26,'Price Summary pg 5,6'!$I:$I,0))</f>
        <v>5.1082399108287007</v>
      </c>
      <c r="F26" s="7">
        <f t="shared" si="1"/>
        <v>9438.8316161193088</v>
      </c>
    </row>
    <row r="27" spans="1:10">
      <c r="A27" s="4" t="s">
        <v>72</v>
      </c>
      <c r="B27">
        <v>51</v>
      </c>
      <c r="C27" t="s">
        <v>58</v>
      </c>
      <c r="D27" s="6">
        <f>SUMIFS('Price Summary pg 5,6'!$E:$E,'Price Summary pg 5,6'!$I:$I,A27)</f>
        <v>164.16525779691301</v>
      </c>
      <c r="E27" s="7">
        <f>INDEX('Price Summary pg 5,6'!$K:$K,MATCH(A27,'Price Summary pg 5,6'!$I:$I,0))</f>
        <v>5.4438206469403285</v>
      </c>
      <c r="F27" s="7">
        <f t="shared" si="1"/>
        <v>893.68621990511679</v>
      </c>
    </row>
    <row r="28" spans="1:10">
      <c r="A28" s="4" t="s">
        <v>73</v>
      </c>
      <c r="B28">
        <v>51</v>
      </c>
      <c r="C28" t="s">
        <v>58</v>
      </c>
      <c r="D28" s="6">
        <f>SUMIFS('Price Summary pg 5,6'!$E:$E,'Price Summary pg 5,6'!$I:$I,A28)</f>
        <v>648.34196374959504</v>
      </c>
      <c r="E28" s="7">
        <f>INDEX('Price Summary pg 5,6'!$K:$K,MATCH(A28,'Price Summary pg 5,6'!$I:$I,0))</f>
        <v>6.6453173346134422</v>
      </c>
      <c r="F28" s="7">
        <f t="shared" si="1"/>
        <v>4308.4380904625041</v>
      </c>
    </row>
    <row r="29" spans="1:10">
      <c r="A29" s="4" t="s">
        <v>318</v>
      </c>
      <c r="B29">
        <v>51</v>
      </c>
      <c r="C29" t="s">
        <v>58</v>
      </c>
      <c r="D29" s="6">
        <f>SUMIFS('Price Summary pg 5,6'!$E:$E,'Price Summary pg 5,6'!$I:$I,A29)</f>
        <v>47.999893788498298</v>
      </c>
      <c r="E29" s="7">
        <f>INDEX('Price Summary pg 5,6'!$K:$K,MATCH(A29,'Price Summary pg 5,6'!$I:$I,0))</f>
        <v>17.066728950391411</v>
      </c>
      <c r="F29" s="7">
        <f t="shared" si="1"/>
        <v>819.20117693587679</v>
      </c>
    </row>
    <row r="30" spans="1:10">
      <c r="E30" s="8"/>
      <c r="F30" s="7"/>
    </row>
    <row r="31" spans="1:10">
      <c r="A31" s="5" t="s">
        <v>34</v>
      </c>
      <c r="B31">
        <v>53</v>
      </c>
      <c r="C31" t="s">
        <v>59</v>
      </c>
      <c r="D31" s="6">
        <f>SUMIFS('Price Summary pg 5,6'!$E:$E,'Price Summary pg 5,6'!$I:$I,A31)</f>
        <v>3695896.7353539728</v>
      </c>
      <c r="E31" s="9">
        <f>INDEX('Price Summary pg 5,6'!$K:$K,MATCH(A31,'Price Summary pg 5,6'!$I:$I,0))</f>
        <v>4.3888625400550912E-2</v>
      </c>
      <c r="F31" s="7">
        <f>D31*E31</f>
        <v>162207.82733706955</v>
      </c>
    </row>
    <row r="32" spans="1:10">
      <c r="E32" s="8"/>
      <c r="F32" s="7"/>
    </row>
    <row r="33" spans="1:6">
      <c r="A33" t="s">
        <v>35</v>
      </c>
      <c r="B33">
        <v>54</v>
      </c>
      <c r="E33" s="8"/>
      <c r="F33" s="7"/>
    </row>
    <row r="34" spans="1:6">
      <c r="A34" s="4" t="s">
        <v>36</v>
      </c>
      <c r="B34">
        <v>54</v>
      </c>
      <c r="C34" t="s">
        <v>60</v>
      </c>
      <c r="D34" s="6">
        <f>SUMIFS('Price Summary pg 5,6'!$E:$E,'Price Summary pg 5,6'!$I:$I,A34)</f>
        <v>144</v>
      </c>
      <c r="E34" s="7">
        <f>INDEX('Price Summary pg 5,6'!$K:$K,MATCH(A34,'Price Summary pg 5,6'!$I:$I,0))</f>
        <v>10.865674311007233</v>
      </c>
      <c r="F34" s="7">
        <f t="shared" ref="F34:F36" si="2">D34*E34</f>
        <v>1564.6571007850416</v>
      </c>
    </row>
    <row r="35" spans="1:6">
      <c r="A35" s="4" t="s">
        <v>37</v>
      </c>
      <c r="B35">
        <v>54</v>
      </c>
      <c r="C35" t="s">
        <v>60</v>
      </c>
      <c r="D35" s="6">
        <f>SUMIFS('Price Summary pg 5,6'!$E:$E,'Price Summary pg 5,6'!$I:$I,A35)</f>
        <v>180</v>
      </c>
      <c r="E35" s="7">
        <f>INDEX('Price Summary pg 5,6'!$K:$K,MATCH(A35,'Price Summary pg 5,6'!$I:$I,0))</f>
        <v>19.502492353089906</v>
      </c>
      <c r="F35" s="7">
        <f t="shared" si="2"/>
        <v>3510.4486235561831</v>
      </c>
    </row>
    <row r="36" spans="1:6">
      <c r="A36" s="4" t="s">
        <v>38</v>
      </c>
      <c r="B36">
        <v>54</v>
      </c>
      <c r="C36" t="s">
        <v>59</v>
      </c>
      <c r="D36" s="6">
        <f>SUMIFS('Price Summary pg 5,6'!$E:$E,'Price Summary pg 5,6'!$I:$I,A36)</f>
        <v>282712</v>
      </c>
      <c r="E36" s="9">
        <f>INDEX('Price Summary pg 5,6'!$K:$K,MATCH(A36,'Price Summary pg 5,6'!$I:$I,0))</f>
        <v>4.1229332246897232E-2</v>
      </c>
      <c r="F36" s="7">
        <f t="shared" si="2"/>
        <v>11656.026978184811</v>
      </c>
    </row>
    <row r="37" spans="1:6">
      <c r="E37" s="8"/>
      <c r="F37" s="7"/>
    </row>
    <row r="38" spans="1:6">
      <c r="A38" s="5" t="s">
        <v>176</v>
      </c>
      <c r="F38" s="7">
        <f>SUM(F12:F36)</f>
        <v>1197672.8086944742</v>
      </c>
    </row>
    <row r="39" spans="1:6">
      <c r="A39" s="4" t="s">
        <v>317</v>
      </c>
      <c r="E39">
        <f>COUNT(E12:E36)</f>
        <v>20</v>
      </c>
    </row>
  </sheetData>
  <pageMargins left="0.7" right="0.7" top="0.75" bottom="0.75" header="0.3" footer="0.3"/>
  <pageSetup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J107"/>
  <sheetViews>
    <sheetView workbookViewId="0">
      <pane xSplit="2" ySplit="10" topLeftCell="C11" activePane="bottomRight" state="frozen"/>
      <selection activeCell="J20" sqref="J20"/>
      <selection pane="topRight" activeCell="J20" sqref="J20"/>
      <selection pane="bottomLeft" activeCell="J20" sqref="J20"/>
      <selection pane="bottomRight" activeCell="D19" sqref="D19"/>
    </sheetView>
  </sheetViews>
  <sheetFormatPr defaultRowHeight="15"/>
  <cols>
    <col min="2" max="2" width="40" bestFit="1" customWidth="1"/>
    <col min="3" max="4" width="16.5703125" bestFit="1" customWidth="1"/>
    <col min="5" max="5" width="15" bestFit="1" customWidth="1"/>
    <col min="6" max="7" width="17.85546875" bestFit="1" customWidth="1"/>
    <col min="8" max="8" width="19.140625" bestFit="1" customWidth="1"/>
    <col min="9" max="9" width="15" bestFit="1" customWidth="1"/>
    <col min="10" max="10" width="15.42578125" bestFit="1" customWidth="1"/>
  </cols>
  <sheetData>
    <row r="1" spans="1:10">
      <c r="A1" s="30"/>
      <c r="B1" s="30"/>
      <c r="C1" s="30"/>
      <c r="D1" s="30"/>
      <c r="E1" s="30"/>
      <c r="F1" s="30"/>
      <c r="G1" s="30"/>
      <c r="H1" s="30"/>
      <c r="I1" s="30"/>
      <c r="J1" s="30"/>
    </row>
    <row r="2" spans="1:10">
      <c r="A2" s="30"/>
      <c r="B2" s="31" t="s">
        <v>233</v>
      </c>
      <c r="C2" s="30"/>
      <c r="D2" s="30"/>
      <c r="E2" s="30"/>
      <c r="F2" s="30"/>
      <c r="G2" s="30"/>
      <c r="H2" s="30"/>
      <c r="I2" s="30"/>
      <c r="J2" s="30"/>
    </row>
    <row r="3" spans="1:10">
      <c r="A3" s="32"/>
      <c r="B3" s="287" t="s">
        <v>101</v>
      </c>
      <c r="C3" s="287"/>
      <c r="D3" s="287"/>
      <c r="E3" s="287"/>
      <c r="F3" s="287"/>
      <c r="G3" s="287"/>
      <c r="H3" s="287"/>
      <c r="I3" s="287"/>
      <c r="J3" s="287"/>
    </row>
    <row r="4" spans="1:10">
      <c r="A4" s="33"/>
      <c r="B4" s="287" t="s">
        <v>102</v>
      </c>
      <c r="C4" s="287"/>
      <c r="D4" s="287"/>
      <c r="E4" s="287"/>
      <c r="F4" s="287"/>
      <c r="G4" s="287"/>
      <c r="H4" s="287"/>
      <c r="I4" s="287"/>
      <c r="J4" s="287"/>
    </row>
    <row r="5" spans="1:10">
      <c r="A5" s="33"/>
      <c r="B5" s="287" t="s">
        <v>1</v>
      </c>
      <c r="C5" s="287"/>
      <c r="D5" s="287"/>
      <c r="E5" s="287"/>
      <c r="F5" s="287"/>
      <c r="G5" s="287"/>
      <c r="H5" s="287"/>
      <c r="I5" s="287"/>
      <c r="J5" s="287"/>
    </row>
    <row r="6" spans="1:10">
      <c r="A6" s="33"/>
      <c r="B6" s="287" t="s">
        <v>103</v>
      </c>
      <c r="C6" s="287"/>
      <c r="D6" s="287"/>
      <c r="E6" s="287"/>
      <c r="F6" s="287"/>
      <c r="G6" s="287"/>
      <c r="H6" s="287"/>
      <c r="I6" s="287"/>
      <c r="J6" s="287"/>
    </row>
    <row r="7" spans="1:10">
      <c r="A7" s="34"/>
      <c r="B7" s="33"/>
      <c r="C7" s="33"/>
      <c r="D7" s="33"/>
      <c r="E7" s="33"/>
      <c r="F7" s="33"/>
      <c r="G7" s="33"/>
      <c r="H7" s="33"/>
      <c r="I7" s="33"/>
      <c r="J7" s="33"/>
    </row>
    <row r="8" spans="1:10">
      <c r="A8" s="259"/>
      <c r="B8" s="260"/>
      <c r="C8" s="261" t="s">
        <v>104</v>
      </c>
      <c r="D8" s="262"/>
      <c r="E8" s="263" t="s">
        <v>105</v>
      </c>
      <c r="F8" s="263" t="s">
        <v>106</v>
      </c>
      <c r="G8" s="263" t="s">
        <v>106</v>
      </c>
      <c r="H8" s="263" t="s">
        <v>106</v>
      </c>
      <c r="I8" s="261" t="s">
        <v>107</v>
      </c>
      <c r="J8" s="263" t="s">
        <v>108</v>
      </c>
    </row>
    <row r="9" spans="1:10">
      <c r="A9" s="259"/>
      <c r="B9" s="264" t="s">
        <v>4</v>
      </c>
      <c r="C9" s="261" t="s">
        <v>109</v>
      </c>
      <c r="D9" s="263" t="s">
        <v>110</v>
      </c>
      <c r="E9" s="263" t="s">
        <v>111</v>
      </c>
      <c r="F9" s="263" t="s">
        <v>112</v>
      </c>
      <c r="G9" s="263" t="s">
        <v>113</v>
      </c>
      <c r="H9" s="263" t="s">
        <v>114</v>
      </c>
      <c r="I9" s="263" t="s">
        <v>115</v>
      </c>
      <c r="J9" s="263" t="s">
        <v>116</v>
      </c>
    </row>
    <row r="10" spans="1:10" ht="15.75" thickBot="1">
      <c r="A10" s="259"/>
      <c r="B10" s="265"/>
      <c r="C10" s="266" t="s">
        <v>117</v>
      </c>
      <c r="D10" s="267" t="s">
        <v>118</v>
      </c>
      <c r="E10" s="267" t="s">
        <v>119</v>
      </c>
      <c r="F10" s="267" t="s">
        <v>120</v>
      </c>
      <c r="G10" s="267" t="s">
        <v>121</v>
      </c>
      <c r="H10" s="267" t="s">
        <v>121</v>
      </c>
      <c r="I10" s="267" t="s">
        <v>122</v>
      </c>
      <c r="J10" s="267" t="s">
        <v>123</v>
      </c>
    </row>
    <row r="11" spans="1:10">
      <c r="A11" s="259"/>
      <c r="B11" s="268"/>
      <c r="C11" s="269"/>
      <c r="D11" s="269"/>
      <c r="E11" s="269"/>
      <c r="F11" s="269"/>
      <c r="G11" s="269"/>
      <c r="H11" s="269"/>
      <c r="I11" s="269"/>
      <c r="J11" s="269"/>
    </row>
    <row r="12" spans="1:10">
      <c r="A12" s="270">
        <v>14</v>
      </c>
      <c r="B12" s="271" t="s">
        <v>124</v>
      </c>
      <c r="C12" s="272"/>
      <c r="D12" s="273"/>
      <c r="E12" s="273"/>
      <c r="F12" s="273"/>
      <c r="G12" s="273"/>
      <c r="H12" s="273"/>
      <c r="I12" s="273"/>
      <c r="J12" s="273"/>
    </row>
    <row r="13" spans="1:10">
      <c r="A13" s="270">
        <v>15</v>
      </c>
      <c r="B13" s="274" t="s">
        <v>320</v>
      </c>
      <c r="C13" s="285">
        <v>18414349.815791342</v>
      </c>
      <c r="D13" s="285">
        <v>11908826.148644997</v>
      </c>
      <c r="E13" s="285">
        <v>2116571.5477940585</v>
      </c>
      <c r="F13" s="285">
        <v>2318920.3230899591</v>
      </c>
      <c r="G13" s="285">
        <v>859242.20501886797</v>
      </c>
      <c r="H13" s="285">
        <v>649800</v>
      </c>
      <c r="I13" s="285">
        <v>523931.38873260352</v>
      </c>
      <c r="J13" s="285">
        <v>37058.202510854433</v>
      </c>
    </row>
    <row r="14" spans="1:10">
      <c r="A14" s="270">
        <v>16</v>
      </c>
      <c r="B14" s="274" t="s">
        <v>125</v>
      </c>
      <c r="C14" s="285">
        <v>4031133626.0945625</v>
      </c>
      <c r="D14" s="285">
        <v>1524718211.8738832</v>
      </c>
      <c r="E14" s="285">
        <v>554739131.83022404</v>
      </c>
      <c r="F14" s="285">
        <v>950741261.18410254</v>
      </c>
      <c r="G14" s="285">
        <v>402864721.13354957</v>
      </c>
      <c r="H14" s="285">
        <v>420782100.87353736</v>
      </c>
      <c r="I14" s="285">
        <v>164795797.84020051</v>
      </c>
      <c r="J14" s="285">
        <v>12492401.359065101</v>
      </c>
    </row>
    <row r="15" spans="1:10">
      <c r="A15" s="270">
        <v>17</v>
      </c>
      <c r="B15" s="274" t="s">
        <v>126</v>
      </c>
      <c r="C15" s="285">
        <v>136869.29930450179</v>
      </c>
      <c r="D15" s="285">
        <v>107789.70430107281</v>
      </c>
      <c r="E15" s="285">
        <v>19928.640555555452</v>
      </c>
      <c r="F15" s="285">
        <v>1076.1138888888895</v>
      </c>
      <c r="G15" s="285">
        <v>64.477272727272748</v>
      </c>
      <c r="H15" s="285">
        <v>1</v>
      </c>
      <c r="I15" s="285">
        <v>5135.6966195907062</v>
      </c>
      <c r="J15" s="285">
        <v>2873.666666666667</v>
      </c>
    </row>
    <row r="16" spans="1:10">
      <c r="A16" s="270">
        <v>18</v>
      </c>
      <c r="B16" s="275" t="s">
        <v>142</v>
      </c>
      <c r="C16" s="284">
        <v>0.29988030600614918</v>
      </c>
      <c r="D16" s="284">
        <v>0.17538715056281129</v>
      </c>
      <c r="E16" s="284">
        <v>0.35903185967774898</v>
      </c>
      <c r="F16" s="284">
        <v>0.56163434177758376</v>
      </c>
      <c r="G16" s="284">
        <v>0.64227464361197661</v>
      </c>
      <c r="H16" s="284">
        <v>0.88706346077726206</v>
      </c>
      <c r="I16" s="284">
        <v>0.43087257822123176</v>
      </c>
      <c r="J16" s="284">
        <v>0.46178382691522557</v>
      </c>
    </row>
    <row r="17" spans="1:10">
      <c r="A17" s="270"/>
      <c r="B17" s="274" t="s">
        <v>234</v>
      </c>
      <c r="C17" s="285"/>
      <c r="D17" s="285">
        <v>0.63435645246722761</v>
      </c>
      <c r="E17" s="285">
        <v>0.73382702299246771</v>
      </c>
      <c r="F17" s="285"/>
      <c r="G17" s="285">
        <v>5.2261177778157277</v>
      </c>
      <c r="H17" s="285">
        <v>0.9463246400052967</v>
      </c>
      <c r="I17" s="285">
        <v>1.0232693316282082</v>
      </c>
      <c r="J17" s="285">
        <v>0.99187417812073064</v>
      </c>
    </row>
    <row r="18" spans="1:10">
      <c r="A18" s="270">
        <v>19</v>
      </c>
      <c r="B18" s="278"/>
      <c r="C18" s="284"/>
      <c r="D18" s="284"/>
      <c r="E18" s="284"/>
      <c r="F18" s="284"/>
      <c r="G18" s="284"/>
      <c r="H18" s="284"/>
      <c r="I18" s="284"/>
      <c r="J18" s="284"/>
    </row>
    <row r="19" spans="1:10">
      <c r="A19" s="270">
        <v>20</v>
      </c>
      <c r="B19" s="274" t="s">
        <v>321</v>
      </c>
      <c r="C19" s="285">
        <v>1</v>
      </c>
      <c r="D19" s="285">
        <v>0.45025687710118678</v>
      </c>
      <c r="E19" s="285">
        <v>0.13741728689409222</v>
      </c>
      <c r="F19" s="285">
        <v>0.20868959253070404</v>
      </c>
      <c r="G19" s="285">
        <v>8.4614765823297161E-2</v>
      </c>
      <c r="H19" s="285">
        <v>7.4982424493622704E-2</v>
      </c>
      <c r="I19" s="285">
        <v>4.0560377004584237E-2</v>
      </c>
      <c r="J19" s="285">
        <v>3.4786761525127238E-3</v>
      </c>
    </row>
    <row r="20" spans="1:10">
      <c r="A20" s="270">
        <v>21</v>
      </c>
      <c r="B20" s="274" t="s">
        <v>127</v>
      </c>
      <c r="C20" s="285">
        <v>351431705.57847828</v>
      </c>
      <c r="D20" s="285">
        <v>158234542.26810935</v>
      </c>
      <c r="E20" s="285">
        <v>48292791.509157896</v>
      </c>
      <c r="F20" s="285">
        <v>73340139.439542979</v>
      </c>
      <c r="G20" s="285">
        <v>29736311.470404856</v>
      </c>
      <c r="H20" s="285">
        <v>26351201.328203291</v>
      </c>
      <c r="I20" s="285">
        <v>14254202.469627129</v>
      </c>
      <c r="J20" s="285">
        <v>1222517.0934327252</v>
      </c>
    </row>
    <row r="21" spans="1:10">
      <c r="A21" s="270">
        <v>22</v>
      </c>
      <c r="B21" s="274" t="s">
        <v>322</v>
      </c>
      <c r="C21" s="285">
        <v>19.084665442659603</v>
      </c>
      <c r="D21" s="285">
        <v>13.287165358956349</v>
      </c>
      <c r="E21" s="285">
        <v>22.816517381370737</v>
      </c>
      <c r="F21" s="285">
        <v>31.626847507126641</v>
      </c>
      <c r="G21" s="285">
        <v>34.607601089324845</v>
      </c>
      <c r="H21" s="285">
        <v>40.552787516471668</v>
      </c>
      <c r="I21" s="285">
        <v>27.206238786548408</v>
      </c>
      <c r="J21" s="285">
        <v>32.989109309191321</v>
      </c>
    </row>
    <row r="22" spans="1:10">
      <c r="A22" s="270">
        <v>23</v>
      </c>
      <c r="B22" s="274" t="s">
        <v>128</v>
      </c>
      <c r="C22" s="285">
        <v>8.7179373887179196E-2</v>
      </c>
      <c r="D22" s="285">
        <v>0.10377953187404945</v>
      </c>
      <c r="E22" s="285">
        <v>8.7054957435268393E-2</v>
      </c>
      <c r="F22" s="285">
        <v>7.713995640433377E-2</v>
      </c>
      <c r="G22" s="285">
        <v>7.38121506066233E-2</v>
      </c>
      <c r="H22" s="285">
        <v>6.2624339945778568E-2</v>
      </c>
      <c r="I22" s="285">
        <v>8.6496152550255986E-2</v>
      </c>
      <c r="J22" s="285">
        <v>9.7860856235267107E-2</v>
      </c>
    </row>
    <row r="23" spans="1:10">
      <c r="A23" s="270">
        <v>24</v>
      </c>
      <c r="B23" s="274" t="s">
        <v>129</v>
      </c>
      <c r="C23" s="285">
        <v>2567.6445146155525</v>
      </c>
      <c r="D23" s="285">
        <v>1467.9931009564377</v>
      </c>
      <c r="E23" s="285">
        <v>2423.285791849733</v>
      </c>
      <c r="F23" s="285">
        <v>68152.767283087698</v>
      </c>
      <c r="G23" s="285">
        <v>461190.59030589118</v>
      </c>
      <c r="H23" s="285">
        <v>26351201.328203291</v>
      </c>
      <c r="I23" s="285">
        <v>2775.5148961199989</v>
      </c>
      <c r="J23" s="285">
        <v>425.42063337178695</v>
      </c>
    </row>
    <row r="24" spans="1:10">
      <c r="A24" s="270">
        <v>25</v>
      </c>
      <c r="B24" s="278"/>
      <c r="C24" s="284"/>
      <c r="D24" s="284"/>
      <c r="E24" s="284"/>
      <c r="F24" s="284"/>
      <c r="G24" s="284"/>
      <c r="H24" s="284"/>
      <c r="I24" s="284"/>
      <c r="J24" s="284"/>
    </row>
    <row r="25" spans="1:10">
      <c r="A25" s="270">
        <v>26</v>
      </c>
      <c r="B25" s="274" t="s">
        <v>130</v>
      </c>
      <c r="C25" s="285">
        <v>1</v>
      </c>
      <c r="D25" s="285">
        <v>0.41740708514770292</v>
      </c>
      <c r="E25" s="285">
        <v>0.13367991123819126</v>
      </c>
      <c r="F25" s="285">
        <v>0.227129089674698</v>
      </c>
      <c r="G25" s="285">
        <v>9.2631588063678869E-2</v>
      </c>
      <c r="H25" s="285">
        <v>8.7668284021333587E-2</v>
      </c>
      <c r="I25" s="285">
        <v>3.9870315692857657E-2</v>
      </c>
      <c r="J25" s="285">
        <v>1.6137261615377363E-3</v>
      </c>
    </row>
    <row r="26" spans="1:10">
      <c r="A26" s="270">
        <v>27</v>
      </c>
      <c r="B26" s="274" t="s">
        <v>127</v>
      </c>
      <c r="C26" s="285">
        <v>236099539.05891782</v>
      </c>
      <c r="D26" s="285">
        <v>98549620.403299123</v>
      </c>
      <c r="E26" s="285">
        <v>31561765.424774006</v>
      </c>
      <c r="F26" s="285">
        <v>53625073.379067808</v>
      </c>
      <c r="G26" s="285">
        <v>21870275.244130135</v>
      </c>
      <c r="H26" s="285">
        <v>20698441.447523151</v>
      </c>
      <c r="I26" s="285">
        <v>9413363.1572172306</v>
      </c>
      <c r="J26" s="285">
        <v>381000.00290637632</v>
      </c>
    </row>
    <row r="27" spans="1:10">
      <c r="A27" s="270">
        <v>28</v>
      </c>
      <c r="B27" s="274" t="s">
        <v>322</v>
      </c>
      <c r="C27" s="285">
        <v>12.821497441981316</v>
      </c>
      <c r="D27" s="285">
        <v>8.2753429408751789</v>
      </c>
      <c r="E27" s="285">
        <v>14.911740383956515</v>
      </c>
      <c r="F27" s="285">
        <v>23.125017640801236</v>
      </c>
      <c r="G27" s="285">
        <v>25.452980680400689</v>
      </c>
      <c r="H27" s="285">
        <v>31.853557167625656</v>
      </c>
      <c r="I27" s="285">
        <v>17.966786032782409</v>
      </c>
      <c r="J27" s="285">
        <v>10.281124746802831</v>
      </c>
    </row>
    <row r="28" spans="1:10">
      <c r="A28" s="270">
        <v>29</v>
      </c>
      <c r="B28" s="274" t="s">
        <v>128</v>
      </c>
      <c r="C28" s="285">
        <v>5.8569018285721149E-2</v>
      </c>
      <c r="D28" s="285">
        <v>6.4634645035282517E-2</v>
      </c>
      <c r="E28" s="285">
        <v>5.6894788223509303E-2</v>
      </c>
      <c r="F28" s="285">
        <v>5.6403435475473482E-2</v>
      </c>
      <c r="G28" s="285">
        <v>5.4286896064250169E-2</v>
      </c>
      <c r="H28" s="285">
        <v>4.9190403785126541E-2</v>
      </c>
      <c r="I28" s="285">
        <v>5.7121378582390782E-2</v>
      </c>
      <c r="J28" s="285">
        <v>3.049854002888756E-2</v>
      </c>
    </row>
    <row r="29" spans="1:10">
      <c r="A29" s="270">
        <v>30</v>
      </c>
      <c r="B29" s="282" t="s">
        <v>129</v>
      </c>
      <c r="C29" s="286">
        <v>1724.9999836241743</v>
      </c>
      <c r="D29" s="286">
        <v>914.27674880743018</v>
      </c>
      <c r="E29" s="286">
        <v>1583.7390080265973</v>
      </c>
      <c r="F29" s="286">
        <v>49832.154321915536</v>
      </c>
      <c r="G29" s="286">
        <v>339193.5533104426</v>
      </c>
      <c r="H29" s="286">
        <v>20698441.447523151</v>
      </c>
      <c r="I29" s="286">
        <v>1832.9281993233153</v>
      </c>
      <c r="J29" s="286">
        <v>132.58322801521041</v>
      </c>
    </row>
    <row r="30" spans="1:10">
      <c r="A30" s="270">
        <v>31</v>
      </c>
      <c r="B30" s="278"/>
      <c r="C30" s="284"/>
      <c r="D30" s="284"/>
      <c r="E30" s="284"/>
      <c r="F30" s="284"/>
      <c r="G30" s="284"/>
      <c r="H30" s="284"/>
      <c r="I30" s="284"/>
      <c r="J30" s="284"/>
    </row>
    <row r="31" spans="1:10">
      <c r="A31" s="270">
        <v>32</v>
      </c>
      <c r="B31" s="274" t="s">
        <v>131</v>
      </c>
      <c r="C31" s="285">
        <v>1</v>
      </c>
      <c r="D31" s="285">
        <v>0.44676747596244087</v>
      </c>
      <c r="E31" s="285">
        <v>0.1303266475482063</v>
      </c>
      <c r="F31" s="285">
        <v>0.21991468532319863</v>
      </c>
      <c r="G31" s="285">
        <v>8.7097690761883645E-2</v>
      </c>
      <c r="H31" s="285">
        <v>7.6436811398475052E-2</v>
      </c>
      <c r="I31" s="285">
        <v>3.8994359965546475E-2</v>
      </c>
      <c r="J31" s="285">
        <v>4.623290402490995E-4</v>
      </c>
    </row>
    <row r="32" spans="1:10">
      <c r="A32" s="270">
        <v>33</v>
      </c>
      <c r="B32" s="274" t="s">
        <v>127</v>
      </c>
      <c r="C32" s="285">
        <v>83392377.877912238</v>
      </c>
      <c r="D32" s="285">
        <v>37257002.179020941</v>
      </c>
      <c r="E32" s="285">
        <v>10868249.039901504</v>
      </c>
      <c r="F32" s="285">
        <v>18339208.53937434</v>
      </c>
      <c r="G32" s="285">
        <v>7263283.5403085463</v>
      </c>
      <c r="H32" s="285">
        <v>6374247.4599243412</v>
      </c>
      <c r="I32" s="285">
        <v>3251832.4013541844</v>
      </c>
      <c r="J32" s="285">
        <v>38554.718028385403</v>
      </c>
    </row>
    <row r="33" spans="1:10">
      <c r="A33" s="270">
        <v>34</v>
      </c>
      <c r="B33" s="274" t="s">
        <v>322</v>
      </c>
      <c r="C33" s="285">
        <v>4.5286626306185722</v>
      </c>
      <c r="D33" s="285">
        <v>3.128520117262783</v>
      </c>
      <c r="E33" s="285">
        <v>5.1348365951666759</v>
      </c>
      <c r="F33" s="285">
        <v>7.9085117141659111</v>
      </c>
      <c r="G33" s="285">
        <v>8.4531270669473848</v>
      </c>
      <c r="H33" s="285">
        <v>9.8095528776921217</v>
      </c>
      <c r="I33" s="285">
        <v>6.2065997023396653</v>
      </c>
      <c r="J33" s="285">
        <v>1.0403828414800378</v>
      </c>
    </row>
    <row r="34" spans="1:10">
      <c r="A34" s="270">
        <v>35</v>
      </c>
      <c r="B34" s="274" t="s">
        <v>128</v>
      </c>
      <c r="C34" s="285">
        <v>2.0687078527511955E-2</v>
      </c>
      <c r="D34" s="285">
        <v>2.4435336240413875E-2</v>
      </c>
      <c r="E34" s="285">
        <v>1.9591639414447679E-2</v>
      </c>
      <c r="F34" s="285">
        <v>1.9289379022567863E-2</v>
      </c>
      <c r="G34" s="285">
        <v>1.8029088076691555E-2</v>
      </c>
      <c r="H34" s="285">
        <v>1.514857083200901E-2</v>
      </c>
      <c r="I34" s="285">
        <v>1.9732495876547938E-2</v>
      </c>
      <c r="J34" s="285">
        <v>3.086253548874989E-3</v>
      </c>
    </row>
    <row r="35" spans="1:10">
      <c r="A35" s="270">
        <v>36</v>
      </c>
      <c r="B35" s="274" t="s">
        <v>129</v>
      </c>
      <c r="C35" s="285">
        <v>609.28475780667168</v>
      </c>
      <c r="D35" s="285">
        <v>345.64527679709136</v>
      </c>
      <c r="E35" s="285">
        <v>545.35827517205098</v>
      </c>
      <c r="F35" s="285">
        <v>17042.070294539142</v>
      </c>
      <c r="G35" s="285">
        <v>112648.74013872963</v>
      </c>
      <c r="H35" s="285">
        <v>6374247.4599243412</v>
      </c>
      <c r="I35" s="285">
        <v>633.18233965567504</v>
      </c>
      <c r="J35" s="285">
        <v>13.41655887775852</v>
      </c>
    </row>
    <row r="36" spans="1:10">
      <c r="A36" s="270">
        <v>37</v>
      </c>
      <c r="B36" s="278"/>
      <c r="C36" s="284"/>
      <c r="D36" s="284"/>
      <c r="E36" s="284"/>
      <c r="F36" s="284"/>
      <c r="G36" s="284"/>
      <c r="H36" s="284"/>
      <c r="I36" s="284"/>
      <c r="J36" s="284"/>
    </row>
    <row r="37" spans="1:10">
      <c r="A37" s="270">
        <v>38</v>
      </c>
      <c r="B37" s="274" t="s">
        <v>132</v>
      </c>
      <c r="C37" s="285">
        <v>1</v>
      </c>
      <c r="D37" s="285">
        <v>0.40137356853636563</v>
      </c>
      <c r="E37" s="285">
        <v>0.13551110651807766</v>
      </c>
      <c r="F37" s="285">
        <v>0.2310688285133447</v>
      </c>
      <c r="G37" s="285">
        <v>9.5653613038538171E-2</v>
      </c>
      <c r="H37" s="285">
        <v>9.3801717462484779E-2</v>
      </c>
      <c r="I37" s="285">
        <v>4.0348669363054375E-2</v>
      </c>
      <c r="J37" s="285">
        <v>2.2424965681346566E-3</v>
      </c>
    </row>
    <row r="38" spans="1:10">
      <c r="A38" s="270">
        <v>39</v>
      </c>
      <c r="B38" s="274" t="s">
        <v>127</v>
      </c>
      <c r="C38" s="285">
        <v>152707161.1810056</v>
      </c>
      <c r="D38" s="285">
        <v>61292618.224278182</v>
      </c>
      <c r="E38" s="285">
        <v>20693516.384872504</v>
      </c>
      <c r="F38" s="285">
        <v>35285864.839693472</v>
      </c>
      <c r="G38" s="285">
        <v>14606991.703821586</v>
      </c>
      <c r="H38" s="285">
        <v>14324193.98759881</v>
      </c>
      <c r="I38" s="285">
        <v>6161530.7558630472</v>
      </c>
      <c r="J38" s="285">
        <v>342445.2848779909</v>
      </c>
    </row>
    <row r="39" spans="1:10">
      <c r="A39" s="270">
        <v>40</v>
      </c>
      <c r="B39" s="274" t="s">
        <v>322</v>
      </c>
      <c r="C39" s="285">
        <v>8.292834811362745</v>
      </c>
      <c r="D39" s="285">
        <v>5.1468228236123963</v>
      </c>
      <c r="E39" s="285">
        <v>9.7769037887898396</v>
      </c>
      <c r="F39" s="285">
        <v>15.216505926635328</v>
      </c>
      <c r="G39" s="285">
        <v>16.999853613453304</v>
      </c>
      <c r="H39" s="285">
        <v>22.044004289933532</v>
      </c>
      <c r="I39" s="285">
        <v>11.760186330442744</v>
      </c>
      <c r="J39" s="285">
        <v>9.2407419053227926</v>
      </c>
    </row>
    <row r="40" spans="1:10">
      <c r="A40" s="270">
        <v>41</v>
      </c>
      <c r="B40" s="274" t="s">
        <v>128</v>
      </c>
      <c r="C40" s="285">
        <v>3.7881939758209193E-2</v>
      </c>
      <c r="D40" s="285">
        <v>4.0199308794868639E-2</v>
      </c>
      <c r="E40" s="285">
        <v>3.7303148809061631E-2</v>
      </c>
      <c r="F40" s="285">
        <v>3.7114056452905622E-2</v>
      </c>
      <c r="G40" s="285">
        <v>3.6257807987558614E-2</v>
      </c>
      <c r="H40" s="285">
        <v>3.404183295311753E-2</v>
      </c>
      <c r="I40" s="285">
        <v>3.7388882705842848E-2</v>
      </c>
      <c r="J40" s="285">
        <v>2.7412286480012569E-2</v>
      </c>
    </row>
    <row r="41" spans="1:10">
      <c r="A41" s="270">
        <v>42</v>
      </c>
      <c r="B41" s="274" t="s">
        <v>129</v>
      </c>
      <c r="C41" s="285">
        <v>1115.7152258175029</v>
      </c>
      <c r="D41" s="285">
        <v>568.63147201033883</v>
      </c>
      <c r="E41" s="285">
        <v>1038.3807328545463</v>
      </c>
      <c r="F41" s="285">
        <v>32790.084027376397</v>
      </c>
      <c r="G41" s="285">
        <v>226544.81317171294</v>
      </c>
      <c r="H41" s="285">
        <v>14324193.98759881</v>
      </c>
      <c r="I41" s="285">
        <v>1199.7458596676406</v>
      </c>
      <c r="J41" s="285">
        <v>119.16666913745188</v>
      </c>
    </row>
    <row r="42" spans="1:10">
      <c r="A42" s="270">
        <v>43</v>
      </c>
      <c r="B42" s="278"/>
      <c r="C42" s="284"/>
      <c r="D42" s="284"/>
      <c r="E42" s="284"/>
      <c r="F42" s="284"/>
      <c r="G42" s="284"/>
      <c r="H42" s="284"/>
      <c r="I42" s="284"/>
      <c r="J42" s="284"/>
    </row>
    <row r="43" spans="1:10">
      <c r="A43" s="270">
        <v>44</v>
      </c>
      <c r="B43" s="274" t="s">
        <v>133</v>
      </c>
      <c r="C43" s="285">
        <v>1</v>
      </c>
      <c r="D43" s="285">
        <v>0.44556710104470215</v>
      </c>
      <c r="E43" s="285">
        <v>0.13269769727307451</v>
      </c>
      <c r="F43" s="285">
        <v>0.2129190735159974</v>
      </c>
      <c r="G43" s="285">
        <v>8.6220990347857782E-2</v>
      </c>
      <c r="H43" s="285">
        <v>8.461048145600103E-2</v>
      </c>
      <c r="I43" s="285">
        <v>3.686289098150404E-2</v>
      </c>
      <c r="J43" s="285">
        <v>1.1217653808633897E-3</v>
      </c>
    </row>
    <row r="44" spans="1:10">
      <c r="A44" s="270">
        <v>45</v>
      </c>
      <c r="B44" s="274" t="s">
        <v>127</v>
      </c>
      <c r="C44" s="285">
        <v>49896532.892830446</v>
      </c>
      <c r="D44" s="285">
        <v>22232253.513240088</v>
      </c>
      <c r="E44" s="285">
        <v>6621155.0167888198</v>
      </c>
      <c r="F44" s="285">
        <v>10623923.555201948</v>
      </c>
      <c r="G44" s="285">
        <v>4302128.4809443019</v>
      </c>
      <c r="H44" s="285">
        <v>4221769.6710475758</v>
      </c>
      <c r="I44" s="285">
        <v>1839330.4523834393</v>
      </c>
      <c r="J44" s="285">
        <v>55972.203224288598</v>
      </c>
    </row>
    <row r="45" spans="1:10">
      <c r="A45" s="270">
        <v>46</v>
      </c>
      <c r="B45" s="274" t="s">
        <v>322</v>
      </c>
      <c r="C45" s="285">
        <v>2.7096548828480143</v>
      </c>
      <c r="D45" s="285">
        <v>1.8668719515877479</v>
      </c>
      <c r="E45" s="285">
        <v>3.128245309585469</v>
      </c>
      <c r="F45" s="285">
        <v>4.581409481566654</v>
      </c>
      <c r="G45" s="285">
        <v>5.0068868309952634</v>
      </c>
      <c r="H45" s="285">
        <v>6.4970293491036868</v>
      </c>
      <c r="I45" s="285">
        <v>3.5106322925847264</v>
      </c>
      <c r="J45" s="285">
        <v>1.5103863499017312</v>
      </c>
    </row>
    <row r="46" spans="1:10">
      <c r="A46" s="270">
        <v>47</v>
      </c>
      <c r="B46" s="274" t="s">
        <v>128</v>
      </c>
      <c r="C46" s="285">
        <v>1.237779183747157E-2</v>
      </c>
      <c r="D46" s="285">
        <v>1.4581221198844724E-2</v>
      </c>
      <c r="E46" s="285">
        <v>1.1935619171021815E-2</v>
      </c>
      <c r="F46" s="285">
        <v>1.1174358354838163E-2</v>
      </c>
      <c r="G46" s="285">
        <v>1.0678841445434352E-2</v>
      </c>
      <c r="H46" s="285">
        <v>1.0033149371808461E-2</v>
      </c>
      <c r="I46" s="285">
        <v>1.116127035087997E-2</v>
      </c>
      <c r="J46" s="285">
        <v>4.480499914747969E-3</v>
      </c>
    </row>
    <row r="47" spans="1:10">
      <c r="A47" s="270">
        <v>48</v>
      </c>
      <c r="B47" s="274" t="s">
        <v>129</v>
      </c>
      <c r="C47" s="285">
        <v>364.55606294748736</v>
      </c>
      <c r="D47" s="285">
        <v>206.25581689269757</v>
      </c>
      <c r="E47" s="285">
        <v>332.24318529560003</v>
      </c>
      <c r="F47" s="285">
        <v>9872.4899519430746</v>
      </c>
      <c r="G47" s="285">
        <v>66723.177004423414</v>
      </c>
      <c r="H47" s="285">
        <v>4221769.6710475758</v>
      </c>
      <c r="I47" s="285">
        <v>358.14624356257758</v>
      </c>
      <c r="J47" s="285">
        <v>19.477625527533437</v>
      </c>
    </row>
    <row r="48" spans="1:10">
      <c r="A48" s="270">
        <v>49</v>
      </c>
      <c r="B48" s="278"/>
      <c r="C48" s="284"/>
      <c r="D48" s="284"/>
      <c r="E48" s="284"/>
      <c r="F48" s="284"/>
      <c r="G48" s="284"/>
      <c r="H48" s="284"/>
      <c r="I48" s="284"/>
      <c r="J48" s="284"/>
    </row>
    <row r="49" spans="1:10">
      <c r="A49" s="270">
        <v>50</v>
      </c>
      <c r="B49" s="274" t="s">
        <v>134</v>
      </c>
      <c r="C49" s="285">
        <v>1</v>
      </c>
      <c r="D49" s="285">
        <v>0.44556710103351754</v>
      </c>
      <c r="E49" s="285">
        <v>0.13269769727249725</v>
      </c>
      <c r="F49" s="285">
        <v>0.21291907352275055</v>
      </c>
      <c r="G49" s="285">
        <v>8.6220990350693208E-2</v>
      </c>
      <c r="H49" s="285">
        <v>8.4610481459001977E-2</v>
      </c>
      <c r="I49" s="285">
        <v>3.6862890981363541E-2</v>
      </c>
      <c r="J49" s="285">
        <v>1.1217653801761423E-3</v>
      </c>
    </row>
    <row r="50" spans="1:10">
      <c r="A50" s="270">
        <v>51</v>
      </c>
      <c r="B50" s="274" t="s">
        <v>127</v>
      </c>
      <c r="C50" s="285">
        <v>49896532.064930417</v>
      </c>
      <c r="D50" s="285">
        <v>22232253.143796999</v>
      </c>
      <c r="E50" s="285">
        <v>6621154.9068995882</v>
      </c>
      <c r="F50" s="285">
        <v>10623923.3792632</v>
      </c>
      <c r="G50" s="285">
        <v>4302128.4097034195</v>
      </c>
      <c r="H50" s="285">
        <v>4221769.6011482924</v>
      </c>
      <c r="I50" s="285">
        <v>1839330.4218576404</v>
      </c>
      <c r="J50" s="285">
        <v>55972.202261287741</v>
      </c>
    </row>
    <row r="51" spans="1:10">
      <c r="A51" s="270">
        <v>52</v>
      </c>
      <c r="B51" s="274" t="s">
        <v>322</v>
      </c>
      <c r="C51" s="285">
        <v>2.7096548378885106</v>
      </c>
      <c r="D51" s="285">
        <v>1.8668719205651194</v>
      </c>
      <c r="E51" s="285">
        <v>3.1282452576669635</v>
      </c>
      <c r="F51" s="285">
        <v>4.5814094056956787</v>
      </c>
      <c r="G51" s="285">
        <v>5.0068867480839696</v>
      </c>
      <c r="H51" s="285">
        <v>6.4970292415332294</v>
      </c>
      <c r="I51" s="285">
        <v>3.510632234321756</v>
      </c>
      <c r="J51" s="285">
        <v>1.5103863239155584</v>
      </c>
    </row>
    <row r="52" spans="1:10">
      <c r="A52" s="270">
        <v>53</v>
      </c>
      <c r="B52" s="274" t="s">
        <v>128</v>
      </c>
      <c r="C52" s="285">
        <v>1.2377791632095091E-2</v>
      </c>
      <c r="D52" s="285">
        <v>1.4581220956542188E-2</v>
      </c>
      <c r="E52" s="285">
        <v>1.1935618972930089E-2</v>
      </c>
      <c r="F52" s="285">
        <v>1.1174358169783873E-2</v>
      </c>
      <c r="G52" s="285">
        <v>1.067884126859861E-2</v>
      </c>
      <c r="H52" s="285">
        <v>1.0033149205690931E-2</v>
      </c>
      <c r="I52" s="285">
        <v>1.1161270165645883E-2</v>
      </c>
      <c r="J52" s="285">
        <v>4.4804998376610401E-3</v>
      </c>
    </row>
    <row r="53" spans="1:10">
      <c r="A53" s="270">
        <v>54</v>
      </c>
      <c r="B53" s="274" t="s">
        <v>129</v>
      </c>
      <c r="C53" s="285">
        <v>364.55605689865075</v>
      </c>
      <c r="D53" s="285">
        <v>206.25581346525436</v>
      </c>
      <c r="E53" s="285">
        <v>332.24317978146416</v>
      </c>
      <c r="F53" s="285">
        <v>9872.4897884485326</v>
      </c>
      <c r="G53" s="285">
        <v>66723.175899524285</v>
      </c>
      <c r="H53" s="285">
        <v>4221769.6011482924</v>
      </c>
      <c r="I53" s="285">
        <v>358.1462376187298</v>
      </c>
      <c r="J53" s="285">
        <v>19.477625192421204</v>
      </c>
    </row>
    <row r="54" spans="1:10">
      <c r="A54" s="270">
        <v>55</v>
      </c>
      <c r="B54" s="278"/>
      <c r="C54" s="284"/>
      <c r="D54" s="284"/>
      <c r="E54" s="284"/>
      <c r="F54" s="284"/>
      <c r="G54" s="284"/>
      <c r="H54" s="284"/>
      <c r="I54" s="284"/>
      <c r="J54" s="284"/>
    </row>
    <row r="55" spans="1:10">
      <c r="A55" s="270">
        <v>56</v>
      </c>
      <c r="B55" s="274" t="s">
        <v>135</v>
      </c>
      <c r="C55" s="285">
        <v>1</v>
      </c>
      <c r="D55" s="285">
        <v>0.44624118059914453</v>
      </c>
      <c r="E55" s="285">
        <v>0.13273248911837635</v>
      </c>
      <c r="F55" s="285">
        <v>0.21251206685915214</v>
      </c>
      <c r="G55" s="285">
        <v>8.6050102083598368E-2</v>
      </c>
      <c r="H55" s="285">
        <v>8.4429617970647991E-2</v>
      </c>
      <c r="I55" s="285">
        <v>3.6871358418326804E-2</v>
      </c>
      <c r="J55" s="285">
        <v>1.1631849507539695E-3</v>
      </c>
    </row>
    <row r="56" spans="1:10">
      <c r="A56" s="270">
        <v>57</v>
      </c>
      <c r="B56" s="274" t="s">
        <v>127</v>
      </c>
      <c r="C56" s="285">
        <v>0.82790003269638113</v>
      </c>
      <c r="D56" s="285">
        <v>0.36944308800850345</v>
      </c>
      <c r="E56" s="285">
        <v>0.10988923208097583</v>
      </c>
      <c r="F56" s="285">
        <v>0.17593874710106758</v>
      </c>
      <c r="G56" s="285">
        <v>7.1240882328538022E-2</v>
      </c>
      <c r="H56" s="285">
        <v>6.9899283478442445E-2</v>
      </c>
      <c r="I56" s="285">
        <v>3.0525798840092749E-2</v>
      </c>
      <c r="J56" s="285">
        <v>9.6300085876114985E-4</v>
      </c>
    </row>
    <row r="57" spans="1:10">
      <c r="A57" s="270">
        <v>58</v>
      </c>
      <c r="B57" s="274" t="s">
        <v>322</v>
      </c>
      <c r="C57" s="285">
        <v>4.4959503918319734E-8</v>
      </c>
      <c r="D57" s="285">
        <v>3.1022628376394528E-8</v>
      </c>
      <c r="E57" s="285">
        <v>5.1918505753091608E-8</v>
      </c>
      <c r="F57" s="285">
        <v>7.5870975535127206E-8</v>
      </c>
      <c r="G57" s="285">
        <v>8.291129312831375E-8</v>
      </c>
      <c r="H57" s="285">
        <v>1.0757045780000377E-7</v>
      </c>
      <c r="I57" s="285">
        <v>5.8262970107469668E-8</v>
      </c>
      <c r="J57" s="285">
        <v>2.5986172925658894E-8</v>
      </c>
    </row>
    <row r="58" spans="1:10">
      <c r="A58" s="270">
        <v>59</v>
      </c>
      <c r="B58" s="274" t="s">
        <v>128</v>
      </c>
      <c r="C58" s="285">
        <v>2.0537647954341471E-10</v>
      </c>
      <c r="D58" s="285">
        <v>2.4230253507266554E-10</v>
      </c>
      <c r="E58" s="285">
        <v>1.9809172595851241E-10</v>
      </c>
      <c r="F58" s="285">
        <v>1.8505428793733462E-10</v>
      </c>
      <c r="G58" s="285">
        <v>1.7683574309531482E-10</v>
      </c>
      <c r="H58" s="285">
        <v>1.6611753050648442E-10</v>
      </c>
      <c r="I58" s="285">
        <v>1.8523408509295281E-10</v>
      </c>
      <c r="J58" s="285">
        <v>7.7086929172536479E-11</v>
      </c>
    </row>
    <row r="59" spans="1:10">
      <c r="A59" s="270">
        <v>60</v>
      </c>
      <c r="B59" s="274" t="s">
        <v>129</v>
      </c>
      <c r="C59" s="285">
        <v>6.0488366412580188E-6</v>
      </c>
      <c r="D59" s="285">
        <v>3.4274431904608763E-6</v>
      </c>
      <c r="E59" s="285">
        <v>5.5141358877257841E-6</v>
      </c>
      <c r="F59" s="285">
        <v>1.6349454171874696E-4</v>
      </c>
      <c r="G59" s="285">
        <v>1.1048991267027396E-3</v>
      </c>
      <c r="H59" s="285">
        <v>6.9899283478442445E-2</v>
      </c>
      <c r="I59" s="285">
        <v>5.943847758383658E-6</v>
      </c>
      <c r="J59" s="285">
        <v>3.3511223480842703E-7</v>
      </c>
    </row>
    <row r="60" spans="1:10">
      <c r="A60" s="270">
        <v>61</v>
      </c>
      <c r="B60" s="278"/>
      <c r="C60" s="284"/>
      <c r="D60" s="284"/>
      <c r="E60" s="284"/>
      <c r="F60" s="284"/>
      <c r="G60" s="284"/>
      <c r="H60" s="284"/>
      <c r="I60" s="284"/>
      <c r="J60" s="284"/>
    </row>
    <row r="61" spans="1:10">
      <c r="A61" s="270">
        <v>62</v>
      </c>
      <c r="B61" s="274" t="s">
        <v>136</v>
      </c>
      <c r="C61" s="285">
        <v>1</v>
      </c>
      <c r="D61" s="285">
        <v>0.55929709561121965</v>
      </c>
      <c r="E61" s="285">
        <v>0.16023726397155386</v>
      </c>
      <c r="F61" s="285">
        <v>0.14521631504912141</v>
      </c>
      <c r="G61" s="285">
        <v>5.6644682873802643E-2</v>
      </c>
      <c r="H61" s="285">
        <v>1.4185448957981149E-2</v>
      </c>
      <c r="I61" s="285">
        <v>5.1228811123908459E-2</v>
      </c>
      <c r="J61" s="285">
        <v>1.3190382412412771E-2</v>
      </c>
    </row>
    <row r="62" spans="1:10">
      <c r="A62" s="270">
        <v>63</v>
      </c>
      <c r="B62" s="274" t="s">
        <v>127</v>
      </c>
      <c r="C62" s="285">
        <v>46388457.731293038</v>
      </c>
      <c r="D62" s="285">
        <v>25944929.678996023</v>
      </c>
      <c r="E62" s="285">
        <v>7433159.5467224708</v>
      </c>
      <c r="F62" s="285">
        <v>6736360.8925503017</v>
      </c>
      <c r="G62" s="285">
        <v>2627659.4771938925</v>
      </c>
      <c r="H62" s="285">
        <v>658041.09938672336</v>
      </c>
      <c r="I62" s="285">
        <v>2376425.5394458221</v>
      </c>
      <c r="J62" s="285">
        <v>611881.49699780089</v>
      </c>
    </row>
    <row r="63" spans="1:10">
      <c r="A63" s="270">
        <v>64</v>
      </c>
      <c r="B63" s="274" t="s">
        <v>322</v>
      </c>
      <c r="C63" s="285">
        <v>2.5191471974488246</v>
      </c>
      <c r="D63" s="285">
        <v>2.1786303163009961</v>
      </c>
      <c r="E63" s="285">
        <v>3.5118867370533673</v>
      </c>
      <c r="F63" s="285">
        <v>2.904955735423504</v>
      </c>
      <c r="G63" s="285">
        <v>3.0581126739883455</v>
      </c>
      <c r="H63" s="285">
        <v>1.0126825167539601</v>
      </c>
      <c r="I63" s="285">
        <v>4.535757144068854</v>
      </c>
      <c r="J63" s="285">
        <v>16.511364705791635</v>
      </c>
    </row>
    <row r="64" spans="1:10">
      <c r="A64" s="270">
        <v>65</v>
      </c>
      <c r="B64" s="274" t="s">
        <v>128</v>
      </c>
      <c r="C64" s="285">
        <v>1.1507546520167092E-2</v>
      </c>
      <c r="D64" s="285">
        <v>1.7016212882450997E-2</v>
      </c>
      <c r="E64" s="285">
        <v>1.3399378410891271E-2</v>
      </c>
      <c r="F64" s="285">
        <v>7.0853776601222584E-3</v>
      </c>
      <c r="G64" s="285">
        <v>6.5224362902772609E-3</v>
      </c>
      <c r="H64" s="285">
        <v>1.563852402515791E-3</v>
      </c>
      <c r="I64" s="285">
        <v>1.4420425584821032E-2</v>
      </c>
      <c r="J64" s="285">
        <v>4.898029445345907E-2</v>
      </c>
    </row>
    <row r="65" spans="1:10">
      <c r="A65" s="270">
        <v>66</v>
      </c>
      <c r="B65" s="274" t="s">
        <v>129</v>
      </c>
      <c r="C65" s="285">
        <v>338.92522258106766</v>
      </c>
      <c r="D65" s="285">
        <v>240.69951622214253</v>
      </c>
      <c r="E65" s="285">
        <v>372.98879098154788</v>
      </c>
      <c r="F65" s="285">
        <v>6259.8958735731376</v>
      </c>
      <c r="G65" s="285">
        <v>40753.266477451965</v>
      </c>
      <c r="H65" s="285">
        <v>658041.09938672336</v>
      </c>
      <c r="I65" s="285">
        <v>462.72700968758028</v>
      </c>
      <c r="J65" s="285">
        <v>212.92709557979381</v>
      </c>
    </row>
    <row r="66" spans="1:10">
      <c r="A66" s="270">
        <v>67</v>
      </c>
      <c r="B66" s="278"/>
      <c r="C66" s="284"/>
      <c r="D66" s="284"/>
      <c r="E66" s="284"/>
      <c r="F66" s="284"/>
      <c r="G66" s="284"/>
      <c r="H66" s="284"/>
      <c r="I66" s="284"/>
      <c r="J66" s="284"/>
    </row>
    <row r="67" spans="1:10">
      <c r="A67" s="270">
        <v>68</v>
      </c>
      <c r="B67" s="274" t="s">
        <v>137</v>
      </c>
      <c r="C67" s="285">
        <v>1</v>
      </c>
      <c r="D67" s="285">
        <v>0.45104415390446895</v>
      </c>
      <c r="E67" s="285">
        <v>0.12922318227647653</v>
      </c>
      <c r="F67" s="285">
        <v>0.20807556599946189</v>
      </c>
      <c r="G67" s="285">
        <v>8.9973485586047536E-2</v>
      </c>
      <c r="H67" s="285">
        <v>6.9057794746890472E-2</v>
      </c>
      <c r="I67" s="285">
        <v>5.0781994665817273E-2</v>
      </c>
      <c r="J67" s="285">
        <v>1.8438228208373919E-3</v>
      </c>
    </row>
    <row r="68" spans="1:10">
      <c r="A68" s="270">
        <v>69</v>
      </c>
      <c r="B68" s="274" t="s">
        <v>127</v>
      </c>
      <c r="C68" s="285">
        <v>7574389.7001273446</v>
      </c>
      <c r="D68" s="285">
        <v>3416384.1936366623</v>
      </c>
      <c r="E68" s="285">
        <v>978786.7408526222</v>
      </c>
      <c r="F68" s="285">
        <v>1576045.4239544917</v>
      </c>
      <c r="G68" s="285">
        <v>681494.24250751454</v>
      </c>
      <c r="H68" s="285">
        <v>523070.64924435545</v>
      </c>
      <c r="I68" s="285">
        <v>384642.61734868813</v>
      </c>
      <c r="J68" s="285">
        <v>13965.832583010488</v>
      </c>
    </row>
    <row r="69" spans="1:10">
      <c r="A69" s="270">
        <v>70</v>
      </c>
      <c r="B69" s="274" t="s">
        <v>322</v>
      </c>
      <c r="C69" s="285">
        <v>0.41133082492176176</v>
      </c>
      <c r="D69" s="285">
        <v>0.28687833301062871</v>
      </c>
      <c r="E69" s="285">
        <v>0.4624397138252837</v>
      </c>
      <c r="F69" s="285">
        <v>0.67964621650062251</v>
      </c>
      <c r="G69" s="285">
        <v>0.79313404128298115</v>
      </c>
      <c r="H69" s="285">
        <v>0.80497175937881726</v>
      </c>
      <c r="I69" s="285">
        <v>0.73414692385417746</v>
      </c>
      <c r="J69" s="285">
        <v>0.37686211518002966</v>
      </c>
    </row>
    <row r="70" spans="1:10">
      <c r="A70" s="270">
        <v>71</v>
      </c>
      <c r="B70" s="274" t="s">
        <v>128</v>
      </c>
      <c r="C70" s="285">
        <v>1.8789726173045658E-3</v>
      </c>
      <c r="D70" s="285">
        <v>2.2406659584907271E-3</v>
      </c>
      <c r="E70" s="285">
        <v>1.7644090432621157E-3</v>
      </c>
      <c r="F70" s="285">
        <v>1.657701720015394E-3</v>
      </c>
      <c r="G70" s="285">
        <v>1.6916205533956381E-3</v>
      </c>
      <c r="H70" s="285">
        <v>1.2430914911981013E-3</v>
      </c>
      <c r="I70" s="285">
        <v>2.334055979519994E-3</v>
      </c>
      <c r="J70" s="285">
        <v>1.1179461963793048E-3</v>
      </c>
    </row>
    <row r="71" spans="1:10">
      <c r="A71" s="270">
        <v>72</v>
      </c>
      <c r="B71" s="274" t="s">
        <v>129</v>
      </c>
      <c r="C71" s="285">
        <v>55.340311805616253</v>
      </c>
      <c r="D71" s="285">
        <v>31.694902734812121</v>
      </c>
      <c r="E71" s="285">
        <v>49.114576487244058</v>
      </c>
      <c r="F71" s="285">
        <v>1464.5712133515833</v>
      </c>
      <c r="G71" s="285">
        <v>10569.52649641545</v>
      </c>
      <c r="H71" s="285">
        <v>523070.64924435545</v>
      </c>
      <c r="I71" s="285">
        <v>74.895899395892002</v>
      </c>
      <c r="J71" s="285">
        <v>4.8599347812355251</v>
      </c>
    </row>
    <row r="72" spans="1:10">
      <c r="A72" s="270">
        <v>73</v>
      </c>
      <c r="B72" s="278"/>
      <c r="C72" s="284"/>
      <c r="D72" s="284"/>
      <c r="E72" s="284"/>
      <c r="F72" s="284"/>
      <c r="G72" s="284"/>
      <c r="H72" s="284"/>
      <c r="I72" s="284"/>
      <c r="J72" s="284"/>
    </row>
    <row r="73" spans="1:10">
      <c r="A73" s="270">
        <v>74</v>
      </c>
      <c r="B73" s="274" t="s">
        <v>138</v>
      </c>
      <c r="C73" s="285">
        <v>1</v>
      </c>
      <c r="D73" s="285">
        <v>0.55312098484269534</v>
      </c>
      <c r="E73" s="285">
        <v>0.13909195655621273</v>
      </c>
      <c r="F73" s="285">
        <v>0.16705880984082236</v>
      </c>
      <c r="G73" s="285">
        <v>7.1319744071897173E-2</v>
      </c>
      <c r="H73" s="285">
        <v>5.7544106905113527E-3</v>
      </c>
      <c r="I73" s="285">
        <v>4.1340420196837591E-2</v>
      </c>
      <c r="J73" s="285">
        <v>2.2313673801023764E-2</v>
      </c>
    </row>
    <row r="74" spans="1:10">
      <c r="A74" s="270">
        <v>75</v>
      </c>
      <c r="B74" s="274" t="s">
        <v>127</v>
      </c>
      <c r="C74" s="285">
        <v>25501355.784365762</v>
      </c>
      <c r="D74" s="285">
        <v>14105335.026272355</v>
      </c>
      <c r="E74" s="285">
        <v>3547033.4708835268</v>
      </c>
      <c r="F74" s="285">
        <v>4260226.1466635149</v>
      </c>
      <c r="G74" s="285">
        <v>1818750.1680273607</v>
      </c>
      <c r="H74" s="285">
        <v>146745.27434808787</v>
      </c>
      <c r="I74" s="285">
        <v>1054236.7637147354</v>
      </c>
      <c r="J74" s="285">
        <v>569028.93445618812</v>
      </c>
    </row>
    <row r="75" spans="1:10">
      <c r="A75" s="270">
        <v>76</v>
      </c>
      <c r="B75" s="274" t="s">
        <v>322</v>
      </c>
      <c r="C75" s="285">
        <v>1.3848632202314801</v>
      </c>
      <c r="D75" s="285">
        <v>1.1844437772632426</v>
      </c>
      <c r="E75" s="285">
        <v>1.675839153455658</v>
      </c>
      <c r="F75" s="285">
        <v>1.8371593470649168</v>
      </c>
      <c r="G75" s="285">
        <v>2.1166909136957757</v>
      </c>
      <c r="H75" s="285">
        <v>0.22583144713463815</v>
      </c>
      <c r="I75" s="285">
        <v>2.0121656888413328</v>
      </c>
      <c r="J75" s="285">
        <v>15.355006338732112</v>
      </c>
    </row>
    <row r="76" spans="1:10">
      <c r="A76" s="270">
        <v>77</v>
      </c>
      <c r="B76" s="274" t="s">
        <v>128</v>
      </c>
      <c r="C76" s="285">
        <v>6.3261003354711295E-3</v>
      </c>
      <c r="D76" s="285">
        <v>9.2511094288936554E-3</v>
      </c>
      <c r="E76" s="285">
        <v>6.3940567148760008E-3</v>
      </c>
      <c r="F76" s="285">
        <v>4.4809522007676498E-3</v>
      </c>
      <c r="G76" s="285">
        <v>4.5145431521278461E-3</v>
      </c>
      <c r="H76" s="285">
        <v>3.4874409829564252E-4</v>
      </c>
      <c r="I76" s="285">
        <v>6.3972308610502895E-3</v>
      </c>
      <c r="J76" s="285">
        <v>4.5550004206618991E-2</v>
      </c>
    </row>
    <row r="77" spans="1:10">
      <c r="A77" s="270">
        <v>78</v>
      </c>
      <c r="B77" s="274" t="s">
        <v>129</v>
      </c>
      <c r="C77" s="285">
        <v>186.31903512292615</v>
      </c>
      <c r="D77" s="285">
        <v>130.85976177162559</v>
      </c>
      <c r="E77" s="285">
        <v>177.98672523574268</v>
      </c>
      <c r="F77" s="285">
        <v>3958.8989517292534</v>
      </c>
      <c r="G77" s="285">
        <v>28207.616282412353</v>
      </c>
      <c r="H77" s="285">
        <v>146745.27434808787</v>
      </c>
      <c r="I77" s="285">
        <v>205.27629293623534</v>
      </c>
      <c r="J77" s="285">
        <v>198.01494065288995</v>
      </c>
    </row>
    <row r="78" spans="1:10">
      <c r="A78" s="270">
        <v>79</v>
      </c>
      <c r="B78" s="278"/>
      <c r="C78" s="284"/>
      <c r="D78" s="284"/>
      <c r="E78" s="284"/>
      <c r="F78" s="284"/>
      <c r="G78" s="284"/>
      <c r="H78" s="284"/>
      <c r="I78" s="284"/>
      <c r="J78" s="284"/>
    </row>
    <row r="79" spans="1:10">
      <c r="A79" s="270">
        <v>80</v>
      </c>
      <c r="B79" s="274" t="s">
        <v>139</v>
      </c>
      <c r="C79" s="285">
        <v>1</v>
      </c>
      <c r="D79" s="285">
        <v>0.54852102383237655</v>
      </c>
      <c r="E79" s="285">
        <v>0.23843749393563696</v>
      </c>
      <c r="F79" s="285">
        <v>8.1957474851703446E-2</v>
      </c>
      <c r="G79" s="285">
        <v>8.6874780865619401E-3</v>
      </c>
      <c r="H79" s="285">
        <v>-1.7362526301440159E-3</v>
      </c>
      <c r="I79" s="285">
        <v>0.121949465762269</v>
      </c>
      <c r="J79" s="285">
        <v>2.1833161615958476E-3</v>
      </c>
    </row>
    <row r="80" spans="1:10">
      <c r="A80" s="270">
        <v>81</v>
      </c>
      <c r="B80" s="274" t="s">
        <v>127</v>
      </c>
      <c r="C80" s="285">
        <v>7364125.117146709</v>
      </c>
      <c r="D80" s="285">
        <v>4039377.4488870325</v>
      </c>
      <c r="E80" s="285">
        <v>1755883.5379609403</v>
      </c>
      <c r="F80" s="285">
        <v>603545.09909334907</v>
      </c>
      <c r="G80" s="285">
        <v>63975.675581912416</v>
      </c>
      <c r="H80" s="285">
        <v>-12785.981603355584</v>
      </c>
      <c r="I80" s="285">
        <v>898051.12384254776</v>
      </c>
      <c r="J80" s="285">
        <v>16078.213384280323</v>
      </c>
    </row>
    <row r="81" spans="1:10">
      <c r="A81" s="270">
        <v>82</v>
      </c>
      <c r="B81" s="274" t="s">
        <v>322</v>
      </c>
      <c r="C81" s="285">
        <v>0.3999123070221875</v>
      </c>
      <c r="D81" s="285">
        <v>0.33919190678139494</v>
      </c>
      <c r="E81" s="285">
        <v>0.82958855786895758</v>
      </c>
      <c r="F81" s="285">
        <v>0.26026987347677638</v>
      </c>
      <c r="G81" s="285">
        <v>7.4455927802693986E-2</v>
      </c>
      <c r="H81" s="285">
        <v>-1.9676795326801451E-2</v>
      </c>
      <c r="I81" s="285">
        <v>1.7140624577102443</v>
      </c>
      <c r="J81" s="285">
        <v>0.43386382217461783</v>
      </c>
    </row>
    <row r="82" spans="1:10">
      <c r="A82" s="270">
        <v>83</v>
      </c>
      <c r="B82" s="274" t="s">
        <v>128</v>
      </c>
      <c r="C82" s="285">
        <v>1.8268124553045915E-3</v>
      </c>
      <c r="D82" s="285">
        <v>2.6492616258073191E-3</v>
      </c>
      <c r="E82" s="285">
        <v>3.1652418897650837E-3</v>
      </c>
      <c r="F82" s="285">
        <v>6.3481530016027982E-4</v>
      </c>
      <c r="G82" s="285">
        <v>1.5880188119203541E-4</v>
      </c>
      <c r="H82" s="285">
        <v>-3.0386229777388526E-5</v>
      </c>
      <c r="I82" s="285">
        <v>5.4494782974586018E-3</v>
      </c>
      <c r="J82" s="285">
        <v>1.2870394507948771E-3</v>
      </c>
    </row>
    <row r="83" spans="1:10">
      <c r="A83" s="270">
        <v>84</v>
      </c>
      <c r="B83" s="274" t="s">
        <v>129</v>
      </c>
      <c r="C83" s="285">
        <v>53.804068221049874</v>
      </c>
      <c r="D83" s="285">
        <v>37.474612951942476</v>
      </c>
      <c r="E83" s="285">
        <v>88.108545741794586</v>
      </c>
      <c r="F83" s="285">
        <v>560.85615595624574</v>
      </c>
      <c r="G83" s="285">
        <v>992.22055890170793</v>
      </c>
      <c r="H83" s="285">
        <v>-12785.981603355584</v>
      </c>
      <c r="I83" s="285">
        <v>174.86451992059429</v>
      </c>
      <c r="J83" s="285">
        <v>5.5950168371234152</v>
      </c>
    </row>
    <row r="84" spans="1:10">
      <c r="A84" s="270">
        <v>85</v>
      </c>
      <c r="B84" s="278"/>
      <c r="C84" s="284"/>
      <c r="D84" s="284"/>
      <c r="E84" s="284"/>
      <c r="F84" s="284"/>
      <c r="G84" s="284"/>
      <c r="H84" s="284"/>
      <c r="I84" s="284"/>
      <c r="J84" s="284"/>
    </row>
    <row r="85" spans="1:10">
      <c r="A85" s="270">
        <v>86</v>
      </c>
      <c r="B85" s="274" t="s">
        <v>140</v>
      </c>
      <c r="C85" s="285">
        <v>1</v>
      </c>
      <c r="D85" s="285">
        <v>0.68096366333462399</v>
      </c>
      <c r="E85" s="285">
        <v>0.16932435608531046</v>
      </c>
      <c r="F85" s="285">
        <v>6.9772793466115243E-2</v>
      </c>
      <c r="G85" s="285">
        <v>1.1314756225402962E-2</v>
      </c>
      <c r="H85" s="285">
        <v>6.7334630723342595E-3</v>
      </c>
      <c r="I85" s="285">
        <v>5.2629582620124307E-2</v>
      </c>
      <c r="J85" s="285">
        <v>9.2613851960889407E-3</v>
      </c>
    </row>
    <row r="86" spans="1:10">
      <c r="A86" s="270">
        <v>87</v>
      </c>
      <c r="B86" s="274" t="s">
        <v>127</v>
      </c>
      <c r="C86" s="285">
        <v>1458927.9131643237</v>
      </c>
      <c r="D86" s="285">
        <v>993476.89628951601</v>
      </c>
      <c r="E86" s="285">
        <v>247032.02947143486</v>
      </c>
      <c r="F86" s="285">
        <v>101793.47596716486</v>
      </c>
      <c r="G86" s="285">
        <v>16507.413687890185</v>
      </c>
      <c r="H86" s="285">
        <v>9823.637228489657</v>
      </c>
      <c r="I86" s="285">
        <v>76782.767142687313</v>
      </c>
      <c r="J86" s="285">
        <v>13511.693377140999</v>
      </c>
    </row>
    <row r="87" spans="1:10">
      <c r="A87" s="270">
        <v>88</v>
      </c>
      <c r="B87" s="274" t="s">
        <v>322</v>
      </c>
      <c r="C87" s="285">
        <v>7.9227772240603941E-2</v>
      </c>
      <c r="D87" s="285">
        <v>8.3423578771662163E-2</v>
      </c>
      <c r="E87" s="285">
        <v>0.11671329028725608</v>
      </c>
      <c r="F87" s="285">
        <v>4.3896926924822131E-2</v>
      </c>
      <c r="G87" s="285">
        <v>1.9211595509938551E-2</v>
      </c>
      <c r="H87" s="285">
        <v>1.51179397175895E-2</v>
      </c>
      <c r="I87" s="285">
        <v>0.14655118741487463</v>
      </c>
      <c r="J87" s="285">
        <v>0.36460735981955389</v>
      </c>
    </row>
    <row r="88" spans="1:10">
      <c r="A88" s="270">
        <v>89</v>
      </c>
      <c r="B88" s="274" t="s">
        <v>128</v>
      </c>
      <c r="C88" s="285">
        <v>3.6191504635825239E-4</v>
      </c>
      <c r="D88" s="285">
        <v>6.5158065834901389E-4</v>
      </c>
      <c r="E88" s="285">
        <v>4.453120670546785E-4</v>
      </c>
      <c r="F88" s="285">
        <v>1.0706748525922393E-4</v>
      </c>
      <c r="G88" s="285">
        <v>4.0975078784369355E-5</v>
      </c>
      <c r="H88" s="285">
        <v>2.3346138555076209E-5</v>
      </c>
      <c r="I88" s="285">
        <v>4.6592672961929627E-4</v>
      </c>
      <c r="J88" s="285">
        <v>1.081592961095206E-3</v>
      </c>
    </row>
    <row r="89" spans="1:10">
      <c r="A89" s="270">
        <v>90</v>
      </c>
      <c r="B89" s="274" t="s">
        <v>129</v>
      </c>
      <c r="C89" s="285">
        <v>10.659278016164563</v>
      </c>
      <c r="D89" s="285">
        <v>9.216806955092725</v>
      </c>
      <c r="E89" s="285">
        <v>12.395829448716231</v>
      </c>
      <c r="F89" s="285">
        <v>94.59358997054558</v>
      </c>
      <c r="G89" s="285">
        <v>256.01910548719349</v>
      </c>
      <c r="H89" s="285">
        <v>9823.637228489657</v>
      </c>
      <c r="I89" s="285">
        <v>14.950798855561406</v>
      </c>
      <c r="J89" s="285">
        <v>4.7019000268441005</v>
      </c>
    </row>
    <row r="90" spans="1:10">
      <c r="A90" s="270">
        <v>91</v>
      </c>
      <c r="B90" s="278"/>
      <c r="C90" s="284"/>
      <c r="D90" s="284"/>
      <c r="E90" s="284"/>
      <c r="F90" s="284"/>
      <c r="G90" s="284"/>
      <c r="H90" s="284"/>
      <c r="I90" s="284"/>
      <c r="J90" s="284"/>
    </row>
    <row r="91" spans="1:10">
      <c r="A91" s="270">
        <v>92</v>
      </c>
      <c r="B91" s="274" t="s">
        <v>141</v>
      </c>
      <c r="C91" s="285">
        <v>1</v>
      </c>
      <c r="D91" s="285">
        <v>0.75514776298809227</v>
      </c>
      <c r="E91" s="285">
        <v>0.2014459726101985</v>
      </c>
      <c r="F91" s="285">
        <v>4.3377623441113879E-2</v>
      </c>
      <c r="G91" s="285">
        <v>1.0453349603205988E-2</v>
      </c>
      <c r="H91" s="285">
        <v>-1.9628393617246E-3</v>
      </c>
      <c r="I91" s="285">
        <v>-8.3052478606599027E-3</v>
      </c>
      <c r="J91" s="285">
        <v>-1.5662142022643125E-4</v>
      </c>
    </row>
    <row r="92" spans="1:10">
      <c r="A92" s="270">
        <v>93</v>
      </c>
      <c r="B92" s="274" t="s">
        <v>127</v>
      </c>
      <c r="C92" s="285">
        <v>4489659.216488895</v>
      </c>
      <c r="D92" s="285">
        <v>3390356.1139104599</v>
      </c>
      <c r="E92" s="285">
        <v>904423.76755394717</v>
      </c>
      <c r="F92" s="285">
        <v>194750.74687178165</v>
      </c>
      <c r="G92" s="285">
        <v>46931.977389214298</v>
      </c>
      <c r="H92" s="285">
        <v>-8812.4798308540303</v>
      </c>
      <c r="I92" s="285">
        <v>-37287.732602836411</v>
      </c>
      <c r="J92" s="285">
        <v>-703.17680281917728</v>
      </c>
    </row>
    <row r="93" spans="1:10">
      <c r="A93" s="270">
        <v>94</v>
      </c>
      <c r="B93" s="274" t="s">
        <v>322</v>
      </c>
      <c r="C93" s="285">
        <v>0.24381307303279096</v>
      </c>
      <c r="D93" s="285">
        <v>0.28469272047406785</v>
      </c>
      <c r="E93" s="285">
        <v>0.42730602161621195</v>
      </c>
      <c r="F93" s="285">
        <v>8.3983371456366585E-2</v>
      </c>
      <c r="G93" s="285">
        <v>5.4620195696955698E-2</v>
      </c>
      <c r="H93" s="285">
        <v>-1.3561834150283211E-2</v>
      </c>
      <c r="I93" s="285">
        <v>-7.1169113751775578E-2</v>
      </c>
      <c r="J93" s="285">
        <v>-1.8974930114681498E-2</v>
      </c>
    </row>
    <row r="94" spans="1:10">
      <c r="A94" s="270">
        <v>95</v>
      </c>
      <c r="B94" s="274" t="s">
        <v>128</v>
      </c>
      <c r="C94" s="285">
        <v>1.1137460657285531E-3</v>
      </c>
      <c r="D94" s="285">
        <v>2.223595210910285E-3</v>
      </c>
      <c r="E94" s="285">
        <v>1.630358695933394E-3</v>
      </c>
      <c r="F94" s="285">
        <v>2.0484095391971204E-4</v>
      </c>
      <c r="G94" s="285">
        <v>1.1649562477737125E-4</v>
      </c>
      <c r="H94" s="285">
        <v>-2.0943095755640399E-5</v>
      </c>
      <c r="I94" s="285">
        <v>-2.2626628282714859E-4</v>
      </c>
      <c r="J94" s="285">
        <v>-5.6288361429319403E-5</v>
      </c>
    </row>
    <row r="95" spans="1:10">
      <c r="A95" s="270">
        <v>96</v>
      </c>
      <c r="B95" s="274" t="s">
        <v>129</v>
      </c>
      <c r="C95" s="285">
        <v>32.802529415310779</v>
      </c>
      <c r="D95" s="285">
        <v>31.453431808669656</v>
      </c>
      <c r="E95" s="285">
        <v>45.38311406805034</v>
      </c>
      <c r="F95" s="285">
        <v>180.97596256551054</v>
      </c>
      <c r="G95" s="285">
        <v>727.88403423525858</v>
      </c>
      <c r="H95" s="285">
        <v>-8812.4798308540303</v>
      </c>
      <c r="I95" s="285">
        <v>-7.260501420702707</v>
      </c>
      <c r="J95" s="285">
        <v>-0.24469671829921491</v>
      </c>
    </row>
    <row r="96" spans="1:10">
      <c r="A96" s="270">
        <v>97</v>
      </c>
      <c r="B96" s="278"/>
      <c r="C96" s="284"/>
      <c r="D96" s="284"/>
      <c r="E96" s="284"/>
      <c r="F96" s="284"/>
      <c r="G96" s="284"/>
      <c r="H96" s="284"/>
      <c r="I96" s="284"/>
      <c r="J96" s="284"/>
    </row>
    <row r="97" spans="1:10">
      <c r="A97" s="270">
        <v>98</v>
      </c>
      <c r="B97" s="274" t="s">
        <v>323</v>
      </c>
      <c r="C97" s="285">
        <v>1</v>
      </c>
      <c r="D97" s="285">
        <v>0.80530367801672231</v>
      </c>
      <c r="E97" s="285">
        <v>0.1344761617952081</v>
      </c>
      <c r="F97" s="285">
        <v>1.5759060850989912E-2</v>
      </c>
      <c r="G97" s="285">
        <v>6.5330110766338061E-3</v>
      </c>
      <c r="H97" s="285">
        <v>6.0015704136416985E-3</v>
      </c>
      <c r="I97" s="285">
        <v>1.6557225113695683E-2</v>
      </c>
      <c r="J97" s="285">
        <v>1.5369292733108596E-2</v>
      </c>
    </row>
    <row r="98" spans="1:10">
      <c r="A98" s="270">
        <v>99</v>
      </c>
      <c r="B98" s="274" t="s">
        <v>127</v>
      </c>
      <c r="C98" s="285">
        <v>7898580.0348514533</v>
      </c>
      <c r="D98" s="285">
        <v>6360755.5531753264</v>
      </c>
      <c r="E98" s="285">
        <v>1062170.7267190844</v>
      </c>
      <c r="F98" s="285">
        <v>124474.20340563807</v>
      </c>
      <c r="G98" s="285">
        <v>51601.510857363181</v>
      </c>
      <c r="H98" s="285">
        <v>47403.884246945498</v>
      </c>
      <c r="I98" s="285">
        <v>130778.5677155778</v>
      </c>
      <c r="J98" s="285">
        <v>121395.58873151908</v>
      </c>
    </row>
    <row r="99" spans="1:10">
      <c r="A99" s="270">
        <v>100</v>
      </c>
      <c r="B99" s="274" t="s">
        <v>322</v>
      </c>
      <c r="C99" s="285">
        <v>0.42893613480058773</v>
      </c>
      <c r="D99" s="285">
        <v>0.53412111939337215</v>
      </c>
      <c r="E99" s="285">
        <v>0.50183549326556154</v>
      </c>
      <c r="F99" s="285">
        <v>5.367765427997815E-2</v>
      </c>
      <c r="G99" s="285">
        <v>6.0054674404907832E-2</v>
      </c>
      <c r="H99" s="285">
        <v>7.2951499302778541E-2</v>
      </c>
      <c r="I99" s="285">
        <v>0.24961010263563854</v>
      </c>
      <c r="J99" s="285">
        <v>3.2758088764818538</v>
      </c>
    </row>
    <row r="100" spans="1:10">
      <c r="A100" s="270">
        <v>101</v>
      </c>
      <c r="B100" s="274" t="s">
        <v>128</v>
      </c>
      <c r="C100" s="285">
        <v>1.959394246750323E-3</v>
      </c>
      <c r="D100" s="285">
        <v>4.1717581016874842E-3</v>
      </c>
      <c r="E100" s="285">
        <v>1.9147211108304471E-3</v>
      </c>
      <c r="F100" s="285">
        <v>1.3092332108381562E-4</v>
      </c>
      <c r="G100" s="285">
        <v>1.2808644726242308E-4</v>
      </c>
      <c r="H100" s="285">
        <v>1.1265660813170461E-4</v>
      </c>
      <c r="I100" s="285">
        <v>7.9357950523951709E-4</v>
      </c>
      <c r="J100" s="285">
        <v>9.7175543150019323E-3</v>
      </c>
    </row>
    <row r="101" spans="1:10">
      <c r="A101" s="270">
        <v>102</v>
      </c>
      <c r="B101" s="274" t="s">
        <v>129</v>
      </c>
      <c r="C101" s="285">
        <v>57.708924316759905</v>
      </c>
      <c r="D101" s="285">
        <v>59.010789522242149</v>
      </c>
      <c r="E101" s="285">
        <v>53.298704633567496</v>
      </c>
      <c r="F101" s="285">
        <v>115.67010210616307</v>
      </c>
      <c r="G101" s="285">
        <v>800.30542041733497</v>
      </c>
      <c r="H101" s="285">
        <v>47403.884246945498</v>
      </c>
      <c r="I101" s="285">
        <v>25.464620946787996</v>
      </c>
      <c r="J101" s="285">
        <v>42.244144089381415</v>
      </c>
    </row>
    <row r="102" spans="1:10">
      <c r="A102" s="270">
        <v>103</v>
      </c>
      <c r="B102" s="278"/>
      <c r="C102" s="284"/>
      <c r="D102" s="284"/>
      <c r="E102" s="284"/>
      <c r="F102" s="284"/>
      <c r="G102" s="284"/>
      <c r="H102" s="284"/>
      <c r="I102" s="284"/>
      <c r="J102" s="284"/>
    </row>
    <row r="103" spans="1:10">
      <c r="A103" s="270">
        <v>104</v>
      </c>
      <c r="B103" s="274" t="s">
        <v>328</v>
      </c>
      <c r="C103" s="285">
        <v>1</v>
      </c>
      <c r="D103" s="285">
        <v>0.46167097487095549</v>
      </c>
      <c r="E103" s="285">
        <v>0.14482010240065638</v>
      </c>
      <c r="F103" s="285">
        <v>0.20005276334415087</v>
      </c>
      <c r="G103" s="285">
        <v>7.935050909924321E-2</v>
      </c>
      <c r="H103" s="285">
        <v>6.5079516297112797E-2</v>
      </c>
      <c r="I103" s="285">
        <v>4.4337848375382918E-2</v>
      </c>
      <c r="J103" s="285">
        <v>4.6882856124983068E-3</v>
      </c>
    </row>
    <row r="104" spans="1:10">
      <c r="A104" s="270">
        <v>105</v>
      </c>
      <c r="B104" s="274" t="s">
        <v>127</v>
      </c>
      <c r="C104" s="285">
        <v>11148595.860585416</v>
      </c>
      <c r="D104" s="285">
        <v>5146983.1193987681</v>
      </c>
      <c r="E104" s="285">
        <v>1614540.7941535136</v>
      </c>
      <c r="F104" s="285">
        <v>2230307.4093172741</v>
      </c>
      <c r="G104" s="285">
        <v>884646.75727916847</v>
      </c>
      <c r="H104" s="285">
        <v>725545.2259988928</v>
      </c>
      <c r="I104" s="285">
        <v>494304.75286505779</v>
      </c>
      <c r="J104" s="285">
        <v>52267.801572740784</v>
      </c>
    </row>
    <row r="105" spans="1:10">
      <c r="A105" s="270">
        <v>106</v>
      </c>
      <c r="B105" s="274" t="s">
        <v>322</v>
      </c>
      <c r="C105" s="285">
        <v>0.60542978558085536</v>
      </c>
      <c r="D105" s="285">
        <v>0.43219903079905142</v>
      </c>
      <c r="E105" s="285">
        <v>0.76280945750982365</v>
      </c>
      <c r="F105" s="285">
        <v>0.96178699505526422</v>
      </c>
      <c r="G105" s="285">
        <v>1.0295662295356438</v>
      </c>
      <c r="H105" s="285">
        <v>1.1165669836855845</v>
      </c>
      <c r="I105" s="285">
        <v>0.94345321447677921</v>
      </c>
      <c r="J105" s="285">
        <v>1.4104246302132821</v>
      </c>
    </row>
    <row r="106" spans="1:10">
      <c r="A106" s="270">
        <v>107</v>
      </c>
      <c r="B106" s="274" t="s">
        <v>128</v>
      </c>
      <c r="C106" s="285">
        <v>2.7656229970690364E-3</v>
      </c>
      <c r="D106" s="285">
        <v>3.3756946557837141E-3</v>
      </c>
      <c r="E106" s="285">
        <v>2.9104505190155542E-3</v>
      </c>
      <c r="F106" s="285">
        <v>2.3458615928160448E-3</v>
      </c>
      <c r="G106" s="285">
        <v>2.1958903593991001E-3</v>
      </c>
      <c r="H106" s="285">
        <v>1.7242777781960586E-3</v>
      </c>
      <c r="I106" s="285">
        <v>2.9994985269246738E-3</v>
      </c>
      <c r="J106" s="285">
        <v>4.1839675231706112E-3</v>
      </c>
    </row>
    <row r="107" spans="1:10">
      <c r="A107" s="270">
        <v>108</v>
      </c>
      <c r="B107" s="274" t="s">
        <v>129</v>
      </c>
      <c r="C107" s="285">
        <v>81.454321146062341</v>
      </c>
      <c r="D107" s="285">
        <v>47.750229511925113</v>
      </c>
      <c r="E107" s="285">
        <v>81.016102912420308</v>
      </c>
      <c r="F107" s="285">
        <v>2072.5570335497796</v>
      </c>
      <c r="G107" s="285">
        <v>13720.288093155939</v>
      </c>
      <c r="H107" s="285">
        <v>725545.2259988928</v>
      </c>
      <c r="I107" s="285">
        <v>96.248822599737565</v>
      </c>
      <c r="J107" s="285">
        <v>18.188540159868037</v>
      </c>
    </row>
  </sheetData>
  <mergeCells count="4">
    <mergeCell ref="B3:J3"/>
    <mergeCell ref="B4:J4"/>
    <mergeCell ref="B5:J5"/>
    <mergeCell ref="B6:J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J107"/>
  <sheetViews>
    <sheetView zoomScale="85" zoomScaleNormal="85" workbookViewId="0">
      <pane xSplit="2" ySplit="10" topLeftCell="C104" activePane="bottomRight" state="frozen"/>
      <selection activeCell="J20" sqref="J20"/>
      <selection pane="topRight" activeCell="J20" sqref="J20"/>
      <selection pane="bottomLeft" activeCell="J20" sqref="J20"/>
      <selection pane="bottomRight" activeCell="K122" sqref="K122"/>
    </sheetView>
  </sheetViews>
  <sheetFormatPr defaultRowHeight="15"/>
  <cols>
    <col min="2" max="2" width="40" bestFit="1" customWidth="1"/>
    <col min="3" max="4" width="14" bestFit="1" customWidth="1"/>
    <col min="5" max="5" width="14.28515625" bestFit="1" customWidth="1"/>
    <col min="6" max="7" width="17.85546875" bestFit="1" customWidth="1"/>
    <col min="8" max="8" width="19.140625" bestFit="1" customWidth="1"/>
    <col min="9" max="9" width="12.7109375" bestFit="1" customWidth="1"/>
    <col min="10" max="10" width="15.42578125" bestFit="1" customWidth="1"/>
  </cols>
  <sheetData>
    <row r="1" spans="1:10">
      <c r="A1" s="30"/>
      <c r="B1" s="30"/>
      <c r="C1" s="30"/>
      <c r="D1" s="30"/>
      <c r="E1" s="30"/>
      <c r="F1" s="30"/>
      <c r="G1" s="30"/>
      <c r="H1" s="30"/>
      <c r="I1" s="30"/>
      <c r="J1" s="30"/>
    </row>
    <row r="2" spans="1:10">
      <c r="A2" s="30"/>
      <c r="B2" s="31" t="s">
        <v>233</v>
      </c>
      <c r="C2" s="30"/>
      <c r="D2" s="30"/>
      <c r="E2" s="30"/>
      <c r="F2" s="30"/>
      <c r="G2" s="30"/>
      <c r="H2" s="30"/>
      <c r="I2" s="30"/>
      <c r="J2" s="30"/>
    </row>
    <row r="3" spans="1:10">
      <c r="A3" s="32"/>
      <c r="B3" s="287" t="s">
        <v>101</v>
      </c>
      <c r="C3" s="287"/>
      <c r="D3" s="287"/>
      <c r="E3" s="287"/>
      <c r="F3" s="287"/>
      <c r="G3" s="287"/>
      <c r="H3" s="287"/>
      <c r="I3" s="287"/>
      <c r="J3" s="287"/>
    </row>
    <row r="4" spans="1:10">
      <c r="A4" s="33"/>
      <c r="B4" s="287" t="s">
        <v>102</v>
      </c>
      <c r="C4" s="287"/>
      <c r="D4" s="287"/>
      <c r="E4" s="287"/>
      <c r="F4" s="287"/>
      <c r="G4" s="287"/>
      <c r="H4" s="287"/>
      <c r="I4" s="287"/>
      <c r="J4" s="287"/>
    </row>
    <row r="5" spans="1:10">
      <c r="A5" s="33"/>
      <c r="B5" s="287" t="s">
        <v>1</v>
      </c>
      <c r="C5" s="287"/>
      <c r="D5" s="287"/>
      <c r="E5" s="287"/>
      <c r="F5" s="287"/>
      <c r="G5" s="287"/>
      <c r="H5" s="287"/>
      <c r="I5" s="287"/>
      <c r="J5" s="287"/>
    </row>
    <row r="6" spans="1:10">
      <c r="A6" s="33"/>
      <c r="B6" s="287" t="s">
        <v>325</v>
      </c>
      <c r="C6" s="287"/>
      <c r="D6" s="287"/>
      <c r="E6" s="287"/>
      <c r="F6" s="287"/>
      <c r="G6" s="287"/>
      <c r="H6" s="287"/>
      <c r="I6" s="287"/>
      <c r="J6" s="287"/>
    </row>
    <row r="7" spans="1:10">
      <c r="A7" s="34"/>
      <c r="B7" s="33"/>
      <c r="C7" s="33"/>
      <c r="D7" s="33"/>
      <c r="E7" s="33"/>
      <c r="F7" s="33"/>
      <c r="G7" s="33"/>
      <c r="H7" s="33"/>
      <c r="I7" s="33"/>
      <c r="J7" s="33"/>
    </row>
    <row r="8" spans="1:10">
      <c r="A8" s="259"/>
      <c r="B8" s="260"/>
      <c r="C8" s="261" t="s">
        <v>104</v>
      </c>
      <c r="D8" s="262"/>
      <c r="E8" s="263" t="s">
        <v>105</v>
      </c>
      <c r="F8" s="263" t="s">
        <v>106</v>
      </c>
      <c r="G8" s="263" t="s">
        <v>106</v>
      </c>
      <c r="H8" s="263" t="s">
        <v>106</v>
      </c>
      <c r="I8" s="261" t="s">
        <v>107</v>
      </c>
      <c r="J8" s="263" t="s">
        <v>108</v>
      </c>
    </row>
    <row r="9" spans="1:10">
      <c r="A9" s="259"/>
      <c r="B9" s="264" t="s">
        <v>4</v>
      </c>
      <c r="C9" s="261" t="s">
        <v>109</v>
      </c>
      <c r="D9" s="263" t="s">
        <v>110</v>
      </c>
      <c r="E9" s="263" t="s">
        <v>111</v>
      </c>
      <c r="F9" s="263" t="s">
        <v>112</v>
      </c>
      <c r="G9" s="263" t="s">
        <v>113</v>
      </c>
      <c r="H9" s="263" t="s">
        <v>114</v>
      </c>
      <c r="I9" s="263" t="s">
        <v>115</v>
      </c>
      <c r="J9" s="263" t="s">
        <v>116</v>
      </c>
    </row>
    <row r="10" spans="1:10" ht="15.75" thickBot="1">
      <c r="A10" s="259"/>
      <c r="B10" s="265"/>
      <c r="C10" s="266" t="s">
        <v>117</v>
      </c>
      <c r="D10" s="267" t="s">
        <v>118</v>
      </c>
      <c r="E10" s="267" t="s">
        <v>119</v>
      </c>
      <c r="F10" s="267" t="s">
        <v>120</v>
      </c>
      <c r="G10" s="267" t="s">
        <v>121</v>
      </c>
      <c r="H10" s="267" t="s">
        <v>121</v>
      </c>
      <c r="I10" s="267" t="s">
        <v>122</v>
      </c>
      <c r="J10" s="267" t="s">
        <v>123</v>
      </c>
    </row>
    <row r="11" spans="1:10">
      <c r="A11" s="259"/>
      <c r="B11" s="268"/>
      <c r="C11" s="269"/>
      <c r="D11" s="269"/>
      <c r="E11" s="269"/>
      <c r="F11" s="269"/>
      <c r="G11" s="269"/>
      <c r="H11" s="269"/>
      <c r="I11" s="269"/>
      <c r="J11" s="269"/>
    </row>
    <row r="12" spans="1:10">
      <c r="A12" s="270">
        <v>14</v>
      </c>
      <c r="B12" s="271" t="s">
        <v>124</v>
      </c>
      <c r="C12" s="272"/>
      <c r="D12" s="273"/>
      <c r="E12" s="273"/>
      <c r="F12" s="273"/>
      <c r="G12" s="273"/>
      <c r="H12" s="273"/>
      <c r="I12" s="273"/>
      <c r="J12" s="273"/>
    </row>
    <row r="13" spans="1:10">
      <c r="A13" s="270">
        <v>15</v>
      </c>
      <c r="B13" s="274" t="s">
        <v>320</v>
      </c>
      <c r="C13" s="273">
        <v>18414349.815791342</v>
      </c>
      <c r="D13" s="273">
        <v>11908826.148644997</v>
      </c>
      <c r="E13" s="273">
        <v>2116571.5477940585</v>
      </c>
      <c r="F13" s="273">
        <v>2318920.3230899591</v>
      </c>
      <c r="G13" s="273">
        <v>859242.20501886797</v>
      </c>
      <c r="H13" s="273">
        <v>649800</v>
      </c>
      <c r="I13" s="273">
        <v>523931.38873260352</v>
      </c>
      <c r="J13" s="273">
        <v>37058.202510854433</v>
      </c>
    </row>
    <row r="14" spans="1:10">
      <c r="A14" s="270">
        <v>16</v>
      </c>
      <c r="B14" s="274" t="s">
        <v>125</v>
      </c>
      <c r="C14" s="273">
        <v>4031133626.0945625</v>
      </c>
      <c r="D14" s="273">
        <v>1524718211.8738832</v>
      </c>
      <c r="E14" s="273">
        <v>554739131.83022404</v>
      </c>
      <c r="F14" s="273">
        <v>950741261.18410254</v>
      </c>
      <c r="G14" s="273">
        <v>402864721.13354957</v>
      </c>
      <c r="H14" s="273">
        <v>420782100.87353736</v>
      </c>
      <c r="I14" s="273">
        <v>164795797.84020051</v>
      </c>
      <c r="J14" s="273">
        <v>12492401.359065101</v>
      </c>
    </row>
    <row r="15" spans="1:10">
      <c r="A15" s="270">
        <v>17</v>
      </c>
      <c r="B15" s="274" t="s">
        <v>126</v>
      </c>
      <c r="C15" s="273">
        <v>136869.29930450179</v>
      </c>
      <c r="D15" s="273">
        <v>107789.70430107281</v>
      </c>
      <c r="E15" s="273">
        <v>19928.640555555452</v>
      </c>
      <c r="F15" s="273">
        <v>1076.1138888888895</v>
      </c>
      <c r="G15" s="273">
        <v>64.477272727272748</v>
      </c>
      <c r="H15" s="273">
        <v>1</v>
      </c>
      <c r="I15" s="273">
        <v>5135.6966195907062</v>
      </c>
      <c r="J15" s="273">
        <v>2873.666666666667</v>
      </c>
    </row>
    <row r="16" spans="1:10">
      <c r="A16" s="270">
        <v>18</v>
      </c>
      <c r="B16" s="274" t="s">
        <v>142</v>
      </c>
      <c r="C16" s="273">
        <v>0.29988030600614918</v>
      </c>
      <c r="D16" s="273">
        <v>0.17538715056281129</v>
      </c>
      <c r="E16" s="273">
        <v>0.35903185967774898</v>
      </c>
      <c r="F16" s="273">
        <v>0.56163434177758376</v>
      </c>
      <c r="G16" s="273">
        <v>0.64227464361197661</v>
      </c>
      <c r="H16" s="273">
        <v>0.88706346077726206</v>
      </c>
      <c r="I16" s="273">
        <v>0.43087257822123176</v>
      </c>
      <c r="J16" s="273">
        <v>0.46178382691522557</v>
      </c>
    </row>
    <row r="17" spans="1:10">
      <c r="A17" s="270"/>
      <c r="B17" s="274" t="s">
        <v>234</v>
      </c>
      <c r="C17" s="273"/>
      <c r="D17" s="273">
        <v>0.63435645246722761</v>
      </c>
      <c r="E17" s="273">
        <v>0.73382702299246771</v>
      </c>
      <c r="F17" s="273"/>
      <c r="G17" s="273">
        <v>5.2261177778157277</v>
      </c>
      <c r="H17" s="273">
        <v>0.9463246400052967</v>
      </c>
      <c r="I17" s="273">
        <v>1.0232693316282082</v>
      </c>
      <c r="J17" s="273">
        <v>0.99187417812073064</v>
      </c>
    </row>
    <row r="18" spans="1:10">
      <c r="A18" s="270">
        <v>19</v>
      </c>
      <c r="B18" s="275"/>
      <c r="C18" s="276"/>
      <c r="D18" s="276"/>
      <c r="E18" s="276"/>
      <c r="F18" s="276"/>
      <c r="G18" s="276"/>
      <c r="H18" s="276"/>
      <c r="I18" s="277"/>
      <c r="J18" s="276"/>
    </row>
    <row r="19" spans="1:10">
      <c r="A19" s="270">
        <v>20</v>
      </c>
      <c r="B19" s="278" t="s">
        <v>321</v>
      </c>
      <c r="C19" s="279">
        <v>1</v>
      </c>
      <c r="D19" s="279">
        <v>0.45097697982524476</v>
      </c>
      <c r="E19" s="279">
        <v>0.13763609967721405</v>
      </c>
      <c r="F19" s="279">
        <v>0.20902509682084316</v>
      </c>
      <c r="G19" s="279">
        <v>8.4751260451679661E-2</v>
      </c>
      <c r="H19" s="279">
        <v>7.5102460917184977E-2</v>
      </c>
      <c r="I19" s="279">
        <v>4.0624471186437389E-2</v>
      </c>
      <c r="J19" s="279">
        <v>1.8836311213252571E-3</v>
      </c>
    </row>
    <row r="20" spans="1:10">
      <c r="A20" s="270">
        <v>21</v>
      </c>
      <c r="B20" s="274" t="s">
        <v>127</v>
      </c>
      <c r="C20" s="273">
        <v>350736039.95856422</v>
      </c>
      <c r="D20" s="273">
        <v>158173880.01641065</v>
      </c>
      <c r="E20" s="273">
        <v>48273940.556137875</v>
      </c>
      <c r="F20" s="273">
        <v>73312634.710910857</v>
      </c>
      <c r="G20" s="273">
        <v>29725321.472324144</v>
      </c>
      <c r="H20" s="273">
        <v>26341139.733240191</v>
      </c>
      <c r="I20" s="273">
        <v>14248466.149344919</v>
      </c>
      <c r="J20" s="273">
        <v>660657.32023645379</v>
      </c>
    </row>
    <row r="21" spans="1:10">
      <c r="A21" s="270">
        <v>22</v>
      </c>
      <c r="B21" s="274" t="s">
        <v>322</v>
      </c>
      <c r="C21" s="280">
        <v>19.046886991241379</v>
      </c>
      <c r="D21" s="280">
        <v>13.282071468849841</v>
      </c>
      <c r="E21" s="280">
        <v>22.807611019079477</v>
      </c>
      <c r="F21" s="280">
        <v>31.614986500796128</v>
      </c>
      <c r="G21" s="280">
        <v>34.594810751493995</v>
      </c>
      <c r="H21" s="280">
        <v>40.537303375254218</v>
      </c>
      <c r="I21" s="280">
        <v>27.195290176853373</v>
      </c>
      <c r="J21" s="280">
        <v>17.827559770146589</v>
      </c>
    </row>
    <row r="22" spans="1:10">
      <c r="A22" s="270">
        <v>23</v>
      </c>
      <c r="B22" s="274" t="s">
        <v>128</v>
      </c>
      <c r="C22" s="281">
        <v>8.7006800689552896E-2</v>
      </c>
      <c r="D22" s="281">
        <v>0.10373974599674682</v>
      </c>
      <c r="E22" s="281">
        <v>8.7020975781661541E-2</v>
      </c>
      <c r="F22" s="281">
        <v>7.7111026631581647E-2</v>
      </c>
      <c r="G22" s="281">
        <v>7.3784870982709375E-2</v>
      </c>
      <c r="H22" s="281">
        <v>6.2600428294255814E-2</v>
      </c>
      <c r="I22" s="281">
        <v>8.6461343893983258E-2</v>
      </c>
      <c r="J22" s="281">
        <v>5.2884733787155212E-2</v>
      </c>
    </row>
    <row r="23" spans="1:10">
      <c r="A23" s="270">
        <v>24</v>
      </c>
      <c r="B23" s="274" t="s">
        <v>129</v>
      </c>
      <c r="C23" s="280">
        <v>2562.5618143792753</v>
      </c>
      <c r="D23" s="280">
        <v>1467.4303175988616</v>
      </c>
      <c r="E23" s="280">
        <v>2422.3398691728967</v>
      </c>
      <c r="F23" s="280">
        <v>68127.207972947654</v>
      </c>
      <c r="G23" s="280">
        <v>461020.14267968346</v>
      </c>
      <c r="H23" s="280">
        <v>26341139.733240191</v>
      </c>
      <c r="I23" s="280">
        <v>2774.3979453522438</v>
      </c>
      <c r="J23" s="280">
        <v>229.90047102532898</v>
      </c>
    </row>
    <row r="24" spans="1:10">
      <c r="A24" s="270">
        <v>25</v>
      </c>
      <c r="B24" s="274"/>
      <c r="C24" s="280"/>
      <c r="D24" s="280"/>
      <c r="E24" s="280"/>
      <c r="F24" s="280"/>
      <c r="G24" s="280"/>
      <c r="H24" s="280"/>
      <c r="I24" s="280"/>
      <c r="J24" s="280"/>
    </row>
    <row r="25" spans="1:10">
      <c r="A25" s="270">
        <v>26</v>
      </c>
      <c r="B25" s="278" t="s">
        <v>130</v>
      </c>
      <c r="C25" s="279">
        <v>1</v>
      </c>
      <c r="D25" s="279">
        <v>0.41740687589604153</v>
      </c>
      <c r="E25" s="279">
        <v>0.1336799489900774</v>
      </c>
      <c r="F25" s="279">
        <v>0.22712921764878491</v>
      </c>
      <c r="G25" s="279">
        <v>9.2631654135822472E-2</v>
      </c>
      <c r="H25" s="279">
        <v>8.766836490966945E-2</v>
      </c>
      <c r="I25" s="279">
        <v>3.9870333675290963E-2</v>
      </c>
      <c r="J25" s="279">
        <v>1.6136047440211162E-3</v>
      </c>
    </row>
    <row r="26" spans="1:10">
      <c r="A26" s="270">
        <v>27</v>
      </c>
      <c r="B26" s="274" t="s">
        <v>127</v>
      </c>
      <c r="C26" s="273">
        <v>236024940.54743958</v>
      </c>
      <c r="D26" s="273">
        <v>98518433.067493111</v>
      </c>
      <c r="E26" s="273">
        <v>31551802.012779746</v>
      </c>
      <c r="F26" s="273">
        <v>53608160.092161238</v>
      </c>
      <c r="G26" s="273">
        <v>21863380.66022677</v>
      </c>
      <c r="H26" s="273">
        <v>20691920.615703814</v>
      </c>
      <c r="I26" s="273">
        <v>9410393.1353206951</v>
      </c>
      <c r="J26" s="273">
        <v>380850.96377479495</v>
      </c>
    </row>
    <row r="27" spans="1:10">
      <c r="A27" s="270">
        <v>28</v>
      </c>
      <c r="B27" s="274" t="s">
        <v>322</v>
      </c>
      <c r="C27" s="280">
        <v>12.817446334436141</v>
      </c>
      <c r="D27" s="280">
        <v>8.2727240987309809</v>
      </c>
      <c r="E27" s="280">
        <v>14.907033048641228</v>
      </c>
      <c r="F27" s="280">
        <v>23.117724036644958</v>
      </c>
      <c r="G27" s="280">
        <v>25.444956651945041</v>
      </c>
      <c r="H27" s="280">
        <v>31.843522030938463</v>
      </c>
      <c r="I27" s="280">
        <v>17.961117309815226</v>
      </c>
      <c r="J27" s="280">
        <v>10.277102988555443</v>
      </c>
    </row>
    <row r="28" spans="1:10">
      <c r="A28" s="270">
        <v>29</v>
      </c>
      <c r="B28" s="274" t="s">
        <v>128</v>
      </c>
      <c r="C28" s="281">
        <v>5.8550512694391862E-2</v>
      </c>
      <c r="D28" s="281">
        <v>6.4614190543716046E-2</v>
      </c>
      <c r="E28" s="281">
        <v>5.6876827687786166E-2</v>
      </c>
      <c r="F28" s="281">
        <v>5.6385645896334456E-2</v>
      </c>
      <c r="G28" s="281">
        <v>5.4269782170822206E-2</v>
      </c>
      <c r="H28" s="281">
        <v>4.9174906852614921E-2</v>
      </c>
      <c r="I28" s="281">
        <v>5.7103356145317384E-2</v>
      </c>
      <c r="J28" s="281">
        <v>3.0486609645985378E-2</v>
      </c>
    </row>
    <row r="29" spans="1:10">
      <c r="A29" s="270">
        <v>30</v>
      </c>
      <c r="B29" s="274" t="s">
        <v>129</v>
      </c>
      <c r="C29" s="280">
        <v>1724.4549489680658</v>
      </c>
      <c r="D29" s="280">
        <v>913.98741379154683</v>
      </c>
      <c r="E29" s="280">
        <v>1583.2390536033897</v>
      </c>
      <c r="F29" s="280">
        <v>49816.437317348267</v>
      </c>
      <c r="G29" s="280">
        <v>339086.62285864557</v>
      </c>
      <c r="H29" s="280">
        <v>20691920.615703814</v>
      </c>
      <c r="I29" s="280">
        <v>1832.3498898715447</v>
      </c>
      <c r="J29" s="280">
        <v>132.5313642645151</v>
      </c>
    </row>
    <row r="30" spans="1:10">
      <c r="A30" s="270">
        <v>31</v>
      </c>
      <c r="B30" s="282"/>
      <c r="C30" s="283"/>
      <c r="D30" s="283"/>
      <c r="E30" s="283"/>
      <c r="F30" s="283"/>
      <c r="G30" s="283"/>
      <c r="H30" s="283"/>
      <c r="I30" s="283"/>
      <c r="J30" s="283"/>
    </row>
    <row r="31" spans="1:10">
      <c r="A31" s="270">
        <v>32</v>
      </c>
      <c r="B31" s="278" t="s">
        <v>131</v>
      </c>
      <c r="C31" s="279">
        <v>1</v>
      </c>
      <c r="D31" s="279">
        <v>0.44676660450723971</v>
      </c>
      <c r="E31" s="279">
        <v>0.13032675092160362</v>
      </c>
      <c r="F31" s="279">
        <v>0.2199150791396893</v>
      </c>
      <c r="G31" s="279">
        <v>8.7097908392198775E-2</v>
      </c>
      <c r="H31" s="279">
        <v>7.6437114526413483E-2</v>
      </c>
      <c r="I31" s="279">
        <v>3.8994407916821419E-2</v>
      </c>
      <c r="J31" s="279">
        <v>4.6213459618067178E-4</v>
      </c>
    </row>
    <row r="32" spans="1:10">
      <c r="A32" s="270">
        <v>33</v>
      </c>
      <c r="B32" s="274" t="s">
        <v>127</v>
      </c>
      <c r="C32" s="273">
        <v>83348051.874000639</v>
      </c>
      <c r="D32" s="273">
        <v>37237126.128031671</v>
      </c>
      <c r="E32" s="273">
        <v>10862480.796381013</v>
      </c>
      <c r="F32" s="273">
        <v>18329493.424005099</v>
      </c>
      <c r="G32" s="273">
        <v>7259440.9867880438</v>
      </c>
      <c r="H32" s="273">
        <v>6370884.5866446756</v>
      </c>
      <c r="I32" s="273">
        <v>3250107.933846348</v>
      </c>
      <c r="J32" s="273">
        <v>38518.018295209658</v>
      </c>
    </row>
    <row r="33" spans="1:10">
      <c r="A33" s="270">
        <v>34</v>
      </c>
      <c r="B33" s="274" t="s">
        <v>322</v>
      </c>
      <c r="C33" s="280">
        <v>4.5262554859539481</v>
      </c>
      <c r="D33" s="280">
        <v>3.1268510987767306</v>
      </c>
      <c r="E33" s="280">
        <v>5.1321113182789171</v>
      </c>
      <c r="F33" s="280">
        <v>7.9043222147370145</v>
      </c>
      <c r="G33" s="280">
        <v>8.4486550409015759</v>
      </c>
      <c r="H33" s="280">
        <v>9.8043776341099971</v>
      </c>
      <c r="I33" s="280">
        <v>6.2033083028455289</v>
      </c>
      <c r="J33" s="280">
        <v>1.0393925146241954</v>
      </c>
    </row>
    <row r="34" spans="1:10">
      <c r="A34" s="270">
        <v>35</v>
      </c>
      <c r="B34" s="274" t="s">
        <v>128</v>
      </c>
      <c r="C34" s="281">
        <v>2.0676082612212928E-2</v>
      </c>
      <c r="D34" s="281">
        <v>2.4422300355596286E-2</v>
      </c>
      <c r="E34" s="281">
        <v>1.9581241295422869E-2</v>
      </c>
      <c r="F34" s="281">
        <v>1.9279160558548385E-2</v>
      </c>
      <c r="G34" s="281">
        <v>1.8019550002695672E-2</v>
      </c>
      <c r="H34" s="281">
        <v>1.5140578873052856E-2</v>
      </c>
      <c r="I34" s="281">
        <v>1.9722031607856402E-2</v>
      </c>
      <c r="J34" s="281">
        <v>3.0833157843795254E-3</v>
      </c>
    </row>
    <row r="35" spans="1:10">
      <c r="A35" s="270">
        <v>36</v>
      </c>
      <c r="B35" s="274" t="s">
        <v>129</v>
      </c>
      <c r="C35" s="280">
        <v>608.96090136744954</v>
      </c>
      <c r="D35" s="280">
        <v>345.46088023419003</v>
      </c>
      <c r="E35" s="280">
        <v>545.06883026463686</v>
      </c>
      <c r="F35" s="280">
        <v>17033.042332471603</v>
      </c>
      <c r="G35" s="280">
        <v>112589.14466643419</v>
      </c>
      <c r="H35" s="280">
        <v>6370884.5866446756</v>
      </c>
      <c r="I35" s="280">
        <v>632.84655901371525</v>
      </c>
      <c r="J35" s="280">
        <v>13.403787830371066</v>
      </c>
    </row>
    <row r="36" spans="1:10">
      <c r="A36" s="270">
        <v>37</v>
      </c>
      <c r="B36" s="274"/>
      <c r="C36" s="273"/>
      <c r="D36" s="273"/>
      <c r="E36" s="273"/>
      <c r="F36" s="273"/>
      <c r="G36" s="273"/>
      <c r="H36" s="273"/>
      <c r="I36" s="273"/>
      <c r="J36" s="273"/>
    </row>
    <row r="37" spans="1:10">
      <c r="A37" s="270">
        <v>38</v>
      </c>
      <c r="B37" s="278" t="s">
        <v>132</v>
      </c>
      <c r="C37" s="279">
        <v>1</v>
      </c>
      <c r="D37" s="279">
        <v>0.40137906576369742</v>
      </c>
      <c r="E37" s="279">
        <v>0.13551049799454831</v>
      </c>
      <c r="F37" s="279">
        <v>0.23106749799970713</v>
      </c>
      <c r="G37" s="279">
        <v>9.5652588943393846E-2</v>
      </c>
      <c r="H37" s="279">
        <v>9.3799632370610703E-2</v>
      </c>
      <c r="I37" s="279">
        <v>4.0348511519970542E-2</v>
      </c>
      <c r="J37" s="279">
        <v>2.2422054081267001E-3</v>
      </c>
    </row>
    <row r="38" spans="1:10">
      <c r="A38" s="270">
        <v>39</v>
      </c>
      <c r="B38" s="274" t="s">
        <v>127</v>
      </c>
      <c r="C38" s="273">
        <v>152676888.67345321</v>
      </c>
      <c r="D38" s="273">
        <v>61281306.939452738</v>
      </c>
      <c r="E38" s="273">
        <v>20689321.216395952</v>
      </c>
      <c r="F38" s="273">
        <v>35278666.668151423</v>
      </c>
      <c r="G38" s="273">
        <v>14603939.673436806</v>
      </c>
      <c r="H38" s="273">
        <v>14321036.029057318</v>
      </c>
      <c r="I38" s="273">
        <v>6160285.2014735192</v>
      </c>
      <c r="J38" s="273">
        <v>342332.94547955168</v>
      </c>
    </row>
    <row r="39" spans="1:10">
      <c r="A39" s="270">
        <v>40</v>
      </c>
      <c r="B39" s="274" t="s">
        <v>322</v>
      </c>
      <c r="C39" s="280">
        <v>8.2911908484829677</v>
      </c>
      <c r="D39" s="280">
        <v>5.1458729999535189</v>
      </c>
      <c r="E39" s="280">
        <v>9.7749217303609974</v>
      </c>
      <c r="F39" s="280">
        <v>15.21340182190591</v>
      </c>
      <c r="G39" s="280">
        <v>16.996301611041233</v>
      </c>
      <c r="H39" s="280">
        <v>22.039144396825666</v>
      </c>
      <c r="I39" s="280">
        <v>11.757809006968117</v>
      </c>
      <c r="J39" s="280">
        <v>9.2377104739303419</v>
      </c>
    </row>
    <row r="40" spans="1:10">
      <c r="A40" s="270">
        <v>41</v>
      </c>
      <c r="B40" s="274" t="s">
        <v>128</v>
      </c>
      <c r="C40" s="281">
        <v>3.787443008218247E-2</v>
      </c>
      <c r="D40" s="281">
        <v>4.019189018811406E-2</v>
      </c>
      <c r="E40" s="281">
        <v>3.7295586392358283E-2</v>
      </c>
      <c r="F40" s="281">
        <v>3.710648533778111E-2</v>
      </c>
      <c r="G40" s="281">
        <v>3.6250232168121774E-2</v>
      </c>
      <c r="H40" s="281">
        <v>3.4034327979557737E-2</v>
      </c>
      <c r="I40" s="281">
        <v>3.7381324537455962E-2</v>
      </c>
      <c r="J40" s="281">
        <v>2.7403293861603163E-2</v>
      </c>
    </row>
    <row r="41" spans="1:10">
      <c r="A41" s="270">
        <v>42</v>
      </c>
      <c r="B41" s="274" t="s">
        <v>129</v>
      </c>
      <c r="C41" s="280">
        <v>1115.4940476007207</v>
      </c>
      <c r="D41" s="280">
        <v>568.52653355727614</v>
      </c>
      <c r="E41" s="280">
        <v>1038.1702233386134</v>
      </c>
      <c r="F41" s="280">
        <v>32783.394984872277</v>
      </c>
      <c r="G41" s="280">
        <v>226497.47819218162</v>
      </c>
      <c r="H41" s="280">
        <v>14321036.029057318</v>
      </c>
      <c r="I41" s="280">
        <v>1199.5033308576683</v>
      </c>
      <c r="J41" s="280">
        <v>119.12757643413234</v>
      </c>
    </row>
    <row r="42" spans="1:10">
      <c r="A42" s="270">
        <v>43</v>
      </c>
      <c r="B42" s="274"/>
      <c r="C42" s="273"/>
      <c r="D42" s="273"/>
      <c r="E42" s="273"/>
      <c r="F42" s="273"/>
      <c r="G42" s="273"/>
      <c r="H42" s="273"/>
      <c r="I42" s="273"/>
      <c r="J42" s="273"/>
    </row>
    <row r="43" spans="1:10">
      <c r="A43" s="270">
        <v>44</v>
      </c>
      <c r="B43" s="278" t="s">
        <v>133</v>
      </c>
      <c r="C43" s="279">
        <v>1</v>
      </c>
      <c r="D43" s="279">
        <v>0.44556495832058118</v>
      </c>
      <c r="E43" s="279">
        <v>0.13269723441867692</v>
      </c>
      <c r="F43" s="279">
        <v>0.21291911366114122</v>
      </c>
      <c r="G43" s="279">
        <v>8.6221023587660109E-2</v>
      </c>
      <c r="H43" s="279">
        <v>8.461061333665168E-2</v>
      </c>
      <c r="I43" s="279">
        <v>3.6862739811431504E-2</v>
      </c>
      <c r="J43" s="279">
        <v>1.1243168649372214E-3</v>
      </c>
    </row>
    <row r="44" spans="1:10">
      <c r="A44" s="270">
        <v>45</v>
      </c>
      <c r="B44" s="274" t="s">
        <v>127</v>
      </c>
      <c r="C44" s="273">
        <v>49843580.286483504</v>
      </c>
      <c r="D44" s="273">
        <v>22208552.772868797</v>
      </c>
      <c r="E44" s="273">
        <v>6614105.2575336751</v>
      </c>
      <c r="F44" s="273">
        <v>10612650.936283216</v>
      </c>
      <c r="G44" s="273">
        <v>4297564.5115691489</v>
      </c>
      <c r="H44" s="273">
        <v>4217295.898928931</v>
      </c>
      <c r="I44" s="273">
        <v>1837370.9313686239</v>
      </c>
      <c r="J44" s="273">
        <v>56039.977924877749</v>
      </c>
    </row>
    <row r="45" spans="1:10">
      <c r="A45" s="270">
        <v>46</v>
      </c>
      <c r="B45" s="274" t="s">
        <v>322</v>
      </c>
      <c r="C45" s="280">
        <v>2.7067792664468571</v>
      </c>
      <c r="D45" s="280">
        <v>1.8648817688379571</v>
      </c>
      <c r="E45" s="280">
        <v>3.1249145649846111</v>
      </c>
      <c r="F45" s="280">
        <v>4.5765483318296463</v>
      </c>
      <c r="G45" s="280">
        <v>5.0015752094891326</v>
      </c>
      <c r="H45" s="280">
        <v>6.4901445043535411</v>
      </c>
      <c r="I45" s="280">
        <v>3.5068922589525449</v>
      </c>
      <c r="J45" s="280">
        <v>1.5122152216763214</v>
      </c>
    </row>
    <row r="46" spans="1:10">
      <c r="A46" s="270">
        <v>47</v>
      </c>
      <c r="B46" s="274" t="s">
        <v>128</v>
      </c>
      <c r="C46" s="281">
        <v>1.2364655928008245E-2</v>
      </c>
      <c r="D46" s="281">
        <v>1.4565676857479403E-2</v>
      </c>
      <c r="E46" s="281">
        <v>1.1922910928803737E-2</v>
      </c>
      <c r="F46" s="281">
        <v>1.1162501691643918E-2</v>
      </c>
      <c r="G46" s="281">
        <v>1.0667512656548814E-2</v>
      </c>
      <c r="H46" s="281">
        <v>1.002251733183015E-2</v>
      </c>
      <c r="I46" s="281">
        <v>1.1149379750266988E-2</v>
      </c>
      <c r="J46" s="281">
        <v>4.4859251887718436E-3</v>
      </c>
    </row>
    <row r="47" spans="1:10">
      <c r="A47" s="270">
        <v>48</v>
      </c>
      <c r="B47" s="274" t="s">
        <v>129</v>
      </c>
      <c r="C47" s="280">
        <v>364.16917847729559</v>
      </c>
      <c r="D47" s="280">
        <v>206.03593744757828</v>
      </c>
      <c r="E47" s="280">
        <v>331.88943516219319</v>
      </c>
      <c r="F47" s="280">
        <v>9862.0146490637744</v>
      </c>
      <c r="G47" s="280">
        <v>66652.392847741445</v>
      </c>
      <c r="H47" s="280">
        <v>4217295.898928931</v>
      </c>
      <c r="I47" s="280">
        <v>357.76469434735708</v>
      </c>
      <c r="J47" s="280">
        <v>19.50121027428758</v>
      </c>
    </row>
    <row r="48" spans="1:10">
      <c r="A48" s="270">
        <v>49</v>
      </c>
      <c r="B48" s="274"/>
      <c r="C48" s="273"/>
      <c r="D48" s="273"/>
      <c r="E48" s="273"/>
      <c r="F48" s="273"/>
      <c r="G48" s="273"/>
      <c r="H48" s="273"/>
      <c r="I48" s="273"/>
      <c r="J48" s="273"/>
    </row>
    <row r="49" spans="1:10">
      <c r="A49" s="270">
        <v>50</v>
      </c>
      <c r="B49" s="278" t="s">
        <v>134</v>
      </c>
      <c r="C49" s="279">
        <v>1</v>
      </c>
      <c r="D49" s="279">
        <v>0.4455649583088121</v>
      </c>
      <c r="E49" s="279">
        <v>0.13269723441793144</v>
      </c>
      <c r="F49" s="279">
        <v>0.21291911366764577</v>
      </c>
      <c r="G49" s="279">
        <v>8.6221023590395268E-2</v>
      </c>
      <c r="H49" s="279">
        <v>8.4610613339556107E-2</v>
      </c>
      <c r="I49" s="279">
        <v>3.6862739811243925E-2</v>
      </c>
      <c r="J49" s="279">
        <v>1.1243168642902581E-3</v>
      </c>
    </row>
    <row r="50" spans="1:10">
      <c r="A50" s="270">
        <v>51</v>
      </c>
      <c r="B50" s="274" t="s">
        <v>127</v>
      </c>
      <c r="C50" s="273">
        <v>49843579.458577313</v>
      </c>
      <c r="D50" s="273">
        <v>22208552.403430786</v>
      </c>
      <c r="E50" s="273">
        <v>6614105.1476459531</v>
      </c>
      <c r="F50" s="273">
        <v>10612650.760346886</v>
      </c>
      <c r="G50" s="273">
        <v>4297564.4403292453</v>
      </c>
      <c r="H50" s="273">
        <v>4217295.8290306097</v>
      </c>
      <c r="I50" s="273">
        <v>1837370.9008432445</v>
      </c>
      <c r="J50" s="273">
        <v>56039.976961890112</v>
      </c>
    </row>
    <row r="51" spans="1:10">
      <c r="A51" s="270">
        <v>52</v>
      </c>
      <c r="B51" s="274" t="s">
        <v>322</v>
      </c>
      <c r="C51" s="280">
        <v>2.7067792214870185</v>
      </c>
      <c r="D51" s="280">
        <v>1.8648817378157549</v>
      </c>
      <c r="E51" s="280">
        <v>3.1249145130668188</v>
      </c>
      <c r="F51" s="280">
        <v>4.5765482559597128</v>
      </c>
      <c r="G51" s="280">
        <v>5.0015751265789783</v>
      </c>
      <c r="H51" s="280">
        <v>6.4901443967845642</v>
      </c>
      <c r="I51" s="280">
        <v>3.5068922006903755</v>
      </c>
      <c r="J51" s="280">
        <v>1.5122151956905052</v>
      </c>
    </row>
    <row r="52" spans="1:10">
      <c r="A52" s="270">
        <v>53</v>
      </c>
      <c r="B52" s="274" t="s">
        <v>128</v>
      </c>
      <c r="C52" s="281">
        <v>1.2364655722630237E-2</v>
      </c>
      <c r="D52" s="281">
        <v>1.4565676615180196E-2</v>
      </c>
      <c r="E52" s="281">
        <v>1.1922910730714734E-2</v>
      </c>
      <c r="F52" s="281">
        <v>1.1162501506592171E-2</v>
      </c>
      <c r="G52" s="281">
        <v>1.06675124797155E-2</v>
      </c>
      <c r="H52" s="281">
        <v>1.0022517165714907E-2</v>
      </c>
      <c r="I52" s="281">
        <v>1.1149379565035448E-2</v>
      </c>
      <c r="J52" s="281">
        <v>4.485925111685973E-3</v>
      </c>
    </row>
    <row r="53" spans="1:10">
      <c r="A53" s="270">
        <v>54</v>
      </c>
      <c r="B53" s="274" t="s">
        <v>129</v>
      </c>
      <c r="C53" s="280">
        <v>364.16917242841396</v>
      </c>
      <c r="D53" s="280">
        <v>206.0359340201822</v>
      </c>
      <c r="E53" s="280">
        <v>331.8894296481331</v>
      </c>
      <c r="F53" s="280">
        <v>9862.0144855714789</v>
      </c>
      <c r="G53" s="280">
        <v>66652.391742857508</v>
      </c>
      <c r="H53" s="280">
        <v>4217295.8290306097</v>
      </c>
      <c r="I53" s="280">
        <v>357.76468840359098</v>
      </c>
      <c r="J53" s="280">
        <v>19.501209939179947</v>
      </c>
    </row>
    <row r="54" spans="1:10">
      <c r="A54" s="270">
        <v>55</v>
      </c>
      <c r="B54" s="274"/>
      <c r="C54" s="273"/>
      <c r="D54" s="273"/>
      <c r="E54" s="273"/>
      <c r="F54" s="273"/>
      <c r="G54" s="273"/>
      <c r="H54" s="273"/>
      <c r="I54" s="273"/>
      <c r="J54" s="273"/>
    </row>
    <row r="55" spans="1:10">
      <c r="A55" s="270">
        <v>56</v>
      </c>
      <c r="B55" s="278" t="s">
        <v>135</v>
      </c>
      <c r="C55" s="279">
        <v>1</v>
      </c>
      <c r="D55" s="279">
        <v>0.44624118059914453</v>
      </c>
      <c r="E55" s="279">
        <v>0.13273248911837635</v>
      </c>
      <c r="F55" s="279">
        <v>0.21251206685915214</v>
      </c>
      <c r="G55" s="279">
        <v>8.6050102083598368E-2</v>
      </c>
      <c r="H55" s="279">
        <v>8.4429617970647991E-2</v>
      </c>
      <c r="I55" s="279">
        <v>3.6871358418326804E-2</v>
      </c>
      <c r="J55" s="279">
        <v>1.1631849507539695E-3</v>
      </c>
    </row>
    <row r="56" spans="1:10">
      <c r="A56" s="270">
        <v>57</v>
      </c>
      <c r="B56" s="274" t="s">
        <v>127</v>
      </c>
      <c r="C56" s="273">
        <v>0.82790003269638113</v>
      </c>
      <c r="D56" s="273">
        <v>0.36944308800850345</v>
      </c>
      <c r="E56" s="273">
        <v>0.10988923208097583</v>
      </c>
      <c r="F56" s="273">
        <v>0.17593874710106758</v>
      </c>
      <c r="G56" s="273">
        <v>7.1240882328538022E-2</v>
      </c>
      <c r="H56" s="273">
        <v>6.9899283478442445E-2</v>
      </c>
      <c r="I56" s="273">
        <v>3.0525798840092749E-2</v>
      </c>
      <c r="J56" s="273">
        <v>9.6300085876114985E-4</v>
      </c>
    </row>
    <row r="57" spans="1:10">
      <c r="A57" s="270">
        <v>58</v>
      </c>
      <c r="B57" s="274" t="s">
        <v>322</v>
      </c>
      <c r="C57" s="280">
        <v>4.4959503918319734E-8</v>
      </c>
      <c r="D57" s="280">
        <v>3.1022628376394528E-8</v>
      </c>
      <c r="E57" s="280">
        <v>5.1918505753091608E-8</v>
      </c>
      <c r="F57" s="280">
        <v>7.5870975535127206E-8</v>
      </c>
      <c r="G57" s="280">
        <v>8.291129312831375E-8</v>
      </c>
      <c r="H57" s="280">
        <v>1.0757045780000377E-7</v>
      </c>
      <c r="I57" s="280">
        <v>5.8262970107469668E-8</v>
      </c>
      <c r="J57" s="280">
        <v>2.5986172925658894E-8</v>
      </c>
    </row>
    <row r="58" spans="1:10">
      <c r="A58" s="270">
        <v>59</v>
      </c>
      <c r="B58" s="274" t="s">
        <v>128</v>
      </c>
      <c r="C58" s="281">
        <v>2.0537647954341471E-10</v>
      </c>
      <c r="D58" s="281">
        <v>2.4230253507266554E-10</v>
      </c>
      <c r="E58" s="281">
        <v>1.9809172595851241E-10</v>
      </c>
      <c r="F58" s="281">
        <v>1.8505428793733462E-10</v>
      </c>
      <c r="G58" s="281">
        <v>1.7683574309531482E-10</v>
      </c>
      <c r="H58" s="281">
        <v>1.6611753050648442E-10</v>
      </c>
      <c r="I58" s="281">
        <v>1.8523408509295281E-10</v>
      </c>
      <c r="J58" s="281">
        <v>7.7086929172536479E-11</v>
      </c>
    </row>
    <row r="59" spans="1:10">
      <c r="A59" s="270">
        <v>60</v>
      </c>
      <c r="B59" s="274" t="s">
        <v>129</v>
      </c>
      <c r="C59" s="280">
        <v>6.0488366412580188E-6</v>
      </c>
      <c r="D59" s="280">
        <v>3.4274431904608763E-6</v>
      </c>
      <c r="E59" s="280">
        <v>5.5141358877257841E-6</v>
      </c>
      <c r="F59" s="280">
        <v>1.6349454171874696E-4</v>
      </c>
      <c r="G59" s="280">
        <v>1.1048991267027396E-3</v>
      </c>
      <c r="H59" s="280">
        <v>6.9899283478442445E-2</v>
      </c>
      <c r="I59" s="280">
        <v>5.943847758383658E-6</v>
      </c>
      <c r="J59" s="280">
        <v>3.3511223480842703E-7</v>
      </c>
    </row>
    <row r="60" spans="1:10">
      <c r="A60" s="270">
        <v>61</v>
      </c>
      <c r="B60" s="274"/>
      <c r="C60" s="273"/>
      <c r="D60" s="273"/>
      <c r="E60" s="273"/>
      <c r="F60" s="273"/>
      <c r="G60" s="273"/>
      <c r="H60" s="273"/>
      <c r="I60" s="273"/>
      <c r="J60" s="273"/>
    </row>
    <row r="61" spans="1:10">
      <c r="A61" s="270">
        <v>62</v>
      </c>
      <c r="B61" s="278" t="s">
        <v>136</v>
      </c>
      <c r="C61" s="279">
        <v>1</v>
      </c>
      <c r="D61" s="279">
        <v>0.56580559104677519</v>
      </c>
      <c r="E61" s="279">
        <v>0.16209347888037098</v>
      </c>
      <c r="F61" s="279">
        <v>0.14692306729821308</v>
      </c>
      <c r="G61" s="279">
        <v>5.7314445073565388E-2</v>
      </c>
      <c r="H61" s="279">
        <v>1.4353145810084327E-2</v>
      </c>
      <c r="I61" s="279">
        <v>5.1817165673173765E-2</v>
      </c>
      <c r="J61" s="279">
        <v>1.6931062175885433E-3</v>
      </c>
    </row>
    <row r="62" spans="1:10">
      <c r="A62" s="270">
        <v>63</v>
      </c>
      <c r="B62" s="274" t="s">
        <v>127</v>
      </c>
      <c r="C62" s="273">
        <v>45823959.937073179</v>
      </c>
      <c r="D62" s="273">
        <v>25927452.736319702</v>
      </c>
      <c r="E62" s="273">
        <v>7427765.0822808268</v>
      </c>
      <c r="F62" s="273">
        <v>6732596.7497104313</v>
      </c>
      <c r="G62" s="273">
        <v>2626374.8348686285</v>
      </c>
      <c r="H62" s="273">
        <v>657717.97857279785</v>
      </c>
      <c r="I62" s="273">
        <v>2374467.7238621954</v>
      </c>
      <c r="J62" s="273">
        <v>77584.831484048555</v>
      </c>
    </row>
    <row r="63" spans="1:10">
      <c r="A63" s="270">
        <v>64</v>
      </c>
      <c r="B63" s="274" t="s">
        <v>322</v>
      </c>
      <c r="C63" s="280">
        <v>2.4884918770130322</v>
      </c>
      <c r="D63" s="280">
        <v>2.1771627541367513</v>
      </c>
      <c r="E63" s="280">
        <v>3.5093380566426973</v>
      </c>
      <c r="F63" s="280">
        <v>2.9033325046456331</v>
      </c>
      <c r="G63" s="280">
        <v>3.0566175864358947</v>
      </c>
      <c r="H63" s="280">
        <v>1.012185254805783</v>
      </c>
      <c r="I63" s="280">
        <v>4.5320203655025555</v>
      </c>
      <c r="J63" s="280">
        <v>2.0935940285102541</v>
      </c>
    </row>
    <row r="64" spans="1:10">
      <c r="A64" s="270">
        <v>65</v>
      </c>
      <c r="B64" s="274" t="s">
        <v>128</v>
      </c>
      <c r="C64" s="281">
        <v>1.1367512017077015E-2</v>
      </c>
      <c r="D64" s="281">
        <v>1.7004750474157965E-2</v>
      </c>
      <c r="E64" s="281">
        <v>1.3389654084388747E-2</v>
      </c>
      <c r="F64" s="281">
        <v>7.0814184937396168E-3</v>
      </c>
      <c r="G64" s="281">
        <v>6.5192475217952526E-3</v>
      </c>
      <c r="H64" s="281">
        <v>1.563084497195544E-3</v>
      </c>
      <c r="I64" s="281">
        <v>1.4408545332962153E-2</v>
      </c>
      <c r="J64" s="281">
        <v>6.2105618650932304E-3</v>
      </c>
    </row>
    <row r="65" spans="1:10">
      <c r="A65" s="270">
        <v>66</v>
      </c>
      <c r="B65" s="274" t="s">
        <v>129</v>
      </c>
      <c r="C65" s="280">
        <v>334.80086600813024</v>
      </c>
      <c r="D65" s="280">
        <v>240.53737696413415</v>
      </c>
      <c r="E65" s="280">
        <v>372.71810194851497</v>
      </c>
      <c r="F65" s="280">
        <v>6256.3979697929381</v>
      </c>
      <c r="G65" s="280">
        <v>40733.342521755243</v>
      </c>
      <c r="H65" s="280">
        <v>657717.97857279785</v>
      </c>
      <c r="I65" s="280">
        <v>462.34579254633439</v>
      </c>
      <c r="J65" s="280">
        <v>26.998549408670183</v>
      </c>
    </row>
    <row r="66" spans="1:10">
      <c r="A66" s="270">
        <v>67</v>
      </c>
      <c r="B66" s="274"/>
      <c r="C66" s="280"/>
      <c r="D66" s="280"/>
      <c r="E66" s="280"/>
      <c r="F66" s="280"/>
      <c r="G66" s="280"/>
      <c r="H66" s="280"/>
      <c r="I66" s="280"/>
      <c r="J66" s="280"/>
    </row>
    <row r="67" spans="1:10">
      <c r="A67" s="270">
        <v>68</v>
      </c>
      <c r="B67" s="278" t="s">
        <v>137</v>
      </c>
      <c r="C67" s="279">
        <v>1</v>
      </c>
      <c r="D67" s="279">
        <v>0.4510543583597173</v>
      </c>
      <c r="E67" s="279">
        <v>0.12921692213687791</v>
      </c>
      <c r="F67" s="279">
        <v>0.20807622994237471</v>
      </c>
      <c r="G67" s="279">
        <v>8.9976510775477136E-2</v>
      </c>
      <c r="H67" s="279">
        <v>6.9059156432981744E-2</v>
      </c>
      <c r="I67" s="279">
        <v>5.0771709899091161E-2</v>
      </c>
      <c r="J67" s="279">
        <v>1.8451124545296714E-3</v>
      </c>
    </row>
    <row r="68" spans="1:10">
      <c r="A68" s="270">
        <v>69</v>
      </c>
      <c r="B68" s="274" t="s">
        <v>127</v>
      </c>
      <c r="C68" s="273">
        <v>7565965.4508270817</v>
      </c>
      <c r="D68" s="273">
        <v>3412661.6917904592</v>
      </c>
      <c r="E68" s="273">
        <v>977650.76854863833</v>
      </c>
      <c r="F68" s="273">
        <v>1574297.5668805419</v>
      </c>
      <c r="G68" s="273">
        <v>680759.17191245232</v>
      </c>
      <c r="H68" s="273">
        <v>522499.19163464685</v>
      </c>
      <c r="I68" s="273">
        <v>384137.00297547813</v>
      </c>
      <c r="J68" s="273">
        <v>13960.05708384577</v>
      </c>
    </row>
    <row r="69" spans="1:10">
      <c r="A69" s="270">
        <v>70</v>
      </c>
      <c r="B69" s="274" t="s">
        <v>322</v>
      </c>
      <c r="C69" s="280">
        <v>0.41087334206819726</v>
      </c>
      <c r="D69" s="280">
        <v>0.28656574957043579</v>
      </c>
      <c r="E69" s="280">
        <v>0.4619030098782011</v>
      </c>
      <c r="F69" s="280">
        <v>0.67889247905800909</v>
      </c>
      <c r="G69" s="280">
        <v>0.79227855421452864</v>
      </c>
      <c r="H69" s="280">
        <v>0.80409232322968116</v>
      </c>
      <c r="I69" s="280">
        <v>0.73318188456834066</v>
      </c>
      <c r="J69" s="280">
        <v>0.37670626576550326</v>
      </c>
    </row>
    <row r="70" spans="1:10">
      <c r="A70" s="270">
        <v>71</v>
      </c>
      <c r="B70" s="274" t="s">
        <v>128</v>
      </c>
      <c r="C70" s="281">
        <v>1.8768828207159013E-3</v>
      </c>
      <c r="D70" s="281">
        <v>2.2382245225472108E-3</v>
      </c>
      <c r="E70" s="281">
        <v>1.7623612838040148E-3</v>
      </c>
      <c r="F70" s="281">
        <v>1.6558633049330686E-3</v>
      </c>
      <c r="G70" s="281">
        <v>1.6897959443978735E-3</v>
      </c>
      <c r="H70" s="281">
        <v>1.2417334067916538E-3</v>
      </c>
      <c r="I70" s="281">
        <v>2.3309878529061087E-3</v>
      </c>
      <c r="J70" s="281">
        <v>1.1174838754052412E-3</v>
      </c>
    </row>
    <row r="71" spans="1:10">
      <c r="A71" s="270">
        <v>72</v>
      </c>
      <c r="B71" s="274" t="s">
        <v>129</v>
      </c>
      <c r="C71" s="280">
        <v>55.278762215291245</v>
      </c>
      <c r="D71" s="280">
        <v>31.660367879462619</v>
      </c>
      <c r="E71" s="280">
        <v>49.057574490503889</v>
      </c>
      <c r="F71" s="280">
        <v>1462.9469827826845</v>
      </c>
      <c r="G71" s="280">
        <v>10558.126036005602</v>
      </c>
      <c r="H71" s="280">
        <v>522499.19163464685</v>
      </c>
      <c r="I71" s="280">
        <v>74.797448414328699</v>
      </c>
      <c r="J71" s="280">
        <v>4.8579249798790514</v>
      </c>
    </row>
    <row r="72" spans="1:10">
      <c r="A72" s="270">
        <v>73</v>
      </c>
      <c r="B72" s="274"/>
      <c r="C72" s="273"/>
      <c r="D72" s="273"/>
      <c r="E72" s="273"/>
      <c r="F72" s="273"/>
      <c r="G72" s="273"/>
      <c r="H72" s="273"/>
      <c r="I72" s="273"/>
      <c r="J72" s="273"/>
    </row>
    <row r="73" spans="1:10">
      <c r="A73" s="270">
        <v>74</v>
      </c>
      <c r="B73" s="278" t="s">
        <v>138</v>
      </c>
      <c r="C73" s="279">
        <v>1</v>
      </c>
      <c r="D73" s="279">
        <v>0.56462035152360879</v>
      </c>
      <c r="E73" s="279">
        <v>0.14199313953935772</v>
      </c>
      <c r="F73" s="279">
        <v>0.17053718055203915</v>
      </c>
      <c r="G73" s="279">
        <v>7.2803937395334486E-2</v>
      </c>
      <c r="H73" s="279">
        <v>5.8835992218765013E-3</v>
      </c>
      <c r="I73" s="279">
        <v>4.2200212106254444E-2</v>
      </c>
      <c r="J73" s="279">
        <v>1.9615796617209859E-3</v>
      </c>
    </row>
    <row r="74" spans="1:10">
      <c r="A74" s="270">
        <v>75</v>
      </c>
      <c r="B74" s="274" t="s">
        <v>127</v>
      </c>
      <c r="C74" s="273">
        <v>24973248.351026557</v>
      </c>
      <c r="D74" s="273">
        <v>14100404.262640474</v>
      </c>
      <c r="E74" s="273">
        <v>3546029.9378577895</v>
      </c>
      <c r="F74" s="273">
        <v>4258867.3630091213</v>
      </c>
      <c r="G74" s="273">
        <v>1818150.809505916</v>
      </c>
      <c r="H74" s="273">
        <v>146932.58456583339</v>
      </c>
      <c r="I74" s="273">
        <v>1053876.3773953319</v>
      </c>
      <c r="J74" s="273">
        <v>48987.016052471161</v>
      </c>
    </row>
    <row r="75" spans="1:10">
      <c r="A75" s="270">
        <v>76</v>
      </c>
      <c r="B75" s="274" t="s">
        <v>322</v>
      </c>
      <c r="C75" s="280">
        <v>1.3561840956019304</v>
      </c>
      <c r="D75" s="280">
        <v>1.1840297344709192</v>
      </c>
      <c r="E75" s="280">
        <v>1.6753650220582181</v>
      </c>
      <c r="F75" s="280">
        <v>1.836573391764571</v>
      </c>
      <c r="G75" s="280">
        <v>2.1159933705374625</v>
      </c>
      <c r="H75" s="280">
        <v>0.22611970539524989</v>
      </c>
      <c r="I75" s="280">
        <v>2.0114778386243888</v>
      </c>
      <c r="J75" s="280">
        <v>1.3218940135621189</v>
      </c>
    </row>
    <row r="76" spans="1:10">
      <c r="A76" s="270">
        <v>77</v>
      </c>
      <c r="B76" s="274" t="s">
        <v>128</v>
      </c>
      <c r="C76" s="281">
        <v>6.1950931592463995E-3</v>
      </c>
      <c r="D76" s="281">
        <v>9.2478755437118022E-3</v>
      </c>
      <c r="E76" s="281">
        <v>6.3922476969644169E-3</v>
      </c>
      <c r="F76" s="281">
        <v>4.4795230173400773E-3</v>
      </c>
      <c r="G76" s="281">
        <v>4.5130554107347598E-3</v>
      </c>
      <c r="H76" s="281">
        <v>3.4918924607487708E-4</v>
      </c>
      <c r="I76" s="281">
        <v>6.3950439950978396E-3</v>
      </c>
      <c r="J76" s="281">
        <v>3.9213450356303014E-3</v>
      </c>
    </row>
    <row r="77" spans="1:10">
      <c r="A77" s="270">
        <v>78</v>
      </c>
      <c r="B77" s="274" t="s">
        <v>129</v>
      </c>
      <c r="C77" s="280">
        <v>182.46055527373593</v>
      </c>
      <c r="D77" s="280">
        <v>130.81401748033309</v>
      </c>
      <c r="E77" s="280">
        <v>177.93636891450041</v>
      </c>
      <c r="F77" s="280">
        <v>3957.6362752891264</v>
      </c>
      <c r="G77" s="280">
        <v>28198.320626810109</v>
      </c>
      <c r="H77" s="280">
        <v>146932.58456583339</v>
      </c>
      <c r="I77" s="280">
        <v>205.20612011527297</v>
      </c>
      <c r="J77" s="280">
        <v>17.046867899015599</v>
      </c>
    </row>
    <row r="78" spans="1:10">
      <c r="A78" s="270">
        <v>79</v>
      </c>
      <c r="B78" s="274"/>
      <c r="C78" s="273"/>
      <c r="D78" s="273"/>
      <c r="E78" s="273"/>
      <c r="F78" s="273"/>
      <c r="G78" s="273"/>
      <c r="H78" s="273"/>
      <c r="I78" s="273"/>
      <c r="J78" s="273"/>
    </row>
    <row r="79" spans="1:10">
      <c r="A79" s="270">
        <v>80</v>
      </c>
      <c r="B79" s="278" t="s">
        <v>139</v>
      </c>
      <c r="C79" s="279">
        <v>1</v>
      </c>
      <c r="D79" s="279">
        <v>0.54859510978501402</v>
      </c>
      <c r="E79" s="279">
        <v>0.23843532215041033</v>
      </c>
      <c r="F79" s="279">
        <v>8.199053265069349E-2</v>
      </c>
      <c r="G79" s="279">
        <v>8.7073017802111151E-3</v>
      </c>
      <c r="H79" s="279">
        <v>-1.7312102711949664E-3</v>
      </c>
      <c r="I79" s="279">
        <v>0.12193463944508121</v>
      </c>
      <c r="J79" s="279">
        <v>2.0683044607700506E-3</v>
      </c>
    </row>
    <row r="80" spans="1:10">
      <c r="A80" s="270">
        <v>81</v>
      </c>
      <c r="B80" s="274" t="s">
        <v>127</v>
      </c>
      <c r="C80" s="273">
        <v>7356436.949736027</v>
      </c>
      <c r="D80" s="273">
        <v>4035705.3360625035</v>
      </c>
      <c r="E80" s="273">
        <v>1754034.4139876212</v>
      </c>
      <c r="F80" s="273">
        <v>603158.18391934247</v>
      </c>
      <c r="G80" s="273">
        <v>64054.716548318254</v>
      </c>
      <c r="H80" s="273">
        <v>-12735.539206786929</v>
      </c>
      <c r="I80" s="273">
        <v>897004.48706560279</v>
      </c>
      <c r="J80" s="273">
        <v>15215.351358496</v>
      </c>
    </row>
    <row r="81" spans="1:10">
      <c r="A81" s="270">
        <v>82</v>
      </c>
      <c r="B81" s="274" t="s">
        <v>322</v>
      </c>
      <c r="C81" s="280">
        <v>0.39949479744473343</v>
      </c>
      <c r="D81" s="280">
        <v>0.33888355457449448</v>
      </c>
      <c r="E81" s="280">
        <v>0.82871491673206976</v>
      </c>
      <c r="F81" s="280">
        <v>0.26010302204589536</v>
      </c>
      <c r="G81" s="280">
        <v>7.4547916960051655E-2</v>
      </c>
      <c r="H81" s="280">
        <v>-1.9599167754365848E-2</v>
      </c>
      <c r="I81" s="280">
        <v>1.7120647977122876</v>
      </c>
      <c r="J81" s="280">
        <v>0.41057985351662396</v>
      </c>
    </row>
    <row r="82" spans="1:10">
      <c r="A82" s="270">
        <v>83</v>
      </c>
      <c r="B82" s="274" t="s">
        <v>128</v>
      </c>
      <c r="C82" s="281">
        <v>1.8249052579442969E-3</v>
      </c>
      <c r="D82" s="281">
        <v>2.6468532379518243E-3</v>
      </c>
      <c r="E82" s="281">
        <v>3.1619085680878868E-3</v>
      </c>
      <c r="F82" s="281">
        <v>6.3440833857167193E-4</v>
      </c>
      <c r="G82" s="281">
        <v>1.5899807848174458E-4</v>
      </c>
      <c r="H82" s="281">
        <v>-3.0266352062856618E-5</v>
      </c>
      <c r="I82" s="281">
        <v>5.4431271841980568E-3</v>
      </c>
      <c r="J82" s="281">
        <v>1.2179685011044728E-3</v>
      </c>
    </row>
    <row r="83" spans="1:10">
      <c r="A83" s="270">
        <v>84</v>
      </c>
      <c r="B83" s="274" t="s">
        <v>129</v>
      </c>
      <c r="C83" s="280">
        <v>53.747896621942196</v>
      </c>
      <c r="D83" s="280">
        <v>37.4405455718681</v>
      </c>
      <c r="E83" s="280">
        <v>88.015758480758677</v>
      </c>
      <c r="F83" s="280">
        <v>560.49660741960702</v>
      </c>
      <c r="G83" s="280">
        <v>993.44643219104773</v>
      </c>
      <c r="H83" s="280">
        <v>-12735.539206786929</v>
      </c>
      <c r="I83" s="280">
        <v>174.66072346327388</v>
      </c>
      <c r="J83" s="280">
        <v>5.294751661696786</v>
      </c>
    </row>
    <row r="84" spans="1:10">
      <c r="A84" s="270">
        <v>85</v>
      </c>
      <c r="B84" s="274"/>
      <c r="C84" s="273"/>
      <c r="D84" s="273"/>
      <c r="E84" s="273"/>
      <c r="F84" s="273"/>
      <c r="G84" s="273"/>
      <c r="H84" s="273"/>
      <c r="I84" s="273"/>
      <c r="J84" s="273"/>
    </row>
    <row r="85" spans="1:10">
      <c r="A85" s="270">
        <v>86</v>
      </c>
      <c r="B85" s="278" t="s">
        <v>140</v>
      </c>
      <c r="C85" s="279">
        <v>1</v>
      </c>
      <c r="D85" s="279">
        <v>0.6873768824690677</v>
      </c>
      <c r="E85" s="279">
        <v>0.1709155291450225</v>
      </c>
      <c r="F85" s="279">
        <v>7.0435855496591787E-2</v>
      </c>
      <c r="G85" s="279">
        <v>1.1425996577262036E-2</v>
      </c>
      <c r="H85" s="279">
        <v>6.7975736194561846E-3</v>
      </c>
      <c r="I85" s="279">
        <v>5.3120280005088942E-2</v>
      </c>
      <c r="J85" s="279">
        <v>-7.2117312243564149E-5</v>
      </c>
    </row>
    <row r="86" spans="1:10">
      <c r="A86" s="270">
        <v>87</v>
      </c>
      <c r="B86" s="274" t="s">
        <v>127</v>
      </c>
      <c r="C86" s="273">
        <v>1444068.6158352199</v>
      </c>
      <c r="D86" s="273">
        <v>992619.3832239866</v>
      </c>
      <c r="E86" s="273">
        <v>246813.75159713914</v>
      </c>
      <c r="F86" s="273">
        <v>101714.20835212238</v>
      </c>
      <c r="G86" s="273">
        <v>16499.923061868634</v>
      </c>
      <c r="H86" s="273">
        <v>9816.1627276852541</v>
      </c>
      <c r="I86" s="273">
        <v>76709.329219710431</v>
      </c>
      <c r="J86" s="273">
        <v>-104.14234726898934</v>
      </c>
    </row>
    <row r="87" spans="1:10">
      <c r="A87" s="270">
        <v>88</v>
      </c>
      <c r="B87" s="274" t="s">
        <v>322</v>
      </c>
      <c r="C87" s="280">
        <v>7.8420831051925044E-2</v>
      </c>
      <c r="D87" s="280">
        <v>8.3351572256928796E-2</v>
      </c>
      <c r="E87" s="280">
        <v>0.116610162247704</v>
      </c>
      <c r="F87" s="280">
        <v>4.3862743941365051E-2</v>
      </c>
      <c r="G87" s="280">
        <v>1.9202877798008437E-2</v>
      </c>
      <c r="H87" s="280">
        <v>1.5106436946268474E-2</v>
      </c>
      <c r="I87" s="280">
        <v>0.14641102035377426</v>
      </c>
      <c r="J87" s="280">
        <v>-2.8102374160885383E-3</v>
      </c>
    </row>
    <row r="88" spans="1:10">
      <c r="A88" s="270">
        <v>89</v>
      </c>
      <c r="B88" s="274" t="s">
        <v>128</v>
      </c>
      <c r="C88" s="281">
        <v>3.5822891270271791E-4</v>
      </c>
      <c r="D88" s="281">
        <v>6.5101825077832211E-4</v>
      </c>
      <c r="E88" s="281">
        <v>4.4491858863974213E-4</v>
      </c>
      <c r="F88" s="281">
        <v>1.0698411071950556E-4</v>
      </c>
      <c r="G88" s="281">
        <v>4.0956485381600126E-5</v>
      </c>
      <c r="H88" s="281">
        <v>2.332837520252655E-5</v>
      </c>
      <c r="I88" s="281">
        <v>4.6548109979171966E-4</v>
      </c>
      <c r="J88" s="281">
        <v>-8.3364554400438423E-6</v>
      </c>
    </row>
    <row r="89" spans="1:10">
      <c r="A89" s="270">
        <v>90</v>
      </c>
      <c r="B89" s="274" t="s">
        <v>129</v>
      </c>
      <c r="C89" s="280">
        <v>10.550712418147981</v>
      </c>
      <c r="D89" s="280">
        <v>9.2088515286344208</v>
      </c>
      <c r="E89" s="280">
        <v>12.384876475095817</v>
      </c>
      <c r="F89" s="280">
        <v>94.519928979956262</v>
      </c>
      <c r="G89" s="280">
        <v>255.90293081502278</v>
      </c>
      <c r="H89" s="280">
        <v>9816.1627276852541</v>
      </c>
      <c r="I89" s="280">
        <v>14.936499349882519</v>
      </c>
      <c r="J89" s="280">
        <v>-3.6240232201249042E-2</v>
      </c>
    </row>
    <row r="90" spans="1:10">
      <c r="A90" s="270">
        <v>91</v>
      </c>
      <c r="B90" s="274"/>
      <c r="C90" s="273"/>
      <c r="D90" s="273"/>
      <c r="E90" s="273"/>
      <c r="F90" s="273"/>
      <c r="G90" s="273"/>
      <c r="H90" s="273"/>
      <c r="I90" s="273"/>
      <c r="J90" s="273"/>
    </row>
    <row r="91" spans="1:10">
      <c r="A91" s="270">
        <v>92</v>
      </c>
      <c r="B91" s="278" t="s">
        <v>141</v>
      </c>
      <c r="C91" s="279">
        <v>1</v>
      </c>
      <c r="D91" s="279">
        <v>0.75510267792171315</v>
      </c>
      <c r="E91" s="279">
        <v>0.2014245659340799</v>
      </c>
      <c r="F91" s="279">
        <v>4.3387375080804397E-2</v>
      </c>
      <c r="G91" s="279">
        <v>1.0461127834476933E-2</v>
      </c>
      <c r="H91" s="279">
        <v>-1.9611840649538868E-3</v>
      </c>
      <c r="I91" s="279">
        <v>-8.3089816916192966E-3</v>
      </c>
      <c r="J91" s="279">
        <v>-1.055810133617109E-4</v>
      </c>
    </row>
    <row r="92" spans="1:10">
      <c r="A92" s="270">
        <v>93</v>
      </c>
      <c r="B92" s="274" t="s">
        <v>127</v>
      </c>
      <c r="C92" s="273">
        <v>4484240.5696708253</v>
      </c>
      <c r="D92" s="273">
        <v>3386062.062599441</v>
      </c>
      <c r="E92" s="273">
        <v>903236.21028880717</v>
      </c>
      <c r="F92" s="273">
        <v>194559.42754852661</v>
      </c>
      <c r="G92" s="273">
        <v>46910.213839772798</v>
      </c>
      <c r="H92" s="273">
        <v>-8794.4211486616059</v>
      </c>
      <c r="I92" s="273">
        <v>-37259.472794210567</v>
      </c>
      <c r="J92" s="273">
        <v>-473.45066350430977</v>
      </c>
    </row>
    <row r="93" spans="1:10">
      <c r="A93" s="270">
        <v>94</v>
      </c>
      <c r="B93" s="274" t="s">
        <v>322</v>
      </c>
      <c r="C93" s="280">
        <v>0.24351881084746943</v>
      </c>
      <c r="D93" s="280">
        <v>0.28433214326373485</v>
      </c>
      <c r="E93" s="280">
        <v>0.42674494572611144</v>
      </c>
      <c r="F93" s="280">
        <v>8.3900867835457305E-2</v>
      </c>
      <c r="G93" s="280">
        <v>5.4594866925493611E-2</v>
      </c>
      <c r="H93" s="280">
        <v>-1.353404301117514E-2</v>
      </c>
      <c r="I93" s="280">
        <v>-7.1115175756775506E-2</v>
      </c>
      <c r="J93" s="280">
        <v>-1.2775866918144099E-2</v>
      </c>
    </row>
    <row r="94" spans="1:10">
      <c r="A94" s="270">
        <v>95</v>
      </c>
      <c r="B94" s="274" t="s">
        <v>128</v>
      </c>
      <c r="C94" s="281">
        <v>1.1124018664732881E-3</v>
      </c>
      <c r="D94" s="281">
        <v>2.2207789191669462E-3</v>
      </c>
      <c r="E94" s="281">
        <v>1.6282179468911874E-3</v>
      </c>
      <c r="F94" s="281">
        <v>2.0463972217447699E-4</v>
      </c>
      <c r="G94" s="281">
        <v>1.1644160279852867E-4</v>
      </c>
      <c r="H94" s="281">
        <v>-2.0900178810848936E-5</v>
      </c>
      <c r="I94" s="281">
        <v>-2.2609479903328846E-4</v>
      </c>
      <c r="J94" s="281">
        <v>-3.7899091607455492E-5</v>
      </c>
    </row>
    <row r="95" spans="1:10">
      <c r="A95" s="270">
        <v>96</v>
      </c>
      <c r="B95" s="274" t="s">
        <v>129</v>
      </c>
      <c r="C95" s="280">
        <v>32.762939479177511</v>
      </c>
      <c r="D95" s="280">
        <v>31.413594503809584</v>
      </c>
      <c r="E95" s="280">
        <v>45.323523587614432</v>
      </c>
      <c r="F95" s="280">
        <v>180.79817532084206</v>
      </c>
      <c r="G95" s="280">
        <v>727.54649592879889</v>
      </c>
      <c r="H95" s="280">
        <v>-8794.4211486616059</v>
      </c>
      <c r="I95" s="280">
        <v>-7.2549987964787519</v>
      </c>
      <c r="J95" s="280">
        <v>-0.16475489972310975</v>
      </c>
    </row>
    <row r="96" spans="1:10">
      <c r="A96" s="270">
        <v>97</v>
      </c>
      <c r="B96" s="274"/>
      <c r="C96" s="280"/>
      <c r="D96" s="280"/>
      <c r="E96" s="280"/>
      <c r="F96" s="280"/>
      <c r="G96" s="280"/>
      <c r="H96" s="280"/>
      <c r="I96" s="280"/>
      <c r="J96" s="280"/>
    </row>
    <row r="97" spans="1:10">
      <c r="A97" s="270">
        <v>98</v>
      </c>
      <c r="B97" s="278" t="s">
        <v>323</v>
      </c>
      <c r="C97" s="279">
        <v>1</v>
      </c>
      <c r="D97" s="279">
        <v>0.80530028816639376</v>
      </c>
      <c r="E97" s="279">
        <v>0.13447440056379176</v>
      </c>
      <c r="F97" s="279">
        <v>1.5762993427948062E-2</v>
      </c>
      <c r="G97" s="279">
        <v>6.5337995905415764E-3</v>
      </c>
      <c r="H97" s="279">
        <v>6.0013008934630329E-3</v>
      </c>
      <c r="I97" s="279">
        <v>1.6559014066222573E-2</v>
      </c>
      <c r="J97" s="279">
        <v>1.5368203291626385E-2</v>
      </c>
    </row>
    <row r="98" spans="1:10">
      <c r="A98" s="270">
        <v>99</v>
      </c>
      <c r="B98" s="274" t="s">
        <v>127</v>
      </c>
      <c r="C98" s="273">
        <v>7898873.6978655625</v>
      </c>
      <c r="D98" s="273">
        <v>6360965.2650811151</v>
      </c>
      <c r="E98" s="273">
        <v>1062196.3056495786</v>
      </c>
      <c r="F98" s="273">
        <v>124509.89418764482</v>
      </c>
      <c r="G98" s="273">
        <v>51609.657732853375</v>
      </c>
      <c r="H98" s="273">
        <v>47403.517780352595</v>
      </c>
      <c r="I98" s="273">
        <v>130797.56067027105</v>
      </c>
      <c r="J98" s="273">
        <v>121391.49676367975</v>
      </c>
    </row>
    <row r="99" spans="1:10">
      <c r="A99" s="270">
        <v>100</v>
      </c>
      <c r="B99" s="274" t="s">
        <v>322</v>
      </c>
      <c r="C99" s="280">
        <v>0.42895208230984261</v>
      </c>
      <c r="D99" s="280">
        <v>0.5341387291815386</v>
      </c>
      <c r="E99" s="280">
        <v>0.50184757834273308</v>
      </c>
      <c r="F99" s="280">
        <v>5.3693045400428206E-2</v>
      </c>
      <c r="G99" s="280">
        <v>6.0064155870602383E-2</v>
      </c>
      <c r="H99" s="280">
        <v>7.2950935334491526E-2</v>
      </c>
      <c r="I99" s="280">
        <v>0.2496463534789774</v>
      </c>
      <c r="J99" s="280">
        <v>3.2756984564516829</v>
      </c>
    </row>
    <row r="100" spans="1:10">
      <c r="A100" s="270">
        <v>101</v>
      </c>
      <c r="B100" s="274" t="s">
        <v>128</v>
      </c>
      <c r="C100" s="281">
        <v>1.9594670954924754E-3</v>
      </c>
      <c r="D100" s="281">
        <v>4.171895643106059E-3</v>
      </c>
      <c r="E100" s="281">
        <v>1.9147672206666323E-3</v>
      </c>
      <c r="F100" s="281">
        <v>1.3096086103654925E-4</v>
      </c>
      <c r="G100" s="281">
        <v>1.2810666962259219E-4</v>
      </c>
      <c r="H100" s="281">
        <v>1.1265573721397274E-4</v>
      </c>
      <c r="I100" s="281">
        <v>7.9369475668974922E-4</v>
      </c>
      <c r="J100" s="281">
        <v>9.7172267584560209E-3</v>
      </c>
    </row>
    <row r="101" spans="1:10">
      <c r="A101" s="270">
        <v>102</v>
      </c>
      <c r="B101" s="274" t="s">
        <v>129</v>
      </c>
      <c r="C101" s="280">
        <v>57.711069889328783</v>
      </c>
      <c r="D101" s="280">
        <v>59.012735087518053</v>
      </c>
      <c r="E101" s="280">
        <v>53.29998815967771</v>
      </c>
      <c r="F101" s="280">
        <v>115.70326846743326</v>
      </c>
      <c r="G101" s="280">
        <v>800.43177308619943</v>
      </c>
      <c r="H101" s="280">
        <v>47403.517780352595</v>
      </c>
      <c r="I101" s="280">
        <v>25.468319170437113</v>
      </c>
      <c r="J101" s="280">
        <v>42.242720135835661</v>
      </c>
    </row>
    <row r="102" spans="1:10">
      <c r="A102" s="270">
        <v>103</v>
      </c>
      <c r="B102" s="274"/>
      <c r="C102" s="280"/>
      <c r="D102" s="280"/>
      <c r="E102" s="280"/>
      <c r="F102" s="280"/>
      <c r="G102" s="280"/>
      <c r="H102" s="280"/>
      <c r="I102" s="280"/>
      <c r="J102" s="280"/>
    </row>
    <row r="103" spans="1:10">
      <c r="A103" s="270">
        <v>104</v>
      </c>
      <c r="B103" s="278" t="s">
        <v>324</v>
      </c>
      <c r="C103" s="279">
        <v>1</v>
      </c>
      <c r="D103" s="279">
        <v>0.46286422164307384</v>
      </c>
      <c r="E103" s="279">
        <v>0.14518775782314763</v>
      </c>
      <c r="F103" s="279">
        <v>0.20051862752279748</v>
      </c>
      <c r="G103" s="279">
        <v>7.9534932479321446E-2</v>
      </c>
      <c r="H103" s="279">
        <v>6.5215094937032064E-2</v>
      </c>
      <c r="I103" s="279">
        <v>4.4454982474016219E-2</v>
      </c>
      <c r="J103" s="279">
        <v>2.2243831207223231E-3</v>
      </c>
    </row>
    <row r="104" spans="1:10">
      <c r="A104" s="270">
        <v>105</v>
      </c>
      <c r="B104" s="274" t="s">
        <v>127</v>
      </c>
      <c r="C104" s="273">
        <v>11144685.489703458</v>
      </c>
      <c r="D104" s="273">
        <v>5158476.1746479981</v>
      </c>
      <c r="E104" s="273">
        <v>1618071.8978940709</v>
      </c>
      <c r="F104" s="273">
        <v>2234717.0385683775</v>
      </c>
      <c r="G104" s="273">
        <v>886391.80792676029</v>
      </c>
      <c r="H104" s="273">
        <v>726801.72225431155</v>
      </c>
      <c r="I104" s="273">
        <v>495436.79812314681</v>
      </c>
      <c r="J104" s="273">
        <v>24790.050289053208</v>
      </c>
    </row>
    <row r="105" spans="1:10">
      <c r="A105" s="270">
        <v>106</v>
      </c>
      <c r="B105" s="274" t="s">
        <v>322</v>
      </c>
      <c r="C105" s="280">
        <v>0.60521743103556458</v>
      </c>
      <c r="D105" s="280">
        <v>0.43316411796262028</v>
      </c>
      <c r="E105" s="280">
        <v>0.76447777046821985</v>
      </c>
      <c r="F105" s="280">
        <v>0.96368858227548726</v>
      </c>
      <c r="G105" s="280">
        <v>1.0315971477533463</v>
      </c>
      <c r="H105" s="280">
        <v>1.118500649821963</v>
      </c>
      <c r="I105" s="280">
        <v>0.94561388910409538</v>
      </c>
      <c r="J105" s="280">
        <v>0.66894907495289724</v>
      </c>
    </row>
    <row r="106" spans="1:10">
      <c r="A106" s="270">
        <v>107</v>
      </c>
      <c r="B106" s="274" t="s">
        <v>128</v>
      </c>
      <c r="C106" s="281">
        <v>2.7646529545835566E-3</v>
      </c>
      <c r="D106" s="281">
        <v>3.3832324782873914E-3</v>
      </c>
      <c r="E106" s="281">
        <v>2.9168158600163009E-3</v>
      </c>
      <c r="F106" s="281">
        <v>2.3504996888271631E-3</v>
      </c>
      <c r="G106" s="281">
        <v>2.2002219639205428E-3</v>
      </c>
      <c r="H106" s="281">
        <v>1.7272638754012636E-3</v>
      </c>
      <c r="I106" s="281">
        <v>3.0063679087470596E-3</v>
      </c>
      <c r="J106" s="281">
        <v>1.984410328848771E-3</v>
      </c>
    </row>
    <row r="107" spans="1:10">
      <c r="A107" s="270">
        <v>108</v>
      </c>
      <c r="B107" s="274" t="s">
        <v>129</v>
      </c>
      <c r="C107" s="280">
        <v>81.425751036462685</v>
      </c>
      <c r="D107" s="280">
        <v>47.856854308084941</v>
      </c>
      <c r="E107" s="280">
        <v>81.193290299122054</v>
      </c>
      <c r="F107" s="280">
        <v>2076.6547682752894</v>
      </c>
      <c r="G107" s="280">
        <v>13747.352678455214</v>
      </c>
      <c r="H107" s="280">
        <v>726801.72225431155</v>
      </c>
      <c r="I107" s="280">
        <v>96.469249416573035</v>
      </c>
      <c r="J107" s="280">
        <v>8.6266269420206019</v>
      </c>
    </row>
  </sheetData>
  <mergeCells count="4">
    <mergeCell ref="B3:J3"/>
    <mergeCell ref="B4:J4"/>
    <mergeCell ref="B5:J5"/>
    <mergeCell ref="B6:J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2020-02-28T08:00:00+00:00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51031CE-54C3-4328-A8BE-29E89F21235C}"/>
</file>

<file path=customXml/itemProps2.xml><?xml version="1.0" encoding="utf-8"?>
<ds:datastoreItem xmlns:ds="http://schemas.openxmlformats.org/officeDocument/2006/customXml" ds:itemID="{37EBE27B-E8D4-4E97-B8B9-CE5B0A1096E5}"/>
</file>

<file path=customXml/itemProps3.xml><?xml version="1.0" encoding="utf-8"?>
<ds:datastoreItem xmlns:ds="http://schemas.openxmlformats.org/officeDocument/2006/customXml" ds:itemID="{0AF88250-F07F-47D1-89D5-E2F1B43BD127}"/>
</file>

<file path=customXml/itemProps4.xml><?xml version="1.0" encoding="utf-8"?>
<ds:datastoreItem xmlns:ds="http://schemas.openxmlformats.org/officeDocument/2006/customXml" ds:itemID="{3689B0BC-10A3-40AF-8E1E-42EC609107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3</vt:i4>
      </vt:variant>
    </vt:vector>
  </HeadingPairs>
  <TitlesOfParts>
    <vt:vector size="14" baseType="lpstr">
      <vt:lpstr>Install Cst (Exsting Pole) pg 1</vt:lpstr>
      <vt:lpstr>Maintenance Assumptions pg 2</vt:lpstr>
      <vt:lpstr>LED Lighting kWh pg 3</vt:lpstr>
      <vt:lpstr>Cost Analysis pg 4</vt:lpstr>
      <vt:lpstr>Price Summary pg 5,6</vt:lpstr>
      <vt:lpstr>Consoldted Proposed Prices pg 7</vt:lpstr>
      <vt:lpstr>BACKUP&gt;&gt;&gt;</vt:lpstr>
      <vt:lpstr>Unit Costs</vt:lpstr>
      <vt:lpstr>Unit Costs wo fixture cost</vt:lpstr>
      <vt:lpstr>SL Blocking</vt:lpstr>
      <vt:lpstr>Area Light Composition</vt:lpstr>
      <vt:lpstr>'Consoldted Proposed Prices pg 7'!Print_Area</vt:lpstr>
      <vt:lpstr>'Price Summary pg 5,6'!Print_Area</vt:lpstr>
      <vt:lpstr>'Price Summary pg 5,6'!Print_Titles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2020-02-27T18:04:48Z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